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E:\PML 2021\LIMOEIRO 2021\Iluminação Pública\ILUMINACAO 2024\Novo Projeto de Iluminação LED 2024 Última Revisão\ILUMINAÇÃO\"/>
    </mc:Choice>
  </mc:AlternateContent>
  <bookViews>
    <workbookView xWindow="-108" yWindow="-108" windowWidth="19416" windowHeight="10296" tabRatio="773"/>
  </bookViews>
  <sheets>
    <sheet name="PLANILHA LIMOEIRO - ONE" sheetId="1" r:id="rId1"/>
    <sheet name="CRONOGRAMA FÍS-FIN" sheetId="27" r:id="rId2"/>
    <sheet name="COMP1" sheetId="28" r:id="rId3"/>
    <sheet name="COMP2" sheetId="31" r:id="rId4"/>
    <sheet name="COMP3" sheetId="47" r:id="rId5"/>
    <sheet name="01.PML.001 - CAMINH. SKY" sheetId="48" r:id="rId6"/>
    <sheet name="MAPA DE TABELAS REF." sheetId="46" r:id="rId7"/>
    <sheet name="BDI ONERADO - INS" sheetId="32" r:id="rId8"/>
    <sheet name="BDI ONERADO - SER" sheetId="33" r:id="rId9"/>
    <sheet name="ENCARGOS" sheetId="42" r:id="rId10"/>
  </sheets>
  <definedNames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9" hidden="1">#REF!</definedName>
    <definedName name="_Fill" localSheetId="6" hidden="1">#REF!</definedName>
    <definedName name="_Fill" hidden="1">#REF!</definedName>
    <definedName name="_mar2" localSheetId="5">#REF!</definedName>
    <definedName name="_mar2" localSheetId="2">#REF!</definedName>
    <definedName name="_mar2" localSheetId="3">#REF!</definedName>
    <definedName name="_mar2" localSheetId="4">#REF!</definedName>
    <definedName name="_mar2" localSheetId="9">#REF!</definedName>
    <definedName name="_mar2" localSheetId="6">#REF!</definedName>
    <definedName name="_mar2">#REF!</definedName>
    <definedName name="_mar3" localSheetId="5">#REF!</definedName>
    <definedName name="_mar3" localSheetId="3">#REF!</definedName>
    <definedName name="_mar3" localSheetId="4">#REF!</definedName>
    <definedName name="_mar3" localSheetId="9">#REF!</definedName>
    <definedName name="_mar3" localSheetId="6">#REF!</definedName>
    <definedName name="_mar3">#REF!</definedName>
    <definedName name="_xlnm.Print_Area" localSheetId="5">'01.PML.001 - CAMINH. SKY'!$A$1:$D$102</definedName>
    <definedName name="_xlnm.Print_Area" localSheetId="7">'BDI ONERADO - INS'!$A$1:$C$38</definedName>
    <definedName name="_xlnm.Print_Area" localSheetId="8">'BDI ONERADO - SER'!$A$1:$C$38</definedName>
    <definedName name="_xlnm.Print_Area" localSheetId="2">COMP1!$A$1:$H$48</definedName>
    <definedName name="_xlnm.Print_Area" localSheetId="3">COMP2!$A$1:$H$47</definedName>
    <definedName name="_xlnm.Print_Area" localSheetId="4">COMP3!$A$1:$H$48</definedName>
    <definedName name="_xlnm.Print_Area" localSheetId="1">'CRONOGRAMA FÍS-FIN'!$A$1:$Q$21</definedName>
    <definedName name="_xlnm.Print_Area" localSheetId="9">ENCARGOS!$A$1:$F$45</definedName>
    <definedName name="_xlnm.Print_Area" localSheetId="6">'MAPA DE TABELAS REF.'!$A$1:$I$13</definedName>
    <definedName name="_xlnm.Print_Area" localSheetId="0">'PLANILHA LIMOEIRO - ONE'!$A$1:$O$42</definedName>
    <definedName name="ASD" localSheetId="7" hidden="1">#REF!</definedName>
    <definedName name="ASD" localSheetId="8" hidden="1">#REF!</definedName>
    <definedName name="ASD" localSheetId="2" hidden="1">#REF!</definedName>
    <definedName name="ASD" localSheetId="3" hidden="1">#REF!</definedName>
    <definedName name="ASD" localSheetId="4" hidden="1">#REF!</definedName>
    <definedName name="ASD" localSheetId="9" hidden="1">#REF!</definedName>
    <definedName name="ASD" localSheetId="6" hidden="1">#REF!</definedName>
    <definedName name="ASD" hidden="1">#REF!</definedName>
    <definedName name="ASDDDDDDDD" localSheetId="7">#REF!</definedName>
    <definedName name="ASDDDDDDDD" localSheetId="8">#REF!</definedName>
    <definedName name="ASDDDDDDDD" localSheetId="2">#REF!</definedName>
    <definedName name="ASDDDDDDDD" localSheetId="3">#REF!</definedName>
    <definedName name="ASDDDDDDDD" localSheetId="4">#REF!</definedName>
    <definedName name="ASDDDDDDDD" localSheetId="9">#REF!</definedName>
    <definedName name="ASDDDDDDDD" localSheetId="6">#REF!</definedName>
    <definedName name="ASDDDDDDDD">#REF!</definedName>
    <definedName name="BANCO1">#REF!</definedName>
    <definedName name="D" localSheetId="5">#REF!</definedName>
    <definedName name="D" localSheetId="7">#REF!</definedName>
    <definedName name="D" localSheetId="8">#REF!</definedName>
    <definedName name="D" localSheetId="2">#REF!</definedName>
    <definedName name="D" localSheetId="3">#REF!</definedName>
    <definedName name="D" localSheetId="4">#REF!</definedName>
    <definedName name="D" localSheetId="9">#REF!</definedName>
    <definedName name="D" localSheetId="6">#REF!</definedName>
    <definedName name="D">#REF!</definedName>
    <definedName name="DD" localSheetId="7">#REF!</definedName>
    <definedName name="DD" localSheetId="8">#REF!</definedName>
    <definedName name="DD" localSheetId="2">#REF!</definedName>
    <definedName name="DD" localSheetId="3">#REF!</definedName>
    <definedName name="DD" localSheetId="4">#REF!</definedName>
    <definedName name="DD" localSheetId="9">#REF!</definedName>
    <definedName name="DD" localSheetId="6">#REF!</definedName>
    <definedName name="DD">#REF!</definedName>
    <definedName name="DDD" localSheetId="7">#REF!</definedName>
    <definedName name="DDD" localSheetId="8">#REF!</definedName>
    <definedName name="DDD" localSheetId="2">#REF!</definedName>
    <definedName name="DDD" localSheetId="3">#REF!</definedName>
    <definedName name="DDD" localSheetId="4">#REF!</definedName>
    <definedName name="DDD" localSheetId="9">#REF!</definedName>
    <definedName name="DDD" localSheetId="6">#REF!</definedName>
    <definedName name="DDD">#REF!</definedName>
    <definedName name="ddddd" localSheetId="5">#REF!</definedName>
    <definedName name="ddddd" localSheetId="7">#REF!</definedName>
    <definedName name="ddddd" localSheetId="8">#REF!</definedName>
    <definedName name="ddddd" localSheetId="2">#REF!</definedName>
    <definedName name="ddddd" localSheetId="3">#REF!</definedName>
    <definedName name="ddddd" localSheetId="4">#REF!</definedName>
    <definedName name="ddddd" localSheetId="9">#REF!</definedName>
    <definedName name="ddddd" localSheetId="6">#REF!</definedName>
    <definedName name="ddddd">#REF!</definedName>
    <definedName name="dddr" localSheetId="7">#REF!</definedName>
    <definedName name="dddr" localSheetId="8">#REF!</definedName>
    <definedName name="dddr" localSheetId="2">#REF!</definedName>
    <definedName name="dddr" localSheetId="3">#REF!</definedName>
    <definedName name="dddr" localSheetId="4">#REF!</definedName>
    <definedName name="dddr" localSheetId="9">#REF!</definedName>
    <definedName name="dddr" localSheetId="6">#REF!</definedName>
    <definedName name="dddr">#REF!</definedName>
    <definedName name="dfsasasasasasasasasasasasasasa" localSheetId="7">#REF!</definedName>
    <definedName name="dfsasasasasasasasasasasasasasa" localSheetId="8">#REF!</definedName>
    <definedName name="dfsasasasasasasasasasasasasasa" localSheetId="2">#REF!</definedName>
    <definedName name="dfsasasasasasasasasasasasasasa" localSheetId="3">#REF!</definedName>
    <definedName name="dfsasasasasasasasasasasasasasa" localSheetId="4">#REF!</definedName>
    <definedName name="dfsasasasasasasasasasasasasasa" localSheetId="9">#REF!</definedName>
    <definedName name="dfsasasasasasasasasasasasasasa" localSheetId="6">#REF!</definedName>
    <definedName name="dfsasasasasasasasasasasasasasa">#REF!</definedName>
    <definedName name="dr" localSheetId="5">#REF!</definedName>
    <definedName name="dr" localSheetId="7">#REF!</definedName>
    <definedName name="dr" localSheetId="8">#REF!</definedName>
    <definedName name="dr" localSheetId="2">#REF!</definedName>
    <definedName name="dr" localSheetId="3">#REF!</definedName>
    <definedName name="dr" localSheetId="4">#REF!</definedName>
    <definedName name="dr" localSheetId="9">#REF!</definedName>
    <definedName name="dr" localSheetId="6">#REF!</definedName>
    <definedName name="dr">#REF!</definedName>
    <definedName name="DWEDWEFDWFWF" localSheetId="7">#REF!</definedName>
    <definedName name="DWEDWEFDWFWF" localSheetId="8">#REF!</definedName>
    <definedName name="DWEDWEFDWFWF" localSheetId="2">#REF!</definedName>
    <definedName name="DWEDWEFDWFWF" localSheetId="3">#REF!</definedName>
    <definedName name="DWEDWEFDWFWF" localSheetId="4">#REF!</definedName>
    <definedName name="DWEDWEFDWFWF" localSheetId="9">#REF!</definedName>
    <definedName name="DWEDWEFDWFWF" localSheetId="6">#REF!</definedName>
    <definedName name="DWEDWEFDWFWF">#REF!</definedName>
    <definedName name="EDF" localSheetId="5">#REF!</definedName>
    <definedName name="EDF" localSheetId="7">#REF!</definedName>
    <definedName name="EDF" localSheetId="8">#REF!</definedName>
    <definedName name="EDF" localSheetId="2">#REF!</definedName>
    <definedName name="EDF" localSheetId="3">#REF!</definedName>
    <definedName name="EDF" localSheetId="4">#REF!</definedName>
    <definedName name="EDF" localSheetId="9">#REF!</definedName>
    <definedName name="EDF" localSheetId="6">#REF!</definedName>
    <definedName name="EDF">#REF!</definedName>
    <definedName name="ewrdqrqrqerqrf" localSheetId="7">#REF!</definedName>
    <definedName name="ewrdqrqrqerqrf" localSheetId="8">#REF!</definedName>
    <definedName name="ewrdqrqrqerqrf" localSheetId="2">#REF!</definedName>
    <definedName name="ewrdqrqrqerqrf" localSheetId="3">#REF!</definedName>
    <definedName name="ewrdqrqrqerqrf" localSheetId="4">#REF!</definedName>
    <definedName name="ewrdqrqrqerqrf" localSheetId="9">#REF!</definedName>
    <definedName name="ewrdqrqrqerqrf" localSheetId="6">#REF!</definedName>
    <definedName name="ewrdqrqrqerqrf">#REF!</definedName>
    <definedName name="Excel_BuiltIn_Print_Area_16" localSheetId="7">#REF!</definedName>
    <definedName name="Excel_BuiltIn_Print_Area_16" localSheetId="8">#REF!</definedName>
    <definedName name="Excel_BuiltIn_Print_Area_16" localSheetId="2">#REF!</definedName>
    <definedName name="Excel_BuiltIn_Print_Area_16" localSheetId="3">#REF!</definedName>
    <definedName name="Excel_BuiltIn_Print_Area_16" localSheetId="4">#REF!</definedName>
    <definedName name="Excel_BuiltIn_Print_Area_16" localSheetId="9">#REF!</definedName>
    <definedName name="Excel_BuiltIn_Print_Area_16" localSheetId="6">#REF!</definedName>
    <definedName name="Excel_BuiltIn_Print_Area_16">#REF!</definedName>
    <definedName name="Excel_BuiltIn_Print_Area_17" localSheetId="7">#REF!</definedName>
    <definedName name="Excel_BuiltIn_Print_Area_17" localSheetId="8">#REF!</definedName>
    <definedName name="Excel_BuiltIn_Print_Area_17" localSheetId="2">#REF!</definedName>
    <definedName name="Excel_BuiltIn_Print_Area_17" localSheetId="3">#REF!</definedName>
    <definedName name="Excel_BuiltIn_Print_Area_17" localSheetId="4">#REF!</definedName>
    <definedName name="Excel_BuiltIn_Print_Area_17" localSheetId="9">#REF!</definedName>
    <definedName name="Excel_BuiltIn_Print_Area_17" localSheetId="6">#REF!</definedName>
    <definedName name="Excel_BuiltIn_Print_Area_17">#REF!</definedName>
    <definedName name="fa" localSheetId="2">#REF!</definedName>
    <definedName name="fa" localSheetId="3">#REF!</definedName>
    <definedName name="fa" localSheetId="4">#REF!</definedName>
    <definedName name="fa" localSheetId="9">#REF!</definedName>
    <definedName name="fa" localSheetId="6">#REF!</definedName>
    <definedName name="fa">#REF!</definedName>
    <definedName name="FF" localSheetId="5">#REF!</definedName>
    <definedName name="FF" localSheetId="2">#REF!</definedName>
    <definedName name="FF" localSheetId="3">#REF!</definedName>
    <definedName name="FF" localSheetId="4">#REF!</definedName>
    <definedName name="FF" localSheetId="9">#REF!</definedName>
    <definedName name="FF" localSheetId="6">#REF!</definedName>
    <definedName name="FF">#REF!</definedName>
    <definedName name="firma2" localSheetId="7">#REF!</definedName>
    <definedName name="firma2" localSheetId="8">#REF!</definedName>
    <definedName name="firma2" localSheetId="2">#REF!</definedName>
    <definedName name="firma2" localSheetId="3">#REF!</definedName>
    <definedName name="firma2" localSheetId="4">#REF!</definedName>
    <definedName name="firma2" localSheetId="9">#REF!</definedName>
    <definedName name="firma2" localSheetId="6">#REF!</definedName>
    <definedName name="firma2">#REF!</definedName>
    <definedName name="firma22" localSheetId="7">#REF!</definedName>
    <definedName name="firma22" localSheetId="8">#REF!</definedName>
    <definedName name="firma22" localSheetId="2">#REF!</definedName>
    <definedName name="firma22" localSheetId="3">#REF!</definedName>
    <definedName name="firma22" localSheetId="4">#REF!</definedName>
    <definedName name="firma22" localSheetId="9">#REF!</definedName>
    <definedName name="firma22" localSheetId="6">#REF!</definedName>
    <definedName name="firma22">#REF!</definedName>
    <definedName name="frEGF" localSheetId="7">#REF!</definedName>
    <definedName name="frEGF" localSheetId="8">#REF!</definedName>
    <definedName name="frEGF" localSheetId="2">#REF!</definedName>
    <definedName name="frEGF" localSheetId="3">#REF!</definedName>
    <definedName name="frEGF" localSheetId="4">#REF!</definedName>
    <definedName name="frEGF" localSheetId="9">#REF!</definedName>
    <definedName name="frEGF" localSheetId="6">#REF!</definedName>
    <definedName name="frEGF">#REF!</definedName>
    <definedName name="I" localSheetId="5">#REF!</definedName>
    <definedName name="I" localSheetId="7">#REF!</definedName>
    <definedName name="I" localSheetId="8">#REF!</definedName>
    <definedName name="I" localSheetId="2">#REF!</definedName>
    <definedName name="I" localSheetId="3">#REF!</definedName>
    <definedName name="I" localSheetId="4">#REF!</definedName>
    <definedName name="I" localSheetId="9">#REF!</definedName>
    <definedName name="I" localSheetId="6">#REF!</definedName>
    <definedName name="I">#REF!</definedName>
    <definedName name="ID" localSheetId="5">#REF!</definedName>
    <definedName name="ID" localSheetId="7">#REF!</definedName>
    <definedName name="ID" localSheetId="8">#REF!</definedName>
    <definedName name="ID" localSheetId="2">#REF!</definedName>
    <definedName name="ID" localSheetId="3">#REF!</definedName>
    <definedName name="ID" localSheetId="4">#REF!</definedName>
    <definedName name="ID" localSheetId="9">#REF!</definedName>
    <definedName name="ID" localSheetId="6">#REF!</definedName>
    <definedName name="ID">#REF!</definedName>
    <definedName name="inf">#REF!</definedName>
    <definedName name="item1">#REF!</definedName>
    <definedName name="item3">#REF!</definedName>
    <definedName name="item4">#REF!</definedName>
    <definedName name="iu" localSheetId="5">#REF!</definedName>
    <definedName name="iu" localSheetId="7">#REF!</definedName>
    <definedName name="iu" localSheetId="8">#REF!</definedName>
    <definedName name="iu" localSheetId="2">#REF!</definedName>
    <definedName name="iu" localSheetId="3">#REF!</definedName>
    <definedName name="iu" localSheetId="4">#REF!</definedName>
    <definedName name="iu" localSheetId="9">#REF!</definedName>
    <definedName name="iu" localSheetId="6">#REF!</definedName>
    <definedName name="iu">#REF!</definedName>
    <definedName name="MAR" localSheetId="5">#REF!</definedName>
    <definedName name="MAR" localSheetId="7">#REF!</definedName>
    <definedName name="MAR" localSheetId="8">#REF!</definedName>
    <definedName name="MAR" localSheetId="2">#REF!</definedName>
    <definedName name="MAR" localSheetId="3">#REF!</definedName>
    <definedName name="MAR" localSheetId="4">#REF!</definedName>
    <definedName name="MAR" localSheetId="9">#REF!</definedName>
    <definedName name="MAR" localSheetId="6">#REF!</definedName>
    <definedName name="MAR">#REF!</definedName>
    <definedName name="mo_sub_base">#REF!</definedName>
    <definedName name="módulo1.Extenso">#N/A</definedName>
    <definedName name="MSARD" localSheetId="5">#REF!</definedName>
    <definedName name="MSARD" localSheetId="2">#REF!</definedName>
    <definedName name="MSARD" localSheetId="3">#REF!</definedName>
    <definedName name="MSARD" localSheetId="4">#REF!</definedName>
    <definedName name="MSARD" localSheetId="9">#REF!</definedName>
    <definedName name="MSARD" localSheetId="6">#REF!</definedName>
    <definedName name="MSARD">#REF!</definedName>
    <definedName name="RBV">#REF!</definedName>
    <definedName name="REGULA">#REF!</definedName>
    <definedName name="rwQRRRRRRRRR" localSheetId="7">#REF!</definedName>
    <definedName name="rwQRRRRRRRRR" localSheetId="8">#REF!</definedName>
    <definedName name="rwQRRRRRRRRR" localSheetId="2">#REF!</definedName>
    <definedName name="rwQRRRRRRRRR" localSheetId="3">#REF!</definedName>
    <definedName name="rwQRRRRRRRRR" localSheetId="4">#REF!</definedName>
    <definedName name="rwQRRRRRRRRR" localSheetId="9">#REF!</definedName>
    <definedName name="rwQRRRRRRRRR" localSheetId="6">#REF!</definedName>
    <definedName name="rwQRRRRRRRRR">#REF!</definedName>
    <definedName name="RWSRRRRRRRRRRRRRRR" localSheetId="7">#REF!</definedName>
    <definedName name="RWSRRRRRRRRRRRRRRR" localSheetId="8">#REF!</definedName>
    <definedName name="RWSRRRRRRRRRRRRRRR" localSheetId="2">#REF!</definedName>
    <definedName name="RWSRRRRRRRRRRRRRRR" localSheetId="3">#REF!</definedName>
    <definedName name="RWSRRRRRRRRRRRRRRR" localSheetId="4">#REF!</definedName>
    <definedName name="RWSRRRRRRRRRRRRRRR" localSheetId="9">#REF!</definedName>
    <definedName name="RWSRRRRRRRRRRRRRRR" localSheetId="6">#REF!</definedName>
    <definedName name="RWSRRRRRRRRRRRRRRR">#REF!</definedName>
    <definedName name="sd" localSheetId="7">#REF!</definedName>
    <definedName name="sd" localSheetId="8">#REF!</definedName>
    <definedName name="sd" localSheetId="2">#REF!</definedName>
    <definedName name="sd" localSheetId="3">#REF!</definedName>
    <definedName name="sd" localSheetId="4">#REF!</definedName>
    <definedName name="sd" localSheetId="9">#REF!</definedName>
    <definedName name="sd" localSheetId="6">#REF!</definedName>
    <definedName name="sd">#REF!</definedName>
    <definedName name="TABELA" localSheetId="5">#REF!</definedName>
    <definedName name="TABELA" localSheetId="6">#REF!</definedName>
    <definedName name="TABELA">#REF!</definedName>
    <definedName name="Teor">#REF!</definedName>
    <definedName name="Terraplenagem">#N/A</definedName>
    <definedName name="_xlnm.Print_Titles" localSheetId="6">'MAPA DE TABELAS REF.'!$3:$5</definedName>
    <definedName name="_xlnm.Print_Titles" localSheetId="0">'PLANILHA LIMOEIRO - ONE'!$1:$5</definedName>
    <definedName name="TT" localSheetId="5">#REF!</definedName>
    <definedName name="TT" localSheetId="7">#REF!</definedName>
    <definedName name="TT" localSheetId="8">#REF!</definedName>
    <definedName name="TT" localSheetId="2">#REF!</definedName>
    <definedName name="TT" localSheetId="3">#REF!</definedName>
    <definedName name="TT" localSheetId="4">#REF!</definedName>
    <definedName name="TT" localSheetId="9">#REF!</definedName>
    <definedName name="TT" localSheetId="6">#REF!</definedName>
    <definedName name="TT">#REF!</definedName>
    <definedName name="WDAR" localSheetId="7">#REF!</definedName>
    <definedName name="WDAR" localSheetId="8">#REF!</definedName>
    <definedName name="WDAR" localSheetId="2">#REF!</definedName>
    <definedName name="WDAR" localSheetId="3">#REF!</definedName>
    <definedName name="WDAR" localSheetId="4">#REF!</definedName>
    <definedName name="WDAR" localSheetId="9">#REF!</definedName>
    <definedName name="WDAR" localSheetId="6">#REF!</definedName>
    <definedName name="WDAR">#REF!</definedName>
    <definedName name="WEWRWR">#N/A</definedName>
    <definedName name="XXX">#N/A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K10" i="1"/>
  <c r="G33" i="1"/>
  <c r="H33" i="1" s="1"/>
  <c r="K33" i="1" s="1"/>
  <c r="G32" i="1"/>
  <c r="J33" i="1"/>
  <c r="D83" i="48"/>
  <c r="C83" i="48"/>
  <c r="A2" i="31" l="1"/>
  <c r="D79" i="48"/>
  <c r="D32" i="48"/>
  <c r="F28" i="48"/>
  <c r="A2" i="47"/>
  <c r="I15" i="1"/>
  <c r="I14" i="1"/>
  <c r="I11" i="1"/>
  <c r="D27" i="48"/>
  <c r="B11" i="47"/>
  <c r="A11" i="47"/>
  <c r="G77" i="48"/>
  <c r="H77" i="48" s="1"/>
  <c r="J77" i="48" s="1"/>
  <c r="D71" i="48"/>
  <c r="D73" i="48" s="1"/>
  <c r="D64" i="48"/>
  <c r="D65" i="48" s="1"/>
  <c r="G61" i="48"/>
  <c r="G60" i="48"/>
  <c r="H52" i="48"/>
  <c r="H54" i="48" s="1"/>
  <c r="D55" i="48"/>
  <c r="F55" i="48" s="1"/>
  <c r="K46" i="48"/>
  <c r="K45" i="48"/>
  <c r="K47" i="48" s="1"/>
  <c r="D43" i="48"/>
  <c r="F32" i="48" l="1"/>
  <c r="F27" i="48"/>
  <c r="F29" i="48" s="1"/>
  <c r="G29" i="48" s="1"/>
  <c r="D44" i="48"/>
  <c r="D42" i="48"/>
  <c r="D37" i="48"/>
  <c r="F36" i="48"/>
  <c r="F35" i="48"/>
  <c r="D41" i="48" l="1"/>
  <c r="D45" i="48" s="1"/>
  <c r="F11" i="47" l="1"/>
  <c r="D85" i="48"/>
  <c r="E19" i="47" l="1"/>
  <c r="H19" i="47" s="1"/>
  <c r="I16" i="1"/>
  <c r="I11" i="46"/>
  <c r="I12" i="46"/>
  <c r="I13" i="46"/>
  <c r="I10" i="46"/>
  <c r="J23" i="1"/>
  <c r="J32" i="1"/>
  <c r="J26" i="1"/>
  <c r="J24" i="1"/>
  <c r="C9" i="1"/>
  <c r="H44" i="47"/>
  <c r="H36" i="47"/>
  <c r="H37" i="47" s="1"/>
  <c r="H29" i="47"/>
  <c r="H30" i="47" s="1"/>
  <c r="E18" i="47"/>
  <c r="H18" i="47" s="1"/>
  <c r="H11" i="47"/>
  <c r="H12" i="47" s="1"/>
  <c r="B4" i="47"/>
  <c r="C4" i="46"/>
  <c r="B4" i="31"/>
  <c r="A1" i="27"/>
  <c r="H20" i="47" l="1"/>
  <c r="F9" i="1" s="1"/>
  <c r="H23" i="1"/>
  <c r="K23" i="1" s="1"/>
  <c r="J29" i="1"/>
  <c r="J27" i="1"/>
  <c r="J31" i="1"/>
  <c r="I17" i="1"/>
  <c r="J30" i="1"/>
  <c r="J25" i="1" l="1"/>
  <c r="J28" i="1"/>
  <c r="H43" i="31"/>
  <c r="J22" i="1" l="1"/>
  <c r="J18" i="1" l="1"/>
  <c r="C8" i="1" l="1"/>
  <c r="H29" i="28" l="1"/>
  <c r="H30" i="28" s="1"/>
  <c r="F42" i="42" l="1"/>
  <c r="E42" i="42"/>
  <c r="D42" i="42"/>
  <c r="C42" i="42"/>
  <c r="F38" i="42"/>
  <c r="E38" i="42"/>
  <c r="D38" i="42"/>
  <c r="C38" i="42"/>
  <c r="F31" i="42"/>
  <c r="E31" i="42"/>
  <c r="D31" i="42"/>
  <c r="C31" i="42"/>
  <c r="F19" i="42"/>
  <c r="E19" i="42"/>
  <c r="D19" i="42"/>
  <c r="C19" i="42"/>
  <c r="D44" i="42" l="1"/>
  <c r="F44" i="42"/>
  <c r="E44" i="42"/>
  <c r="C44" i="42"/>
  <c r="H43" i="28"/>
  <c r="H44" i="28" s="1"/>
  <c r="J14" i="1" l="1"/>
  <c r="H35" i="31" l="1"/>
  <c r="H36" i="31" s="1"/>
  <c r="H28" i="31"/>
  <c r="H29" i="31" s="1"/>
  <c r="H36" i="28" l="1"/>
  <c r="H37" i="28" s="1"/>
  <c r="H12" i="28" l="1"/>
  <c r="C13" i="33"/>
  <c r="C10" i="33"/>
  <c r="C13" i="32"/>
  <c r="C10" i="32"/>
  <c r="C27" i="32" s="1"/>
  <c r="D86" i="48" l="1"/>
  <c r="G26" i="1"/>
  <c r="H26" i="1" s="1"/>
  <c r="K26" i="1" s="1"/>
  <c r="G21" i="1"/>
  <c r="G20" i="1"/>
  <c r="G19" i="1"/>
  <c r="G25" i="1"/>
  <c r="H25" i="1" s="1"/>
  <c r="K25" i="1" s="1"/>
  <c r="H32" i="1"/>
  <c r="K32" i="1" s="1"/>
  <c r="G24" i="1"/>
  <c r="H24" i="1" s="1"/>
  <c r="K24" i="1" s="1"/>
  <c r="G31" i="1"/>
  <c r="H31" i="1" s="1"/>
  <c r="K31" i="1" s="1"/>
  <c r="G22" i="1"/>
  <c r="H22" i="1" s="1"/>
  <c r="K22" i="1" s="1"/>
  <c r="G30" i="1"/>
  <c r="H30" i="1" s="1"/>
  <c r="K30" i="1" s="1"/>
  <c r="G29" i="1"/>
  <c r="H29" i="1" s="1"/>
  <c r="K29" i="1" s="1"/>
  <c r="G28" i="1"/>
  <c r="H28" i="1" s="1"/>
  <c r="K28" i="1" s="1"/>
  <c r="G27" i="1"/>
  <c r="H27" i="1" s="1"/>
  <c r="K27" i="1" s="1"/>
  <c r="H45" i="47"/>
  <c r="H46" i="47" s="1"/>
  <c r="H31" i="47"/>
  <c r="H32" i="47" s="1"/>
  <c r="H38" i="47"/>
  <c r="H39" i="47" s="1"/>
  <c r="G18" i="1"/>
  <c r="H18" i="1" s="1"/>
  <c r="K18" i="1" s="1"/>
  <c r="G17" i="1"/>
  <c r="H21" i="1"/>
  <c r="G14" i="1"/>
  <c r="G15" i="1"/>
  <c r="G13" i="1"/>
  <c r="G16" i="1"/>
  <c r="G12" i="1"/>
  <c r="G11" i="1"/>
  <c r="H31" i="28"/>
  <c r="H32" i="28" s="1"/>
  <c r="H44" i="31"/>
  <c r="H45" i="31" s="1"/>
  <c r="H37" i="31"/>
  <c r="H38" i="31" s="1"/>
  <c r="H13" i="28"/>
  <c r="H14" i="28" s="1"/>
  <c r="H30" i="31"/>
  <c r="H31" i="31" s="1"/>
  <c r="H45" i="28"/>
  <c r="H46" i="28" s="1"/>
  <c r="H38" i="28"/>
  <c r="H39" i="28" s="1"/>
  <c r="C27" i="33"/>
  <c r="E18" i="31"/>
  <c r="H18" i="31" s="1"/>
  <c r="H19" i="31" s="1"/>
  <c r="G9" i="1" l="1"/>
  <c r="G8" i="1"/>
  <c r="G7" i="1"/>
  <c r="H13" i="47"/>
  <c r="H14" i="47" s="1"/>
  <c r="H24" i="47"/>
  <c r="H25" i="47" s="1"/>
  <c r="H23" i="31"/>
  <c r="H24" i="31" s="1"/>
  <c r="H11" i="31"/>
  <c r="H12" i="31" s="1"/>
  <c r="H48" i="47" l="1"/>
  <c r="H9" i="1" s="1"/>
  <c r="H13" i="31"/>
  <c r="H14" i="31" s="1"/>
  <c r="H47" i="31" s="1"/>
  <c r="H8" i="1" s="1"/>
  <c r="F8" i="1"/>
  <c r="H21" i="28"/>
  <c r="H22" i="28" s="1"/>
  <c r="F7" i="1" s="1"/>
  <c r="H24" i="28" l="1"/>
  <c r="H25" i="28" s="1"/>
  <c r="H48" i="28" l="1"/>
  <c r="H7" i="1" s="1"/>
  <c r="K7" i="1" s="1"/>
  <c r="J7" i="1"/>
  <c r="H11" i="1" l="1"/>
  <c r="H12" i="1" l="1"/>
  <c r="H13" i="1" l="1"/>
  <c r="H14" i="1" l="1"/>
  <c r="K14" i="1" s="1"/>
  <c r="H15" i="1" l="1"/>
  <c r="H16" i="1" l="1"/>
  <c r="H19" i="1" l="1"/>
  <c r="H20" i="1" l="1"/>
  <c r="H17" i="1" l="1"/>
  <c r="J20" i="1" l="1"/>
  <c r="K20" i="1"/>
  <c r="J21" i="1"/>
  <c r="K21" i="1"/>
  <c r="I13" i="1" l="1"/>
  <c r="I8" i="1"/>
  <c r="J11" i="1"/>
  <c r="K11" i="1"/>
  <c r="J19" i="1"/>
  <c r="K19" i="1"/>
  <c r="K9" i="1" l="1"/>
  <c r="J9" i="1"/>
  <c r="J13" i="1"/>
  <c r="K13" i="1"/>
  <c r="J15" i="1"/>
  <c r="K15" i="1"/>
  <c r="J16" i="1"/>
  <c r="K16" i="1"/>
  <c r="J8" i="1"/>
  <c r="K8" i="1"/>
  <c r="J12" i="1"/>
  <c r="K12" i="1"/>
  <c r="J17" i="1"/>
  <c r="K17" i="1"/>
  <c r="K6" i="1" l="1"/>
  <c r="J6" i="1"/>
  <c r="J13" i="27" l="1"/>
  <c r="H13" i="27"/>
  <c r="O13" i="27"/>
  <c r="G13" i="27"/>
  <c r="N13" i="27"/>
  <c r="F13" i="27"/>
  <c r="M13" i="27"/>
  <c r="E13" i="27"/>
  <c r="L13" i="27"/>
  <c r="D13" i="27"/>
  <c r="K13" i="27"/>
  <c r="I13" i="27"/>
  <c r="M11" i="27"/>
  <c r="E11" i="27"/>
  <c r="H11" i="27"/>
  <c r="L11" i="27"/>
  <c r="D11" i="27"/>
  <c r="K11" i="27"/>
  <c r="N11" i="27"/>
  <c r="J11" i="27"/>
  <c r="I11" i="27"/>
  <c r="F11" i="27"/>
  <c r="O11" i="27"/>
  <c r="G11" i="27"/>
  <c r="J34" i="1"/>
  <c r="K34" i="1"/>
  <c r="N33" i="1" s="1"/>
  <c r="O19" i="27" l="1"/>
  <c r="K19" i="27"/>
  <c r="N23" i="1"/>
  <c r="N22" i="1"/>
  <c r="N28" i="1"/>
  <c r="N18" i="1"/>
  <c r="N29" i="1"/>
  <c r="N26" i="1"/>
  <c r="N30" i="1"/>
  <c r="N31" i="1"/>
  <c r="N24" i="1"/>
  <c r="N32" i="1"/>
  <c r="N27" i="1"/>
  <c r="N25" i="1"/>
  <c r="N7" i="1"/>
  <c r="O7" i="1" s="1"/>
  <c r="N14" i="1"/>
  <c r="O14" i="1" s="1"/>
  <c r="N20" i="1"/>
  <c r="N21" i="1"/>
  <c r="N11" i="1"/>
  <c r="O11" i="1" s="1"/>
  <c r="N19" i="1"/>
  <c r="N9" i="1"/>
  <c r="O9" i="1" s="1"/>
  <c r="N17" i="1"/>
  <c r="O17" i="1" s="1"/>
  <c r="N8" i="1"/>
  <c r="O8" i="1" s="1"/>
  <c r="N15" i="1"/>
  <c r="O15" i="1" s="1"/>
  <c r="N13" i="1"/>
  <c r="O13" i="1" s="1"/>
  <c r="N16" i="1"/>
  <c r="O16" i="1" s="1"/>
  <c r="N12" i="1"/>
  <c r="O12" i="1" s="1"/>
  <c r="L19" i="27"/>
  <c r="J19" i="27"/>
  <c r="M19" i="27"/>
  <c r="N19" i="27"/>
  <c r="Q13" i="27"/>
  <c r="Q11" i="27"/>
  <c r="I19" i="27"/>
  <c r="F19" i="27"/>
  <c r="D19" i="27"/>
  <c r="D21" i="27" s="1"/>
  <c r="H19" i="27"/>
  <c r="E19" i="27"/>
  <c r="G19" i="27"/>
  <c r="O20" i="1" l="1"/>
  <c r="O18" i="1"/>
  <c r="O24" i="1"/>
  <c r="Q14" i="27"/>
  <c r="D10" i="27" s="1"/>
  <c r="E21" i="27"/>
  <c r="K12" i="27" l="1"/>
  <c r="O10" i="27"/>
  <c r="O12" i="27"/>
  <c r="L10" i="27"/>
  <c r="K10" i="27"/>
  <c r="M12" i="27"/>
  <c r="L12" i="27"/>
  <c r="J10" i="27"/>
  <c r="N12" i="27"/>
  <c r="M10" i="27"/>
  <c r="N10" i="27"/>
  <c r="J12" i="27"/>
  <c r="F21" i="27"/>
  <c r="E20" i="27"/>
  <c r="G10" i="27"/>
  <c r="E10" i="27"/>
  <c r="Q10" i="27" s="1"/>
  <c r="G12" i="27"/>
  <c r="F12" i="27"/>
  <c r="E12" i="27"/>
  <c r="I10" i="27"/>
  <c r="H10" i="27"/>
  <c r="I12" i="27"/>
  <c r="D12" i="27"/>
  <c r="H12" i="27"/>
  <c r="F10" i="27"/>
  <c r="D20" i="27"/>
  <c r="Q12" i="27" l="1"/>
  <c r="M18" i="27"/>
  <c r="O18" i="27"/>
  <c r="L18" i="27"/>
  <c r="J18" i="27"/>
  <c r="N18" i="27"/>
  <c r="K18" i="27"/>
  <c r="H18" i="27"/>
  <c r="G21" i="27"/>
  <c r="F20" i="27"/>
  <c r="F18" i="27"/>
  <c r="G18" i="27"/>
  <c r="I18" i="27"/>
  <c r="D18" i="27"/>
  <c r="E18" i="27"/>
  <c r="H21" i="27" l="1"/>
  <c r="G20" i="27"/>
  <c r="I21" i="27" l="1"/>
  <c r="J21" i="27" s="1"/>
  <c r="H20" i="27"/>
  <c r="K21" i="27" l="1"/>
  <c r="J20" i="27"/>
  <c r="I20" i="27"/>
  <c r="L21" i="27" l="1"/>
  <c r="K20" i="27"/>
  <c r="M21" i="27" l="1"/>
  <c r="L20" i="27"/>
  <c r="N21" i="27" l="1"/>
  <c r="M20" i="27"/>
  <c r="O21" i="27" l="1"/>
  <c r="O20" i="27" s="1"/>
  <c r="P21" i="27" s="1"/>
  <c r="N20" i="27"/>
</calcChain>
</file>

<file path=xl/sharedStrings.xml><?xml version="1.0" encoding="utf-8"?>
<sst xmlns="http://schemas.openxmlformats.org/spreadsheetml/2006/main" count="743" uniqueCount="426">
  <si>
    <t>TOTAL</t>
  </si>
  <si>
    <t>ITEM</t>
  </si>
  <si>
    <t>CÓDIGO</t>
  </si>
  <si>
    <t>ESPECIFICAÇÃO</t>
  </si>
  <si>
    <t>UNIDADE</t>
  </si>
  <si>
    <t>STATUS</t>
  </si>
  <si>
    <t>SER</t>
  </si>
  <si>
    <t>M</t>
  </si>
  <si>
    <t>INS</t>
  </si>
  <si>
    <t>1.1</t>
  </si>
  <si>
    <t>2.2</t>
  </si>
  <si>
    <t>COMPOSIÇÃO 2</t>
  </si>
  <si>
    <t>COMPOSIÇÃO 1</t>
  </si>
  <si>
    <t>2.1</t>
  </si>
  <si>
    <t>DESCRIÇÃO</t>
  </si>
  <si>
    <t>ADMINISTRAÇÃO LOCAL</t>
  </si>
  <si>
    <t>%</t>
  </si>
  <si>
    <t>R$</t>
  </si>
  <si>
    <t>ACUMULADO</t>
  </si>
  <si>
    <t>MÊS</t>
  </si>
  <si>
    <t>FITA ISOLANTE ADESIVA ANTICHAMA, USO ATE 750 V, EM ROLO DE 19 MM X 20 M</t>
  </si>
  <si>
    <t>FITA ISOLANTE DE BORRACHA AUTOFUSAO, USO ATE 69 KV (ALTA TENSAO)</t>
  </si>
  <si>
    <t>TOTAL SEM BDI</t>
  </si>
  <si>
    <t>TOTAL COM BDI</t>
  </si>
  <si>
    <t>QTDE TOTAL</t>
  </si>
  <si>
    <t>1° MÊS</t>
  </si>
  <si>
    <t>2° MÊS</t>
  </si>
  <si>
    <t>CRONOGRAMA FÍSICO FINANCEIRO - COM BDI</t>
  </si>
  <si>
    <t>PÇ</t>
  </si>
  <si>
    <t>MÃO-DE-OBRA</t>
  </si>
  <si>
    <t>PREÇO UNITÁRIO SEM BDI</t>
  </si>
  <si>
    <t>PREÇO UNITÁRIO COM BDI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</si>
  <si>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</si>
  <si>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</si>
  <si>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</si>
  <si>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</si>
  <si>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</si>
  <si>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</si>
  <si>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</si>
  <si>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</si>
  <si>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</si>
  <si>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</si>
  <si>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</si>
  <si>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</si>
  <si>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MÃO DE OBRA</t>
  </si>
  <si>
    <t>3° MÊS</t>
  </si>
  <si>
    <t>4° MÊS</t>
  </si>
  <si>
    <t>5° MÊS</t>
  </si>
  <si>
    <t>6° MÊS</t>
  </si>
  <si>
    <t>BDI</t>
  </si>
  <si>
    <t>COMPOSIÇÃO DE PREÇO</t>
  </si>
  <si>
    <t>SERVIÇO:</t>
  </si>
  <si>
    <t xml:space="preserve">CÓDIGO:
</t>
  </si>
  <si>
    <t xml:space="preserve">Produção da Equipe: </t>
  </si>
  <si>
    <t>1,00 MÊS</t>
  </si>
  <si>
    <t xml:space="preserve">UNIDADE:
</t>
  </si>
  <si>
    <t>R$/und</t>
  </si>
  <si>
    <t>A - EQUIPAMENTO</t>
  </si>
  <si>
    <t>QUANT.</t>
  </si>
  <si>
    <t>UTILIZAÇÃO</t>
  </si>
  <si>
    <t>CUSTO OPERATIVO</t>
  </si>
  <si>
    <t>CUSTO
HORÁRIO</t>
  </si>
  <si>
    <t>Operativo</t>
  </si>
  <si>
    <t>Improd.</t>
  </si>
  <si>
    <t>Custo Mês dos equipamentos</t>
  </si>
  <si>
    <t xml:space="preserve">B - MÃO-DE-OBRA </t>
  </si>
  <si>
    <t>QTDE     MÊS</t>
  </si>
  <si>
    <t>VALOR HORA</t>
  </si>
  <si>
    <t>CUSTO MENSAL</t>
  </si>
  <si>
    <t>Custo mensal da mão-de-obra</t>
  </si>
  <si>
    <t>Custo unitário mensal de mão-de-obra</t>
  </si>
  <si>
    <t>PREÇO
UNITÁRIO</t>
  </si>
  <si>
    <t>CUSTO
UNITÁRIO</t>
  </si>
  <si>
    <t>ELETRICISTA COM ENCARGOS COMPLEMENTARES</t>
  </si>
  <si>
    <t xml:space="preserve">* Adicional de periculosidade (30,00%) conforme Lei N° 7.369/85, aplicado em cima do salário base </t>
  </si>
  <si>
    <t xml:space="preserve">** Adicional noturno (20,00%), aplicado em cima do salário base </t>
  </si>
  <si>
    <t>,</t>
  </si>
  <si>
    <t>QTDE (HORAS)</t>
  </si>
  <si>
    <t>ADIC. PERICULOSIDADE (30%)*</t>
  </si>
  <si>
    <t>CUSTO HORÁRIO</t>
  </si>
  <si>
    <t>SINAPI 88264</t>
  </si>
  <si>
    <t>Custo por serviço executado da mão-de-obra</t>
  </si>
  <si>
    <t>Custo unitário horário de mão-de-obra</t>
  </si>
  <si>
    <t>COMPOSIÇÃO ANALÍTICA DE BDI (BONIFICAÇÃO E DESPESAS INDIRETAS)</t>
  </si>
  <si>
    <t>COMPOSIÇÃO</t>
  </si>
  <si>
    <t>ADMINISTRAÇÃO CENTRAL</t>
  </si>
  <si>
    <t>Escritório Central</t>
  </si>
  <si>
    <t>IMPOSTOS</t>
  </si>
  <si>
    <t>ISS</t>
  </si>
  <si>
    <t>PIS</t>
  </si>
  <si>
    <t>COFINS</t>
  </si>
  <si>
    <t>CPRB</t>
  </si>
  <si>
    <t>BONIFICAÇÃO</t>
  </si>
  <si>
    <t>GARANTIAS /SEGUROS</t>
  </si>
  <si>
    <t>RISCOS</t>
  </si>
  <si>
    <t>DESPESAS FINANCEIRAS</t>
  </si>
  <si>
    <t>CÁLCULO DO BDI</t>
  </si>
  <si>
    <t>LEGENDA</t>
  </si>
  <si>
    <t>AC =</t>
  </si>
  <si>
    <t>Administração Central</t>
  </si>
  <si>
    <t>BDI = [((1+AC+S+G+R)*(1+DF)*(1+L))/(1-I)] - 1</t>
  </si>
  <si>
    <t>G =</t>
  </si>
  <si>
    <t>Garantia</t>
  </si>
  <si>
    <t>R =</t>
  </si>
  <si>
    <t>Risco</t>
  </si>
  <si>
    <t>I =</t>
  </si>
  <si>
    <t>Impostos</t>
  </si>
  <si>
    <t>B =</t>
  </si>
  <si>
    <t>Bonificação</t>
  </si>
  <si>
    <t>DF =</t>
  </si>
  <si>
    <t>Despesas Financeiras</t>
  </si>
  <si>
    <t>BDI = [((1+AC+S+G+R)*(1+DF)*(1+L))/(1-I))] - 1</t>
  </si>
  <si>
    <t xml:space="preserve">ENCARGOS SOCIAIS SOBRE A MÃO DE OBRA </t>
  </si>
  <si>
    <t>DESONERADO</t>
  </si>
  <si>
    <t>ONERADO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</si>
  <si>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</si>
  <si>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</si>
  <si>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</si>
  <si>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</si>
  <si>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</si>
  <si>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</si>
  <si>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</si>
  <si>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</si>
  <si>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</si>
  <si>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</si>
  <si>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</si>
  <si>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</si>
  <si>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</si>
  <si>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</si>
  <si>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</si>
  <si>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</si>
  <si>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</si>
  <si>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</si>
  <si>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</si>
  <si>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</si>
  <si>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</si>
  <si>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</si>
  <si>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</si>
  <si>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</si>
  <si>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</si>
  <si>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</si>
  <si>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</si>
  <si>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</si>
  <si>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</si>
  <si>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</si>
  <si>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</si>
  <si>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</si>
  <si>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</si>
  <si>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</si>
  <si>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</si>
  <si>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</si>
  <si>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</si>
  <si>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</si>
  <si>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</si>
  <si>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</si>
  <si>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</si>
  <si>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</si>
  <si>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</si>
  <si>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</si>
  <si>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</si>
  <si>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</si>
  <si>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</si>
  <si>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</si>
  <si>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</si>
  <si>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</si>
  <si>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</si>
  <si>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</si>
  <si>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</si>
  <si>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</si>
  <si>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</si>
  <si>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</si>
  <si>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</si>
  <si>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</si>
  <si>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</si>
  <si>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</si>
  <si>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</si>
  <si>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REINCIÊNCIA DO FGTS SOBRE AVISO PRÉVIO INDENIZADO</t>
  </si>
  <si>
    <t>D</t>
  </si>
  <si>
    <t>TOTAL (A+B+C+D)</t>
  </si>
  <si>
    <t>01.01.030/EMLURB</t>
  </si>
  <si>
    <t>02637 ORSE</t>
  </si>
  <si>
    <t>CONECTOR PERFURAÇÃO 25-95/2-95 MM²</t>
  </si>
  <si>
    <t>RELE FOTOELETRICO INTERNO E EXTERNO BIVOLT 1000 W, DE CONECTOR, SEM BASE (NF-NORMALMENTE FECHADO)</t>
  </si>
  <si>
    <t>D - VALE REFEIÇÃO/ALIMENTAÇÃO</t>
  </si>
  <si>
    <t>BASE DOS ORÇAMENTOS</t>
  </si>
  <si>
    <t>Conforme Acordão n. 2.369/2011 – Plenário</t>
  </si>
  <si>
    <t>Revisado pelo Acordão n. 2.622/2013 pelo TCU</t>
  </si>
  <si>
    <t>CUSTO POR DIÁRIA</t>
  </si>
  <si>
    <t>E - EXAMES MÉDICOS OBRIGATÓRIOS E SEGURO DE VIDA</t>
  </si>
  <si>
    <t>Custo total Mensal dos exames médicos obrigatórios e seguro de vida</t>
  </si>
  <si>
    <t>Custo Total Horário das Ferramentas e EPI's</t>
  </si>
  <si>
    <t>C - FERRAMENTA E EPI'S</t>
  </si>
  <si>
    <t>Custo Total Horário dos Exames Médicos e Seguro de Vida</t>
  </si>
  <si>
    <t>Custo Total Horário do Vale Refeição/Alimentação</t>
  </si>
  <si>
    <t>Custo Total Mensal do Vale Refeição/Alimentação</t>
  </si>
  <si>
    <t>Custo Total</t>
  </si>
  <si>
    <t>Custo por Hora dos Equipamentos</t>
  </si>
  <si>
    <t>Preço Unitário Total com BDI</t>
  </si>
  <si>
    <t xml:space="preserve">20111 SINAPI </t>
  </si>
  <si>
    <t xml:space="preserve">00404 SINAPI </t>
  </si>
  <si>
    <t>00429 SINAPI</t>
  </si>
  <si>
    <t>PARAFUSO M16 EM ACO GALVANIZADO, COMPRIMENTO = 300 MM, DIAMETRO = 16 MM, ROSCA DUPLA</t>
  </si>
  <si>
    <t>10255 ORSE</t>
  </si>
  <si>
    <t>CONECTOR ELÉTRICO P/FIO 1,5MM2</t>
  </si>
  <si>
    <t>C - ALUGUEL DE ESCRITÓRIO, MOBILIÁRIO E MATERIAL</t>
  </si>
  <si>
    <t>Custo Total mensal dos Alugueis</t>
  </si>
  <si>
    <t>CAMINHONETE EQUIPADA COM ESCADA EXTENSÍVEL DE 8 M, FIXADA EM UM SUPORTE GIRATÓRIO, SINALIZAÇÃO COM LÂMPADA INTERMITENTE SOBRE A CABINE E 4 CONES DE 75 CM PARA BALIZAMENTO, COM MÃO DE OBRA DO OPERADOR E COMBUSTÍVEL. (SERVIÇO DIURNO)</t>
  </si>
  <si>
    <t>EXECUÇÃO DE MODERNIZAÇÃO/EXPANSÃO DE ILUMINAÇÃO PÚBLICA EM POSTES ABAIXO DE 12M, COM VEÍCULO, COM MOTORISTA OPERADOR/AJUDANTE E ELETRICISTA EM DIAS NORMAIS</t>
  </si>
  <si>
    <t>MATERIAIS MODERN.</t>
  </si>
  <si>
    <t>TOTAL GERAL SERVIÇO DE MODERNIZAÇÃO</t>
  </si>
  <si>
    <t>13801 ORSE</t>
  </si>
  <si>
    <t>1.2</t>
  </si>
  <si>
    <t>BRAÇO CURVO EM AÇO GALVANIZADO A FOGO, COM SAPATA DE 48X3000MM DI OU SIMILAR (M3)</t>
  </si>
  <si>
    <t>1,00 UN</t>
  </si>
  <si>
    <t>MAPA DE TABELAS DE REFERÊNCIA E COTAÇÕES</t>
  </si>
  <si>
    <t>COMPOSIÇÃO DE PREÇO LED</t>
  </si>
  <si>
    <t>MO E INSUMOS</t>
  </si>
  <si>
    <t xml:space="preserve">REFERENCIAL
</t>
  </si>
  <si>
    <t>ORSE</t>
  </si>
  <si>
    <t>13814 ORSE</t>
  </si>
  <si>
    <t>CABO MULTIPOLAR DE COBRE, FLEXIVEL, CLASSE 4 OU 5, ISOLACAO EM HEPR, COBERTURA EM PVC-ST2, ANTICHAMA BWF-B, 0,6/1 KV, 3 CONDUTORES DE 1,5 MM2</t>
  </si>
  <si>
    <t>39257 SINAPI</t>
  </si>
  <si>
    <t>TABELAS DE REFERÊNCIA DESONERADA</t>
  </si>
  <si>
    <t>VALOR MÉDIO R$</t>
  </si>
  <si>
    <t>Encargos sociais: Horista (85,36%) e  Mensalista (47,09%), conforme composição de encargos mensalista SINAPI desonerado</t>
  </si>
  <si>
    <r>
      <rPr>
        <b/>
        <u/>
        <sz val="12"/>
        <color rgb="FF000000"/>
        <rFont val="Arial Narrow"/>
        <family val="2"/>
      </rPr>
      <t>CONTRATANTE</t>
    </r>
    <r>
      <rPr>
        <b/>
        <sz val="12"/>
        <color rgb="FF000000"/>
        <rFont val="Arial Narrow"/>
        <family val="2"/>
      </rPr>
      <t>: SECRETARIA MUNICIPAL DE INFRAESTRUTURA E SERVIÇOS PÚBLICOS DA PREFEITURA DE LIMOEIRO/PE</t>
    </r>
  </si>
  <si>
    <r>
      <rPr>
        <u/>
        <sz val="10"/>
        <color rgb="FF000000"/>
        <rFont val="Arial Narrow"/>
        <family val="2"/>
      </rPr>
      <t>CONTRATANTE</t>
    </r>
    <r>
      <rPr>
        <sz val="10"/>
        <color rgb="FF000000"/>
        <rFont val="Arial Narrow"/>
        <family val="2"/>
      </rPr>
      <t xml:space="preserve">: </t>
    </r>
    <r>
      <rPr>
        <b/>
        <sz val="10"/>
        <color rgb="FF000000"/>
        <rFont val="Arial Narrow"/>
        <family val="2"/>
      </rPr>
      <t>SECRETARIA DE INFRAESTRUTURA E SERVIÇOS PÚBLICOS</t>
    </r>
  </si>
  <si>
    <t>SINAPI-PE - VIGÊNCIA 11/2022</t>
  </si>
  <si>
    <t>COMPOSIÇÃO 3</t>
  </si>
  <si>
    <t>CUSTO POR MENSAL</t>
  </si>
  <si>
    <t>7° MÊS</t>
  </si>
  <si>
    <t>8° MÊS</t>
  </si>
  <si>
    <t>9° MÊS</t>
  </si>
  <si>
    <t>10° MÊS</t>
  </si>
  <si>
    <t>11° MÊS</t>
  </si>
  <si>
    <t>12° MÊS</t>
  </si>
  <si>
    <t>1.3</t>
  </si>
  <si>
    <t>MATERIAIS PARA MANUTENÇÃO E MODERNIZAÇÃO - SINAPI INSUMO/ORSE</t>
  </si>
  <si>
    <t>HR</t>
  </si>
  <si>
    <t>2.15</t>
  </si>
  <si>
    <t>2.16</t>
  </si>
  <si>
    <t>2.17</t>
  </si>
  <si>
    <t>2.18</t>
  </si>
  <si>
    <t>2.19</t>
  </si>
  <si>
    <t>2.20</t>
  </si>
  <si>
    <t>2.21</t>
  </si>
  <si>
    <t>2.22</t>
  </si>
  <si>
    <t>ORSE 03960</t>
  </si>
  <si>
    <t>ORSE 03959</t>
  </si>
  <si>
    <t>ORSE 03961</t>
  </si>
  <si>
    <t>ORSE 02570</t>
  </si>
  <si>
    <t>ORSE 08514</t>
  </si>
  <si>
    <t>ORSE 03956</t>
  </si>
  <si>
    <t>ORSE 02571</t>
  </si>
  <si>
    <t>ORSE 03958</t>
  </si>
  <si>
    <t>LÂMPADA VAPOR METÁLICO DE 70 W</t>
  </si>
  <si>
    <t>LÂMPADA VAPOR METÁLICO DE 150 W</t>
  </si>
  <si>
    <t>LÂMPADA VAPOR METÁLICO 400W</t>
  </si>
  <si>
    <t>REATOR PARA LÂMPADA VAPOR METÁLICO DE 75 W</t>
  </si>
  <si>
    <t>REATOR PARA LÂMPADA VAPOR METÁLICO DE 150 W</t>
  </si>
  <si>
    <t>REATOR PARA LÂMPADA VAPOR METÁLICO DE 250 W</t>
  </si>
  <si>
    <t>REATOR PARA LÂMPADA VAPOR METÁLICO 400W</t>
  </si>
  <si>
    <t>BASE PARA RELE COM SUPORTE METALICO</t>
  </si>
  <si>
    <t>SINAPI 39380</t>
  </si>
  <si>
    <t>BRAÇO CURVO EM AÇO GALVANIZADO A FOGO, COM SAPATA DE 48X1500MM DI OU SIMILAR (M1.5)</t>
  </si>
  <si>
    <t>EXECUÇÃO DE MANUTENÇÃO DE ILUMINAÇÃO PÚBLICA EM POSTES ACIMA DE 12M, COM VEÍCULO, COM MOTORISTA OPERADOR/AJUDANTE E ELETRICISTA EM DIAS NORMAIS</t>
  </si>
  <si>
    <t xml:space="preserve">02510 SINAPI </t>
  </si>
  <si>
    <t>Und</t>
  </si>
  <si>
    <t>Mês/Hr</t>
  </si>
  <si>
    <t>COMPOSIÇÃO DE CUSTO UNITÁRIO</t>
  </si>
  <si>
    <t>VEÍCULO OPERACIONAL TIPO CAMINHONETE(EXECUÇÃO DA IMPLANTAÇÃO E MANUTENÇÃO)</t>
  </si>
  <si>
    <t>1. CAMINHONETE</t>
  </si>
  <si>
    <t xml:space="preserve">A - </t>
  </si>
  <si>
    <t>DEPRECIAÇÃO MENSAL DO VEÍCULO.</t>
  </si>
  <si>
    <t>depreciação</t>
  </si>
  <si>
    <t>A1-</t>
  </si>
  <si>
    <t>Preço de Aquisição (R$)</t>
  </si>
  <si>
    <t>A1=</t>
  </si>
  <si>
    <t>ao ano</t>
  </si>
  <si>
    <t>Tempo de vida útil (meses)</t>
  </si>
  <si>
    <t>A2=</t>
  </si>
  <si>
    <t>ao mês</t>
  </si>
  <si>
    <t xml:space="preserve">A3- </t>
  </si>
  <si>
    <t>Previsão de recuperação na venda do bem usado (%)</t>
  </si>
  <si>
    <t>A3=</t>
  </si>
  <si>
    <t xml:space="preserve">A4- </t>
  </si>
  <si>
    <t>Tempo do Contrato (Meses)</t>
  </si>
  <si>
    <t>A4=</t>
  </si>
  <si>
    <t>A5=</t>
  </si>
  <si>
    <t xml:space="preserve">B - </t>
  </si>
  <si>
    <t>JUROS PELO CAPITAL EMPREGADO - Retorno do investimento</t>
  </si>
  <si>
    <t>B1-</t>
  </si>
  <si>
    <t xml:space="preserve"> Taxa mensal de juros (%)</t>
  </si>
  <si>
    <t>B1=</t>
  </si>
  <si>
    <t>B2-</t>
  </si>
  <si>
    <t xml:space="preserve"> Juros sobre a depreciação / aluguel </t>
  </si>
  <si>
    <t>B2=</t>
  </si>
  <si>
    <t xml:space="preserve">C - </t>
  </si>
  <si>
    <t>CONSERVAÇÃO E MANUTENÇÃO / SEGUROS</t>
  </si>
  <si>
    <t>C1-</t>
  </si>
  <si>
    <t>aplicação para ajuste do equipamento (%) -Parcela da Depreciação 20%</t>
  </si>
  <si>
    <t>C1=</t>
  </si>
  <si>
    <t xml:space="preserve">aplicação para Seguro do equipamento (3,0 %) - </t>
  </si>
  <si>
    <t>C3-</t>
  </si>
  <si>
    <t>Lavegem (1/semana) R$ 60,00</t>
  </si>
  <si>
    <t>C3=</t>
  </si>
  <si>
    <t>C4-</t>
  </si>
  <si>
    <t>Peças acessórios e materiais de manutenção 1% a.m</t>
  </si>
  <si>
    <t>C2-</t>
  </si>
  <si>
    <t>Incidência mensal.</t>
  </si>
  <si>
    <t>C2=</t>
  </si>
  <si>
    <t xml:space="preserve">   GASTOS MENSAIS E OPERAÇÃO DO VEÍCULO</t>
  </si>
  <si>
    <t xml:space="preserve">D - </t>
  </si>
  <si>
    <t>COMBUSTÍVEL</t>
  </si>
  <si>
    <t>D1-</t>
  </si>
  <si>
    <t>Preço litro de combustível Diesel) SINAPI 04221</t>
  </si>
  <si>
    <t>D1=</t>
  </si>
  <si>
    <t>D2-</t>
  </si>
  <si>
    <t>Prazo para Contrato (meses)</t>
  </si>
  <si>
    <t>D2=</t>
  </si>
  <si>
    <t>D3-</t>
  </si>
  <si>
    <t>Km/l</t>
  </si>
  <si>
    <t>D3=</t>
  </si>
  <si>
    <t>D4-</t>
  </si>
  <si>
    <t>km contrato</t>
  </si>
  <si>
    <t>D4=</t>
  </si>
  <si>
    <t xml:space="preserve">D5- </t>
  </si>
  <si>
    <t>COMBUSTÍVEL MÊS</t>
  </si>
  <si>
    <t>D=</t>
  </si>
  <si>
    <t xml:space="preserve">E- </t>
  </si>
  <si>
    <t>LUBRIFICANTES</t>
  </si>
  <si>
    <t>E1-</t>
  </si>
  <si>
    <t xml:space="preserve">Franquia da troca de óleo </t>
  </si>
  <si>
    <t>E1=</t>
  </si>
  <si>
    <t>E2-</t>
  </si>
  <si>
    <t>Preço do filtro de óleo (R$)</t>
  </si>
  <si>
    <t>E2=</t>
  </si>
  <si>
    <t>Preço do litro de óleo (R$)</t>
  </si>
  <si>
    <t>E3-</t>
  </si>
  <si>
    <t>Quantidade de litros de óleo</t>
  </si>
  <si>
    <t>E3=</t>
  </si>
  <si>
    <t>E4-</t>
  </si>
  <si>
    <t>Quantidades  de filtro óleo por troca.</t>
  </si>
  <si>
    <t>E4=</t>
  </si>
  <si>
    <t>Quantidades de troca</t>
  </si>
  <si>
    <t>E5-</t>
  </si>
  <si>
    <t>LUBRIFICANTES MÊS</t>
  </si>
  <si>
    <t>E5=</t>
  </si>
  <si>
    <t xml:space="preserve">    F - </t>
  </si>
  <si>
    <t>PNEUS/CÂMARAS</t>
  </si>
  <si>
    <t>F1-</t>
  </si>
  <si>
    <t>Quantidade de pneus</t>
  </si>
  <si>
    <t>F1=</t>
  </si>
  <si>
    <t>F2-</t>
  </si>
  <si>
    <t>Vida útil do pneu em km</t>
  </si>
  <si>
    <t>F2=</t>
  </si>
  <si>
    <t>F3-</t>
  </si>
  <si>
    <t>Quilometragem do contrato</t>
  </si>
  <si>
    <t>F3=</t>
  </si>
  <si>
    <t>F4-</t>
  </si>
  <si>
    <t>Preço do pneu</t>
  </si>
  <si>
    <t>F4=</t>
  </si>
  <si>
    <t xml:space="preserve">F6- </t>
  </si>
  <si>
    <t>PNEUS/CÂMARA</t>
  </si>
  <si>
    <t>F6=</t>
  </si>
  <si>
    <t xml:space="preserve">    G- </t>
  </si>
  <si>
    <t>MOTORISTA</t>
  </si>
  <si>
    <t>Enc. 89,83%</t>
  </si>
  <si>
    <t>Sem enc.</t>
  </si>
  <si>
    <t>C/ enc. 50,22%</t>
  </si>
  <si>
    <t>total mês</t>
  </si>
  <si>
    <t>G1-</t>
  </si>
  <si>
    <t xml:space="preserve">H- </t>
  </si>
  <si>
    <t>TOTAL SEM B.D.I</t>
  </si>
  <si>
    <t>H 1-</t>
  </si>
  <si>
    <t>Numero de Horas Mes</t>
  </si>
  <si>
    <t>H1=</t>
  </si>
  <si>
    <t xml:space="preserve">I - </t>
  </si>
  <si>
    <t>TOTAL C/ BDI</t>
  </si>
  <si>
    <t>J-</t>
  </si>
  <si>
    <t>CUSTO UNITÁRIO / HORA SEM BDI</t>
  </si>
  <si>
    <t>L-</t>
  </si>
  <si>
    <t>CUSTO UNITÁRIO / HORA COM BDI</t>
  </si>
  <si>
    <t>enc horista</t>
  </si>
  <si>
    <t>enc. Mensalista</t>
  </si>
  <si>
    <t>01.PML.001</t>
  </si>
  <si>
    <t>PREFEITURA MUNICIPAL DE LIMOEIRO/PE</t>
  </si>
  <si>
    <t>QTDE (MÊS)</t>
  </si>
  <si>
    <t>VALOR MÊS</t>
  </si>
  <si>
    <t>AJUDANTE DE ELETRICISTA COM ENCARGOS COMPLEMENTARES</t>
  </si>
  <si>
    <t>SINAPI 101375</t>
  </si>
  <si>
    <t>SINAPI 101399</t>
  </si>
  <si>
    <t>CURVA ABC</t>
  </si>
  <si>
    <t>≥ 5,00%</t>
  </si>
  <si>
    <t>≤ 1,99%</t>
  </si>
  <si>
    <t>≥ 2,00% - ≤ 4,99%</t>
  </si>
  <si>
    <t>SINAPI 101404</t>
  </si>
  <si>
    <t>ENGENHEIRO ELETRICISTA COM ENCARGOS COMPLEMENTARES</t>
  </si>
  <si>
    <t>A2-</t>
  </si>
  <si>
    <t xml:space="preserve">A54- </t>
  </si>
  <si>
    <t xml:space="preserve">A6- </t>
  </si>
  <si>
    <t>A6=</t>
  </si>
  <si>
    <t>Preço do Equipamento (R$) SINAPI 37776</t>
  </si>
  <si>
    <t>LUMINARIA EM LED P/ ILUMINAÇÃO PÚBLICA LED SMD AUTOVOLT 50 W, 5.000 K, IP-66, IRC 70, FP&gt;0,95, 160LM/W,8.000 LM E 54.000H, COM BASE PARA RELÉ 7 PINOS, DIMERIZÁVEL, MODELO GL421 G-LIGHT OU SIMILAR UM</t>
  </si>
  <si>
    <t xml:space="preserve"> LUMINARIA EM LED P/ ILUMINAÇÃO PÚBLICA LED SMD AUTOVOLT 100 W, 5.000 K, IP-66, IRC 70, FP&gt;0,95, 170LM/W,16.0000 LM E 54.000H, COM BASE PARA RELÉ 7 PINOS, DIMERIZÁVEL, MODELO GL421 G-LIGHT OU SIMILAR UM</t>
  </si>
  <si>
    <t>LUMINARIA EM LED P/ ILUMINAÇÃO PÚBLICA LED SMD AUTOVOLT 150 W, 5.000 K, IP-66, IRC 70, FP&gt;0,95, 160LM/W,24.0000 LM E 54.000H, COM BASE PARA RELÉ 7 PINOS, DIMERIZÁVEL, MODELO GL421 G-LIGHT OU SIMILAR UM</t>
  </si>
  <si>
    <t>LUMINARIA EM LED P/ ILUMINAÇÃO PÚBLICA LED VDR IV, 180 W, 5000 K, IP-66, IRC&gt;70, FP&gt;0,97, 154LM/W, FLUXO DE 27.745LM, RELÉ PARA 7 PINOS, INSIGHT LED OU SIMILAR UM</t>
  </si>
  <si>
    <t>SINAPI_SET/23, ORSE_SET/23, EMLURB_JUL/18, COMPOSIÇÕES E COTAÇÕES</t>
  </si>
  <si>
    <t>14118 ORSE</t>
  </si>
  <si>
    <t>14120 ORSE</t>
  </si>
  <si>
    <t>14121 ORSE</t>
  </si>
  <si>
    <t>14204 ORSE</t>
  </si>
  <si>
    <t>LÂMPADA VAPOR METÁLICO DE 250 W</t>
  </si>
  <si>
    <t>MOTORISTA DE CARRO DE PASSEIO COM ENCARGOS COMPLEMENTARES</t>
  </si>
  <si>
    <t>BDI - INSUMOS - ONERADO</t>
  </si>
  <si>
    <t>BDI - SERVIÇOS - NÃO ONERADO</t>
  </si>
  <si>
    <t>1° QUADRIL</t>
  </si>
  <si>
    <t>1º QUADRIL</t>
  </si>
  <si>
    <t xml:space="preserve">BDI de Insumo 10,89% </t>
  </si>
  <si>
    <t xml:space="preserve">BDI de Serviço 25,18% </t>
  </si>
  <si>
    <t>2.23</t>
  </si>
  <si>
    <t>ASSENTAMENTO DE CHAVE MAGNETICA DE 2 X 60A PARA COMANDO DE ILUMINAÇÃO PUBLICA, ACIONADA P/ RELÉ FOTO-ELETRICO NA, 220V, 60HZ, INCLUSIVE FORNECIMENTO DO MATERIAL.</t>
  </si>
  <si>
    <t>EMLURB MAT 18.26.065</t>
  </si>
  <si>
    <t xml:space="preserve">DATA: 06/11/2023
OBJETO: 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LOCALIZAÇÃO: LIMOEIRO/PE.
ORÇAMENTO: ONERADO.                                                              </t>
  </si>
  <si>
    <t>DATA: 06/11/2023
OBJETO: 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LOCALIZAÇÃO: LIMOEIRO/PE</t>
  </si>
  <si>
    <r>
      <t>DATA</t>
    </r>
    <r>
      <rPr>
        <sz val="10"/>
        <color rgb="FF000000"/>
        <rFont val="Arial Narrow"/>
        <family val="2"/>
      </rPr>
      <t xml:space="preserve">:26/10/2023
</t>
    </r>
    <r>
      <rPr>
        <u/>
        <sz val="10"/>
        <color rgb="FF000000"/>
        <rFont val="Arial Narrow"/>
        <family val="2"/>
      </rPr>
      <t xml:space="preserve">OBJETO: </t>
    </r>
    <r>
      <rPr>
        <sz val="10"/>
        <color rgb="FF000000"/>
        <rFont val="Arial Narrow"/>
        <family val="2"/>
      </rPr>
      <t xml:space="preserve">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</t>
    </r>
    <r>
      <rPr>
        <u/>
        <sz val="10"/>
        <color rgb="FF000000"/>
        <rFont val="Arial Narrow"/>
        <family val="2"/>
      </rPr>
      <t>LOCALIZAÇÃO</t>
    </r>
    <r>
      <rPr>
        <sz val="10"/>
        <color rgb="FF000000"/>
        <rFont val="Arial Narrow"/>
        <family val="2"/>
      </rPr>
      <t>: LIMOEIRO/PE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</si>
</sst>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&quot;Sim&quot;;&quot;Sim&quot;;&quot;Não&quot;"/>
    <numFmt numFmtId="166" formatCode="_(* #,##0.00_);_(* \(#,##0.00\);_(* &quot;-&quot;??_);_(@_)"/>
    <numFmt numFmtId="167" formatCode="_(&quot;R$&quot;* #,##0.00_);_(&quot;R$&quot;* \(#,##0.00\);_(&quot;R$&quot;* &quot;-&quot;??_);_(@_)"/>
    <numFmt numFmtId="168" formatCode="_([$€-2]* #,##0.00_);_([$€-2]* \(#,##0.00\);_([$€-2]* &quot;-&quot;??_)"/>
    <numFmt numFmtId="169" formatCode="_([$€]* #,##0.00_);_([$€]* \(#,##0.00\);_([$€]* &quot;-&quot;??_);_(@_)"/>
    <numFmt numFmtId="170" formatCode="&quot;R$ &quot;#,##0.00_);[Red]\(&quot;R$ &quot;#,##0.00\)"/>
    <numFmt numFmtId="171" formatCode="_(&quot;R$ &quot;* #,##0_);_(&quot;R$ &quot;* \(#,##0\);_(&quot;R$ &quot;* &quot;-&quot;_);_(@_)"/>
    <numFmt numFmtId="172" formatCode="&quot;R$ &quot;#,##0.00_);\(&quot;R$ &quot;#,##0.00\)"/>
    <numFmt numFmtId="173" formatCode="[$-416]General"/>
    <numFmt numFmtId="174" formatCode="&quot; R$ &quot;#,##0.00&quot; &quot;;&quot; R$ (&quot;#,##0.00&quot;)&quot;;&quot; R$ -&quot;#&quot; &quot;;@&quot; &quot;"/>
    <numFmt numFmtId="175" formatCode="_(&quot;R$ &quot;* #,##0.00_);_(&quot;R$ &quot;* \(#,##0.00\);_(&quot;R$ &quot;* &quot;-&quot;??_);_(@_)"/>
    <numFmt numFmtId="176" formatCode="&quot;R$&quot;\ #,##0_);[Red]\(&quot;R$&quot;\ #,##0\)"/>
    <numFmt numFmtId="177" formatCode="&quot;R$&quot;\ #,##0.00_);\(&quot;R$&quot;\ #,##0.00\)"/>
    <numFmt numFmtId="178" formatCode="[$-416]0%"/>
    <numFmt numFmtId="179" formatCode="[$R$-416]&quot; &quot;#,##0.00;[Red]&quot;-&quot;[$R$-416]&quot; &quot;#,##0.00"/>
    <numFmt numFmtId="180" formatCode="#,"/>
    <numFmt numFmtId="181" formatCode="#,##0.00&quot; &quot;;&quot; (&quot;#,##0.00&quot;)&quot;;&quot; -&quot;#&quot; &quot;;@&quot; &quot;"/>
    <numFmt numFmtId="182" formatCode="_ * #\,##0\.00_ ;_ * \-#\,##0\.00_ ;_ * &quot;-&quot;??_ ;_ @_ "/>
    <numFmt numFmtId="183" formatCode="&quot;R$&quot;#,##0.00"/>
    <numFmt numFmtId="184" formatCode="&quot; &quot;0.00&quot; und&quot;"/>
    <numFmt numFmtId="185" formatCode="_(* #,##0.0_);_(* \(#,##0.0\);_(* &quot;-&quot;??_);_(@_)"/>
    <numFmt numFmtId="186" formatCode="_-* #,##0.0_-;\-* #,##0.0_-;_-* &quot;-&quot;??_-;_-@_-"/>
    <numFmt numFmtId="187" formatCode="_(* #,##0.000_);_(* \(#,##0.000\);_(* &quot;-&quot;??_);_(@_)"/>
    <numFmt numFmtId="188" formatCode="_-* #,##0_-;\-* #,##0_-;_-* &quot;-&quot;??_-;_-@_-"/>
    <numFmt numFmtId="189" formatCode="_(* #,##0_);_(* \(#,##0\);_(* &quot;-&quot;??_);_(@_)"/>
    <numFmt numFmtId="190" formatCode="_(* #,##0_);_(* \(#,##0\);_(* &quot;-&quot;_);_(@_)"/>
    <numFmt numFmtId="191" formatCode="_-* #,##0.0_-;\-* #,##0.0_-;_-* &quot;-&quot;?_-;_-@_-"/>
  </numFmts>
  <fonts count="88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Helv"/>
      <charset val="204"/>
    </font>
    <font>
      <sz val="11"/>
      <color rgb="FF000000"/>
      <name val="Calibri"/>
      <family val="2"/>
    </font>
    <font>
      <b/>
      <sz val="12"/>
      <name val="Helv"/>
    </font>
    <font>
      <b/>
      <i/>
      <sz val="16"/>
      <color theme="1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name val="‚l‚r ‚oƒSƒVƒbƒN"/>
      <family val="3"/>
      <charset val="128"/>
    </font>
    <font>
      <b/>
      <sz val="11"/>
      <name val="Helv"/>
    </font>
    <font>
      <sz val="12"/>
      <name val="Arial"/>
      <family val="2"/>
    </font>
    <font>
      <sz val="10"/>
      <color rgb="FF000000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‚l‚r ‚o–¾’©"/>
      <family val="1"/>
      <charset val="128"/>
    </font>
    <font>
      <b/>
      <sz val="10"/>
      <name val="Arial"/>
      <family val="2"/>
    </font>
    <font>
      <b/>
      <sz val="8"/>
      <name val="Times New Roman"/>
      <family val="1"/>
    </font>
    <font>
      <b/>
      <i/>
      <u/>
      <sz val="11"/>
      <color theme="1"/>
      <name val="Arial"/>
      <family val="2"/>
    </font>
    <font>
      <b/>
      <i/>
      <u/>
      <sz val="11"/>
      <color rgb="FF000000"/>
      <name val="Arial"/>
      <family val="2"/>
    </font>
    <font>
      <sz val="1"/>
      <color indexed="18"/>
      <name val="Courier"/>
      <family val="3"/>
    </font>
    <font>
      <sz val="10"/>
      <name val="Ottawa"/>
    </font>
    <font>
      <b/>
      <sz val="15"/>
      <color indexed="56"/>
      <name val="Calibri"/>
      <family val="2"/>
    </font>
    <font>
      <sz val="11"/>
      <color rgb="FF000000"/>
      <name val="Calibri"/>
      <family val="2"/>
      <charset val="204"/>
    </font>
    <font>
      <u/>
      <sz val="10"/>
      <color rgb="FF000000"/>
      <name val="Calibri"/>
      <family val="2"/>
    </font>
    <font>
      <b/>
      <sz val="9"/>
      <color rgb="FF000000"/>
      <name val="Calibri"/>
      <family val="2"/>
      <charset val="204"/>
    </font>
    <font>
      <sz val="11"/>
      <color theme="3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2"/>
      <color rgb="FF000000"/>
      <name val="Arial Narrow"/>
      <family val="2"/>
    </font>
    <font>
      <u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9"/>
      <color rgb="FF000000"/>
      <name val="Arial Narrow"/>
      <family val="2"/>
    </font>
    <font>
      <sz val="9"/>
      <name val="Arial Narrow"/>
      <family val="2"/>
    </font>
    <font>
      <b/>
      <sz val="12"/>
      <color theme="0"/>
      <name val="Calibri"/>
      <family val="2"/>
      <scheme val="minor"/>
    </font>
    <font>
      <b/>
      <sz val="12"/>
      <name val="Arial Narrow"/>
      <family val="2"/>
    </font>
    <font>
      <b/>
      <sz val="16"/>
      <name val="Arial Narrow"/>
      <family val="2"/>
    </font>
    <font>
      <sz val="12"/>
      <name val="Arial Narrow"/>
      <family val="2"/>
    </font>
    <font>
      <b/>
      <sz val="9"/>
      <name val="Arial Narrow"/>
      <family val="2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Arial Narrow"/>
      <family val="2"/>
    </font>
    <font>
      <b/>
      <sz val="10"/>
      <color rgb="FF000000"/>
      <name val="Arial Narrow"/>
      <family val="2"/>
    </font>
    <font>
      <sz val="11"/>
      <name val="Arial Narrow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1"/>
      <color theme="1"/>
      <name val="Arial Narrow"/>
      <family val="2"/>
    </font>
    <font>
      <sz val="12"/>
      <color rgb="FF000000"/>
      <name val="Calibri"/>
      <family val="2"/>
      <charset val="204"/>
    </font>
    <font>
      <sz val="12"/>
      <color theme="0"/>
      <name val="Calibri"/>
      <family val="2"/>
    </font>
    <font>
      <sz val="12"/>
      <color theme="0"/>
      <name val="Arial Narrow"/>
      <family val="2"/>
    </font>
    <font>
      <b/>
      <u/>
      <sz val="12"/>
      <color rgb="FF000000"/>
      <name val="Arial Narrow"/>
      <family val="2"/>
    </font>
    <font>
      <b/>
      <sz val="12"/>
      <color rgb="FF000000"/>
      <name val="Calibri"/>
      <family val="2"/>
      <charset val="204"/>
    </font>
    <font>
      <b/>
      <sz val="11"/>
      <color theme="0"/>
      <name val="Arial Narrow"/>
      <family val="2"/>
    </font>
    <font>
      <sz val="10"/>
      <name val="Arial Narrow"/>
      <family val="2"/>
    </font>
    <font>
      <sz val="8"/>
      <color theme="1"/>
      <name val="Calibri"/>
      <family val="2"/>
      <scheme val="minor"/>
    </font>
    <font>
      <sz val="8"/>
      <name val="Calibri"/>
      <family val="2"/>
      <charset val="204"/>
    </font>
    <font>
      <sz val="11"/>
      <name val="Calibri"/>
      <family val="2"/>
      <scheme val="minor"/>
    </font>
    <font>
      <b/>
      <sz val="16"/>
      <color theme="0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b/>
      <u/>
      <sz val="9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sz val="11"/>
      <name val="Calibri"/>
      <family val="2"/>
    </font>
    <font>
      <b/>
      <sz val="9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3B521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5">
    <xf numFmtId="0" fontId="0" fillId="0" borderId="0"/>
    <xf numFmtId="44" fontId="13" fillId="0" borderId="0" applyFont="0" applyFill="0" applyBorder="0" applyAlignment="0" applyProtection="0"/>
    <xf numFmtId="0" fontId="14" fillId="0" borderId="0"/>
    <xf numFmtId="0" fontId="12" fillId="0" borderId="0"/>
    <xf numFmtId="165" fontId="15" fillId="0" borderId="0" applyFont="0" applyFill="0" applyBorder="0" applyAlignment="0" applyProtection="0"/>
    <xf numFmtId="0" fontId="12" fillId="0" borderId="0"/>
    <xf numFmtId="0" fontId="14" fillId="0" borderId="0"/>
    <xf numFmtId="165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9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11" fillId="0" borderId="0"/>
    <xf numFmtId="0" fontId="14" fillId="0" borderId="0"/>
    <xf numFmtId="0" fontId="14" fillId="0" borderId="0"/>
    <xf numFmtId="166" fontId="16" fillId="0" borderId="0"/>
    <xf numFmtId="0" fontId="17" fillId="0" borderId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70" fontId="18" fillId="0" borderId="0"/>
    <xf numFmtId="171" fontId="18" fillId="0" borderId="0"/>
    <xf numFmtId="172" fontId="18" fillId="0" borderId="0"/>
    <xf numFmtId="0" fontId="19" fillId="0" borderId="0">
      <alignment horizontal="left"/>
    </xf>
    <xf numFmtId="0" fontId="20" fillId="0" borderId="0">
      <alignment horizontal="center"/>
    </xf>
    <xf numFmtId="173" fontId="21" fillId="0" borderId="0">
      <alignment horizontal="center"/>
    </xf>
    <xf numFmtId="0" fontId="20" fillId="0" borderId="0">
      <alignment horizontal="center" textRotation="90"/>
    </xf>
    <xf numFmtId="173" fontId="21" fillId="0" borderId="0">
      <alignment horizontal="center" textRotation="90"/>
    </xf>
    <xf numFmtId="0" fontId="22" fillId="0" borderId="0" applyNumberFormat="0" applyFill="0" applyBorder="0" applyAlignment="0" applyProtection="0"/>
    <xf numFmtId="38" fontId="23" fillId="0" borderId="0" applyFont="0" applyFill="0" applyBorder="0" applyAlignment="0" applyProtection="0"/>
    <xf numFmtId="40" fontId="23" fillId="0" borderId="0" applyFont="0" applyFill="0" applyBorder="0" applyAlignment="0" applyProtection="0"/>
    <xf numFmtId="0" fontId="24" fillId="0" borderId="18"/>
    <xf numFmtId="44" fontId="15" fillId="0" borderId="0" applyFont="0" applyFill="0" applyBorder="0" applyAlignment="0" applyProtection="0"/>
    <xf numFmtId="174" fontId="18" fillId="0" borderId="0"/>
    <xf numFmtId="174" fontId="18" fillId="0" borderId="0"/>
    <xf numFmtId="174" fontId="18" fillId="0" borderId="0"/>
    <xf numFmtId="175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167" fontId="14" fillId="0" borderId="0" applyFont="0" applyFill="0" applyBorder="0" applyAlignment="0" applyProtection="0"/>
    <xf numFmtId="174" fontId="18" fillId="0" borderId="0"/>
    <xf numFmtId="174" fontId="18" fillId="0" borderId="0"/>
    <xf numFmtId="174" fontId="18" fillId="0" borderId="0"/>
    <xf numFmtId="174" fontId="18" fillId="0" borderId="0"/>
    <xf numFmtId="174" fontId="18" fillId="0" borderId="0"/>
    <xf numFmtId="174" fontId="18" fillId="0" borderId="0"/>
    <xf numFmtId="174" fontId="18" fillId="0" borderId="0"/>
    <xf numFmtId="174" fontId="18" fillId="0" borderId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/>
    <xf numFmtId="0" fontId="14" fillId="0" borderId="0"/>
    <xf numFmtId="0" fontId="25" fillId="0" borderId="6"/>
    <xf numFmtId="0" fontId="14" fillId="0" borderId="0"/>
    <xf numFmtId="0" fontId="14" fillId="0" borderId="0"/>
    <xf numFmtId="0" fontId="14" fillId="0" borderId="0"/>
    <xf numFmtId="173" fontId="26" fillId="0" borderId="0"/>
    <xf numFmtId="173" fontId="26" fillId="0" borderId="0"/>
    <xf numFmtId="0" fontId="27" fillId="0" borderId="0"/>
    <xf numFmtId="0" fontId="1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4" fillId="0" borderId="0"/>
    <xf numFmtId="0" fontId="14" fillId="0" borderId="0"/>
    <xf numFmtId="173" fontId="26" fillId="0" borderId="0"/>
    <xf numFmtId="173" fontId="26" fillId="0" borderId="0"/>
    <xf numFmtId="173" fontId="26" fillId="0" borderId="0"/>
    <xf numFmtId="0" fontId="14" fillId="0" borderId="0"/>
    <xf numFmtId="0" fontId="28" fillId="0" borderId="0"/>
    <xf numFmtId="0" fontId="11" fillId="0" borderId="0"/>
    <xf numFmtId="0" fontId="27" fillId="0" borderId="0"/>
    <xf numFmtId="0" fontId="14" fillId="0" borderId="0"/>
    <xf numFmtId="173" fontId="29" fillId="0" borderId="0"/>
    <xf numFmtId="173" fontId="26" fillId="0" borderId="0"/>
    <xf numFmtId="173" fontId="2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40" fontId="30" fillId="0" borderId="0" applyFont="0" applyFill="0" applyBorder="0" applyAlignment="0" applyProtection="0"/>
    <xf numFmtId="38" fontId="30" fillId="0" borderId="0" applyFont="0" applyFill="0" applyBorder="0" applyAlignment="0" applyProtection="0"/>
    <xf numFmtId="0" fontId="31" fillId="2" borderId="6" applyNumberFormat="0" applyFont="0" applyBorder="0" applyAlignment="0" applyProtection="0">
      <alignment horizontal="center"/>
    </xf>
    <xf numFmtId="0" fontId="32" fillId="0" borderId="19" applyNumberFormat="0" applyFont="0" applyBorder="0" applyAlignment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178" fontId="18" fillId="0" borderId="0"/>
    <xf numFmtId="178" fontId="18" fillId="0" borderId="0"/>
    <xf numFmtId="178" fontId="18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78" fontId="18" fillId="0" borderId="0"/>
    <xf numFmtId="178" fontId="18" fillId="0" borderId="0"/>
    <xf numFmtId="9" fontId="14" fillId="0" borderId="0" applyFont="0" applyFill="0" applyBorder="0" applyAlignment="0" applyProtection="0"/>
    <xf numFmtId="178" fontId="18" fillId="0" borderId="0"/>
    <xf numFmtId="178" fontId="18" fillId="0" borderId="0"/>
    <xf numFmtId="178" fontId="18" fillId="0" borderId="0"/>
    <xf numFmtId="178" fontId="18" fillId="0" borderId="0"/>
    <xf numFmtId="178" fontId="18" fillId="0" borderId="0"/>
    <xf numFmtId="178" fontId="18" fillId="0" borderId="0"/>
    <xf numFmtId="0" fontId="33" fillId="0" borderId="0"/>
    <xf numFmtId="173" fontId="34" fillId="0" borderId="0"/>
    <xf numFmtId="179" fontId="33" fillId="0" borderId="0"/>
    <xf numFmtId="179" fontId="34" fillId="0" borderId="0"/>
    <xf numFmtId="180" fontId="35" fillId="0" borderId="0">
      <protection locked="0"/>
    </xf>
    <xf numFmtId="43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4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4" fillId="0" borderId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81" fontId="18" fillId="0" borderId="0"/>
    <xf numFmtId="181" fontId="18" fillId="0" borderId="0"/>
    <xf numFmtId="166" fontId="14" fillId="0" borderId="0" applyFont="0" applyFill="0" applyBorder="0" applyAlignment="0" applyProtection="0"/>
    <xf numFmtId="181" fontId="18" fillId="0" borderId="0"/>
    <xf numFmtId="181" fontId="18" fillId="0" borderId="0"/>
    <xf numFmtId="166" fontId="14" fillId="0" borderId="0" applyFont="0" applyFill="0" applyBorder="0" applyAlignment="0" applyProtection="0"/>
    <xf numFmtId="181" fontId="18" fillId="0" borderId="0"/>
    <xf numFmtId="181" fontId="18" fillId="0" borderId="0"/>
    <xf numFmtId="181" fontId="18" fillId="0" borderId="0"/>
    <xf numFmtId="181" fontId="18" fillId="0" borderId="0"/>
    <xf numFmtId="181" fontId="18" fillId="0" borderId="0"/>
    <xf numFmtId="181" fontId="18" fillId="0" borderId="0"/>
    <xf numFmtId="43" fontId="11" fillId="0" borderId="0" applyFont="0" applyFill="0" applyBorder="0" applyAlignment="0" applyProtection="0"/>
    <xf numFmtId="182" fontId="25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37" fillId="0" borderId="21" applyNumberFormat="0" applyFill="0" applyAlignment="0" applyProtection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7" fillId="0" borderId="0"/>
    <xf numFmtId="0" fontId="7" fillId="0" borderId="0"/>
    <xf numFmtId="9" fontId="14" fillId="0" borderId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13" fillId="0" borderId="0"/>
    <xf numFmtId="0" fontId="5" fillId="0" borderId="0"/>
    <xf numFmtId="0" fontId="5" fillId="0" borderId="0"/>
    <xf numFmtId="179" fontId="5" fillId="0" borderId="0"/>
    <xf numFmtId="179" fontId="13" fillId="0" borderId="0"/>
    <xf numFmtId="179" fontId="5" fillId="0" borderId="0"/>
    <xf numFmtId="179" fontId="14" fillId="0" borderId="0"/>
    <xf numFmtId="43" fontId="5" fillId="0" borderId="0" applyFont="0" applyFill="0" applyBorder="0" applyAlignment="0" applyProtection="0"/>
    <xf numFmtId="0" fontId="5" fillId="0" borderId="0"/>
    <xf numFmtId="179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179" fontId="3" fillId="0" borderId="0"/>
    <xf numFmtId="179" fontId="3" fillId="0" borderId="0"/>
    <xf numFmtId="0" fontId="3" fillId="0" borderId="0"/>
    <xf numFmtId="0" fontId="3" fillId="0" borderId="0"/>
    <xf numFmtId="9" fontId="13" fillId="0" borderId="0" applyFont="0" applyFill="0" applyBorder="0" applyAlignment="0" applyProtection="0"/>
    <xf numFmtId="0" fontId="2" fillId="0" borderId="0"/>
    <xf numFmtId="179" fontId="2" fillId="0" borderId="0"/>
    <xf numFmtId="0" fontId="2" fillId="0" borderId="0"/>
    <xf numFmtId="0" fontId="2" fillId="0" borderId="0"/>
    <xf numFmtId="0" fontId="1" fillId="0" borderId="0"/>
    <xf numFmtId="179" fontId="1" fillId="0" borderId="0"/>
    <xf numFmtId="0" fontId="1" fillId="0" borderId="0"/>
    <xf numFmtId="0" fontId="1" fillId="0" borderId="0"/>
    <xf numFmtId="0" fontId="14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</cellStyleXfs>
  <cellXfs count="552">
    <xf numFmtId="0" fontId="0" fillId="0" borderId="0" xfId="0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wrapText="1"/>
    </xf>
    <xf numFmtId="0" fontId="38" fillId="0" borderId="0" xfId="0" applyFont="1" applyAlignment="1">
      <alignment horizontal="center"/>
    </xf>
    <xf numFmtId="0" fontId="38" fillId="0" borderId="0" xfId="0" applyFont="1" applyAlignment="1">
      <alignment vertical="center"/>
    </xf>
    <xf numFmtId="0" fontId="38" fillId="0" borderId="0" xfId="0" applyFont="1"/>
    <xf numFmtId="0" fontId="40" fillId="0" borderId="0" xfId="0" applyFont="1" applyAlignment="1">
      <alignment vertical="center"/>
    </xf>
    <xf numFmtId="0" fontId="41" fillId="0" borderId="0" xfId="0" applyFont="1"/>
    <xf numFmtId="10" fontId="38" fillId="0" borderId="0" xfId="0" applyNumberFormat="1" applyFont="1" applyAlignment="1">
      <alignment horizontal="center"/>
    </xf>
    <xf numFmtId="0" fontId="48" fillId="0" borderId="6" xfId="0" applyFont="1" applyBorder="1" applyAlignment="1">
      <alignment horizontal="center" vertical="center"/>
    </xf>
    <xf numFmtId="164" fontId="48" fillId="0" borderId="8" xfId="0" applyNumberFormat="1" applyFont="1" applyBorder="1" applyAlignment="1">
      <alignment horizontal="center" vertical="center"/>
    </xf>
    <xf numFmtId="164" fontId="48" fillId="0" borderId="6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44" fontId="48" fillId="0" borderId="9" xfId="1" applyFont="1" applyBorder="1" applyAlignment="1">
      <alignment horizontal="center" vertical="center"/>
    </xf>
    <xf numFmtId="44" fontId="48" fillId="0" borderId="6" xfId="1" applyFont="1" applyBorder="1" applyAlignment="1">
      <alignment horizontal="center" vertical="center" wrapText="1"/>
    </xf>
    <xf numFmtId="0" fontId="5" fillId="0" borderId="0" xfId="169"/>
    <xf numFmtId="0" fontId="5" fillId="0" borderId="0" xfId="169" applyAlignment="1">
      <alignment horizontal="center" vertical="center"/>
    </xf>
    <xf numFmtId="183" fontId="5" fillId="0" borderId="0" xfId="169" applyNumberFormat="1"/>
    <xf numFmtId="164" fontId="5" fillId="0" borderId="0" xfId="169" applyNumberFormat="1"/>
    <xf numFmtId="0" fontId="5" fillId="0" borderId="0" xfId="170"/>
    <xf numFmtId="179" fontId="5" fillId="0" borderId="0" xfId="173"/>
    <xf numFmtId="179" fontId="5" fillId="0" borderId="0" xfId="173" applyAlignment="1">
      <alignment horizontal="center" vertical="center"/>
    </xf>
    <xf numFmtId="183" fontId="5" fillId="0" borderId="0" xfId="173" applyNumberFormat="1"/>
    <xf numFmtId="179" fontId="5" fillId="0" borderId="0" xfId="173" applyAlignment="1">
      <alignment vertical="center"/>
    </xf>
    <xf numFmtId="0" fontId="52" fillId="0" borderId="6" xfId="170" applyFont="1" applyBorder="1"/>
    <xf numFmtId="10" fontId="52" fillId="0" borderId="6" xfId="170" applyNumberFormat="1" applyFont="1" applyBorder="1" applyAlignment="1">
      <alignment horizontal="center"/>
    </xf>
    <xf numFmtId="0" fontId="50" fillId="0" borderId="6" xfId="170" applyFont="1" applyBorder="1" applyAlignment="1">
      <alignment horizontal="center"/>
    </xf>
    <xf numFmtId="0" fontId="50" fillId="0" borderId="6" xfId="170" applyFont="1" applyBorder="1"/>
    <xf numFmtId="10" fontId="50" fillId="0" borderId="6" xfId="170" applyNumberFormat="1" applyFont="1" applyBorder="1" applyAlignment="1">
      <alignment horizontal="center"/>
    </xf>
    <xf numFmtId="10" fontId="52" fillId="0" borderId="6" xfId="170" applyNumberFormat="1" applyFont="1" applyBorder="1"/>
    <xf numFmtId="0" fontId="48" fillId="0" borderId="6" xfId="170" applyFont="1" applyBorder="1"/>
    <xf numFmtId="10" fontId="53" fillId="0" borderId="6" xfId="170" applyNumberFormat="1" applyFont="1" applyBorder="1" applyAlignment="1">
      <alignment horizontal="center"/>
    </xf>
    <xf numFmtId="0" fontId="48" fillId="0" borderId="6" xfId="170" applyFont="1" applyBorder="1" applyAlignment="1">
      <alignment horizontal="right" vertical="center"/>
    </xf>
    <xf numFmtId="0" fontId="48" fillId="0" borderId="6" xfId="170" applyFont="1" applyBorder="1" applyAlignment="1">
      <alignment horizontal="left" vertical="center" indent="1"/>
    </xf>
    <xf numFmtId="0" fontId="48" fillId="0" borderId="0" xfId="170" applyFont="1"/>
    <xf numFmtId="43" fontId="48" fillId="0" borderId="0" xfId="175" applyFont="1"/>
    <xf numFmtId="0" fontId="53" fillId="0" borderId="6" xfId="169" applyFont="1" applyBorder="1" applyAlignment="1">
      <alignment horizontal="center" vertical="top" wrapText="1"/>
    </xf>
    <xf numFmtId="0" fontId="48" fillId="0" borderId="6" xfId="169" applyFont="1" applyBorder="1" applyAlignment="1">
      <alignment horizontal="center" vertical="center"/>
    </xf>
    <xf numFmtId="49" fontId="48" fillId="0" borderId="6" xfId="170" applyNumberFormat="1" applyFont="1" applyBorder="1" applyAlignment="1">
      <alignment horizontal="center" vertical="center"/>
    </xf>
    <xf numFmtId="49" fontId="48" fillId="0" borderId="6" xfId="170" applyNumberFormat="1" applyFont="1" applyBorder="1" applyAlignment="1">
      <alignment horizontal="left" vertical="center" wrapText="1"/>
    </xf>
    <xf numFmtId="166" fontId="48" fillId="0" borderId="6" xfId="4" applyNumberFormat="1" applyFont="1" applyBorder="1" applyAlignment="1">
      <alignment horizontal="center" vertical="center"/>
    </xf>
    <xf numFmtId="164" fontId="48" fillId="0" borderId="6" xfId="4" applyNumberFormat="1" applyFont="1" applyBorder="1" applyAlignment="1">
      <alignment horizontal="center" vertical="center"/>
    </xf>
    <xf numFmtId="166" fontId="48" fillId="0" borderId="27" xfId="4" applyNumberFormat="1" applyFont="1" applyBorder="1"/>
    <xf numFmtId="164" fontId="53" fillId="0" borderId="27" xfId="4" applyNumberFormat="1" applyFont="1" applyBorder="1"/>
    <xf numFmtId="10" fontId="53" fillId="0" borderId="27" xfId="4" applyNumberFormat="1" applyFont="1" applyBorder="1"/>
    <xf numFmtId="49" fontId="48" fillId="0" borderId="6" xfId="169" applyNumberFormat="1" applyFont="1" applyBorder="1" applyAlignment="1">
      <alignment horizontal="center" vertical="center" wrapText="1"/>
    </xf>
    <xf numFmtId="49" fontId="48" fillId="0" borderId="8" xfId="169" applyNumberFormat="1" applyFont="1" applyBorder="1" applyAlignment="1">
      <alignment vertical="center" wrapText="1"/>
    </xf>
    <xf numFmtId="164" fontId="48" fillId="0" borderId="6" xfId="7" applyNumberFormat="1" applyFont="1" applyBorder="1" applyAlignment="1">
      <alignment vertical="center"/>
    </xf>
    <xf numFmtId="164" fontId="53" fillId="0" borderId="6" xfId="4" applyNumberFormat="1" applyFont="1" applyBorder="1"/>
    <xf numFmtId="10" fontId="53" fillId="0" borderId="6" xfId="7" applyNumberFormat="1" applyFont="1" applyBorder="1" applyAlignment="1">
      <alignment vertical="center"/>
    </xf>
    <xf numFmtId="164" fontId="53" fillId="0" borderId="6" xfId="1" applyNumberFormat="1" applyFont="1" applyBorder="1"/>
    <xf numFmtId="166" fontId="53" fillId="0" borderId="6" xfId="4" applyNumberFormat="1" applyFont="1" applyBorder="1"/>
    <xf numFmtId="166" fontId="53" fillId="0" borderId="32" xfId="4" applyNumberFormat="1" applyFont="1" applyBorder="1"/>
    <xf numFmtId="0" fontId="62" fillId="0" borderId="0" xfId="169" applyFont="1"/>
    <xf numFmtId="0" fontId="63" fillId="0" borderId="0" xfId="0" applyFont="1"/>
    <xf numFmtId="0" fontId="4" fillId="0" borderId="0" xfId="178"/>
    <xf numFmtId="179" fontId="53" fillId="0" borderId="6" xfId="173" applyFont="1" applyBorder="1" applyAlignment="1">
      <alignment horizontal="center" vertical="top" wrapText="1"/>
    </xf>
    <xf numFmtId="179" fontId="48" fillId="0" borderId="6" xfId="173" applyFont="1" applyBorder="1" applyAlignment="1">
      <alignment horizontal="center" vertical="center"/>
    </xf>
    <xf numFmtId="49" fontId="48" fillId="0" borderId="6" xfId="173" applyNumberFormat="1" applyFont="1" applyBorder="1" applyAlignment="1">
      <alignment horizontal="center" vertical="center"/>
    </xf>
    <xf numFmtId="2" fontId="48" fillId="0" borderId="6" xfId="4" applyNumberFormat="1" applyFont="1" applyBorder="1" applyAlignment="1">
      <alignment horizontal="center" vertical="center"/>
    </xf>
    <xf numFmtId="49" fontId="48" fillId="0" borderId="6" xfId="173" applyNumberFormat="1" applyFont="1" applyBorder="1" applyAlignment="1">
      <alignment horizontal="center" vertical="center" wrapText="1"/>
    </xf>
    <xf numFmtId="49" fontId="48" fillId="0" borderId="8" xfId="173" applyNumberFormat="1" applyFont="1" applyBorder="1" applyAlignment="1">
      <alignment vertical="center" wrapText="1"/>
    </xf>
    <xf numFmtId="166" fontId="48" fillId="0" borderId="6" xfId="7" applyNumberFormat="1" applyFont="1" applyBorder="1" applyAlignment="1">
      <alignment horizontal="center" vertical="center"/>
    </xf>
    <xf numFmtId="164" fontId="48" fillId="0" borderId="6" xfId="7" applyNumberFormat="1" applyFont="1" applyBorder="1" applyAlignment="1">
      <alignment horizontal="center" vertical="center"/>
    </xf>
    <xf numFmtId="10" fontId="53" fillId="0" borderId="6" xfId="4" applyNumberFormat="1" applyFont="1" applyBorder="1" applyAlignment="1">
      <alignment vertical="center"/>
    </xf>
    <xf numFmtId="10" fontId="53" fillId="0" borderId="6" xfId="4" applyNumberFormat="1" applyFont="1" applyBorder="1"/>
    <xf numFmtId="164" fontId="48" fillId="0" borderId="6" xfId="4" applyNumberFormat="1" applyFont="1" applyBorder="1" applyAlignment="1">
      <alignment horizontal="right" vertical="center"/>
    </xf>
    <xf numFmtId="0" fontId="48" fillId="3" borderId="6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/>
    </xf>
    <xf numFmtId="0" fontId="48" fillId="0" borderId="44" xfId="0" applyFont="1" applyBorder="1" applyAlignment="1">
      <alignment horizontal="justify" vertical="center" wrapText="1"/>
    </xf>
    <xf numFmtId="0" fontId="48" fillId="3" borderId="6" xfId="0" applyFont="1" applyFill="1" applyBorder="1" applyAlignment="1">
      <alignment horizontal="justify" vertical="center" wrapText="1"/>
    </xf>
    <xf numFmtId="0" fontId="48" fillId="3" borderId="8" xfId="162" applyFont="1" applyFill="1" applyBorder="1" applyAlignment="1">
      <alignment horizontal="justify" vertical="center" wrapText="1"/>
    </xf>
    <xf numFmtId="0" fontId="6" fillId="0" borderId="0" xfId="165"/>
    <xf numFmtId="0" fontId="48" fillId="0" borderId="38" xfId="6" applyFont="1" applyBorder="1" applyAlignment="1">
      <alignment horizontal="center" vertical="center" wrapText="1"/>
    </xf>
    <xf numFmtId="2" fontId="48" fillId="0" borderId="6" xfId="165" applyNumberFormat="1" applyFont="1" applyBorder="1" applyAlignment="1">
      <alignment horizontal="right" vertical="center"/>
    </xf>
    <xf numFmtId="49" fontId="48" fillId="0" borderId="6" xfId="165" applyNumberFormat="1" applyFont="1" applyBorder="1" applyAlignment="1">
      <alignment horizontal="center" vertical="center"/>
    </xf>
    <xf numFmtId="44" fontId="48" fillId="0" borderId="6" xfId="167" applyNumberFormat="1" applyFont="1" applyBorder="1" applyAlignment="1">
      <alignment horizontal="center" vertical="center" wrapText="1"/>
    </xf>
    <xf numFmtId="179" fontId="59" fillId="0" borderId="6" xfId="171" applyFont="1" applyBorder="1" applyAlignment="1">
      <alignment horizontal="center" vertical="center" wrapText="1"/>
    </xf>
    <xf numFmtId="179" fontId="48" fillId="0" borderId="36" xfId="172" applyFont="1" applyBorder="1"/>
    <xf numFmtId="0" fontId="48" fillId="3" borderId="13" xfId="162" applyFont="1" applyFill="1" applyBorder="1" applyAlignment="1">
      <alignment horizontal="center" vertical="center"/>
    </xf>
    <xf numFmtId="10" fontId="5" fillId="0" borderId="0" xfId="170" applyNumberFormat="1"/>
    <xf numFmtId="44" fontId="48" fillId="0" borderId="8" xfId="1" applyFont="1" applyBorder="1" applyAlignment="1">
      <alignment horizontal="center" vertical="center"/>
    </xf>
    <xf numFmtId="0" fontId="3" fillId="0" borderId="0" xfId="183"/>
    <xf numFmtId="0" fontId="3" fillId="0" borderId="0" xfId="183" applyAlignment="1">
      <alignment horizontal="center" vertical="center"/>
    </xf>
    <xf numFmtId="0" fontId="54" fillId="0" borderId="38" xfId="183" applyFont="1" applyBorder="1" applyAlignment="1">
      <alignment horizontal="center" vertical="center"/>
    </xf>
    <xf numFmtId="0" fontId="54" fillId="0" borderId="6" xfId="183" applyFont="1" applyBorder="1" applyAlignment="1">
      <alignment horizontal="center" vertical="center"/>
    </xf>
    <xf numFmtId="0" fontId="54" fillId="0" borderId="0" xfId="183" applyFont="1" applyAlignment="1">
      <alignment horizontal="center" vertical="center"/>
    </xf>
    <xf numFmtId="0" fontId="55" fillId="0" borderId="6" xfId="183" applyFont="1" applyBorder="1" applyAlignment="1">
      <alignment horizontal="center" vertical="center"/>
    </xf>
    <xf numFmtId="0" fontId="55" fillId="0" borderId="39" xfId="183" applyFont="1" applyBorder="1" applyAlignment="1">
      <alignment horizontal="center" vertical="center"/>
    </xf>
    <xf numFmtId="0" fontId="3" fillId="0" borderId="38" xfId="183" applyBorder="1" applyAlignment="1">
      <alignment horizontal="center" vertical="center"/>
    </xf>
    <xf numFmtId="0" fontId="56" fillId="0" borderId="6" xfId="183" applyFont="1" applyBorder="1" applyAlignment="1">
      <alignment horizontal="left" vertical="center"/>
    </xf>
    <xf numFmtId="10" fontId="3" fillId="0" borderId="6" xfId="183" applyNumberFormat="1" applyBorder="1" applyAlignment="1">
      <alignment horizontal="center" vertical="center"/>
    </xf>
    <xf numFmtId="10" fontId="3" fillId="0" borderId="39" xfId="183" applyNumberFormat="1" applyBorder="1" applyAlignment="1">
      <alignment horizontal="center" vertical="center"/>
    </xf>
    <xf numFmtId="0" fontId="42" fillId="0" borderId="38" xfId="183" applyFont="1" applyBorder="1" applyAlignment="1">
      <alignment horizontal="center" vertical="center"/>
    </xf>
    <xf numFmtId="0" fontId="42" fillId="0" borderId="6" xfId="183" applyFont="1" applyBorder="1" applyAlignment="1">
      <alignment horizontal="left" vertical="center"/>
    </xf>
    <xf numFmtId="10" fontId="42" fillId="0" borderId="6" xfId="183" applyNumberFormat="1" applyFont="1" applyBorder="1" applyAlignment="1">
      <alignment horizontal="center" vertical="center"/>
    </xf>
    <xf numFmtId="10" fontId="42" fillId="0" borderId="39" xfId="183" applyNumberFormat="1" applyFont="1" applyBorder="1" applyAlignment="1">
      <alignment horizontal="center" vertical="center"/>
    </xf>
    <xf numFmtId="0" fontId="56" fillId="0" borderId="6" xfId="183" applyFont="1" applyBorder="1"/>
    <xf numFmtId="0" fontId="42" fillId="0" borderId="6" xfId="183" applyFont="1" applyBorder="1"/>
    <xf numFmtId="0" fontId="56" fillId="0" borderId="6" xfId="183" applyFont="1" applyBorder="1" applyAlignment="1">
      <alignment wrapText="1"/>
    </xf>
    <xf numFmtId="0" fontId="48" fillId="0" borderId="6" xfId="183" applyFont="1" applyBorder="1" applyAlignment="1">
      <alignment horizontal="center" vertical="center" wrapText="1"/>
    </xf>
    <xf numFmtId="0" fontId="48" fillId="0" borderId="6" xfId="185" applyFont="1" applyBorder="1" applyAlignment="1">
      <alignment horizontal="center" vertical="center"/>
    </xf>
    <xf numFmtId="2" fontId="48" fillId="0" borderId="6" xfId="185" applyNumberFormat="1" applyFont="1" applyBorder="1" applyAlignment="1">
      <alignment horizontal="center" vertical="center"/>
    </xf>
    <xf numFmtId="44" fontId="48" fillId="0" borderId="6" xfId="185" applyNumberFormat="1" applyFont="1" applyBorder="1" applyAlignment="1">
      <alignment horizontal="center" vertical="center" wrapText="1"/>
    </xf>
    <xf numFmtId="2" fontId="48" fillId="0" borderId="6" xfId="183" applyNumberFormat="1" applyFont="1" applyBorder="1" applyAlignment="1">
      <alignment horizontal="center" vertical="center"/>
    </xf>
    <xf numFmtId="49" fontId="48" fillId="0" borderId="6" xfId="173" applyNumberFormat="1" applyFont="1" applyBorder="1" applyAlignment="1">
      <alignment horizontal="justify" vertical="justify" wrapText="1"/>
    </xf>
    <xf numFmtId="44" fontId="48" fillId="0" borderId="6" xfId="4" applyNumberFormat="1" applyFont="1" applyBorder="1" applyAlignment="1">
      <alignment vertical="center"/>
    </xf>
    <xf numFmtId="44" fontId="53" fillId="0" borderId="6" xfId="1" applyFont="1" applyBorder="1" applyAlignment="1">
      <alignment vertical="center"/>
    </xf>
    <xf numFmtId="0" fontId="48" fillId="3" borderId="6" xfId="0" applyFont="1" applyFill="1" applyBorder="1" applyAlignment="1">
      <alignment horizontal="center" vertical="center"/>
    </xf>
    <xf numFmtId="44" fontId="48" fillId="3" borderId="6" xfId="1" applyFont="1" applyFill="1" applyBorder="1" applyAlignment="1">
      <alignment horizontal="center" vertical="center" wrapText="1"/>
    </xf>
    <xf numFmtId="10" fontId="48" fillId="3" borderId="6" xfId="1" applyNumberFormat="1" applyFont="1" applyFill="1" applyBorder="1" applyAlignment="1">
      <alignment horizontal="center" vertical="center" wrapText="1"/>
    </xf>
    <xf numFmtId="164" fontId="48" fillId="3" borderId="8" xfId="0" applyNumberFormat="1" applyFont="1" applyFill="1" applyBorder="1" applyAlignment="1">
      <alignment horizontal="center" vertical="center"/>
    </xf>
    <xf numFmtId="164" fontId="48" fillId="3" borderId="6" xfId="0" applyNumberFormat="1" applyFont="1" applyFill="1" applyBorder="1" applyAlignment="1">
      <alignment horizontal="center" vertical="center"/>
    </xf>
    <xf numFmtId="0" fontId="41" fillId="3" borderId="0" xfId="0" applyFont="1" applyFill="1"/>
    <xf numFmtId="0" fontId="48" fillId="3" borderId="6" xfId="162" applyFont="1" applyFill="1" applyBorder="1" applyAlignment="1">
      <alignment horizontal="center" vertical="center"/>
    </xf>
    <xf numFmtId="0" fontId="64" fillId="3" borderId="0" xfId="0" applyFont="1" applyFill="1"/>
    <xf numFmtId="0" fontId="38" fillId="3" borderId="0" xfId="0" applyFont="1" applyFill="1" applyAlignment="1">
      <alignment vertical="center"/>
    </xf>
    <xf numFmtId="0" fontId="38" fillId="3" borderId="0" xfId="0" applyFont="1" applyFill="1"/>
    <xf numFmtId="0" fontId="40" fillId="3" borderId="0" xfId="0" applyFont="1" applyFill="1" applyAlignment="1">
      <alignment vertical="center"/>
    </xf>
    <xf numFmtId="0" fontId="63" fillId="3" borderId="0" xfId="0" applyFont="1" applyFill="1"/>
    <xf numFmtId="0" fontId="43" fillId="3" borderId="0" xfId="0" applyFont="1" applyFill="1" applyAlignment="1">
      <alignment horizontal="center" vertical="center"/>
    </xf>
    <xf numFmtId="0" fontId="38" fillId="3" borderId="0" xfId="0" applyFont="1" applyFill="1" applyAlignment="1">
      <alignment horizontal="center" vertical="center"/>
    </xf>
    <xf numFmtId="0" fontId="38" fillId="3" borderId="0" xfId="0" applyFont="1" applyFill="1" applyAlignment="1">
      <alignment horizontal="center" wrapText="1"/>
    </xf>
    <xf numFmtId="0" fontId="38" fillId="3" borderId="0" xfId="0" applyFont="1" applyFill="1" applyAlignment="1">
      <alignment horizontal="center"/>
    </xf>
    <xf numFmtId="10" fontId="38" fillId="3" borderId="0" xfId="0" applyNumberFormat="1" applyFont="1" applyFill="1" applyAlignment="1">
      <alignment horizontal="center"/>
    </xf>
    <xf numFmtId="0" fontId="38" fillId="3" borderId="0" xfId="0" applyFont="1" applyFill="1" applyAlignment="1">
      <alignment wrapText="1"/>
    </xf>
    <xf numFmtId="0" fontId="48" fillId="3" borderId="2" xfId="0" applyFont="1" applyFill="1" applyBorder="1" applyAlignment="1">
      <alignment horizontal="center" vertical="center" wrapText="1"/>
    </xf>
    <xf numFmtId="0" fontId="48" fillId="3" borderId="5" xfId="0" applyFont="1" applyFill="1" applyBorder="1" applyAlignment="1">
      <alignment horizontal="left" vertical="center" wrapText="1"/>
    </xf>
    <xf numFmtId="44" fontId="48" fillId="3" borderId="6" xfId="1" applyFont="1" applyFill="1" applyBorder="1" applyAlignment="1">
      <alignment horizontal="center" vertical="center"/>
    </xf>
    <xf numFmtId="10" fontId="48" fillId="3" borderId="8" xfId="1" applyNumberFormat="1" applyFont="1" applyFill="1" applyBorder="1" applyAlignment="1">
      <alignment horizontal="center" vertical="center"/>
    </xf>
    <xf numFmtId="44" fontId="48" fillId="3" borderId="8" xfId="1" applyFont="1" applyFill="1" applyBorder="1" applyAlignment="1">
      <alignment horizontal="center" vertical="center"/>
    </xf>
    <xf numFmtId="0" fontId="0" fillId="3" borderId="0" xfId="0" applyFill="1"/>
    <xf numFmtId="0" fontId="43" fillId="3" borderId="0" xfId="0" applyFont="1" applyFill="1"/>
    <xf numFmtId="0" fontId="43" fillId="3" borderId="6" xfId="0" applyFont="1" applyFill="1" applyBorder="1" applyAlignment="1">
      <alignment horizontal="center" vertical="center"/>
    </xf>
    <xf numFmtId="10" fontId="43" fillId="3" borderId="6" xfId="0" applyNumberFormat="1" applyFont="1" applyFill="1" applyBorder="1" applyAlignment="1">
      <alignment horizontal="center" vertical="center"/>
    </xf>
    <xf numFmtId="164" fontId="43" fillId="3" borderId="6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1" fillId="3" borderId="0" xfId="0" applyFont="1" applyFill="1" applyAlignment="1">
      <alignment vertical="center"/>
    </xf>
    <xf numFmtId="10" fontId="43" fillId="3" borderId="6" xfId="190" applyNumberFormat="1" applyFont="1" applyFill="1" applyBorder="1" applyAlignment="1">
      <alignment horizontal="center" vertical="center"/>
    </xf>
    <xf numFmtId="1" fontId="48" fillId="3" borderId="6" xfId="1" applyNumberFormat="1" applyFont="1" applyFill="1" applyBorder="1" applyAlignment="1">
      <alignment horizontal="center" vertical="center"/>
    </xf>
    <xf numFmtId="1" fontId="48" fillId="0" borderId="6" xfId="1" applyNumberFormat="1" applyFont="1" applyBorder="1" applyAlignment="1">
      <alignment horizontal="center" vertical="center"/>
    </xf>
    <xf numFmtId="1" fontId="48" fillId="3" borderId="8" xfId="1" applyNumberFormat="1" applyFont="1" applyFill="1" applyBorder="1" applyAlignment="1">
      <alignment horizontal="center" vertical="center"/>
    </xf>
    <xf numFmtId="1" fontId="48" fillId="0" borderId="17" xfId="1" applyNumberFormat="1" applyFont="1" applyBorder="1" applyAlignment="1">
      <alignment horizontal="center" vertical="center"/>
    </xf>
    <xf numFmtId="164" fontId="43" fillId="3" borderId="0" xfId="0" applyNumberFormat="1" applyFont="1" applyFill="1" applyAlignment="1">
      <alignment horizontal="center" vertical="center"/>
    </xf>
    <xf numFmtId="0" fontId="68" fillId="3" borderId="0" xfId="0" applyFont="1" applyFill="1" applyAlignment="1">
      <alignment horizontal="center" vertical="center"/>
    </xf>
    <xf numFmtId="0" fontId="68" fillId="3" borderId="0" xfId="0" applyFont="1" applyFill="1" applyAlignment="1">
      <alignment horizontal="center" vertical="justify"/>
    </xf>
    <xf numFmtId="9" fontId="43" fillId="3" borderId="6" xfId="0" applyNumberFormat="1" applyFont="1" applyFill="1" applyBorder="1" applyAlignment="1">
      <alignment horizontal="center" vertical="center"/>
    </xf>
    <xf numFmtId="10" fontId="43" fillId="3" borderId="0" xfId="0" applyNumberFormat="1" applyFont="1" applyFill="1" applyAlignment="1">
      <alignment horizontal="center" vertical="center"/>
    </xf>
    <xf numFmtId="0" fontId="43" fillId="3" borderId="0" xfId="0" applyFont="1" applyFill="1" applyAlignment="1">
      <alignment vertical="center"/>
    </xf>
    <xf numFmtId="0" fontId="72" fillId="3" borderId="0" xfId="195" applyFont="1" applyFill="1"/>
    <xf numFmtId="0" fontId="72" fillId="3" borderId="0" xfId="195" applyFont="1" applyFill="1" applyAlignment="1">
      <alignment horizontal="center" vertical="center"/>
    </xf>
    <xf numFmtId="0" fontId="72" fillId="3" borderId="0" xfId="198" applyFont="1" applyFill="1"/>
    <xf numFmtId="0" fontId="61" fillId="3" borderId="6" xfId="195" applyFont="1" applyFill="1" applyBorder="1" applyAlignment="1">
      <alignment horizontal="center"/>
    </xf>
    <xf numFmtId="0" fontId="61" fillId="3" borderId="51" xfId="195" applyFont="1" applyFill="1" applyBorder="1" applyAlignment="1">
      <alignment horizontal="center"/>
    </xf>
    <xf numFmtId="0" fontId="61" fillId="3" borderId="52" xfId="195" applyFont="1" applyFill="1" applyBorder="1" applyAlignment="1">
      <alignment horizontal="center"/>
    </xf>
    <xf numFmtId="0" fontId="61" fillId="3" borderId="53" xfId="195" applyFont="1" applyFill="1" applyBorder="1" applyAlignment="1">
      <alignment horizontal="center" vertical="center"/>
    </xf>
    <xf numFmtId="0" fontId="48" fillId="3" borderId="6" xfId="195" applyFont="1" applyFill="1" applyBorder="1" applyAlignment="1">
      <alignment horizontal="center" vertical="center"/>
    </xf>
    <xf numFmtId="0" fontId="48" fillId="3" borderId="38" xfId="195" applyFont="1" applyFill="1" applyBorder="1" applyAlignment="1">
      <alignment horizontal="center" vertical="center" wrapText="1"/>
    </xf>
    <xf numFmtId="44" fontId="48" fillId="3" borderId="39" xfId="1" applyFont="1" applyFill="1" applyBorder="1" applyAlignment="1">
      <alignment horizontal="center" vertical="center"/>
    </xf>
    <xf numFmtId="44" fontId="48" fillId="3" borderId="54" xfId="1" applyFont="1" applyFill="1" applyBorder="1" applyAlignment="1">
      <alignment horizontal="center" vertical="center"/>
    </xf>
    <xf numFmtId="0" fontId="59" fillId="3" borderId="0" xfId="195" applyFont="1" applyFill="1"/>
    <xf numFmtId="0" fontId="59" fillId="3" borderId="0" xfId="195" applyFont="1" applyFill="1" applyAlignment="1">
      <alignment horizontal="center"/>
    </xf>
    <xf numFmtId="0" fontId="72" fillId="3" borderId="0" xfId="195" applyFont="1" applyFill="1" applyAlignment="1">
      <alignment horizontal="center"/>
    </xf>
    <xf numFmtId="0" fontId="43" fillId="3" borderId="16" xfId="0" applyFont="1" applyFill="1" applyBorder="1" applyAlignment="1">
      <alignment horizontal="left" vertical="center" wrapText="1"/>
    </xf>
    <xf numFmtId="0" fontId="43" fillId="3" borderId="0" xfId="0" applyFont="1" applyFill="1" applyAlignment="1">
      <alignment horizontal="left" vertical="center" wrapText="1"/>
    </xf>
    <xf numFmtId="0" fontId="43" fillId="3" borderId="28" xfId="0" applyFont="1" applyFill="1" applyBorder="1" applyAlignment="1">
      <alignment horizontal="left" vertical="center" wrapText="1"/>
    </xf>
    <xf numFmtId="0" fontId="57" fillId="4" borderId="2" xfId="0" applyFont="1" applyFill="1" applyBorder="1" applyAlignment="1">
      <alignment horizontal="center" vertical="center"/>
    </xf>
    <xf numFmtId="0" fontId="65" fillId="4" borderId="1" xfId="0" applyFont="1" applyFill="1" applyBorder="1" applyAlignment="1">
      <alignment horizontal="center" vertical="top"/>
    </xf>
    <xf numFmtId="0" fontId="65" fillId="4" borderId="1" xfId="0" applyFont="1" applyFill="1" applyBorder="1" applyAlignment="1">
      <alignment horizontal="center" vertical="top" wrapText="1"/>
    </xf>
    <xf numFmtId="10" fontId="65" fillId="4" borderId="3" xfId="0" applyNumberFormat="1" applyFont="1" applyFill="1" applyBorder="1" applyAlignment="1">
      <alignment horizontal="center" vertical="top" wrapText="1"/>
    </xf>
    <xf numFmtId="0" fontId="65" fillId="4" borderId="3" xfId="0" applyFont="1" applyFill="1" applyBorder="1" applyAlignment="1">
      <alignment horizontal="center" vertical="top" wrapText="1"/>
    </xf>
    <xf numFmtId="0" fontId="65" fillId="4" borderId="3" xfId="0" applyFont="1" applyFill="1" applyBorder="1" applyAlignment="1">
      <alignment horizontal="center" vertical="top"/>
    </xf>
    <xf numFmtId="164" fontId="57" fillId="4" borderId="1" xfId="0" applyNumberFormat="1" applyFont="1" applyFill="1" applyBorder="1" applyAlignment="1">
      <alignment horizontal="center" vertical="center"/>
    </xf>
    <xf numFmtId="0" fontId="57" fillId="4" borderId="22" xfId="0" applyFont="1" applyFill="1" applyBorder="1" applyAlignment="1">
      <alignment horizontal="center" vertical="center"/>
    </xf>
    <xf numFmtId="0" fontId="65" fillId="4" borderId="9" xfId="0" applyFont="1" applyFill="1" applyBorder="1" applyAlignment="1">
      <alignment horizontal="center" vertical="top"/>
    </xf>
    <xf numFmtId="10" fontId="65" fillId="4" borderId="9" xfId="0" applyNumberFormat="1" applyFont="1" applyFill="1" applyBorder="1" applyAlignment="1">
      <alignment horizontal="center" vertical="top"/>
    </xf>
    <xf numFmtId="164" fontId="57" fillId="4" borderId="13" xfId="0" applyNumberFormat="1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183" fontId="57" fillId="4" borderId="6" xfId="0" applyNumberFormat="1" applyFont="1" applyFill="1" applyBorder="1" applyAlignment="1">
      <alignment horizontal="center" vertical="center"/>
    </xf>
    <xf numFmtId="0" fontId="57" fillId="4" borderId="6" xfId="170" applyFont="1" applyFill="1" applyBorder="1" applyAlignment="1">
      <alignment horizontal="center"/>
    </xf>
    <xf numFmtId="0" fontId="57" fillId="4" borderId="6" xfId="170" applyFont="1" applyFill="1" applyBorder="1"/>
    <xf numFmtId="10" fontId="57" fillId="4" borderId="6" xfId="170" applyNumberFormat="1" applyFont="1" applyFill="1" applyBorder="1" applyAlignment="1">
      <alignment horizontal="center"/>
    </xf>
    <xf numFmtId="0" fontId="57" fillId="4" borderId="6" xfId="170" quotePrefix="1" applyFont="1" applyFill="1" applyBorder="1" applyAlignment="1">
      <alignment horizontal="left"/>
    </xf>
    <xf numFmtId="0" fontId="49" fillId="4" borderId="40" xfId="183" applyFont="1" applyFill="1" applyBorder="1" applyAlignment="1">
      <alignment horizontal="center" vertical="center"/>
    </xf>
    <xf numFmtId="0" fontId="49" fillId="4" borderId="41" xfId="183" applyFont="1" applyFill="1" applyBorder="1" applyAlignment="1">
      <alignment horizontal="center" vertical="center"/>
    </xf>
    <xf numFmtId="10" fontId="49" fillId="4" borderId="42" xfId="183" applyNumberFormat="1" applyFont="1" applyFill="1" applyBorder="1" applyAlignment="1">
      <alignment horizontal="center" vertical="center"/>
    </xf>
    <xf numFmtId="10" fontId="49" fillId="4" borderId="43" xfId="183" applyNumberFormat="1" applyFont="1" applyFill="1" applyBorder="1" applyAlignment="1">
      <alignment horizontal="center" vertical="center"/>
    </xf>
    <xf numFmtId="0" fontId="74" fillId="3" borderId="0" xfId="199" applyFont="1" applyFill="1"/>
    <xf numFmtId="0" fontId="74" fillId="3" borderId="25" xfId="199" applyFont="1" applyFill="1" applyBorder="1"/>
    <xf numFmtId="0" fontId="74" fillId="3" borderId="14" xfId="199" applyFont="1" applyFill="1" applyBorder="1"/>
    <xf numFmtId="0" fontId="80" fillId="5" borderId="0" xfId="199" applyFont="1" applyFill="1"/>
    <xf numFmtId="0" fontId="74" fillId="5" borderId="0" xfId="199" applyFont="1" applyFill="1"/>
    <xf numFmtId="0" fontId="74" fillId="3" borderId="25" xfId="199" applyFont="1" applyFill="1" applyBorder="1" applyAlignment="1">
      <alignment horizontal="center"/>
    </xf>
    <xf numFmtId="0" fontId="74" fillId="3" borderId="0" xfId="199" applyFont="1" applyFill="1" applyAlignment="1">
      <alignment horizontal="center"/>
    </xf>
    <xf numFmtId="0" fontId="74" fillId="3" borderId="0" xfId="68" applyFont="1" applyFill="1" applyAlignment="1">
      <alignment vertical="center"/>
    </xf>
    <xf numFmtId="0" fontId="74" fillId="3" borderId="0" xfId="68" applyFont="1" applyFill="1"/>
    <xf numFmtId="0" fontId="82" fillId="3" borderId="25" xfId="199" applyFont="1" applyFill="1" applyBorder="1" applyAlignment="1">
      <alignment horizontal="center"/>
    </xf>
    <xf numFmtId="0" fontId="74" fillId="3" borderId="0" xfId="199" applyFont="1" applyFill="1" applyAlignment="1">
      <alignment horizontal="left"/>
    </xf>
    <xf numFmtId="166" fontId="74" fillId="3" borderId="14" xfId="68" applyNumberFormat="1" applyFont="1" applyFill="1" applyBorder="1" applyAlignment="1">
      <alignment horizontal="right"/>
    </xf>
    <xf numFmtId="166" fontId="74" fillId="3" borderId="0" xfId="199" applyNumberFormat="1" applyFont="1" applyFill="1" applyAlignment="1">
      <alignment horizontal="right"/>
    </xf>
    <xf numFmtId="43" fontId="74" fillId="3" borderId="0" xfId="68" applyNumberFormat="1" applyFont="1" applyFill="1" applyAlignment="1">
      <alignment vertical="center"/>
    </xf>
    <xf numFmtId="9" fontId="74" fillId="3" borderId="0" xfId="90" applyFont="1" applyFill="1" applyAlignment="1">
      <alignment vertical="center"/>
    </xf>
    <xf numFmtId="0" fontId="82" fillId="3" borderId="25" xfId="199" applyFont="1" applyFill="1" applyBorder="1" applyAlignment="1">
      <alignment horizontal="center" vertical="center"/>
    </xf>
    <xf numFmtId="0" fontId="74" fillId="3" borderId="0" xfId="199" applyFont="1" applyFill="1" applyAlignment="1">
      <alignment horizontal="left" vertical="center"/>
    </xf>
    <xf numFmtId="0" fontId="74" fillId="3" borderId="0" xfId="199" applyFont="1" applyFill="1" applyAlignment="1">
      <alignment horizontal="center" vertical="center"/>
    </xf>
    <xf numFmtId="185" fontId="74" fillId="3" borderId="14" xfId="200" applyNumberFormat="1" applyFont="1" applyFill="1" applyBorder="1" applyAlignment="1">
      <alignment horizontal="right" vertical="center"/>
    </xf>
    <xf numFmtId="9" fontId="74" fillId="3" borderId="14" xfId="201" applyFont="1" applyFill="1" applyBorder="1" applyAlignment="1">
      <alignment horizontal="right" vertical="center"/>
    </xf>
    <xf numFmtId="186" fontId="74" fillId="3" borderId="14" xfId="202" applyNumberFormat="1" applyFont="1" applyFill="1" applyBorder="1" applyAlignment="1">
      <alignment horizontal="right" vertical="center"/>
    </xf>
    <xf numFmtId="0" fontId="82" fillId="3" borderId="0" xfId="199" applyFont="1" applyFill="1"/>
    <xf numFmtId="0" fontId="82" fillId="3" borderId="0" xfId="199" applyFont="1" applyFill="1" applyAlignment="1">
      <alignment horizontal="center"/>
    </xf>
    <xf numFmtId="166" fontId="82" fillId="3" borderId="14" xfId="203" applyNumberFormat="1" applyFont="1" applyFill="1" applyBorder="1"/>
    <xf numFmtId="166" fontId="82" fillId="3" borderId="0" xfId="199" applyNumberFormat="1" applyFont="1" applyFill="1"/>
    <xf numFmtId="44" fontId="74" fillId="3" borderId="0" xfId="204" applyFont="1" applyFill="1" applyAlignment="1">
      <alignment vertical="center"/>
    </xf>
    <xf numFmtId="0" fontId="74" fillId="3" borderId="26" xfId="199" applyFont="1" applyFill="1" applyBorder="1" applyAlignment="1">
      <alignment horizontal="center"/>
    </xf>
    <xf numFmtId="0" fontId="74" fillId="3" borderId="28" xfId="199" applyFont="1" applyFill="1" applyBorder="1"/>
    <xf numFmtId="0" fontId="74" fillId="3" borderId="28" xfId="199" applyFont="1" applyFill="1" applyBorder="1" applyAlignment="1">
      <alignment horizontal="center"/>
    </xf>
    <xf numFmtId="0" fontId="74" fillId="3" borderId="27" xfId="199" applyFont="1" applyFill="1" applyBorder="1"/>
    <xf numFmtId="0" fontId="74" fillId="5" borderId="0" xfId="68" applyFont="1" applyFill="1" applyAlignment="1">
      <alignment vertical="center"/>
    </xf>
    <xf numFmtId="0" fontId="74" fillId="5" borderId="0" xfId="68" applyFont="1" applyFill="1"/>
    <xf numFmtId="10" fontId="74" fillId="3" borderId="14" xfId="201" applyNumberFormat="1" applyFont="1" applyFill="1" applyBorder="1" applyAlignment="1">
      <alignment horizontal="right"/>
    </xf>
    <xf numFmtId="166" fontId="82" fillId="3" borderId="14" xfId="199" applyNumberFormat="1" applyFont="1" applyFill="1" applyBorder="1" applyAlignment="1">
      <alignment vertical="center"/>
    </xf>
    <xf numFmtId="0" fontId="74" fillId="3" borderId="0" xfId="199" applyFont="1" applyFill="1" applyAlignment="1">
      <alignment vertical="center" wrapText="1"/>
    </xf>
    <xf numFmtId="43" fontId="74" fillId="3" borderId="14" xfId="202" applyFont="1" applyFill="1" applyBorder="1" applyAlignment="1">
      <alignment horizontal="right" vertical="center"/>
    </xf>
    <xf numFmtId="0" fontId="74" fillId="3" borderId="0" xfId="199" applyFont="1" applyFill="1" applyAlignment="1">
      <alignment vertical="center"/>
    </xf>
    <xf numFmtId="0" fontId="74" fillId="3" borderId="25" xfId="199" applyFont="1" applyFill="1" applyBorder="1" applyAlignment="1">
      <alignment horizontal="center" vertical="center"/>
    </xf>
    <xf numFmtId="187" fontId="74" fillId="3" borderId="14" xfId="200" applyNumberFormat="1" applyFont="1" applyFill="1" applyBorder="1" applyAlignment="1">
      <alignment vertical="center"/>
    </xf>
    <xf numFmtId="188" fontId="74" fillId="3" borderId="14" xfId="202" applyNumberFormat="1" applyFont="1" applyFill="1" applyBorder="1" applyAlignment="1">
      <alignment horizontal="right" vertical="center"/>
    </xf>
    <xf numFmtId="166" fontId="74" fillId="3" borderId="14" xfId="200" applyFont="1" applyFill="1" applyBorder="1" applyAlignment="1">
      <alignment vertical="center"/>
    </xf>
    <xf numFmtId="189" fontId="74" fillId="3" borderId="14" xfId="200" applyNumberFormat="1" applyFont="1" applyFill="1" applyBorder="1" applyAlignment="1">
      <alignment vertical="center"/>
    </xf>
    <xf numFmtId="189" fontId="74" fillId="3" borderId="0" xfId="199" applyNumberFormat="1" applyFont="1" applyFill="1"/>
    <xf numFmtId="0" fontId="82" fillId="3" borderId="0" xfId="199" applyFont="1" applyFill="1" applyAlignment="1">
      <alignment vertical="center"/>
    </xf>
    <xf numFmtId="0" fontId="82" fillId="3" borderId="0" xfId="199" applyFont="1" applyFill="1" applyAlignment="1">
      <alignment horizontal="center" vertical="center"/>
    </xf>
    <xf numFmtId="43" fontId="82" fillId="3" borderId="14" xfId="202" applyFont="1" applyFill="1" applyBorder="1" applyAlignment="1">
      <alignment vertical="center"/>
    </xf>
    <xf numFmtId="0" fontId="82" fillId="3" borderId="26" xfId="199" applyFont="1" applyFill="1" applyBorder="1" applyAlignment="1">
      <alignment horizontal="center"/>
    </xf>
    <xf numFmtId="0" fontId="82" fillId="3" borderId="28" xfId="199" applyFont="1" applyFill="1" applyBorder="1"/>
    <xf numFmtId="0" fontId="82" fillId="3" borderId="28" xfId="199" applyFont="1" applyFill="1" applyBorder="1" applyAlignment="1">
      <alignment horizontal="center"/>
    </xf>
    <xf numFmtId="0" fontId="82" fillId="3" borderId="27" xfId="199" applyFont="1" applyFill="1" applyBorder="1"/>
    <xf numFmtId="43" fontId="74" fillId="3" borderId="0" xfId="199" applyNumberFormat="1" applyFont="1" applyFill="1"/>
    <xf numFmtId="190" fontId="74" fillId="3" borderId="14" xfId="199" applyNumberFormat="1" applyFont="1" applyFill="1" applyBorder="1" applyAlignment="1">
      <alignment vertical="center"/>
    </xf>
    <xf numFmtId="166" fontId="74" fillId="3" borderId="14" xfId="199" applyNumberFormat="1" applyFont="1" applyFill="1" applyBorder="1" applyAlignment="1">
      <alignment vertical="center"/>
    </xf>
    <xf numFmtId="191" fontId="82" fillId="3" borderId="14" xfId="199" applyNumberFormat="1" applyFont="1" applyFill="1" applyBorder="1" applyAlignment="1">
      <alignment vertical="center"/>
    </xf>
    <xf numFmtId="0" fontId="74" fillId="3" borderId="14" xfId="199" applyFont="1" applyFill="1" applyBorder="1" applyAlignment="1">
      <alignment vertical="center"/>
    </xf>
    <xf numFmtId="44" fontId="74" fillId="3" borderId="0" xfId="36" applyFont="1" applyFill="1" applyAlignment="1">
      <alignment vertical="center"/>
    </xf>
    <xf numFmtId="166" fontId="74" fillId="3" borderId="0" xfId="199" applyNumberFormat="1" applyFont="1" applyFill="1" applyAlignment="1">
      <alignment vertical="center"/>
    </xf>
    <xf numFmtId="0" fontId="74" fillId="3" borderId="14" xfId="199" applyFont="1" applyFill="1" applyBorder="1" applyAlignment="1">
      <alignment horizontal="center"/>
    </xf>
    <xf numFmtId="0" fontId="81" fillId="4" borderId="25" xfId="199" applyFont="1" applyFill="1" applyBorder="1" applyAlignment="1">
      <alignment horizontal="center"/>
    </xf>
    <xf numFmtId="0" fontId="81" fillId="4" borderId="0" xfId="199" applyFont="1" applyFill="1"/>
    <xf numFmtId="0" fontId="75" fillId="4" borderId="0" xfId="199" applyFont="1" applyFill="1" applyAlignment="1">
      <alignment horizontal="center"/>
    </xf>
    <xf numFmtId="0" fontId="75" fillId="4" borderId="14" xfId="199" applyFont="1" applyFill="1" applyBorder="1"/>
    <xf numFmtId="0" fontId="81" fillId="4" borderId="17" xfId="199" applyFont="1" applyFill="1" applyBorder="1" applyAlignment="1">
      <alignment horizontal="center"/>
    </xf>
    <xf numFmtId="0" fontId="81" fillId="4" borderId="16" xfId="199" applyFont="1" applyFill="1" applyBorder="1"/>
    <xf numFmtId="0" fontId="75" fillId="4" borderId="16" xfId="199" applyFont="1" applyFill="1" applyBorder="1" applyAlignment="1">
      <alignment horizontal="center"/>
    </xf>
    <xf numFmtId="0" fontId="75" fillId="4" borderId="15" xfId="199" applyFont="1" applyFill="1" applyBorder="1"/>
    <xf numFmtId="0" fontId="81" fillId="4" borderId="17" xfId="199" applyFont="1" applyFill="1" applyBorder="1" applyAlignment="1">
      <alignment vertical="center"/>
    </xf>
    <xf numFmtId="0" fontId="81" fillId="4" borderId="16" xfId="199" applyFont="1" applyFill="1" applyBorder="1" applyAlignment="1">
      <alignment vertical="center"/>
    </xf>
    <xf numFmtId="0" fontId="81" fillId="4" borderId="15" xfId="199" applyFont="1" applyFill="1" applyBorder="1" applyAlignment="1">
      <alignment vertical="center"/>
    </xf>
    <xf numFmtId="0" fontId="74" fillId="4" borderId="0" xfId="199" applyFont="1" applyFill="1"/>
    <xf numFmtId="0" fontId="81" fillId="4" borderId="17" xfId="199" applyFont="1" applyFill="1" applyBorder="1" applyAlignment="1">
      <alignment horizontal="center" vertical="center"/>
    </xf>
    <xf numFmtId="0" fontId="75" fillId="4" borderId="16" xfId="199" applyFont="1" applyFill="1" applyBorder="1" applyAlignment="1">
      <alignment horizontal="center" vertical="center"/>
    </xf>
    <xf numFmtId="0" fontId="75" fillId="4" borderId="15" xfId="199" applyFont="1" applyFill="1" applyBorder="1" applyAlignment="1">
      <alignment vertical="center"/>
    </xf>
    <xf numFmtId="0" fontId="74" fillId="4" borderId="0" xfId="199" applyFont="1" applyFill="1" applyAlignment="1">
      <alignment vertical="center"/>
    </xf>
    <xf numFmtId="0" fontId="81" fillId="4" borderId="25" xfId="199" applyFont="1" applyFill="1" applyBorder="1" applyAlignment="1">
      <alignment horizontal="center" vertical="center"/>
    </xf>
    <xf numFmtId="0" fontId="81" fillId="4" borderId="0" xfId="199" applyFont="1" applyFill="1" applyAlignment="1">
      <alignment vertical="center"/>
    </xf>
    <xf numFmtId="0" fontId="75" fillId="4" borderId="0" xfId="199" applyFont="1" applyFill="1" applyAlignment="1">
      <alignment horizontal="center" vertical="center"/>
    </xf>
    <xf numFmtId="166" fontId="81" fillId="4" borderId="14" xfId="199" applyNumberFormat="1" applyFont="1" applyFill="1" applyBorder="1" applyAlignment="1">
      <alignment vertical="center"/>
    </xf>
    <xf numFmtId="44" fontId="74" fillId="4" borderId="0" xfId="36" applyFont="1" applyFill="1" applyAlignment="1">
      <alignment vertical="center"/>
    </xf>
    <xf numFmtId="0" fontId="81" fillId="4" borderId="0" xfId="199" applyFont="1" applyFill="1" applyAlignment="1">
      <alignment horizontal="left" vertical="center"/>
    </xf>
    <xf numFmtId="10" fontId="75" fillId="4" borderId="0" xfId="199" applyNumberFormat="1" applyFont="1" applyFill="1" applyAlignment="1">
      <alignment horizontal="center" vertical="center"/>
    </xf>
    <xf numFmtId="43" fontId="74" fillId="4" borderId="0" xfId="199" applyNumberFormat="1" applyFont="1" applyFill="1" applyAlignment="1">
      <alignment vertical="center"/>
    </xf>
    <xf numFmtId="0" fontId="75" fillId="4" borderId="0" xfId="199" applyFont="1" applyFill="1" applyAlignment="1">
      <alignment vertical="center"/>
    </xf>
    <xf numFmtId="9" fontId="74" fillId="4" borderId="0" xfId="89" applyFont="1" applyFill="1" applyAlignment="1">
      <alignment vertical="center"/>
    </xf>
    <xf numFmtId="0" fontId="81" fillId="4" borderId="26" xfId="199" applyFont="1" applyFill="1" applyBorder="1" applyAlignment="1">
      <alignment horizontal="center" vertical="center"/>
    </xf>
    <xf numFmtId="0" fontId="81" fillId="4" borderId="28" xfId="199" applyFont="1" applyFill="1" applyBorder="1" applyAlignment="1">
      <alignment vertical="center"/>
    </xf>
    <xf numFmtId="0" fontId="75" fillId="4" borderId="28" xfId="199" applyFont="1" applyFill="1" applyBorder="1" applyAlignment="1">
      <alignment vertical="center"/>
    </xf>
    <xf numFmtId="166" fontId="81" fillId="4" borderId="27" xfId="199" applyNumberFormat="1" applyFont="1" applyFill="1" applyBorder="1" applyAlignment="1">
      <alignment vertical="center"/>
    </xf>
    <xf numFmtId="0" fontId="48" fillId="0" borderId="6" xfId="173" applyNumberFormat="1" applyFont="1" applyBorder="1" applyAlignment="1">
      <alignment horizontal="center" vertical="center"/>
    </xf>
    <xf numFmtId="0" fontId="48" fillId="0" borderId="6" xfId="173" applyNumberFormat="1" applyFont="1" applyBorder="1" applyAlignment="1">
      <alignment horizontal="justify" vertical="justify" wrapText="1"/>
    </xf>
    <xf numFmtId="10" fontId="84" fillId="3" borderId="0" xfId="190" applyNumberFormat="1" applyFont="1" applyFill="1" applyAlignment="1">
      <alignment horizontal="center" vertical="center"/>
    </xf>
    <xf numFmtId="10" fontId="83" fillId="3" borderId="0" xfId="190" applyNumberFormat="1" applyFont="1" applyFill="1" applyAlignment="1">
      <alignment horizontal="center" vertical="center"/>
    </xf>
    <xf numFmtId="10" fontId="72" fillId="0" borderId="0" xfId="190" applyNumberFormat="1" applyFont="1" applyAlignment="1">
      <alignment horizontal="center" vertical="center"/>
    </xf>
    <xf numFmtId="10" fontId="85" fillId="3" borderId="0" xfId="190" applyNumberFormat="1" applyFont="1" applyFill="1" applyAlignment="1">
      <alignment horizontal="center" vertical="center"/>
    </xf>
    <xf numFmtId="0" fontId="83" fillId="3" borderId="0" xfId="0" applyFont="1" applyFill="1" applyAlignment="1">
      <alignment horizontal="center" vertical="center"/>
    </xf>
    <xf numFmtId="0" fontId="72" fillId="0" borderId="0" xfId="178" applyFont="1" applyAlignment="1">
      <alignment horizontal="center" vertical="center"/>
    </xf>
    <xf numFmtId="0" fontId="84" fillId="3" borderId="0" xfId="0" applyFont="1" applyFill="1" applyAlignment="1">
      <alignment horizontal="center" vertical="center"/>
    </xf>
    <xf numFmtId="0" fontId="85" fillId="3" borderId="0" xfId="0" applyFont="1" applyFill="1" applyAlignment="1">
      <alignment horizontal="center" vertical="center"/>
    </xf>
    <xf numFmtId="10" fontId="83" fillId="3" borderId="6" xfId="190" applyNumberFormat="1" applyFont="1" applyFill="1" applyBorder="1" applyAlignment="1">
      <alignment horizontal="center" vertical="center"/>
    </xf>
    <xf numFmtId="10" fontId="83" fillId="3" borderId="6" xfId="0" applyNumberFormat="1" applyFont="1" applyFill="1" applyBorder="1" applyAlignment="1">
      <alignment horizontal="center" vertical="center"/>
    </xf>
    <xf numFmtId="10" fontId="0" fillId="3" borderId="6" xfId="0" applyNumberFormat="1" applyFill="1" applyBorder="1" applyAlignment="1">
      <alignment horizontal="center"/>
    </xf>
    <xf numFmtId="0" fontId="18" fillId="3" borderId="6" xfId="0" applyFont="1" applyFill="1" applyBorder="1" applyAlignment="1">
      <alignment horizontal="center"/>
    </xf>
    <xf numFmtId="0" fontId="0" fillId="3" borderId="0" xfId="1" applyNumberFormat="1" applyFont="1" applyFill="1" applyBorder="1" applyAlignment="1"/>
    <xf numFmtId="10" fontId="38" fillId="6" borderId="6" xfId="190" applyNumberFormat="1" applyFont="1" applyFill="1" applyBorder="1" applyAlignment="1">
      <alignment horizontal="center"/>
    </xf>
    <xf numFmtId="10" fontId="38" fillId="7" borderId="6" xfId="190" applyNumberFormat="1" applyFont="1" applyFill="1" applyBorder="1" applyAlignment="1">
      <alignment horizontal="center"/>
    </xf>
    <xf numFmtId="10" fontId="38" fillId="8" borderId="6" xfId="190" applyNumberFormat="1" applyFont="1" applyFill="1" applyBorder="1" applyAlignment="1">
      <alignment horizontal="center"/>
    </xf>
    <xf numFmtId="0" fontId="83" fillId="7" borderId="6" xfId="0" applyFont="1" applyFill="1" applyBorder="1" applyAlignment="1">
      <alignment horizontal="center" vertical="center"/>
    </xf>
    <xf numFmtId="0" fontId="83" fillId="6" borderId="6" xfId="0" applyFont="1" applyFill="1" applyBorder="1" applyAlignment="1">
      <alignment horizontal="center" vertical="center"/>
    </xf>
    <xf numFmtId="0" fontId="83" fillId="8" borderId="6" xfId="0" applyFont="1" applyFill="1" applyBorder="1" applyAlignment="1">
      <alignment horizontal="center" vertical="center"/>
    </xf>
    <xf numFmtId="44" fontId="83" fillId="3" borderId="0" xfId="0" applyNumberFormat="1" applyFont="1" applyFill="1" applyAlignment="1">
      <alignment horizontal="center" vertical="center"/>
    </xf>
    <xf numFmtId="0" fontId="83" fillId="8" borderId="0" xfId="0" applyFont="1" applyFill="1" applyBorder="1" applyAlignment="1">
      <alignment horizontal="center" vertical="center"/>
    </xf>
    <xf numFmtId="10" fontId="83" fillId="3" borderId="0" xfId="0" applyNumberFormat="1" applyFont="1" applyFill="1" applyBorder="1" applyAlignment="1">
      <alignment horizontal="center" vertical="center"/>
    </xf>
    <xf numFmtId="10" fontId="83" fillId="3" borderId="9" xfId="0" applyNumberFormat="1" applyFont="1" applyFill="1" applyBorder="1" applyAlignment="1">
      <alignment horizontal="center" vertical="center"/>
    </xf>
    <xf numFmtId="10" fontId="83" fillId="3" borderId="55" xfId="0" applyNumberFormat="1" applyFont="1" applyFill="1" applyBorder="1" applyAlignment="1">
      <alignment horizontal="center" vertical="center"/>
    </xf>
    <xf numFmtId="10" fontId="83" fillId="3" borderId="13" xfId="0" applyNumberFormat="1" applyFont="1" applyFill="1" applyBorder="1" applyAlignment="1">
      <alignment horizontal="center" vertical="center"/>
    </xf>
    <xf numFmtId="0" fontId="83" fillId="8" borderId="9" xfId="0" applyFont="1" applyFill="1" applyBorder="1" applyAlignment="1">
      <alignment horizontal="center" vertical="center"/>
    </xf>
    <xf numFmtId="0" fontId="83" fillId="8" borderId="55" xfId="0" applyFont="1" applyFill="1" applyBorder="1" applyAlignment="1">
      <alignment horizontal="center" vertical="center"/>
    </xf>
    <xf numFmtId="0" fontId="83" fillId="8" borderId="13" xfId="0" applyFont="1" applyFill="1" applyBorder="1" applyAlignment="1">
      <alignment horizontal="center" vertical="center"/>
    </xf>
    <xf numFmtId="0" fontId="87" fillId="4" borderId="6" xfId="1" applyNumberFormat="1" applyFont="1" applyFill="1" applyBorder="1" applyAlignment="1">
      <alignment horizontal="center"/>
    </xf>
    <xf numFmtId="10" fontId="83" fillId="3" borderId="6" xfId="0" applyNumberFormat="1" applyFont="1" applyFill="1" applyBorder="1" applyAlignment="1">
      <alignment horizontal="center" vertical="center"/>
    </xf>
    <xf numFmtId="0" fontId="83" fillId="6" borderId="6" xfId="0" applyFont="1" applyFill="1" applyBorder="1" applyAlignment="1">
      <alignment horizontal="center" vertical="center"/>
    </xf>
    <xf numFmtId="0" fontId="83" fillId="3" borderId="6" xfId="0" applyFont="1" applyFill="1" applyBorder="1" applyAlignment="1">
      <alignment horizontal="center" vertical="center"/>
    </xf>
    <xf numFmtId="0" fontId="57" fillId="4" borderId="6" xfId="0" applyFont="1" applyFill="1" applyBorder="1" applyAlignment="1">
      <alignment horizontal="center" vertical="center"/>
    </xf>
    <xf numFmtId="10" fontId="86" fillId="4" borderId="6" xfId="190" applyNumberFormat="1" applyFont="1" applyFill="1" applyBorder="1" applyAlignment="1">
      <alignment horizontal="center"/>
    </xf>
    <xf numFmtId="0" fontId="39" fillId="0" borderId="6" xfId="0" applyFont="1" applyBorder="1" applyAlignment="1">
      <alignment horizontal="center" vertical="top" wrapText="1"/>
    </xf>
    <xf numFmtId="0" fontId="47" fillId="0" borderId="22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4" fillId="0" borderId="6" xfId="0" applyFont="1" applyBorder="1" applyAlignment="1">
      <alignment horizontal="left" vertical="center" wrapText="1"/>
    </xf>
    <xf numFmtId="0" fontId="67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10" fontId="47" fillId="0" borderId="22" xfId="0" applyNumberFormat="1" applyFont="1" applyBorder="1" applyAlignment="1">
      <alignment horizontal="center" vertical="center" wrapText="1"/>
    </xf>
    <xf numFmtId="10" fontId="47" fillId="0" borderId="7" xfId="0" applyNumberFormat="1" applyFont="1" applyBorder="1" applyAlignment="1">
      <alignment horizontal="center" vertical="center" wrapText="1"/>
    </xf>
    <xf numFmtId="0" fontId="60" fillId="4" borderId="8" xfId="178" applyFont="1" applyFill="1" applyBorder="1" applyAlignment="1">
      <alignment horizontal="left" vertical="justify"/>
    </xf>
    <xf numFmtId="0" fontId="60" fillId="4" borderId="11" xfId="178" applyFont="1" applyFill="1" applyBorder="1" applyAlignment="1">
      <alignment horizontal="left" vertical="justify"/>
    </xf>
    <xf numFmtId="0" fontId="60" fillId="4" borderId="12" xfId="178" applyFont="1" applyFill="1" applyBorder="1" applyAlignment="1">
      <alignment horizontal="left" vertical="justify"/>
    </xf>
    <xf numFmtId="179" fontId="60" fillId="4" borderId="8" xfId="171" applyFont="1" applyFill="1" applyBorder="1" applyAlignment="1">
      <alignment horizontal="center" vertical="center" wrapText="1"/>
    </xf>
    <xf numFmtId="179" fontId="60" fillId="4" borderId="12" xfId="171" applyFont="1" applyFill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57" fillId="4" borderId="23" xfId="0" applyFont="1" applyFill="1" applyBorder="1" applyAlignment="1">
      <alignment horizontal="left" vertical="center" wrapText="1"/>
    </xf>
    <xf numFmtId="0" fontId="57" fillId="4" borderId="24" xfId="0" applyFont="1" applyFill="1" applyBorder="1" applyAlignment="1">
      <alignment horizontal="left" vertical="center" wrapText="1"/>
    </xf>
    <xf numFmtId="0" fontId="57" fillId="4" borderId="20" xfId="0" applyFont="1" applyFill="1" applyBorder="1" applyAlignment="1">
      <alignment horizontal="left" vertical="center" wrapText="1"/>
    </xf>
    <xf numFmtId="0" fontId="57" fillId="4" borderId="14" xfId="0" applyFont="1" applyFill="1" applyBorder="1" applyAlignment="1">
      <alignment horizontal="left" vertical="center" wrapText="1"/>
    </xf>
    <xf numFmtId="0" fontId="47" fillId="0" borderId="2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7" fillId="0" borderId="50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43" fillId="3" borderId="17" xfId="0" applyFont="1" applyFill="1" applyBorder="1" applyAlignment="1">
      <alignment horizontal="left" vertical="center" wrapText="1"/>
    </xf>
    <xf numFmtId="0" fontId="43" fillId="3" borderId="16" xfId="0" applyFont="1" applyFill="1" applyBorder="1" applyAlignment="1">
      <alignment horizontal="left" vertical="center" wrapText="1"/>
    </xf>
    <xf numFmtId="0" fontId="43" fillId="3" borderId="25" xfId="0" applyFont="1" applyFill="1" applyBorder="1" applyAlignment="1">
      <alignment horizontal="left" vertical="center" wrapText="1"/>
    </xf>
    <xf numFmtId="0" fontId="43" fillId="3" borderId="0" xfId="0" applyFont="1" applyFill="1" applyAlignment="1">
      <alignment horizontal="left" vertical="center" wrapText="1"/>
    </xf>
    <xf numFmtId="0" fontId="43" fillId="3" borderId="26" xfId="0" applyFont="1" applyFill="1" applyBorder="1" applyAlignment="1">
      <alignment horizontal="left" vertical="center" wrapText="1"/>
    </xf>
    <xf numFmtId="0" fontId="43" fillId="3" borderId="28" xfId="0" applyFont="1" applyFill="1" applyBorder="1" applyAlignment="1">
      <alignment horizontal="left" vertical="center" wrapText="1"/>
    </xf>
    <xf numFmtId="0" fontId="57" fillId="4" borderId="13" xfId="0" applyFont="1" applyFill="1" applyBorder="1" applyAlignment="1">
      <alignment horizontal="center" vertical="center"/>
    </xf>
    <xf numFmtId="0" fontId="68" fillId="4" borderId="6" xfId="0" applyFont="1" applyFill="1" applyBorder="1" applyAlignment="1">
      <alignment horizontal="center" vertical="center"/>
    </xf>
    <xf numFmtId="0" fontId="68" fillId="4" borderId="6" xfId="0" applyFont="1" applyFill="1" applyBorder="1" applyAlignment="1">
      <alignment horizontal="center" vertical="justify"/>
    </xf>
    <xf numFmtId="0" fontId="48" fillId="0" borderId="17" xfId="169" applyFont="1" applyBorder="1" applyAlignment="1">
      <alignment horizontal="center" vertical="center" wrapText="1"/>
    </xf>
    <xf numFmtId="0" fontId="48" fillId="0" borderId="16" xfId="169" applyFont="1" applyBorder="1" applyAlignment="1">
      <alignment horizontal="center" vertical="center" wrapText="1"/>
    </xf>
    <xf numFmtId="0" fontId="48" fillId="0" borderId="15" xfId="169" applyFont="1" applyBorder="1" applyAlignment="1">
      <alignment horizontal="center" vertical="center" wrapText="1"/>
    </xf>
    <xf numFmtId="0" fontId="48" fillId="0" borderId="26" xfId="169" applyFont="1" applyBorder="1" applyAlignment="1">
      <alignment horizontal="center" vertical="center" wrapText="1"/>
    </xf>
    <xf numFmtId="0" fontId="48" fillId="0" borderId="28" xfId="169" applyFont="1" applyBorder="1" applyAlignment="1">
      <alignment horizontal="center" vertical="center" wrapText="1"/>
    </xf>
    <xf numFmtId="0" fontId="48" fillId="0" borderId="27" xfId="169" applyFont="1" applyBorder="1" applyAlignment="1">
      <alignment horizontal="center" vertical="center" wrapText="1"/>
    </xf>
    <xf numFmtId="0" fontId="48" fillId="0" borderId="9" xfId="169" applyFont="1" applyBorder="1" applyAlignment="1">
      <alignment horizontal="center" vertical="center" wrapText="1"/>
    </xf>
    <xf numFmtId="0" fontId="48" fillId="0" borderId="13" xfId="169" applyFont="1" applyBorder="1" applyAlignment="1">
      <alignment horizontal="center" vertical="center" wrapText="1"/>
    </xf>
    <xf numFmtId="164" fontId="48" fillId="0" borderId="8" xfId="4" applyNumberFormat="1" applyFont="1" applyBorder="1" applyAlignment="1">
      <alignment horizontal="center" vertical="center"/>
    </xf>
    <xf numFmtId="164" fontId="48" fillId="0" borderId="11" xfId="4" applyNumberFormat="1" applyFont="1" applyBorder="1" applyAlignment="1">
      <alignment horizontal="center" vertical="center"/>
    </xf>
    <xf numFmtId="164" fontId="48" fillId="0" borderId="12" xfId="4" applyNumberFormat="1" applyFont="1" applyBorder="1" applyAlignment="1">
      <alignment horizontal="center" vertical="center"/>
    </xf>
    <xf numFmtId="0" fontId="53" fillId="0" borderId="8" xfId="169" applyFont="1" applyBorder="1" applyAlignment="1">
      <alignment horizontal="left"/>
    </xf>
    <xf numFmtId="0" fontId="53" fillId="0" borderId="11" xfId="169" applyFont="1" applyBorder="1" applyAlignment="1">
      <alignment horizontal="left"/>
    </xf>
    <xf numFmtId="0" fontId="53" fillId="0" borderId="12" xfId="169" applyFont="1" applyBorder="1" applyAlignment="1">
      <alignment horizontal="left"/>
    </xf>
    <xf numFmtId="0" fontId="48" fillId="0" borderId="9" xfId="169" applyFont="1" applyBorder="1" applyAlignment="1">
      <alignment horizontal="center" vertical="center"/>
    </xf>
    <xf numFmtId="0" fontId="48" fillId="0" borderId="13" xfId="169" applyFont="1" applyBorder="1" applyAlignment="1">
      <alignment horizontal="center" vertical="center"/>
    </xf>
    <xf numFmtId="0" fontId="48" fillId="0" borderId="17" xfId="169" applyFont="1" applyBorder="1" applyAlignment="1">
      <alignment horizontal="center" vertical="center"/>
    </xf>
    <xf numFmtId="0" fontId="48" fillId="0" borderId="16" xfId="169" applyFont="1" applyBorder="1" applyAlignment="1">
      <alignment horizontal="center" vertical="center"/>
    </xf>
    <xf numFmtId="0" fontId="48" fillId="0" borderId="15" xfId="169" applyFont="1" applyBorder="1" applyAlignment="1">
      <alignment horizontal="center" vertical="center"/>
    </xf>
    <xf numFmtId="0" fontId="48" fillId="0" borderId="26" xfId="169" applyFont="1" applyBorder="1" applyAlignment="1">
      <alignment horizontal="center" vertical="center"/>
    </xf>
    <xf numFmtId="0" fontId="48" fillId="0" borderId="28" xfId="169" applyFont="1" applyBorder="1" applyAlignment="1">
      <alignment horizontal="center" vertical="center"/>
    </xf>
    <xf numFmtId="0" fontId="48" fillId="0" borderId="27" xfId="169" applyFont="1" applyBorder="1" applyAlignment="1">
      <alignment horizontal="center" vertical="center"/>
    </xf>
    <xf numFmtId="0" fontId="48" fillId="0" borderId="8" xfId="165" applyFont="1" applyBorder="1" applyAlignment="1">
      <alignment horizontal="left" vertical="center" wrapText="1"/>
    </xf>
    <xf numFmtId="0" fontId="48" fillId="0" borderId="11" xfId="165" applyFont="1" applyBorder="1" applyAlignment="1">
      <alignment horizontal="left" vertical="center" wrapText="1"/>
    </xf>
    <xf numFmtId="0" fontId="48" fillId="0" borderId="12" xfId="165" applyFont="1" applyBorder="1" applyAlignment="1">
      <alignment horizontal="left" vertical="center" wrapText="1"/>
    </xf>
    <xf numFmtId="49" fontId="53" fillId="0" borderId="8" xfId="169" applyNumberFormat="1" applyFont="1" applyBorder="1" applyAlignment="1">
      <alignment horizontal="right"/>
    </xf>
    <xf numFmtId="49" fontId="53" fillId="0" borderId="11" xfId="169" applyNumberFormat="1" applyFont="1" applyBorder="1" applyAlignment="1">
      <alignment horizontal="right"/>
    </xf>
    <xf numFmtId="49" fontId="53" fillId="0" borderId="12" xfId="169" applyNumberFormat="1" applyFont="1" applyBorder="1" applyAlignment="1">
      <alignment horizontal="right"/>
    </xf>
    <xf numFmtId="49" fontId="53" fillId="0" borderId="47" xfId="169" applyNumberFormat="1" applyFont="1" applyBorder="1" applyAlignment="1">
      <alignment horizontal="center"/>
    </xf>
    <xf numFmtId="49" fontId="53" fillId="0" borderId="48" xfId="169" applyNumberFormat="1" applyFont="1" applyBorder="1" applyAlignment="1">
      <alignment horizontal="center"/>
    </xf>
    <xf numFmtId="49" fontId="53" fillId="0" borderId="49" xfId="169" applyNumberFormat="1" applyFont="1" applyBorder="1" applyAlignment="1">
      <alignment horizontal="center"/>
    </xf>
    <xf numFmtId="0" fontId="48" fillId="0" borderId="6" xfId="185" applyFont="1" applyBorder="1" applyAlignment="1">
      <alignment horizontal="left" vertical="center" wrapText="1"/>
    </xf>
    <xf numFmtId="0" fontId="46" fillId="3" borderId="17" xfId="0" applyFont="1" applyFill="1" applyBorder="1" applyAlignment="1">
      <alignment horizontal="left" vertical="top"/>
    </xf>
    <xf numFmtId="0" fontId="46" fillId="3" borderId="16" xfId="0" applyFont="1" applyFill="1" applyBorder="1" applyAlignment="1">
      <alignment horizontal="left" vertical="top"/>
    </xf>
    <xf numFmtId="49" fontId="53" fillId="0" borderId="6" xfId="169" applyNumberFormat="1" applyFont="1" applyBorder="1" applyAlignment="1">
      <alignment horizontal="right"/>
    </xf>
    <xf numFmtId="166" fontId="48" fillId="0" borderId="8" xfId="4" applyNumberFormat="1" applyFont="1" applyBorder="1" applyAlignment="1">
      <alignment horizontal="center" vertical="center"/>
    </xf>
    <xf numFmtId="166" fontId="48" fillId="0" borderId="12" xfId="4" applyNumberFormat="1" applyFont="1" applyBorder="1" applyAlignment="1">
      <alignment horizontal="center" vertical="center"/>
    </xf>
    <xf numFmtId="0" fontId="46" fillId="3" borderId="16" xfId="0" applyFont="1" applyFill="1" applyBorder="1" applyAlignment="1">
      <alignment horizontal="center" vertical="top"/>
    </xf>
    <xf numFmtId="0" fontId="46" fillId="3" borderId="15" xfId="0" applyFont="1" applyFill="1" applyBorder="1" applyAlignment="1">
      <alignment horizontal="center" vertical="top"/>
    </xf>
    <xf numFmtId="0" fontId="45" fillId="3" borderId="0" xfId="0" applyFont="1" applyFill="1" applyAlignment="1">
      <alignment horizontal="center" vertical="top" wrapText="1"/>
    </xf>
    <xf numFmtId="0" fontId="45" fillId="3" borderId="14" xfId="0" applyFont="1" applyFill="1" applyBorder="1" applyAlignment="1">
      <alignment horizontal="center" vertical="top" wrapText="1"/>
    </xf>
    <xf numFmtId="0" fontId="46" fillId="3" borderId="25" xfId="0" applyFont="1" applyFill="1" applyBorder="1" applyAlignment="1">
      <alignment horizontal="left" vertical="top" wrapText="1"/>
    </xf>
    <xf numFmtId="0" fontId="46" fillId="3" borderId="0" xfId="0" applyFont="1" applyFill="1" applyAlignment="1">
      <alignment horizontal="left" vertical="top" wrapText="1"/>
    </xf>
    <xf numFmtId="0" fontId="48" fillId="0" borderId="6" xfId="184" applyFont="1" applyBorder="1" applyAlignment="1">
      <alignment horizontal="left" vertical="center" wrapText="1"/>
    </xf>
    <xf numFmtId="0" fontId="53" fillId="0" borderId="6" xfId="169" applyFont="1" applyBorder="1" applyAlignment="1">
      <alignment horizontal="left"/>
    </xf>
    <xf numFmtId="0" fontId="48" fillId="0" borderId="6" xfId="169" applyFont="1" applyBorder="1" applyAlignment="1">
      <alignment horizontal="center" vertical="center"/>
    </xf>
    <xf numFmtId="0" fontId="57" fillId="4" borderId="25" xfId="169" applyFont="1" applyFill="1" applyBorder="1" applyAlignment="1">
      <alignment horizontal="center"/>
    </xf>
    <xf numFmtId="0" fontId="57" fillId="4" borderId="0" xfId="169" applyFont="1" applyFill="1" applyAlignment="1">
      <alignment horizontal="center"/>
    </xf>
    <xf numFmtId="0" fontId="57" fillId="4" borderId="14" xfId="169" applyFont="1" applyFill="1" applyBorder="1" applyAlignment="1">
      <alignment horizontal="center"/>
    </xf>
    <xf numFmtId="0" fontId="60" fillId="4" borderId="8" xfId="169" applyFont="1" applyFill="1" applyBorder="1" applyAlignment="1">
      <alignment horizontal="center" vertical="center"/>
    </xf>
    <xf numFmtId="0" fontId="60" fillId="4" borderId="11" xfId="169" applyFont="1" applyFill="1" applyBorder="1" applyAlignment="1">
      <alignment horizontal="center" vertical="center"/>
    </xf>
    <xf numFmtId="0" fontId="60" fillId="4" borderId="12" xfId="169" applyFont="1" applyFill="1" applyBorder="1" applyAlignment="1">
      <alignment horizontal="center" vertical="center"/>
    </xf>
    <xf numFmtId="0" fontId="61" fillId="0" borderId="9" xfId="169" applyFont="1" applyBorder="1" applyAlignment="1">
      <alignment horizontal="center" vertical="top"/>
    </xf>
    <xf numFmtId="0" fontId="61" fillId="0" borderId="13" xfId="169" applyFont="1" applyBorder="1" applyAlignment="1">
      <alignment horizontal="center" vertical="top"/>
    </xf>
    <xf numFmtId="0" fontId="61" fillId="0" borderId="9" xfId="169" applyFont="1" applyBorder="1" applyAlignment="1">
      <alignment horizontal="justify" vertical="top"/>
    </xf>
    <xf numFmtId="0" fontId="61" fillId="0" borderId="13" xfId="169" applyFont="1" applyBorder="1" applyAlignment="1">
      <alignment horizontal="justify" vertical="top"/>
    </xf>
    <xf numFmtId="0" fontId="61" fillId="0" borderId="8" xfId="169" applyFont="1" applyBorder="1" applyAlignment="1">
      <alignment horizontal="center" vertical="top" wrapText="1"/>
    </xf>
    <xf numFmtId="0" fontId="61" fillId="0" borderId="12" xfId="169" applyFont="1" applyBorder="1" applyAlignment="1">
      <alignment horizontal="center" vertical="top" wrapText="1"/>
    </xf>
    <xf numFmtId="0" fontId="61" fillId="0" borderId="17" xfId="169" applyFont="1" applyBorder="1" applyAlignment="1">
      <alignment horizontal="center" vertical="top"/>
    </xf>
    <xf numFmtId="0" fontId="61" fillId="0" borderId="15" xfId="169" applyFont="1" applyBorder="1" applyAlignment="1">
      <alignment horizontal="center" vertical="top"/>
    </xf>
    <xf numFmtId="0" fontId="61" fillId="0" borderId="26" xfId="169" applyFont="1" applyBorder="1" applyAlignment="1">
      <alignment horizontal="center" vertical="top"/>
    </xf>
    <xf numFmtId="0" fontId="61" fillId="0" borderId="27" xfId="169" applyFont="1" applyBorder="1" applyAlignment="1">
      <alignment horizontal="center" vertical="top"/>
    </xf>
    <xf numFmtId="184" fontId="53" fillId="0" borderId="9" xfId="169" applyNumberFormat="1" applyFont="1" applyBorder="1" applyAlignment="1">
      <alignment horizontal="center" vertical="top"/>
    </xf>
    <xf numFmtId="184" fontId="53" fillId="0" borderId="13" xfId="169" applyNumberFormat="1" applyFont="1" applyBorder="1" applyAlignment="1">
      <alignment horizontal="center" vertical="top"/>
    </xf>
    <xf numFmtId="0" fontId="69" fillId="0" borderId="8" xfId="178" applyFont="1" applyBorder="1" applyAlignment="1">
      <alignment horizontal="left" vertical="justify"/>
    </xf>
    <xf numFmtId="0" fontId="69" fillId="0" borderId="11" xfId="178" applyFont="1" applyBorder="1" applyAlignment="1">
      <alignment horizontal="left" vertical="justify"/>
    </xf>
    <xf numFmtId="0" fontId="69" fillId="0" borderId="12" xfId="178" applyFont="1" applyBorder="1" applyAlignment="1">
      <alignment horizontal="left" vertical="justify"/>
    </xf>
    <xf numFmtId="0" fontId="48" fillId="0" borderId="8" xfId="169" applyFont="1" applyBorder="1" applyAlignment="1">
      <alignment horizontal="center" vertical="center"/>
    </xf>
    <xf numFmtId="0" fontId="48" fillId="0" borderId="12" xfId="169" applyFont="1" applyBorder="1" applyAlignment="1">
      <alignment horizontal="center" vertical="center"/>
    </xf>
    <xf numFmtId="49" fontId="53" fillId="0" borderId="47" xfId="173" applyNumberFormat="1" applyFont="1" applyBorder="1" applyAlignment="1">
      <alignment horizontal="center"/>
    </xf>
    <xf numFmtId="49" fontId="53" fillId="0" borderId="48" xfId="173" applyNumberFormat="1" applyFont="1" applyBorder="1" applyAlignment="1">
      <alignment horizontal="center"/>
    </xf>
    <xf numFmtId="49" fontId="53" fillId="0" borderId="49" xfId="173" applyNumberFormat="1" applyFont="1" applyBorder="1" applyAlignment="1">
      <alignment horizontal="center"/>
    </xf>
    <xf numFmtId="49" fontId="53" fillId="0" borderId="29" xfId="173" applyNumberFormat="1" applyFont="1" applyBorder="1" applyAlignment="1">
      <alignment horizontal="right"/>
    </xf>
    <xf numFmtId="49" fontId="53" fillId="0" borderId="30" xfId="173" applyNumberFormat="1" applyFont="1" applyBorder="1" applyAlignment="1">
      <alignment horizontal="right"/>
    </xf>
    <xf numFmtId="49" fontId="53" fillId="0" borderId="31" xfId="173" applyNumberFormat="1" applyFont="1" applyBorder="1" applyAlignment="1">
      <alignment horizontal="right"/>
    </xf>
    <xf numFmtId="49" fontId="53" fillId="0" borderId="6" xfId="173" applyNumberFormat="1" applyFont="1" applyBorder="1" applyAlignment="1">
      <alignment horizontal="right"/>
    </xf>
    <xf numFmtId="0" fontId="46" fillId="3" borderId="0" xfId="0" applyFont="1" applyFill="1" applyBorder="1" applyAlignment="1">
      <alignment horizontal="left" vertical="top" wrapText="1"/>
    </xf>
    <xf numFmtId="179" fontId="53" fillId="0" borderId="8" xfId="173" applyFont="1" applyBorder="1" applyAlignment="1">
      <alignment horizontal="left"/>
    </xf>
    <xf numFmtId="179" fontId="53" fillId="0" borderId="11" xfId="173" applyFont="1" applyBorder="1" applyAlignment="1">
      <alignment horizontal="left"/>
    </xf>
    <xf numFmtId="179" fontId="53" fillId="0" borderId="12" xfId="173" applyFont="1" applyBorder="1" applyAlignment="1">
      <alignment horizontal="left"/>
    </xf>
    <xf numFmtId="179" fontId="48" fillId="0" borderId="9" xfId="173" applyFont="1" applyBorder="1" applyAlignment="1">
      <alignment horizontal="center" vertical="center"/>
    </xf>
    <xf numFmtId="179" fontId="48" fillId="0" borderId="13" xfId="173" applyFont="1" applyBorder="1" applyAlignment="1">
      <alignment horizontal="center" vertical="center"/>
    </xf>
    <xf numFmtId="179" fontId="48" fillId="0" borderId="17" xfId="173" applyFont="1" applyBorder="1" applyAlignment="1">
      <alignment horizontal="center" vertical="center"/>
    </xf>
    <xf numFmtId="179" fontId="48" fillId="0" borderId="16" xfId="173" applyFont="1" applyBorder="1" applyAlignment="1">
      <alignment horizontal="center" vertical="center"/>
    </xf>
    <xf numFmtId="179" fontId="48" fillId="0" borderId="15" xfId="173" applyFont="1" applyBorder="1" applyAlignment="1">
      <alignment horizontal="center" vertical="center"/>
    </xf>
    <xf numFmtId="179" fontId="48" fillId="0" borderId="26" xfId="173" applyFont="1" applyBorder="1" applyAlignment="1">
      <alignment horizontal="center" vertical="center"/>
    </xf>
    <xf numFmtId="179" fontId="48" fillId="0" borderId="28" xfId="173" applyFont="1" applyBorder="1" applyAlignment="1">
      <alignment horizontal="center" vertical="center"/>
    </xf>
    <xf numFmtId="179" fontId="48" fillId="0" borderId="27" xfId="173" applyFont="1" applyBorder="1" applyAlignment="1">
      <alignment horizontal="center" vertical="center"/>
    </xf>
    <xf numFmtId="179" fontId="48" fillId="0" borderId="9" xfId="173" applyFont="1" applyBorder="1" applyAlignment="1">
      <alignment horizontal="center" vertical="center" wrapText="1"/>
    </xf>
    <xf numFmtId="179" fontId="48" fillId="0" borderId="13" xfId="173" applyFont="1" applyBorder="1" applyAlignment="1">
      <alignment horizontal="center" vertical="center" wrapText="1"/>
    </xf>
    <xf numFmtId="49" fontId="53" fillId="0" borderId="8" xfId="173" applyNumberFormat="1" applyFont="1" applyBorder="1" applyAlignment="1">
      <alignment horizontal="right"/>
    </xf>
    <xf numFmtId="49" fontId="53" fillId="0" borderId="11" xfId="173" applyNumberFormat="1" applyFont="1" applyBorder="1" applyAlignment="1">
      <alignment horizontal="right"/>
    </xf>
    <xf numFmtId="49" fontId="53" fillId="0" borderId="12" xfId="173" applyNumberFormat="1" applyFont="1" applyBorder="1" applyAlignment="1">
      <alignment horizontal="right"/>
    </xf>
    <xf numFmtId="179" fontId="48" fillId="0" borderId="17" xfId="173" applyFont="1" applyBorder="1" applyAlignment="1">
      <alignment horizontal="center" vertical="center" wrapText="1"/>
    </xf>
    <xf numFmtId="179" fontId="48" fillId="0" borderId="16" xfId="173" applyFont="1" applyBorder="1" applyAlignment="1">
      <alignment horizontal="center" vertical="center" wrapText="1"/>
    </xf>
    <xf numFmtId="179" fontId="48" fillId="0" borderId="15" xfId="173" applyFont="1" applyBorder="1" applyAlignment="1">
      <alignment horizontal="center" vertical="center" wrapText="1"/>
    </xf>
    <xf numFmtId="179" fontId="48" fillId="0" borderId="26" xfId="173" applyFont="1" applyBorder="1" applyAlignment="1">
      <alignment horizontal="center" vertical="center" wrapText="1"/>
    </xf>
    <xf numFmtId="179" fontId="48" fillId="0" borderId="28" xfId="173" applyFont="1" applyBorder="1" applyAlignment="1">
      <alignment horizontal="center" vertical="center" wrapText="1"/>
    </xf>
    <xf numFmtId="179" fontId="48" fillId="0" borderId="27" xfId="173" applyFont="1" applyBorder="1" applyAlignment="1">
      <alignment horizontal="center" vertical="center" wrapText="1"/>
    </xf>
    <xf numFmtId="179" fontId="48" fillId="0" borderId="8" xfId="173" applyFont="1" applyBorder="1" applyAlignment="1">
      <alignment horizontal="center" vertical="center"/>
    </xf>
    <xf numFmtId="179" fontId="48" fillId="0" borderId="12" xfId="173" applyFont="1" applyBorder="1" applyAlignment="1">
      <alignment horizontal="center" vertical="center"/>
    </xf>
    <xf numFmtId="179" fontId="57" fillId="4" borderId="25" xfId="171" applyFont="1" applyFill="1" applyBorder="1" applyAlignment="1">
      <alignment horizontal="center"/>
    </xf>
    <xf numFmtId="179" fontId="57" fillId="4" borderId="0" xfId="171" applyFont="1" applyFill="1" applyAlignment="1">
      <alignment horizontal="center"/>
    </xf>
    <xf numFmtId="179" fontId="57" fillId="4" borderId="14" xfId="171" applyFont="1" applyFill="1" applyBorder="1" applyAlignment="1">
      <alignment horizontal="center"/>
    </xf>
    <xf numFmtId="179" fontId="60" fillId="4" borderId="8" xfId="171" applyFont="1" applyFill="1" applyBorder="1" applyAlignment="1">
      <alignment horizontal="center" vertical="center"/>
    </xf>
    <xf numFmtId="179" fontId="60" fillId="4" borderId="11" xfId="171" applyFont="1" applyFill="1" applyBorder="1" applyAlignment="1">
      <alignment horizontal="center" vertical="center"/>
    </xf>
    <xf numFmtId="179" fontId="60" fillId="4" borderId="12" xfId="171" applyFont="1" applyFill="1" applyBorder="1" applyAlignment="1">
      <alignment horizontal="center" vertical="center"/>
    </xf>
    <xf numFmtId="179" fontId="61" fillId="0" borderId="9" xfId="173" applyFont="1" applyBorder="1" applyAlignment="1">
      <alignment horizontal="center" vertical="top"/>
    </xf>
    <xf numFmtId="179" fontId="61" fillId="0" borderId="13" xfId="173" applyFont="1" applyBorder="1" applyAlignment="1">
      <alignment horizontal="center" vertical="top"/>
    </xf>
    <xf numFmtId="179" fontId="61" fillId="0" borderId="9" xfId="173" applyFont="1" applyBorder="1" applyAlignment="1">
      <alignment horizontal="justify" vertical="top"/>
    </xf>
    <xf numFmtId="179" fontId="61" fillId="0" borderId="13" xfId="173" applyFont="1" applyBorder="1" applyAlignment="1">
      <alignment horizontal="justify" vertical="top"/>
    </xf>
    <xf numFmtId="179" fontId="61" fillId="0" borderId="8" xfId="173" applyFont="1" applyBorder="1" applyAlignment="1">
      <alignment horizontal="center" vertical="top" wrapText="1"/>
    </xf>
    <xf numFmtId="179" fontId="61" fillId="0" borderId="12" xfId="173" applyFont="1" applyBorder="1" applyAlignment="1">
      <alignment horizontal="center" vertical="top" wrapText="1"/>
    </xf>
    <xf numFmtId="179" fontId="61" fillId="0" borderId="17" xfId="173" applyFont="1" applyBorder="1" applyAlignment="1">
      <alignment horizontal="center" vertical="top"/>
    </xf>
    <xf numFmtId="179" fontId="61" fillId="0" borderId="15" xfId="173" applyFont="1" applyBorder="1" applyAlignment="1">
      <alignment horizontal="center" vertical="top"/>
    </xf>
    <xf numFmtId="179" fontId="61" fillId="0" borderId="26" xfId="173" applyFont="1" applyBorder="1" applyAlignment="1">
      <alignment horizontal="center" vertical="top"/>
    </xf>
    <xf numFmtId="179" fontId="61" fillId="0" borderId="27" xfId="173" applyFont="1" applyBorder="1" applyAlignment="1">
      <alignment horizontal="center" vertical="top"/>
    </xf>
    <xf numFmtId="184" fontId="53" fillId="0" borderId="9" xfId="173" applyNumberFormat="1" applyFont="1" applyBorder="1" applyAlignment="1">
      <alignment horizontal="center" vertical="top"/>
    </xf>
    <xf numFmtId="184" fontId="53" fillId="0" borderId="13" xfId="173" applyNumberFormat="1" applyFont="1" applyBorder="1" applyAlignment="1">
      <alignment horizontal="center" vertical="top"/>
    </xf>
    <xf numFmtId="44" fontId="74" fillId="3" borderId="0" xfId="1" applyFont="1" applyFill="1" applyAlignment="1">
      <alignment horizontal="center"/>
    </xf>
    <xf numFmtId="0" fontId="76" fillId="4" borderId="17" xfId="199" applyFont="1" applyFill="1" applyBorder="1"/>
    <xf numFmtId="0" fontId="79" fillId="4" borderId="16" xfId="199" applyFont="1" applyFill="1" applyBorder="1"/>
    <xf numFmtId="0" fontId="79" fillId="4" borderId="15" xfId="199" applyFont="1" applyFill="1" applyBorder="1"/>
    <xf numFmtId="0" fontId="82" fillId="3" borderId="25" xfId="199" applyFont="1" applyFill="1" applyBorder="1" applyAlignment="1">
      <alignment horizontal="center" vertical="center"/>
    </xf>
    <xf numFmtId="0" fontId="74" fillId="3" borderId="0" xfId="199" applyFont="1" applyFill="1" applyAlignment="1">
      <alignment horizontal="center" vertical="center"/>
    </xf>
    <xf numFmtId="0" fontId="73" fillId="4" borderId="17" xfId="199" applyFont="1" applyFill="1" applyBorder="1" applyAlignment="1">
      <alignment horizontal="center" vertical="center" wrapText="1"/>
    </xf>
    <xf numFmtId="0" fontId="73" fillId="4" borderId="16" xfId="199" applyFont="1" applyFill="1" applyBorder="1" applyAlignment="1">
      <alignment horizontal="center" vertical="center" wrapText="1"/>
    </xf>
    <xf numFmtId="0" fontId="73" fillId="4" borderId="15" xfId="199" applyFont="1" applyFill="1" applyBorder="1" applyAlignment="1">
      <alignment horizontal="center" vertical="center" wrapText="1"/>
    </xf>
    <xf numFmtId="0" fontId="73" fillId="4" borderId="25" xfId="199" applyFont="1" applyFill="1" applyBorder="1" applyAlignment="1">
      <alignment horizontal="center" vertical="center" wrapText="1"/>
    </xf>
    <xf numFmtId="0" fontId="73" fillId="4" borderId="0" xfId="199" applyFont="1" applyFill="1" applyAlignment="1">
      <alignment horizontal="center" vertical="center" wrapText="1"/>
    </xf>
    <xf numFmtId="0" fontId="73" fillId="4" borderId="14" xfId="199" applyFont="1" applyFill="1" applyBorder="1" applyAlignment="1">
      <alignment horizontal="center" vertical="center" wrapText="1"/>
    </xf>
    <xf numFmtId="0" fontId="76" fillId="4" borderId="25" xfId="199" applyFont="1" applyFill="1" applyBorder="1" applyAlignment="1">
      <alignment horizontal="center"/>
    </xf>
    <xf numFmtId="0" fontId="76" fillId="4" borderId="0" xfId="199" applyFont="1" applyFill="1" applyAlignment="1">
      <alignment horizontal="center"/>
    </xf>
    <xf numFmtId="0" fontId="76" fillId="4" borderId="14" xfId="199" applyFont="1" applyFill="1" applyBorder="1" applyAlignment="1">
      <alignment horizontal="center"/>
    </xf>
    <xf numFmtId="0" fontId="77" fillId="4" borderId="25" xfId="199" applyFont="1" applyFill="1" applyBorder="1" applyAlignment="1">
      <alignment horizontal="center" vertical="center"/>
    </xf>
    <xf numFmtId="0" fontId="77" fillId="4" borderId="0" xfId="199" applyFont="1" applyFill="1" applyAlignment="1">
      <alignment horizontal="center" vertical="center"/>
    </xf>
    <xf numFmtId="0" fontId="77" fillId="4" borderId="14" xfId="199" applyFont="1" applyFill="1" applyBorder="1" applyAlignment="1">
      <alignment horizontal="center" vertical="center"/>
    </xf>
    <xf numFmtId="0" fontId="78" fillId="3" borderId="0" xfId="199" applyFont="1" applyFill="1" applyAlignment="1">
      <alignment horizontal="center"/>
    </xf>
    <xf numFmtId="0" fontId="74" fillId="3" borderId="0" xfId="199" applyFont="1" applyFill="1" applyAlignment="1">
      <alignment horizontal="right"/>
    </xf>
    <xf numFmtId="0" fontId="61" fillId="3" borderId="8" xfId="195" applyFont="1" applyFill="1" applyBorder="1" applyAlignment="1">
      <alignment horizontal="center"/>
    </xf>
    <xf numFmtId="0" fontId="61" fillId="3" borderId="11" xfId="195" applyFont="1" applyFill="1" applyBorder="1" applyAlignment="1">
      <alignment horizontal="center"/>
    </xf>
    <xf numFmtId="0" fontId="48" fillId="3" borderId="8" xfId="195" applyFont="1" applyFill="1" applyBorder="1" applyAlignment="1">
      <alignment horizontal="left" wrapText="1"/>
    </xf>
    <xf numFmtId="0" fontId="48" fillId="3" borderId="11" xfId="195" applyFont="1" applyFill="1" applyBorder="1" applyAlignment="1">
      <alignment horizontal="left" wrapText="1"/>
    </xf>
    <xf numFmtId="0" fontId="53" fillId="3" borderId="6" xfId="195" applyFont="1" applyFill="1" applyBorder="1" applyAlignment="1">
      <alignment horizontal="left"/>
    </xf>
    <xf numFmtId="0" fontId="53" fillId="3" borderId="9" xfId="195" applyFont="1" applyFill="1" applyBorder="1" applyAlignment="1">
      <alignment horizontal="left"/>
    </xf>
    <xf numFmtId="0" fontId="61" fillId="3" borderId="6" xfId="195" applyFont="1" applyFill="1" applyBorder="1" applyAlignment="1">
      <alignment horizontal="center" vertical="center"/>
    </xf>
    <xf numFmtId="0" fontId="61" fillId="3" borderId="8" xfId="195" applyFont="1" applyFill="1" applyBorder="1" applyAlignment="1">
      <alignment horizontal="center" vertical="top" wrapText="1"/>
    </xf>
    <xf numFmtId="0" fontId="61" fillId="3" borderId="11" xfId="195" applyFont="1" applyFill="1" applyBorder="1" applyAlignment="1">
      <alignment horizontal="center" vertical="top" wrapText="1"/>
    </xf>
    <xf numFmtId="0" fontId="69" fillId="3" borderId="15" xfId="0" applyFont="1" applyFill="1" applyBorder="1" applyAlignment="1">
      <alignment horizontal="center" vertical="center"/>
    </xf>
    <xf numFmtId="0" fontId="69" fillId="3" borderId="27" xfId="0" applyFont="1" applyFill="1" applyBorder="1" applyAlignment="1">
      <alignment horizontal="center" vertical="center"/>
    </xf>
    <xf numFmtId="0" fontId="45" fillId="3" borderId="26" xfId="0" applyFont="1" applyFill="1" applyBorder="1" applyAlignment="1">
      <alignment horizontal="left" vertical="top" wrapText="1"/>
    </xf>
    <xf numFmtId="0" fontId="45" fillId="3" borderId="28" xfId="0" applyFont="1" applyFill="1" applyBorder="1" applyAlignment="1">
      <alignment horizontal="left" vertical="top" wrapText="1"/>
    </xf>
    <xf numFmtId="0" fontId="57" fillId="4" borderId="13" xfId="195" applyFont="1" applyFill="1" applyBorder="1" applyAlignment="1">
      <alignment horizontal="center"/>
    </xf>
    <xf numFmtId="179" fontId="59" fillId="3" borderId="8" xfId="196" applyFont="1" applyFill="1" applyBorder="1" applyAlignment="1">
      <alignment horizontal="center" vertical="center" wrapText="1"/>
    </xf>
    <xf numFmtId="179" fontId="59" fillId="3" borderId="12" xfId="196" applyFont="1" applyFill="1" applyBorder="1" applyAlignment="1">
      <alignment horizontal="center" vertical="center" wrapText="1"/>
    </xf>
    <xf numFmtId="0" fontId="69" fillId="3" borderId="6" xfId="197" applyFont="1" applyFill="1" applyBorder="1" applyAlignment="1">
      <alignment horizontal="left" vertical="center"/>
    </xf>
    <xf numFmtId="0" fontId="60" fillId="4" borderId="6" xfId="195" applyFont="1" applyFill="1" applyBorder="1" applyAlignment="1">
      <alignment horizontal="center" vertical="center"/>
    </xf>
    <xf numFmtId="0" fontId="61" fillId="3" borderId="17" xfId="195" applyFont="1" applyFill="1" applyBorder="1" applyAlignment="1">
      <alignment horizontal="center" vertical="center"/>
    </xf>
    <xf numFmtId="0" fontId="61" fillId="3" borderId="15" xfId="195" applyFont="1" applyFill="1" applyBorder="1" applyAlignment="1">
      <alignment horizontal="center" vertical="center"/>
    </xf>
    <xf numFmtId="0" fontId="61" fillId="3" borderId="26" xfId="195" applyFont="1" applyFill="1" applyBorder="1" applyAlignment="1">
      <alignment horizontal="center" vertical="center"/>
    </xf>
    <xf numFmtId="0" fontId="61" fillId="3" borderId="27" xfId="195" applyFont="1" applyFill="1" applyBorder="1" applyAlignment="1">
      <alignment horizontal="center" vertical="center"/>
    </xf>
    <xf numFmtId="0" fontId="48" fillId="0" borderId="0" xfId="170" applyFont="1" applyAlignment="1">
      <alignment horizontal="left"/>
    </xf>
    <xf numFmtId="10" fontId="50" fillId="0" borderId="6" xfId="170" applyNumberFormat="1" applyFont="1" applyBorder="1" applyAlignment="1">
      <alignment horizontal="center" vertical="center" wrapText="1"/>
    </xf>
    <xf numFmtId="0" fontId="48" fillId="0" borderId="17" xfId="170" applyFont="1" applyBorder="1" applyAlignment="1">
      <alignment horizontal="center"/>
    </xf>
    <xf numFmtId="0" fontId="48" fillId="0" borderId="16" xfId="170" applyFont="1" applyBorder="1" applyAlignment="1">
      <alignment horizontal="center"/>
    </xf>
    <xf numFmtId="0" fontId="48" fillId="0" borderId="15" xfId="170" applyFont="1" applyBorder="1" applyAlignment="1">
      <alignment horizontal="center"/>
    </xf>
    <xf numFmtId="0" fontId="48" fillId="0" borderId="25" xfId="170" applyFont="1" applyBorder="1" applyAlignment="1">
      <alignment horizontal="center"/>
    </xf>
    <xf numFmtId="0" fontId="48" fillId="0" borderId="0" xfId="170" applyFont="1" applyAlignment="1">
      <alignment horizontal="center"/>
    </xf>
    <xf numFmtId="0" fontId="48" fillId="0" borderId="14" xfId="170" applyFont="1" applyBorder="1" applyAlignment="1">
      <alignment horizontal="center"/>
    </xf>
    <xf numFmtId="0" fontId="48" fillId="0" borderId="26" xfId="170" applyFont="1" applyBorder="1" applyAlignment="1">
      <alignment horizontal="center"/>
    </xf>
    <xf numFmtId="0" fontId="48" fillId="0" borderId="28" xfId="170" applyFont="1" applyBorder="1" applyAlignment="1">
      <alignment horizontal="center"/>
    </xf>
    <xf numFmtId="0" fontId="48" fillId="0" borderId="27" xfId="170" applyFont="1" applyBorder="1" applyAlignment="1">
      <alignment horizontal="center"/>
    </xf>
    <xf numFmtId="0" fontId="50" fillId="0" borderId="6" xfId="170" applyFont="1" applyBorder="1" applyAlignment="1">
      <alignment horizontal="center" wrapText="1"/>
    </xf>
    <xf numFmtId="0" fontId="51" fillId="0" borderId="6" xfId="170" applyFont="1" applyBorder="1" applyAlignment="1">
      <alignment horizontal="center" vertical="center" wrapText="1"/>
    </xf>
    <xf numFmtId="0" fontId="57" fillId="4" borderId="6" xfId="170" applyFont="1" applyFill="1" applyBorder="1" applyAlignment="1">
      <alignment horizontal="center"/>
    </xf>
    <xf numFmtId="0" fontId="53" fillId="0" borderId="6" xfId="170" applyFont="1" applyBorder="1" applyAlignment="1">
      <alignment horizontal="center"/>
    </xf>
    <xf numFmtId="0" fontId="49" fillId="4" borderId="45" xfId="183" applyFont="1" applyFill="1" applyBorder="1" applyAlignment="1">
      <alignment horizontal="center"/>
    </xf>
    <xf numFmtId="0" fontId="49" fillId="4" borderId="11" xfId="183" applyFont="1" applyFill="1" applyBorder="1" applyAlignment="1">
      <alignment horizontal="center"/>
    </xf>
    <xf numFmtId="0" fontId="49" fillId="4" borderId="46" xfId="183" applyFont="1" applyFill="1" applyBorder="1" applyAlignment="1">
      <alignment horizontal="center"/>
    </xf>
    <xf numFmtId="0" fontId="42" fillId="0" borderId="45" xfId="183" applyFont="1" applyBorder="1" applyAlignment="1">
      <alignment horizontal="center" vertical="center"/>
    </xf>
    <xf numFmtId="0" fontId="42" fillId="0" borderId="11" xfId="183" applyFont="1" applyBorder="1" applyAlignment="1">
      <alignment horizontal="center" vertical="center"/>
    </xf>
    <xf numFmtId="0" fontId="42" fillId="0" borderId="46" xfId="183" applyFont="1" applyBorder="1" applyAlignment="1">
      <alignment horizontal="center" vertical="center"/>
    </xf>
    <xf numFmtId="0" fontId="70" fillId="0" borderId="34" xfId="183" applyFont="1" applyBorder="1" applyAlignment="1">
      <alignment horizontal="left" vertical="center"/>
    </xf>
    <xf numFmtId="0" fontId="54" fillId="0" borderId="8" xfId="183" applyFont="1" applyBorder="1" applyAlignment="1">
      <alignment horizontal="center" vertical="center"/>
    </xf>
    <xf numFmtId="0" fontId="54" fillId="0" borderId="12" xfId="183" applyFont="1" applyBorder="1" applyAlignment="1">
      <alignment horizontal="center" vertical="center"/>
    </xf>
    <xf numFmtId="0" fontId="54" fillId="0" borderId="46" xfId="183" applyFont="1" applyBorder="1" applyAlignment="1">
      <alignment horizontal="center" vertical="center"/>
    </xf>
    <xf numFmtId="0" fontId="3" fillId="0" borderId="33" xfId="183" applyBorder="1" applyAlignment="1">
      <alignment horizontal="center"/>
    </xf>
    <xf numFmtId="0" fontId="3" fillId="0" borderId="34" xfId="183" applyBorder="1" applyAlignment="1">
      <alignment horizontal="center"/>
    </xf>
    <xf numFmtId="0" fontId="3" fillId="0" borderId="35" xfId="183" applyBorder="1" applyAlignment="1">
      <alignment horizontal="center"/>
    </xf>
    <xf numFmtId="0" fontId="3" fillId="0" borderId="36" xfId="183" applyBorder="1" applyAlignment="1">
      <alignment horizontal="center"/>
    </xf>
    <xf numFmtId="0" fontId="3" fillId="0" borderId="0" xfId="183" applyAlignment="1">
      <alignment horizontal="center"/>
    </xf>
    <xf numFmtId="0" fontId="3" fillId="0" borderId="37" xfId="183" applyBorder="1" applyAlignment="1">
      <alignment horizontal="center"/>
    </xf>
    <xf numFmtId="0" fontId="49" fillId="4" borderId="33" xfId="183" applyFont="1" applyFill="1" applyBorder="1" applyAlignment="1">
      <alignment horizontal="center"/>
    </xf>
    <xf numFmtId="0" fontId="49" fillId="4" borderId="34" xfId="183" applyFont="1" applyFill="1" applyBorder="1" applyAlignment="1">
      <alignment horizontal="center"/>
    </xf>
    <xf numFmtId="0" fontId="49" fillId="4" borderId="35" xfId="183" applyFont="1" applyFill="1" applyBorder="1" applyAlignment="1">
      <alignment horizontal="center"/>
    </xf>
    <xf numFmtId="0" fontId="54" fillId="0" borderId="38" xfId="183" applyFont="1" applyBorder="1" applyAlignment="1">
      <alignment horizontal="center" vertical="center"/>
    </xf>
    <xf numFmtId="0" fontId="54" fillId="0" borderId="6" xfId="183" applyFont="1" applyBorder="1" applyAlignment="1">
      <alignment horizontal="center" vertical="center"/>
    </xf>
    <xf numFmtId="0" fontId="54" fillId="0" borderId="39" xfId="183" applyFont="1" applyBorder="1" applyAlignment="1">
      <alignment horizontal="center" vertical="center"/>
    </xf>
  </cellXfs>
  <cellStyles count="205">
    <cellStyle name="0,0_x000d__x000a_NA_x000d__x000a_" xfId="14"/>
    <cellStyle name="0,0_x000d__x000a_NA_x000d__x000a_ 2" xfId="15"/>
    <cellStyle name="12" xfId="16"/>
    <cellStyle name="Estilo 1" xfId="17"/>
    <cellStyle name="Euro" xfId="18"/>
    <cellStyle name="Euro 2" xfId="19"/>
    <cellStyle name="Euro 3" xfId="20"/>
    <cellStyle name="Euro 4" xfId="21"/>
    <cellStyle name="Euro 5" xfId="22"/>
    <cellStyle name="Euro 6" xfId="23"/>
    <cellStyle name="Excel Built-in Currency" xfId="24"/>
    <cellStyle name="Excel Built-in Normal" xfId="25"/>
    <cellStyle name="Excel Built-in Percent" xfId="26"/>
    <cellStyle name="HEADER" xfId="27"/>
    <cellStyle name="Heading" xfId="28"/>
    <cellStyle name="Heading 1" xfId="29"/>
    <cellStyle name="Heading1" xfId="30"/>
    <cellStyle name="Heading1 1" xfId="31"/>
    <cellStyle name="Hiperlink 2" xfId="32"/>
    <cellStyle name="Milliers [0]_after_discount" xfId="33"/>
    <cellStyle name="Milliers_after_discount" xfId="34"/>
    <cellStyle name="Model" xfId="35"/>
    <cellStyle name="Moeda" xfId="1" builtinId="4"/>
    <cellStyle name="Moeda 2" xfId="36"/>
    <cellStyle name="Moeda 2 2" xfId="37"/>
    <cellStyle name="Moeda 2 2 2" xfId="38"/>
    <cellStyle name="Moeda 2 2 3" xfId="39"/>
    <cellStyle name="Moeda 2 2 4" xfId="204"/>
    <cellStyle name="Moeda 2 3" xfId="40"/>
    <cellStyle name="Moeda 2 4" xfId="41"/>
    <cellStyle name="Moeda 3" xfId="42"/>
    <cellStyle name="Moeda 3 2" xfId="43"/>
    <cellStyle name="Moeda 3 3" xfId="44"/>
    <cellStyle name="Moeda 3 4" xfId="8"/>
    <cellStyle name="Moeda 3 4 2" xfId="12"/>
    <cellStyle name="Moeda 4" xfId="45"/>
    <cellStyle name="Moeda 4 2" xfId="46"/>
    <cellStyle name="Moeda 4 2 2" xfId="47"/>
    <cellStyle name="Moeda 4 2 3" xfId="48"/>
    <cellStyle name="Moeda 5" xfId="49"/>
    <cellStyle name="Moeda 5 2" xfId="50"/>
    <cellStyle name="Monétaire [0]_after_discount" xfId="51"/>
    <cellStyle name="Monétaire_after_discount" xfId="52"/>
    <cellStyle name="Normal" xfId="0" builtinId="0"/>
    <cellStyle name="Normal 10" xfId="53"/>
    <cellStyle name="Normal 10 20" xfId="54"/>
    <cellStyle name="Normal 11" xfId="55"/>
    <cellStyle name="Normal 12" xfId="154"/>
    <cellStyle name="Normal 12 2" xfId="160"/>
    <cellStyle name="Normal 13" xfId="157"/>
    <cellStyle name="Normal 13 2" xfId="168"/>
    <cellStyle name="Normal 14" xfId="172"/>
    <cellStyle name="Normal 15 2" xfId="203"/>
    <cellStyle name="Normal 2" xfId="2"/>
    <cellStyle name="Normal 2 2" xfId="6"/>
    <cellStyle name="Normal 2 2 2" xfId="9"/>
    <cellStyle name="Normal 2 2 3" xfId="56"/>
    <cellStyle name="Normal 2 2 4" xfId="57"/>
    <cellStyle name="Normal 2 2 5" xfId="58"/>
    <cellStyle name="Normal 2 2 6" xfId="174"/>
    <cellStyle name="Normal 2 3" xfId="59"/>
    <cellStyle name="Normal 2 4" xfId="60"/>
    <cellStyle name="Normal 2 5" xfId="61"/>
    <cellStyle name="Normal 2 5 2" xfId="5"/>
    <cellStyle name="Normal 2 5 2 2" xfId="163"/>
    <cellStyle name="Normal 3" xfId="3"/>
    <cellStyle name="Normal 3 10" xfId="171"/>
    <cellStyle name="Normal 3 10 2" xfId="187"/>
    <cellStyle name="Normal 3 10 2 2" xfId="192"/>
    <cellStyle name="Normal 3 10 2 2 2" xfId="196"/>
    <cellStyle name="Normal 3 11" xfId="178"/>
    <cellStyle name="Normal 3 11 2" xfId="188"/>
    <cellStyle name="Normal 3 11 2 2" xfId="194"/>
    <cellStyle name="Normal 3 11 2 2 2" xfId="198"/>
    <cellStyle name="Normal 3 11 3" xfId="193"/>
    <cellStyle name="Normal 3 11 3 2" xfId="197"/>
    <cellStyle name="Normal 3 2" xfId="62"/>
    <cellStyle name="Normal 3 3" xfId="63"/>
    <cellStyle name="Normal 3 3 2" xfId="64"/>
    <cellStyle name="Normal 3 4" xfId="65"/>
    <cellStyle name="Normal 3 5" xfId="66"/>
    <cellStyle name="Normal 3 6" xfId="159"/>
    <cellStyle name="Normal 3 6 2" xfId="167"/>
    <cellStyle name="Normal 3 6 2 2" xfId="176"/>
    <cellStyle name="Normal 3 6 2 2 2" xfId="185"/>
    <cellStyle name="Normal 3 6 2 2 3" xfId="183"/>
    <cellStyle name="Normal 3 7" xfId="162"/>
    <cellStyle name="Normal 3 7 2" xfId="177"/>
    <cellStyle name="Normal 3 8" xfId="165"/>
    <cellStyle name="Normal 3 8 2" xfId="170"/>
    <cellStyle name="Normal 3 8 2 2" xfId="184"/>
    <cellStyle name="Normal 3 8 3" xfId="173"/>
    <cellStyle name="Normal 3 8 3 2" xfId="186"/>
    <cellStyle name="Normal 3 8 4" xfId="179"/>
    <cellStyle name="Normal 3 9" xfId="169"/>
    <cellStyle name="Normal 3 9 2" xfId="189"/>
    <cellStyle name="Normal 3 9 2 2" xfId="191"/>
    <cellStyle name="Normal 3 9 2 2 2" xfId="195"/>
    <cellStyle name="Normal 3_ORÇAMENTO_URBANISMO 2" xfId="67"/>
    <cellStyle name="Normal 4" xfId="13"/>
    <cellStyle name="Normal 4 10" xfId="181"/>
    <cellStyle name="Normal 4 11 2" xfId="180"/>
    <cellStyle name="Normal 4 2" xfId="68"/>
    <cellStyle name="Normal 4 2 2" xfId="69"/>
    <cellStyle name="Normal 4 2 3" xfId="70"/>
    <cellStyle name="Normal 4 2 4" xfId="71"/>
    <cellStyle name="Normal 4 2 5" xfId="72"/>
    <cellStyle name="Normal 4 3" xfId="73"/>
    <cellStyle name="Normal 4 4" xfId="74"/>
    <cellStyle name="Normal 4 5" xfId="75"/>
    <cellStyle name="Normal 4 6 2" xfId="199"/>
    <cellStyle name="Normal 4 7 2 2 2" xfId="182"/>
    <cellStyle name="Normal 5" xfId="76"/>
    <cellStyle name="Normal 5 2" xfId="77"/>
    <cellStyle name="Normal 6" xfId="78"/>
    <cellStyle name="Normal 6 2" xfId="79"/>
    <cellStyle name="Normal 7" xfId="80"/>
    <cellStyle name="Normal 7 2" xfId="81"/>
    <cellStyle name="Normal 8" xfId="82"/>
    <cellStyle name="Normal 8 2" xfId="83"/>
    <cellStyle name="Normal 9" xfId="84"/>
    <cellStyle name="Œ…‹æØ‚è [0.00]_COST_SUM" xfId="85"/>
    <cellStyle name="Œ…‹æØ‚è_COST_SUM" xfId="86"/>
    <cellStyle name="padroes" xfId="87"/>
    <cellStyle name="planilhas" xfId="88"/>
    <cellStyle name="Porcentagem" xfId="190" builtinId="5"/>
    <cellStyle name="Porcentagem 2" xfId="89"/>
    <cellStyle name="Porcentagem 2 2" xfId="90"/>
    <cellStyle name="Porcentagem 2 2 2" xfId="91"/>
    <cellStyle name="Porcentagem 2 2 2 2" xfId="10"/>
    <cellStyle name="Porcentagem 2 2 3" xfId="92"/>
    <cellStyle name="Porcentagem 2 3" xfId="93"/>
    <cellStyle name="Porcentagem 2 4" xfId="94"/>
    <cellStyle name="Porcentagem 2 5 2" xfId="201"/>
    <cellStyle name="Porcentagem 3" xfId="95"/>
    <cellStyle name="Porcentagem 3 2" xfId="96"/>
    <cellStyle name="Porcentagem 3 3" xfId="97"/>
    <cellStyle name="Porcentagem 3 4" xfId="98"/>
    <cellStyle name="Porcentagem 4" xfId="99"/>
    <cellStyle name="Porcentagem 4 2" xfId="100"/>
    <cellStyle name="Porcentagem 4 2 2" xfId="101"/>
    <cellStyle name="Porcentagem 4 2 3" xfId="102"/>
    <cellStyle name="Porcentagem 5" xfId="103"/>
    <cellStyle name="Porcentagem 5 2" xfId="104"/>
    <cellStyle name="Porcentagem 6" xfId="164"/>
    <cellStyle name="Result" xfId="105"/>
    <cellStyle name="Result 1" xfId="106"/>
    <cellStyle name="Result2" xfId="107"/>
    <cellStyle name="Result2 1" xfId="108"/>
    <cellStyle name="Separador de m" xfId="109"/>
    <cellStyle name="Separador de milhares 10" xfId="110"/>
    <cellStyle name="Separador de milhares 10 2" xfId="111"/>
    <cellStyle name="Separador de milhares 11" xfId="155"/>
    <cellStyle name="Separador de milhares 11 2" xfId="161"/>
    <cellStyle name="Separador de milhares 12" xfId="158"/>
    <cellStyle name="Separador de milhares 2" xfId="11"/>
    <cellStyle name="Separador de milhares 2 2" xfId="112"/>
    <cellStyle name="Separador de milhares 2 2 2" xfId="113"/>
    <cellStyle name="Separador de milhares 2 3" xfId="114"/>
    <cellStyle name="Separador de milhares 2 4" xfId="115"/>
    <cellStyle name="Separador de milhares 2 5" xfId="4"/>
    <cellStyle name="Separador de milhares 2 5 2" xfId="7"/>
    <cellStyle name="Separador de milhares 2 6" xfId="116"/>
    <cellStyle name="Separador de milhares 2 7 2" xfId="200"/>
    <cellStyle name="Separador de milhares 3" xfId="117"/>
    <cellStyle name="Separador de milhares 3 2" xfId="118"/>
    <cellStyle name="Separador de milhares 3 2 2" xfId="119"/>
    <cellStyle name="Separador de milhares 3 3" xfId="120"/>
    <cellStyle name="Separador de milhares 3 4" xfId="121"/>
    <cellStyle name="Separador de milhares 4" xfId="122"/>
    <cellStyle name="Separador de milhares 4 2" xfId="123"/>
    <cellStyle name="Separador de milhares 4 3" xfId="124"/>
    <cellStyle name="Separador de milhares 4 3 2" xfId="125"/>
    <cellStyle name="Separador de milhares 4 4" xfId="126"/>
    <cellStyle name="Separador de milhares 4 5" xfId="127"/>
    <cellStyle name="Separador de milhares 5" xfId="128"/>
    <cellStyle name="Separador de milhares 5 2" xfId="129"/>
    <cellStyle name="Separador de milhares 5 3" xfId="130"/>
    <cellStyle name="Separador de milhares 6" xfId="131"/>
    <cellStyle name="Separador de milhares 6 2" xfId="132"/>
    <cellStyle name="Separador de milhares 7" xfId="133"/>
    <cellStyle name="Separador de milhares 7 2" xfId="134"/>
    <cellStyle name="Separador de milhares 8" xfId="135"/>
    <cellStyle name="Separador de milhares 9" xfId="136"/>
    <cellStyle name="subhead" xfId="137"/>
    <cellStyle name="Título 1 1" xfId="156"/>
    <cellStyle name="Vírgula 2" xfId="138"/>
    <cellStyle name="Vírgula 2 2" xfId="139"/>
    <cellStyle name="Vírgula 2 2 2" xfId="140"/>
    <cellStyle name="Vírgula 2 2 3" xfId="141"/>
    <cellStyle name="Vírgula 3" xfId="142"/>
    <cellStyle name="Vírgula 3 2" xfId="143"/>
    <cellStyle name="Vírgula 3 3" xfId="144"/>
    <cellStyle name="Vírgula 3 4" xfId="145"/>
    <cellStyle name="Vírgula 4" xfId="146"/>
    <cellStyle name="Vírgula 4 2" xfId="147"/>
    <cellStyle name="Vírgula 4 2 2" xfId="148"/>
    <cellStyle name="Vírgula 4 2 3" xfId="149"/>
    <cellStyle name="Vírgula 5" xfId="150"/>
    <cellStyle name="Vírgula 5 2" xfId="151"/>
    <cellStyle name="Vírgula 6" xfId="152"/>
    <cellStyle name="Vírgula 7" xfId="153"/>
    <cellStyle name="Vírgula 8" xfId="166"/>
    <cellStyle name="Vírgula 8 2" xfId="175"/>
    <cellStyle name="Vírgula 9" xfId="202"/>
  </cellStyles>
  <dxfs count="0"/>
  <tableStyles count="0" defaultTableStyle="TableStyleMedium9" defaultPivotStyle="PivotStyleLight16"/>
  <colors>
    <mruColors>
      <color rgb="FF003399"/>
      <color rgb="FF1D6D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0</xdr:row>
      <xdr:rowOff>152400</xdr:rowOff>
    </xdr:from>
    <xdr:to>
      <xdr:col>10</xdr:col>
      <xdr:colOff>1117600</xdr:colOff>
      <xdr:row>1</xdr:row>
      <xdr:rowOff>746950</xdr:rowOff>
    </xdr:to>
    <xdr:pic>
      <xdr:nvPicPr>
        <xdr:cNvPr id="3" name="Imagem 2" descr="Prefeitura de Limoeiro">
          <a:extLst>
            <a:ext uri="{FF2B5EF4-FFF2-40B4-BE49-F238E27FC236}">
              <a16:creationId xmlns:a16="http://schemas.microsoft.com/office/drawing/2014/main" xmlns="" id="{47440371-2FAA-6FD3-1BF1-AF25B3551F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91800" y="152400"/>
          <a:ext cx="3168650" cy="1356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1263650</xdr:colOff>
      <xdr:row>0</xdr:row>
      <xdr:rowOff>88900</xdr:rowOff>
    </xdr:from>
    <xdr:to>
      <xdr:col>2</xdr:col>
      <xdr:colOff>768350</xdr:colOff>
      <xdr:row>1</xdr:row>
      <xdr:rowOff>496073</xdr:rowOff>
    </xdr:to>
    <xdr:pic>
      <xdr:nvPicPr>
        <xdr:cNvPr id="2" name="Imagem 1" descr="Prefeitura de Limoeiro">
          <a:extLst>
            <a:ext uri="{FF2B5EF4-FFF2-40B4-BE49-F238E27FC236}">
              <a16:creationId xmlns:a16="http://schemas.microsoft.com/office/drawing/2014/main" xmlns="" id="{E62B7FB2-C997-40C6-96F8-7B19D8BB98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88900"/>
          <a:ext cx="2286000" cy="978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914400</xdr:colOff>
      <xdr:row>0</xdr:row>
      <xdr:rowOff>152400</xdr:rowOff>
    </xdr:from>
    <xdr:to>
      <xdr:col>16</xdr:col>
      <xdr:colOff>514350</xdr:colOff>
      <xdr:row>5</xdr:row>
      <xdr:rowOff>163195</xdr:rowOff>
    </xdr:to>
    <xdr:pic>
      <xdr:nvPicPr>
        <xdr:cNvPr id="3" name="Imagem 2" descr="Prefeitura de Limoeiro">
          <a:extLst>
            <a:ext uri="{FF2B5EF4-FFF2-40B4-BE49-F238E27FC236}">
              <a16:creationId xmlns:a16="http://schemas.microsoft.com/office/drawing/2014/main" xmlns="" id="{CB1A7C6B-57E4-3017-9631-ECC07DEDA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2100" y="152400"/>
          <a:ext cx="2190750" cy="9378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50800</xdr:colOff>
      <xdr:row>0</xdr:row>
      <xdr:rowOff>82551</xdr:rowOff>
    </xdr:from>
    <xdr:to>
      <xdr:col>7</xdr:col>
      <xdr:colOff>698500</xdr:colOff>
      <xdr:row>1</xdr:row>
      <xdr:rowOff>488323</xdr:rowOff>
    </xdr:to>
    <xdr:pic>
      <xdr:nvPicPr>
        <xdr:cNvPr id="3" name="Imagem 2" descr="Prefeitura de Limoeiro">
          <a:extLst>
            <a:ext uri="{FF2B5EF4-FFF2-40B4-BE49-F238E27FC236}">
              <a16:creationId xmlns:a16="http://schemas.microsoft.com/office/drawing/2014/main" xmlns="" id="{AFF64DC7-A35F-6E10-AFB3-0C3B3B8D7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3400" y="82551"/>
          <a:ext cx="1377950" cy="5899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520700</xdr:colOff>
      <xdr:row>0</xdr:row>
      <xdr:rowOff>95251</xdr:rowOff>
    </xdr:from>
    <xdr:to>
      <xdr:col>7</xdr:col>
      <xdr:colOff>584200</xdr:colOff>
      <xdr:row>1</xdr:row>
      <xdr:rowOff>501023</xdr:rowOff>
    </xdr:to>
    <xdr:pic>
      <xdr:nvPicPr>
        <xdr:cNvPr id="3" name="Imagem 2" descr="Prefeitura de Limoeiro">
          <a:extLst>
            <a:ext uri="{FF2B5EF4-FFF2-40B4-BE49-F238E27FC236}">
              <a16:creationId xmlns:a16="http://schemas.microsoft.com/office/drawing/2014/main" xmlns="" id="{3D209093-1F94-49DC-9A3D-AF46445A6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100" y="95251"/>
          <a:ext cx="1377950" cy="5899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520700</xdr:colOff>
      <xdr:row>0</xdr:row>
      <xdr:rowOff>95251</xdr:rowOff>
    </xdr:from>
    <xdr:to>
      <xdr:col>7</xdr:col>
      <xdr:colOff>584200</xdr:colOff>
      <xdr:row>1</xdr:row>
      <xdr:rowOff>501023</xdr:rowOff>
    </xdr:to>
    <xdr:pic>
      <xdr:nvPicPr>
        <xdr:cNvPr id="2" name="Imagem 1" descr="Prefeitura de Limoeiro">
          <a:extLst>
            <a:ext uri="{FF2B5EF4-FFF2-40B4-BE49-F238E27FC236}">
              <a16:creationId xmlns:a16="http://schemas.microsoft.com/office/drawing/2014/main" xmlns="" id="{D2BE998A-BB78-4618-B286-4A310CC6B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100" y="95251"/>
          <a:ext cx="1377950" cy="5899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8</xdr:row>
      <xdr:rowOff>19050</xdr:rowOff>
    </xdr:from>
    <xdr:to>
      <xdr:col>1</xdr:col>
      <xdr:colOff>2927350</xdr:colOff>
      <xdr:row>22</xdr:row>
      <xdr:rowOff>131045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E2F5A86E-883F-FBDB-34CD-D70604F68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" y="1504950"/>
          <a:ext cx="3244850" cy="220114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91440</xdr:colOff>
      <xdr:row>0</xdr:row>
      <xdr:rowOff>0</xdr:rowOff>
    </xdr:from>
    <xdr:to>
      <xdr:col>8</xdr:col>
      <xdr:colOff>992348</xdr:colOff>
      <xdr:row>1</xdr:row>
      <xdr:rowOff>514349</xdr:rowOff>
    </xdr:to>
    <xdr:pic>
      <xdr:nvPicPr>
        <xdr:cNvPr id="2" name="Imagem 1" descr="Prefeitura de Limoeiro">
          <a:extLst>
            <a:ext uri="{FF2B5EF4-FFF2-40B4-BE49-F238E27FC236}">
              <a16:creationId xmlns:a16="http://schemas.microsoft.com/office/drawing/2014/main" xmlns="" id="{BCFA2F1E-961A-4A29-A4EB-C43904486A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6120" y="0"/>
          <a:ext cx="1624808" cy="7048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1720850</xdr:colOff>
      <xdr:row>0</xdr:row>
      <xdr:rowOff>88900</xdr:rowOff>
    </xdr:from>
    <xdr:to>
      <xdr:col>2</xdr:col>
      <xdr:colOff>901700</xdr:colOff>
      <xdr:row>4</xdr:row>
      <xdr:rowOff>153173</xdr:rowOff>
    </xdr:to>
    <xdr:pic>
      <xdr:nvPicPr>
        <xdr:cNvPr id="2" name="Imagem 1" descr="Prefeitura de Limoeiro">
          <a:extLst>
            <a:ext uri="{FF2B5EF4-FFF2-40B4-BE49-F238E27FC236}">
              <a16:creationId xmlns:a16="http://schemas.microsoft.com/office/drawing/2014/main" xmlns="" id="{E6C6FB26-7625-447A-A956-D067B4668C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1100" y="88900"/>
          <a:ext cx="2286000" cy="978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1720850</xdr:colOff>
      <xdr:row>0</xdr:row>
      <xdr:rowOff>88900</xdr:rowOff>
    </xdr:from>
    <xdr:to>
      <xdr:col>2</xdr:col>
      <xdr:colOff>901700</xdr:colOff>
      <xdr:row>4</xdr:row>
      <xdr:rowOff>153173</xdr:rowOff>
    </xdr:to>
    <xdr:pic>
      <xdr:nvPicPr>
        <xdr:cNvPr id="2" name="Imagem 1" descr="Prefeitura de Limoeiro">
          <a:extLst>
            <a:ext uri="{FF2B5EF4-FFF2-40B4-BE49-F238E27FC236}">
              <a16:creationId xmlns:a16="http://schemas.microsoft.com/office/drawing/2014/main" xmlns="" id="{5332C01F-949A-41AB-9C41-098F76C05D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1100" y="88900"/>
          <a:ext cx="2286000" cy="978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6"/>
  <sheetViews>
    <sheetView tabSelected="1" zoomScaleNormal="100" workbookViewId="0">
      <selection activeCell="D1" sqref="D1:K2"/>
    </sheetView>
  </sheetViews>
  <sheetFormatPr defaultColWidth="9.21875" defaultRowHeight="14.4"/>
  <cols>
    <col min="1" max="1" width="6.44140625" style="1" customWidth="1"/>
    <col min="2" max="2" width="19.21875" style="2" customWidth="1"/>
    <col min="3" max="3" width="65.21875" style="3" customWidth="1"/>
    <col min="4" max="4" width="11" style="4" customWidth="1"/>
    <col min="5" max="5" width="8.44140625" style="4" customWidth="1"/>
    <col min="6" max="6" width="13.44140625" style="4" customWidth="1"/>
    <col min="7" max="7" width="13.33203125" style="9" customWidth="1"/>
    <col min="8" max="8" width="15.77734375" style="4" customWidth="1"/>
    <col min="9" max="9" width="11.77734375" style="4" customWidth="1"/>
    <col min="10" max="10" width="18.6640625" style="1" customWidth="1"/>
    <col min="11" max="11" width="18.6640625" style="5" customWidth="1"/>
    <col min="12" max="12" width="9.21875" style="118"/>
    <col min="13" max="13" width="7.5546875" style="282" customWidth="1"/>
    <col min="14" max="14" width="10.77734375" style="279" customWidth="1"/>
    <col min="15" max="15" width="11.6640625" style="282" bestFit="1" customWidth="1"/>
    <col min="16" max="33" width="9.21875" style="118"/>
    <col min="34" max="16384" width="9.21875" style="6"/>
  </cols>
  <sheetData>
    <row r="1" spans="1:33" ht="60" customHeight="1">
      <c r="A1" s="315" t="s">
        <v>225</v>
      </c>
      <c r="B1" s="316"/>
      <c r="C1" s="316"/>
      <c r="D1" s="312"/>
      <c r="E1" s="312"/>
      <c r="F1" s="312"/>
      <c r="G1" s="312"/>
      <c r="H1" s="312"/>
      <c r="I1" s="312"/>
      <c r="J1" s="312"/>
      <c r="K1" s="312"/>
    </row>
    <row r="2" spans="1:33" ht="124.8" customHeight="1">
      <c r="A2" s="317" t="s">
        <v>423</v>
      </c>
      <c r="B2" s="318"/>
      <c r="C2" s="319"/>
      <c r="D2" s="312"/>
      <c r="E2" s="312"/>
      <c r="F2" s="312"/>
      <c r="G2" s="312"/>
      <c r="H2" s="312"/>
      <c r="I2" s="312"/>
      <c r="J2" s="312"/>
      <c r="K2" s="312"/>
      <c r="O2" s="297"/>
    </row>
    <row r="3" spans="1:33" s="56" customFormat="1" ht="15" customHeight="1">
      <c r="A3" s="325"/>
      <c r="B3" s="326"/>
      <c r="C3" s="322"/>
      <c r="D3" s="323"/>
      <c r="E3" s="323"/>
      <c r="F3" s="323"/>
      <c r="G3" s="323"/>
      <c r="H3" s="323"/>
      <c r="I3" s="323"/>
      <c r="J3" s="323"/>
      <c r="K3" s="324"/>
      <c r="M3" s="283"/>
      <c r="N3" s="280"/>
      <c r="O3" s="283"/>
    </row>
    <row r="4" spans="1:33" s="7" customFormat="1" ht="18" customHeight="1">
      <c r="A4" s="327" t="s">
        <v>1</v>
      </c>
      <c r="B4" s="335" t="s">
        <v>2</v>
      </c>
      <c r="C4" s="335" t="s">
        <v>3</v>
      </c>
      <c r="D4" s="337" t="s">
        <v>4</v>
      </c>
      <c r="E4" s="313" t="s">
        <v>5</v>
      </c>
      <c r="F4" s="333" t="s">
        <v>30</v>
      </c>
      <c r="G4" s="320" t="s">
        <v>49</v>
      </c>
      <c r="H4" s="333" t="s">
        <v>31</v>
      </c>
      <c r="I4" s="313" t="s">
        <v>24</v>
      </c>
      <c r="J4" s="313" t="s">
        <v>22</v>
      </c>
      <c r="K4" s="313" t="s">
        <v>23</v>
      </c>
      <c r="L4" s="119"/>
      <c r="M4" s="284"/>
      <c r="N4" s="278"/>
      <c r="O4" s="284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</row>
    <row r="5" spans="1:33" s="7" customFormat="1" ht="22.5" customHeight="1">
      <c r="A5" s="328"/>
      <c r="B5" s="336"/>
      <c r="C5" s="336"/>
      <c r="D5" s="338"/>
      <c r="E5" s="314"/>
      <c r="F5" s="334"/>
      <c r="G5" s="321"/>
      <c r="H5" s="334"/>
      <c r="I5" s="314"/>
      <c r="J5" s="314"/>
      <c r="K5" s="313"/>
      <c r="L5" s="119"/>
      <c r="M5" s="284"/>
      <c r="N5" s="278"/>
      <c r="O5" s="284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</row>
    <row r="6" spans="1:33" s="55" customFormat="1" ht="17.25" customHeight="1">
      <c r="A6" s="167">
        <v>1</v>
      </c>
      <c r="B6" s="329" t="s">
        <v>29</v>
      </c>
      <c r="C6" s="330"/>
      <c r="D6" s="168"/>
      <c r="E6" s="168"/>
      <c r="F6" s="169"/>
      <c r="G6" s="170"/>
      <c r="H6" s="171"/>
      <c r="I6" s="172"/>
      <c r="J6" s="173">
        <f>SUM(J7:J8)</f>
        <v>420312.22</v>
      </c>
      <c r="K6" s="173">
        <f>SUM(K7:K9)</f>
        <v>936092.60000000009</v>
      </c>
      <c r="L6" s="120"/>
      <c r="M6" s="311" t="s">
        <v>392</v>
      </c>
      <c r="N6" s="311"/>
      <c r="O6" s="311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</row>
    <row r="7" spans="1:33" s="8" customFormat="1">
      <c r="A7" s="69" t="s">
        <v>9</v>
      </c>
      <c r="B7" s="127" t="s">
        <v>12</v>
      </c>
      <c r="C7" s="128" t="s">
        <v>15</v>
      </c>
      <c r="D7" s="109" t="s">
        <v>19</v>
      </c>
      <c r="E7" s="109" t="s">
        <v>6</v>
      </c>
      <c r="F7" s="129">
        <f>COMP1!H12+COMP1!H22+COMP1!H32+COMP1!H37+COMP1!H44</f>
        <v>5536.13</v>
      </c>
      <c r="G7" s="130">
        <f>'BDI ONERADO - SER'!C27</f>
        <v>0.25180000000000002</v>
      </c>
      <c r="H7" s="131">
        <f>COMP1!H48</f>
        <v>6930.13</v>
      </c>
      <c r="I7" s="142">
        <v>12</v>
      </c>
      <c r="J7" s="112">
        <f>ROUND(I7*F7,2)</f>
        <v>66433.56</v>
      </c>
      <c r="K7" s="113">
        <f>ROUND(I7*H7,2)</f>
        <v>83161.56</v>
      </c>
      <c r="L7" s="114"/>
      <c r="M7" s="294" t="s">
        <v>159</v>
      </c>
      <c r="N7" s="286">
        <f>K7/$K$34</f>
        <v>2.6206353992009827E-2</v>
      </c>
      <c r="O7" s="287">
        <f>N7</f>
        <v>2.6206353992009827E-2</v>
      </c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</row>
    <row r="8" spans="1:33" s="8" customFormat="1" ht="25.05" customHeight="1">
      <c r="A8" s="69" t="s">
        <v>211</v>
      </c>
      <c r="B8" s="13" t="s">
        <v>11</v>
      </c>
      <c r="C8" s="70" t="str">
        <f>COMP2!B6</f>
        <v>EXECUÇÃO DE MODERNIZAÇÃO/EXPANSÃO DE ILUMINAÇÃO PÚBLICA EM POSTES ABAIXO DE 12M, COM VEÍCULO, COM MOTORISTA OPERADOR/AJUDANTE E ELETRICISTA EM DIAS NORMAIS</v>
      </c>
      <c r="D8" s="10" t="s">
        <v>238</v>
      </c>
      <c r="E8" s="10" t="s">
        <v>6</v>
      </c>
      <c r="F8" s="14">
        <f>COMP2!H43+COMP2!H36+COMP2!H29+COMP2!H19+COMP2!H12</f>
        <v>149.44200000000001</v>
      </c>
      <c r="G8" s="130">
        <f>'BDI ONERADO - SER'!C27</f>
        <v>0.25180000000000002</v>
      </c>
      <c r="H8" s="82">
        <f>COMP2!H47</f>
        <v>187.07</v>
      </c>
      <c r="I8" s="143">
        <f>I11</f>
        <v>2368</v>
      </c>
      <c r="J8" s="11">
        <f t="shared" ref="J8" si="0">ROUND(I8*F8,2)</f>
        <v>353878.66</v>
      </c>
      <c r="K8" s="12">
        <f t="shared" ref="K8" si="1">ROUND(I8*H8,2)</f>
        <v>442981.76</v>
      </c>
      <c r="L8" s="114"/>
      <c r="M8" s="295" t="s">
        <v>136</v>
      </c>
      <c r="N8" s="286">
        <f t="shared" ref="N8:N32" si="2">K8/$K$34</f>
        <v>0.13959498612776791</v>
      </c>
      <c r="O8" s="287">
        <f t="shared" ref="O8:O9" si="3">N8</f>
        <v>0.13959498612776791</v>
      </c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</row>
    <row r="9" spans="1:33" s="8" customFormat="1" ht="25.05" customHeight="1">
      <c r="A9" s="69" t="s">
        <v>236</v>
      </c>
      <c r="B9" s="13" t="s">
        <v>228</v>
      </c>
      <c r="C9" s="70" t="str">
        <f>COMP3!B6</f>
        <v>EXECUÇÃO DE MANUTENÇÃO DE ILUMINAÇÃO PÚBLICA EM POSTES ACIMA DE 12M, COM VEÍCULO, COM MOTORISTA OPERADOR/AJUDANTE E ELETRICISTA EM DIAS NORMAIS</v>
      </c>
      <c r="D9" s="10" t="s">
        <v>19</v>
      </c>
      <c r="E9" s="10" t="s">
        <v>6</v>
      </c>
      <c r="F9" s="14">
        <f>COMP3!H20+COMP3!H12</f>
        <v>27290.653876388889</v>
      </c>
      <c r="G9" s="130">
        <f>'BDI ONERADO - SER'!C27</f>
        <v>0.25180000000000002</v>
      </c>
      <c r="H9" s="82">
        <f>COMP3!H48</f>
        <v>34162.44</v>
      </c>
      <c r="I9" s="143">
        <v>12</v>
      </c>
      <c r="J9" s="11">
        <f t="shared" ref="J9" si="4">ROUND(I9*F9,2)</f>
        <v>327487.84999999998</v>
      </c>
      <c r="K9" s="12">
        <f t="shared" ref="K9" si="5">ROUND(I9*H9,2)</f>
        <v>409949.28</v>
      </c>
      <c r="L9" s="114"/>
      <c r="M9" s="295" t="s">
        <v>136</v>
      </c>
      <c r="N9" s="286">
        <f t="shared" si="2"/>
        <v>0.12918559909710153</v>
      </c>
      <c r="O9" s="287">
        <f t="shared" si="3"/>
        <v>0.12918559909710153</v>
      </c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</row>
    <row r="10" spans="1:33" s="55" customFormat="1" ht="17.25" customHeight="1">
      <c r="A10" s="174">
        <v>2</v>
      </c>
      <c r="B10" s="331" t="s">
        <v>237</v>
      </c>
      <c r="C10" s="332"/>
      <c r="D10" s="175"/>
      <c r="E10" s="175"/>
      <c r="F10" s="175"/>
      <c r="G10" s="176"/>
      <c r="H10" s="175"/>
      <c r="I10" s="175"/>
      <c r="J10" s="177">
        <f>SUM(J11:J23)</f>
        <v>1975977.7600000002</v>
      </c>
      <c r="K10" s="177">
        <f>SUM(K11:K33)</f>
        <v>2237243.15</v>
      </c>
      <c r="L10" s="120"/>
      <c r="M10" s="311"/>
      <c r="N10" s="311"/>
      <c r="O10" s="311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</row>
    <row r="11" spans="1:33" s="114" customFormat="1" ht="26.4">
      <c r="A11" s="68" t="s">
        <v>13</v>
      </c>
      <c r="B11" s="68" t="s">
        <v>266</v>
      </c>
      <c r="C11" s="71" t="s">
        <v>182</v>
      </c>
      <c r="D11" s="109" t="s">
        <v>4</v>
      </c>
      <c r="E11" s="109" t="s">
        <v>8</v>
      </c>
      <c r="F11" s="110">
        <v>37.33</v>
      </c>
      <c r="G11" s="111">
        <f>'BDI ONERADO - INS'!C27</f>
        <v>0.1089</v>
      </c>
      <c r="H11" s="110">
        <f t="shared" ref="H11:H23" si="6">ROUND(F11*(G11+1),2)</f>
        <v>41.4</v>
      </c>
      <c r="I11" s="140">
        <f>(I20+I21+I22+I23)*1.6</f>
        <v>2368</v>
      </c>
      <c r="J11" s="112">
        <f t="shared" ref="J11:J23" si="7">ROUND(I11*F11,2)</f>
        <v>88397.440000000002</v>
      </c>
      <c r="K11" s="113">
        <f t="shared" ref="K11:K23" si="8">ROUND(I11*H11,2)</f>
        <v>98035.199999999997</v>
      </c>
      <c r="M11" s="294" t="s">
        <v>159</v>
      </c>
      <c r="N11" s="286">
        <f t="shared" si="2"/>
        <v>3.0893421851123065E-2</v>
      </c>
      <c r="O11" s="287">
        <f>N11</f>
        <v>3.0893421851123065E-2</v>
      </c>
    </row>
    <row r="12" spans="1:33" s="114" customFormat="1">
      <c r="A12" s="68" t="s">
        <v>10</v>
      </c>
      <c r="B12" s="80" t="s">
        <v>198</v>
      </c>
      <c r="C12" s="72" t="s">
        <v>20</v>
      </c>
      <c r="D12" s="80" t="s">
        <v>28</v>
      </c>
      <c r="E12" s="115" t="s">
        <v>8</v>
      </c>
      <c r="F12" s="110">
        <v>25.23</v>
      </c>
      <c r="G12" s="111">
        <f>'BDI ONERADO - INS'!C27</f>
        <v>0.1089</v>
      </c>
      <c r="H12" s="110">
        <f t="shared" si="6"/>
        <v>27.98</v>
      </c>
      <c r="I12" s="140">
        <v>100</v>
      </c>
      <c r="J12" s="112">
        <f t="shared" si="7"/>
        <v>2523</v>
      </c>
      <c r="K12" s="113">
        <f t="shared" si="8"/>
        <v>2798</v>
      </c>
      <c r="M12" s="296" t="s">
        <v>171</v>
      </c>
      <c r="N12" s="286">
        <f t="shared" si="2"/>
        <v>8.8172201759615255E-4</v>
      </c>
      <c r="O12" s="287">
        <f t="shared" ref="O12:O17" si="9">N12</f>
        <v>8.8172201759615255E-4</v>
      </c>
    </row>
    <row r="13" spans="1:33" s="114" customFormat="1">
      <c r="A13" s="68" t="s">
        <v>32</v>
      </c>
      <c r="B13" s="80" t="s">
        <v>199</v>
      </c>
      <c r="C13" s="72" t="s">
        <v>21</v>
      </c>
      <c r="D13" s="80" t="s">
        <v>7</v>
      </c>
      <c r="E13" s="115" t="s">
        <v>8</v>
      </c>
      <c r="F13" s="110">
        <v>3.44</v>
      </c>
      <c r="G13" s="111">
        <f>'BDI ONERADO - INS'!C27</f>
        <v>0.1089</v>
      </c>
      <c r="H13" s="110">
        <f t="shared" si="6"/>
        <v>3.81</v>
      </c>
      <c r="I13" s="140">
        <f>ROUND((I11*0.2)/20,0)</f>
        <v>24</v>
      </c>
      <c r="J13" s="112">
        <f t="shared" si="7"/>
        <v>82.56</v>
      </c>
      <c r="K13" s="113">
        <f t="shared" si="8"/>
        <v>91.44</v>
      </c>
      <c r="M13" s="296" t="s">
        <v>171</v>
      </c>
      <c r="N13" s="286">
        <f t="shared" si="2"/>
        <v>2.8815104106144455E-5</v>
      </c>
      <c r="O13" s="287">
        <f t="shared" si="9"/>
        <v>2.8815104106144455E-5</v>
      </c>
    </row>
    <row r="14" spans="1:33" s="8" customFormat="1" ht="26.4">
      <c r="A14" s="68" t="s">
        <v>33</v>
      </c>
      <c r="B14" s="68" t="s">
        <v>200</v>
      </c>
      <c r="C14" s="71" t="s">
        <v>201</v>
      </c>
      <c r="D14" s="10" t="s">
        <v>4</v>
      </c>
      <c r="E14" s="10" t="s">
        <v>8</v>
      </c>
      <c r="F14" s="15">
        <v>23.43</v>
      </c>
      <c r="G14" s="111">
        <f>'BDI ONERADO - INS'!C27</f>
        <v>0.1089</v>
      </c>
      <c r="H14" s="110">
        <f t="shared" si="6"/>
        <v>25.98</v>
      </c>
      <c r="I14" s="141">
        <f>I18*2</f>
        <v>1360</v>
      </c>
      <c r="J14" s="11">
        <f t="shared" si="7"/>
        <v>31864.799999999999</v>
      </c>
      <c r="K14" s="12">
        <f t="shared" si="8"/>
        <v>35332.800000000003</v>
      </c>
      <c r="L14" s="114"/>
      <c r="M14" s="296" t="s">
        <v>171</v>
      </c>
      <c r="N14" s="286">
        <f t="shared" si="2"/>
        <v>1.1134277234925426E-2</v>
      </c>
      <c r="O14" s="287">
        <f t="shared" si="9"/>
        <v>1.1134277234925426E-2</v>
      </c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</row>
    <row r="15" spans="1:33" s="114" customFormat="1" ht="26.4">
      <c r="A15" s="68" t="s">
        <v>34</v>
      </c>
      <c r="B15" s="68" t="s">
        <v>221</v>
      </c>
      <c r="C15" s="71" t="s">
        <v>220</v>
      </c>
      <c r="D15" s="109" t="s">
        <v>7</v>
      </c>
      <c r="E15" s="109" t="s">
        <v>8</v>
      </c>
      <c r="F15" s="110">
        <v>5.13</v>
      </c>
      <c r="G15" s="111">
        <f>'BDI ONERADO - INS'!C27</f>
        <v>0.1089</v>
      </c>
      <c r="H15" s="110">
        <f t="shared" si="6"/>
        <v>5.69</v>
      </c>
      <c r="I15" s="140">
        <f>(I18*2.5)+(I19*4)</f>
        <v>2180</v>
      </c>
      <c r="J15" s="112">
        <f t="shared" si="7"/>
        <v>11183.4</v>
      </c>
      <c r="K15" s="113">
        <f t="shared" si="8"/>
        <v>12404.2</v>
      </c>
      <c r="M15" s="296" t="s">
        <v>171</v>
      </c>
      <c r="N15" s="286">
        <f t="shared" si="2"/>
        <v>3.9088835777934938E-3</v>
      </c>
      <c r="O15" s="287">
        <f t="shared" si="9"/>
        <v>3.9088835777934938E-3</v>
      </c>
    </row>
    <row r="16" spans="1:33" s="114" customFormat="1">
      <c r="A16" s="68" t="s">
        <v>35</v>
      </c>
      <c r="B16" s="68" t="s">
        <v>202</v>
      </c>
      <c r="C16" s="71" t="s">
        <v>203</v>
      </c>
      <c r="D16" s="109" t="s">
        <v>4</v>
      </c>
      <c r="E16" s="109" t="s">
        <v>8</v>
      </c>
      <c r="F16" s="110">
        <v>4.84</v>
      </c>
      <c r="G16" s="111">
        <f>'BDI ONERADO - INS'!C27</f>
        <v>0.1089</v>
      </c>
      <c r="H16" s="110">
        <f t="shared" si="6"/>
        <v>5.37</v>
      </c>
      <c r="I16" s="140">
        <f>((I11)*3)+((I24+I25+I26+I27+I28+I29+I30+I31)*3)</f>
        <v>8139</v>
      </c>
      <c r="J16" s="112">
        <f t="shared" si="7"/>
        <v>39392.76</v>
      </c>
      <c r="K16" s="113">
        <f t="shared" si="8"/>
        <v>43706.43</v>
      </c>
      <c r="M16" s="296" t="s">
        <v>171</v>
      </c>
      <c r="N16" s="286">
        <f t="shared" si="2"/>
        <v>1.377302417495533E-2</v>
      </c>
      <c r="O16" s="287">
        <f t="shared" si="9"/>
        <v>1.377302417495533E-2</v>
      </c>
    </row>
    <row r="17" spans="1:33" s="114" customFormat="1">
      <c r="A17" s="68" t="s">
        <v>36</v>
      </c>
      <c r="B17" s="68" t="s">
        <v>180</v>
      </c>
      <c r="C17" s="71" t="s">
        <v>181</v>
      </c>
      <c r="D17" s="109" t="s">
        <v>4</v>
      </c>
      <c r="E17" s="109" t="s">
        <v>8</v>
      </c>
      <c r="F17" s="110">
        <v>9.9</v>
      </c>
      <c r="G17" s="111">
        <f>'BDI ONERADO - INS'!C27</f>
        <v>0.1089</v>
      </c>
      <c r="H17" s="110">
        <f>ROUND(F17*(G17+1),2)</f>
        <v>10.98</v>
      </c>
      <c r="I17" s="140">
        <f>((I11)*2)+((I28+I29+I30+I31)*2)</f>
        <v>4986</v>
      </c>
      <c r="J17" s="112">
        <f>ROUND(I17*F17,2)</f>
        <v>49361.4</v>
      </c>
      <c r="K17" s="113">
        <f>ROUND(I17*H17,2)</f>
        <v>54746.28</v>
      </c>
      <c r="M17" s="296" t="s">
        <v>171</v>
      </c>
      <c r="N17" s="286">
        <f t="shared" si="2"/>
        <v>1.7251965853282307E-2</v>
      </c>
      <c r="O17" s="287">
        <f t="shared" si="9"/>
        <v>1.7251965853282307E-2</v>
      </c>
    </row>
    <row r="18" spans="1:33" s="114" customFormat="1" ht="15" customHeight="1">
      <c r="A18" s="68" t="s">
        <v>37</v>
      </c>
      <c r="B18" s="68" t="s">
        <v>219</v>
      </c>
      <c r="C18" s="71" t="s">
        <v>264</v>
      </c>
      <c r="D18" s="109" t="s">
        <v>4</v>
      </c>
      <c r="E18" s="109" t="s">
        <v>8</v>
      </c>
      <c r="F18" s="110">
        <v>194.24</v>
      </c>
      <c r="G18" s="111">
        <f>'BDI ONERADO - INS'!C27</f>
        <v>0.1089</v>
      </c>
      <c r="H18" s="110">
        <f t="shared" ref="H18" si="10">ROUND(F18*(G18+1),2)</f>
        <v>215.39</v>
      </c>
      <c r="I18" s="140">
        <v>680</v>
      </c>
      <c r="J18" s="112">
        <f t="shared" ref="J18" si="11">ROUND(I18*F18,2)</f>
        <v>132083.20000000001</v>
      </c>
      <c r="K18" s="113">
        <f t="shared" ref="K18" si="12">ROUND(I18*H18,2)</f>
        <v>146465.20000000001</v>
      </c>
      <c r="M18" s="308" t="s">
        <v>136</v>
      </c>
      <c r="N18" s="286">
        <f t="shared" si="2"/>
        <v>4.6154964850473199E-2</v>
      </c>
      <c r="O18" s="307">
        <f>SUM(N18:N19)</f>
        <v>6.1914406630310073E-2</v>
      </c>
    </row>
    <row r="19" spans="1:33" s="114" customFormat="1" ht="15" customHeight="1">
      <c r="A19" s="68" t="s">
        <v>38</v>
      </c>
      <c r="B19" s="68" t="s">
        <v>210</v>
      </c>
      <c r="C19" s="71" t="s">
        <v>212</v>
      </c>
      <c r="D19" s="109" t="s">
        <v>4</v>
      </c>
      <c r="E19" s="109" t="s">
        <v>8</v>
      </c>
      <c r="F19" s="110">
        <v>375.82</v>
      </c>
      <c r="G19" s="111">
        <f>'BDI ONERADO - INS'!C27</f>
        <v>0.1089</v>
      </c>
      <c r="H19" s="110">
        <f t="shared" si="6"/>
        <v>416.75</v>
      </c>
      <c r="I19" s="140">
        <v>120</v>
      </c>
      <c r="J19" s="112">
        <f t="shared" si="7"/>
        <v>45098.400000000001</v>
      </c>
      <c r="K19" s="113">
        <f t="shared" si="8"/>
        <v>50010</v>
      </c>
      <c r="M19" s="308"/>
      <c r="N19" s="286">
        <f t="shared" si="2"/>
        <v>1.5759441779836878E-2</v>
      </c>
      <c r="O19" s="307"/>
    </row>
    <row r="20" spans="1:33" s="114" customFormat="1" ht="39.6">
      <c r="A20" s="68" t="s">
        <v>39</v>
      </c>
      <c r="B20" s="68" t="s">
        <v>408</v>
      </c>
      <c r="C20" s="71" t="s">
        <v>403</v>
      </c>
      <c r="D20" s="109" t="s">
        <v>4</v>
      </c>
      <c r="E20" s="109" t="s">
        <v>8</v>
      </c>
      <c r="F20" s="110">
        <v>878.26</v>
      </c>
      <c r="G20" s="111">
        <f>'BDI ONERADO - INS'!C27</f>
        <v>0.1089</v>
      </c>
      <c r="H20" s="110">
        <f t="shared" si="6"/>
        <v>973.9</v>
      </c>
      <c r="I20" s="140">
        <v>980</v>
      </c>
      <c r="J20" s="112">
        <f t="shared" si="7"/>
        <v>860694.8</v>
      </c>
      <c r="K20" s="113">
        <f t="shared" si="8"/>
        <v>954422</v>
      </c>
      <c r="M20" s="308" t="s">
        <v>136</v>
      </c>
      <c r="N20" s="286">
        <f t="shared" si="2"/>
        <v>0.30076300624666014</v>
      </c>
      <c r="O20" s="307">
        <f>SUM(N20:N23)</f>
        <v>0.55321691062787792</v>
      </c>
    </row>
    <row r="21" spans="1:33" s="114" customFormat="1" ht="39.6">
      <c r="A21" s="68" t="s">
        <v>40</v>
      </c>
      <c r="B21" s="68" t="s">
        <v>409</v>
      </c>
      <c r="C21" s="71" t="s">
        <v>404</v>
      </c>
      <c r="D21" s="109" t="s">
        <v>4</v>
      </c>
      <c r="E21" s="109" t="s">
        <v>8</v>
      </c>
      <c r="F21" s="110">
        <v>1227.8</v>
      </c>
      <c r="G21" s="111">
        <f>'BDI ONERADO - INS'!C27</f>
        <v>0.1089</v>
      </c>
      <c r="H21" s="110">
        <f t="shared" si="6"/>
        <v>1361.51</v>
      </c>
      <c r="I21" s="140">
        <v>200</v>
      </c>
      <c r="J21" s="112">
        <f t="shared" si="7"/>
        <v>245560</v>
      </c>
      <c r="K21" s="113">
        <f t="shared" si="8"/>
        <v>272302</v>
      </c>
      <c r="L21" s="138"/>
      <c r="M21" s="308"/>
      <c r="N21" s="286">
        <f t="shared" si="2"/>
        <v>8.5809388432976252E-2</v>
      </c>
      <c r="O21" s="309"/>
    </row>
    <row r="22" spans="1:33" s="114" customFormat="1" ht="39.6">
      <c r="A22" s="68" t="s">
        <v>41</v>
      </c>
      <c r="B22" s="68" t="s">
        <v>410</v>
      </c>
      <c r="C22" s="71" t="s">
        <v>405</v>
      </c>
      <c r="D22" s="109" t="s">
        <v>4</v>
      </c>
      <c r="E22" s="109" t="s">
        <v>8</v>
      </c>
      <c r="F22" s="110">
        <v>1445.57</v>
      </c>
      <c r="G22" s="111">
        <f>'BDI ONERADO - INS'!C27</f>
        <v>0.1089</v>
      </c>
      <c r="H22" s="110">
        <f t="shared" si="6"/>
        <v>1602.99</v>
      </c>
      <c r="I22" s="140">
        <v>200</v>
      </c>
      <c r="J22" s="112">
        <f t="shared" si="7"/>
        <v>289114</v>
      </c>
      <c r="K22" s="113">
        <f t="shared" si="8"/>
        <v>320598</v>
      </c>
      <c r="L22" s="138"/>
      <c r="M22" s="308"/>
      <c r="N22" s="286">
        <f t="shared" si="2"/>
        <v>0.10102870457372813</v>
      </c>
      <c r="O22" s="309"/>
    </row>
    <row r="23" spans="1:33" s="114" customFormat="1" ht="26.4">
      <c r="A23" s="68" t="s">
        <v>42</v>
      </c>
      <c r="B23" s="68" t="s">
        <v>411</v>
      </c>
      <c r="C23" s="71" t="s">
        <v>406</v>
      </c>
      <c r="D23" s="109" t="s">
        <v>4</v>
      </c>
      <c r="E23" s="109" t="s">
        <v>8</v>
      </c>
      <c r="F23" s="110">
        <v>1806.22</v>
      </c>
      <c r="G23" s="111">
        <v>0.15279999999999999</v>
      </c>
      <c r="H23" s="110">
        <f t="shared" si="6"/>
        <v>2082.21</v>
      </c>
      <c r="I23" s="140">
        <v>100</v>
      </c>
      <c r="J23" s="112">
        <f t="shared" si="7"/>
        <v>180622</v>
      </c>
      <c r="K23" s="113">
        <f t="shared" si="8"/>
        <v>208221</v>
      </c>
      <c r="L23" s="138"/>
      <c r="M23" s="308"/>
      <c r="N23" s="286">
        <f t="shared" si="2"/>
        <v>6.5615811374513403E-2</v>
      </c>
      <c r="O23" s="309"/>
    </row>
    <row r="24" spans="1:33" s="114" customFormat="1">
      <c r="A24" s="68" t="s">
        <v>43</v>
      </c>
      <c r="B24" s="68" t="s">
        <v>251</v>
      </c>
      <c r="C24" s="71" t="s">
        <v>255</v>
      </c>
      <c r="D24" s="109" t="s">
        <v>4</v>
      </c>
      <c r="E24" s="109" t="s">
        <v>8</v>
      </c>
      <c r="F24" s="110">
        <v>47.1</v>
      </c>
      <c r="G24" s="111">
        <f>'BDI ONERADO - INS'!C27</f>
        <v>0.1089</v>
      </c>
      <c r="H24" s="110">
        <f t="shared" ref="H24:H29" si="13">ROUND(F24*(G24+1),2)</f>
        <v>52.23</v>
      </c>
      <c r="I24" s="140">
        <v>100</v>
      </c>
      <c r="J24" s="112">
        <f t="shared" ref="J24:J29" si="14">ROUND(I24*F24,2)</f>
        <v>4710</v>
      </c>
      <c r="K24" s="113">
        <f t="shared" ref="K24:K29" si="15">ROUND(I24*H24,2)</f>
        <v>5223</v>
      </c>
      <c r="M24" s="303" t="s">
        <v>171</v>
      </c>
      <c r="N24" s="286">
        <f t="shared" si="2"/>
        <v>1.6459021079001804E-3</v>
      </c>
      <c r="O24" s="300">
        <f>SUM(N24:N32)</f>
        <v>9.738238382118878E-3</v>
      </c>
    </row>
    <row r="25" spans="1:33" s="114" customFormat="1">
      <c r="A25" s="68" t="s">
        <v>239</v>
      </c>
      <c r="B25" s="68" t="s">
        <v>252</v>
      </c>
      <c r="C25" s="72" t="s">
        <v>256</v>
      </c>
      <c r="D25" s="109" t="s">
        <v>4</v>
      </c>
      <c r="E25" s="115" t="s">
        <v>8</v>
      </c>
      <c r="F25" s="110">
        <v>50.3</v>
      </c>
      <c r="G25" s="111">
        <f>'BDI ONERADO - INS'!C27</f>
        <v>0.1089</v>
      </c>
      <c r="H25" s="110">
        <f t="shared" si="13"/>
        <v>55.78</v>
      </c>
      <c r="I25" s="140">
        <v>50</v>
      </c>
      <c r="J25" s="112">
        <f t="shared" si="14"/>
        <v>2515</v>
      </c>
      <c r="K25" s="113">
        <f t="shared" si="15"/>
        <v>2789</v>
      </c>
      <c r="M25" s="304"/>
      <c r="N25" s="286">
        <f t="shared" si="2"/>
        <v>8.7888588530224074E-4</v>
      </c>
      <c r="O25" s="301"/>
    </row>
    <row r="26" spans="1:33" s="114" customFormat="1">
      <c r="A26" s="68" t="s">
        <v>240</v>
      </c>
      <c r="B26" s="68" t="s">
        <v>254</v>
      </c>
      <c r="C26" s="72" t="s">
        <v>412</v>
      </c>
      <c r="D26" s="109" t="s">
        <v>4</v>
      </c>
      <c r="E26" s="115" t="s">
        <v>8</v>
      </c>
      <c r="F26" s="110">
        <v>41.7</v>
      </c>
      <c r="G26" s="111">
        <f>'BDI ONERADO - INS'!C27</f>
        <v>0.1089</v>
      </c>
      <c r="H26" s="110">
        <f t="shared" si="13"/>
        <v>46.24</v>
      </c>
      <c r="I26" s="140">
        <v>50</v>
      </c>
      <c r="J26" s="112">
        <f t="shared" si="14"/>
        <v>2085</v>
      </c>
      <c r="K26" s="113">
        <f t="shared" si="15"/>
        <v>2312</v>
      </c>
      <c r="M26" s="304"/>
      <c r="N26" s="286">
        <f t="shared" si="2"/>
        <v>7.285708737249123E-4</v>
      </c>
      <c r="O26" s="301"/>
    </row>
    <row r="27" spans="1:33" s="8" customFormat="1">
      <c r="A27" s="68" t="s">
        <v>241</v>
      </c>
      <c r="B27" s="68" t="s">
        <v>253</v>
      </c>
      <c r="C27" s="71" t="s">
        <v>257</v>
      </c>
      <c r="D27" s="109" t="s">
        <v>4</v>
      </c>
      <c r="E27" s="10" t="s">
        <v>8</v>
      </c>
      <c r="F27" s="15">
        <v>103.76</v>
      </c>
      <c r="G27" s="111">
        <f>'BDI ONERADO - INS'!C27</f>
        <v>0.1089</v>
      </c>
      <c r="H27" s="110">
        <f t="shared" si="13"/>
        <v>115.06</v>
      </c>
      <c r="I27" s="141">
        <v>20</v>
      </c>
      <c r="J27" s="11">
        <f t="shared" si="14"/>
        <v>2075.1999999999998</v>
      </c>
      <c r="K27" s="12">
        <f t="shared" si="15"/>
        <v>2301.1999999999998</v>
      </c>
      <c r="L27" s="114"/>
      <c r="M27" s="304"/>
      <c r="N27" s="286">
        <f t="shared" si="2"/>
        <v>7.2516751497221806E-4</v>
      </c>
      <c r="O27" s="301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</row>
    <row r="28" spans="1:33" s="114" customFormat="1">
      <c r="A28" s="68" t="s">
        <v>242</v>
      </c>
      <c r="B28" s="68" t="s">
        <v>247</v>
      </c>
      <c r="C28" s="71" t="s">
        <v>258</v>
      </c>
      <c r="D28" s="109" t="s">
        <v>4</v>
      </c>
      <c r="E28" s="109" t="s">
        <v>8</v>
      </c>
      <c r="F28" s="110">
        <v>95.5</v>
      </c>
      <c r="G28" s="111">
        <f>'BDI ONERADO - INS'!C27</f>
        <v>0.1089</v>
      </c>
      <c r="H28" s="110">
        <f t="shared" si="13"/>
        <v>105.9</v>
      </c>
      <c r="I28" s="140">
        <v>50</v>
      </c>
      <c r="J28" s="112">
        <f t="shared" si="14"/>
        <v>4775</v>
      </c>
      <c r="K28" s="113">
        <f t="shared" si="15"/>
        <v>5295</v>
      </c>
      <c r="M28" s="304"/>
      <c r="N28" s="286">
        <f t="shared" si="2"/>
        <v>1.6685911662514753E-3</v>
      </c>
      <c r="O28" s="301"/>
    </row>
    <row r="29" spans="1:33" s="114" customFormat="1">
      <c r="A29" s="68" t="s">
        <v>243</v>
      </c>
      <c r="B29" s="68" t="s">
        <v>249</v>
      </c>
      <c r="C29" s="71" t="s">
        <v>259</v>
      </c>
      <c r="D29" s="109" t="s">
        <v>4</v>
      </c>
      <c r="E29" s="109" t="s">
        <v>8</v>
      </c>
      <c r="F29" s="110">
        <v>89.45</v>
      </c>
      <c r="G29" s="111">
        <f>'BDI ONERADO - INS'!C27</f>
        <v>0.1089</v>
      </c>
      <c r="H29" s="110">
        <f t="shared" si="13"/>
        <v>99.19</v>
      </c>
      <c r="I29" s="140">
        <v>25</v>
      </c>
      <c r="J29" s="112">
        <f t="shared" si="14"/>
        <v>2236.25</v>
      </c>
      <c r="K29" s="113">
        <f t="shared" si="15"/>
        <v>2479.75</v>
      </c>
      <c r="M29" s="304"/>
      <c r="N29" s="286">
        <f t="shared" si="2"/>
        <v>7.8143322842532498E-4</v>
      </c>
      <c r="O29" s="301"/>
    </row>
    <row r="30" spans="1:33" s="114" customFormat="1">
      <c r="A30" s="68" t="s">
        <v>244</v>
      </c>
      <c r="B30" s="68" t="s">
        <v>248</v>
      </c>
      <c r="C30" s="71" t="s">
        <v>260</v>
      </c>
      <c r="D30" s="109" t="s">
        <v>4</v>
      </c>
      <c r="E30" s="109" t="s">
        <v>8</v>
      </c>
      <c r="F30" s="110">
        <v>131.4</v>
      </c>
      <c r="G30" s="111">
        <f>'BDI ONERADO - INS'!C27</f>
        <v>0.1089</v>
      </c>
      <c r="H30" s="110">
        <f>ROUND(F30*(G30+1),2)</f>
        <v>145.71</v>
      </c>
      <c r="I30" s="140">
        <v>25</v>
      </c>
      <c r="J30" s="112">
        <f>ROUND(I30*F30,2)</f>
        <v>3285</v>
      </c>
      <c r="K30" s="113">
        <f>ROUND(I30*H30,2)</f>
        <v>3642.75</v>
      </c>
      <c r="M30" s="304"/>
      <c r="N30" s="286">
        <f t="shared" si="2"/>
        <v>1.1479245459608237E-3</v>
      </c>
      <c r="O30" s="301"/>
    </row>
    <row r="31" spans="1:33" s="114" customFormat="1" ht="15" customHeight="1">
      <c r="A31" s="68" t="s">
        <v>245</v>
      </c>
      <c r="B31" s="68" t="s">
        <v>250</v>
      </c>
      <c r="C31" s="71" t="s">
        <v>261</v>
      </c>
      <c r="D31" s="109" t="s">
        <v>4</v>
      </c>
      <c r="E31" s="109" t="s">
        <v>8</v>
      </c>
      <c r="F31" s="110">
        <v>162</v>
      </c>
      <c r="G31" s="111">
        <f>'BDI ONERADO - INS'!C27</f>
        <v>0.1089</v>
      </c>
      <c r="H31" s="110">
        <f t="shared" ref="H31:H32" si="16">ROUND(F31*(G31+1),2)</f>
        <v>179.64</v>
      </c>
      <c r="I31" s="140">
        <v>25</v>
      </c>
      <c r="J31" s="112">
        <f t="shared" ref="J31:J32" si="17">ROUND(I31*F31,2)</f>
        <v>4050</v>
      </c>
      <c r="K31" s="113">
        <f t="shared" ref="K31:K32" si="18">ROUND(I31*H31,2)</f>
        <v>4491</v>
      </c>
      <c r="M31" s="304"/>
      <c r="N31" s="286">
        <f t="shared" si="2"/>
        <v>1.4152300146620161E-3</v>
      </c>
      <c r="O31" s="301"/>
    </row>
    <row r="32" spans="1:33" s="114" customFormat="1" ht="15" customHeight="1">
      <c r="A32" s="68" t="s">
        <v>246</v>
      </c>
      <c r="B32" s="68" t="s">
        <v>263</v>
      </c>
      <c r="C32" s="71" t="s">
        <v>262</v>
      </c>
      <c r="D32" s="109" t="s">
        <v>4</v>
      </c>
      <c r="E32" s="109" t="s">
        <v>8</v>
      </c>
      <c r="F32" s="110">
        <v>21.36</v>
      </c>
      <c r="G32" s="111">
        <f>'BDI ONERADO - INS'!C27</f>
        <v>0.1089</v>
      </c>
      <c r="H32" s="110">
        <f t="shared" si="16"/>
        <v>23.69</v>
      </c>
      <c r="I32" s="140">
        <v>100</v>
      </c>
      <c r="J32" s="112">
        <f t="shared" si="17"/>
        <v>2136</v>
      </c>
      <c r="K32" s="113">
        <f t="shared" si="18"/>
        <v>2369</v>
      </c>
      <c r="M32" s="305"/>
      <c r="N32" s="286">
        <f t="shared" si="2"/>
        <v>7.465330449196874E-4</v>
      </c>
      <c r="O32" s="302"/>
    </row>
    <row r="33" spans="1:15" s="114" customFormat="1" ht="25.05" customHeight="1">
      <c r="A33" s="68" t="s">
        <v>420</v>
      </c>
      <c r="B33" s="68" t="s">
        <v>422</v>
      </c>
      <c r="C33" s="71" t="s">
        <v>421</v>
      </c>
      <c r="D33" s="109" t="s">
        <v>4</v>
      </c>
      <c r="E33" s="109" t="s">
        <v>8</v>
      </c>
      <c r="F33" s="110">
        <v>650</v>
      </c>
      <c r="G33" s="111">
        <f>'BDI ONERADO - INS'!C27</f>
        <v>0.1089</v>
      </c>
      <c r="H33" s="110">
        <f t="shared" ref="H33" si="19">ROUND(F33*(G33+1),2)</f>
        <v>720.79</v>
      </c>
      <c r="I33" s="140">
        <v>10</v>
      </c>
      <c r="J33" s="112">
        <f t="shared" ref="J33" si="20">ROUND(I33*F33,2)</f>
        <v>6500</v>
      </c>
      <c r="K33" s="113">
        <f t="shared" ref="K33" si="21">ROUND(I33*H33,2)</f>
        <v>7207.9</v>
      </c>
      <c r="M33" s="298"/>
      <c r="N33" s="286">
        <f t="shared" ref="N33" si="22">K33/$K$34</f>
        <v>2.2713953290319183E-3</v>
      </c>
      <c r="O33" s="299"/>
    </row>
    <row r="34" spans="1:15" s="116" customFormat="1" ht="15.6">
      <c r="A34" s="310" t="s">
        <v>209</v>
      </c>
      <c r="B34" s="310"/>
      <c r="C34" s="310"/>
      <c r="D34" s="310"/>
      <c r="E34" s="310"/>
      <c r="F34" s="310"/>
      <c r="G34" s="310"/>
      <c r="H34" s="310"/>
      <c r="I34" s="310"/>
      <c r="J34" s="179">
        <f>J10+J6</f>
        <v>2396289.9800000004</v>
      </c>
      <c r="K34" s="179">
        <f>K6+K10</f>
        <v>3173335.75</v>
      </c>
      <c r="M34" s="285"/>
      <c r="N34" s="281"/>
      <c r="O34" s="285"/>
    </row>
    <row r="35" spans="1:15" s="118" customFormat="1">
      <c r="A35" s="122"/>
      <c r="B35" s="123"/>
      <c r="C35" s="126"/>
      <c r="D35" s="124"/>
      <c r="E35" s="124"/>
      <c r="F35" s="124"/>
      <c r="G35" s="125"/>
      <c r="H35" s="124"/>
      <c r="I35" s="124"/>
      <c r="J35" s="122"/>
      <c r="K35" s="117"/>
      <c r="M35" s="282"/>
      <c r="N35" s="279"/>
      <c r="O35" s="282"/>
    </row>
    <row r="36" spans="1:15" s="118" customFormat="1">
      <c r="A36" s="122"/>
      <c r="B36" s="123"/>
      <c r="C36" s="126"/>
      <c r="D36" s="124"/>
      <c r="E36" s="124"/>
      <c r="F36" s="124"/>
      <c r="G36" s="306" t="s">
        <v>392</v>
      </c>
      <c r="H36" s="306"/>
      <c r="I36" s="306"/>
      <c r="J36" s="290"/>
      <c r="K36" s="117"/>
      <c r="M36" s="282"/>
      <c r="N36" s="279"/>
      <c r="O36" s="282"/>
    </row>
    <row r="37" spans="1:15" s="118" customFormat="1">
      <c r="A37" s="122"/>
      <c r="B37" s="123"/>
      <c r="C37" s="126"/>
      <c r="D37" s="124"/>
      <c r="E37" s="124"/>
      <c r="F37" s="124"/>
      <c r="G37" s="288" t="s">
        <v>136</v>
      </c>
      <c r="H37" s="289" t="s">
        <v>393</v>
      </c>
      <c r="I37" s="291"/>
      <c r="J37" s="122"/>
      <c r="K37" s="117"/>
      <c r="M37" s="282"/>
      <c r="N37" s="279"/>
      <c r="O37" s="282"/>
    </row>
    <row r="38" spans="1:15" s="118" customFormat="1">
      <c r="A38" s="122"/>
      <c r="B38" s="123"/>
      <c r="C38" s="126"/>
      <c r="D38" s="124"/>
      <c r="E38" s="124"/>
      <c r="F38" s="124"/>
      <c r="G38" s="288" t="s">
        <v>159</v>
      </c>
      <c r="H38" s="289" t="s">
        <v>395</v>
      </c>
      <c r="I38" s="292"/>
      <c r="J38" s="122"/>
      <c r="K38" s="117"/>
      <c r="M38" s="282"/>
      <c r="N38" s="279"/>
      <c r="O38" s="282"/>
    </row>
    <row r="39" spans="1:15" s="118" customFormat="1">
      <c r="A39" s="122"/>
      <c r="B39" s="123"/>
      <c r="C39" s="126"/>
      <c r="D39" s="124"/>
      <c r="E39" s="124"/>
      <c r="F39" s="124"/>
      <c r="G39" s="288" t="s">
        <v>171</v>
      </c>
      <c r="H39" s="289" t="s">
        <v>394</v>
      </c>
      <c r="I39" s="293"/>
      <c r="J39" s="122"/>
      <c r="K39" s="117"/>
      <c r="M39" s="282"/>
      <c r="N39" s="279"/>
      <c r="O39" s="282"/>
    </row>
    <row r="40" spans="1:15" s="118" customFormat="1">
      <c r="A40" s="122"/>
      <c r="B40" s="123"/>
      <c r="C40" s="126"/>
      <c r="D40" s="124"/>
      <c r="E40" s="124"/>
      <c r="F40" s="124"/>
      <c r="G40" s="125"/>
      <c r="H40" s="124"/>
      <c r="I40" s="124"/>
      <c r="J40" s="122"/>
      <c r="K40" s="117"/>
      <c r="M40" s="282"/>
      <c r="N40" s="279"/>
      <c r="O40" s="282"/>
    </row>
    <row r="41" spans="1:15" s="118" customFormat="1">
      <c r="A41" s="122"/>
      <c r="B41" s="123"/>
      <c r="C41" s="126"/>
      <c r="D41" s="124"/>
      <c r="E41" s="124"/>
      <c r="F41" s="124"/>
      <c r="G41" s="125"/>
      <c r="H41" s="124"/>
      <c r="I41" s="124"/>
      <c r="J41" s="122"/>
      <c r="K41" s="117"/>
      <c r="M41" s="282"/>
      <c r="N41" s="279"/>
      <c r="O41" s="282"/>
    </row>
    <row r="42" spans="1:15" s="118" customFormat="1">
      <c r="A42" s="122"/>
      <c r="B42" s="123"/>
      <c r="C42" s="126"/>
      <c r="D42" s="124"/>
      <c r="E42" s="124"/>
      <c r="F42" s="124"/>
      <c r="G42" s="125"/>
      <c r="H42" s="124"/>
      <c r="I42" s="124"/>
      <c r="J42" s="122"/>
      <c r="K42" s="117"/>
      <c r="M42" s="282"/>
      <c r="N42" s="279"/>
      <c r="O42" s="282"/>
    </row>
    <row r="43" spans="1:15" s="118" customFormat="1">
      <c r="A43" s="122"/>
      <c r="B43" s="123"/>
      <c r="C43" s="126"/>
      <c r="D43" s="124"/>
      <c r="E43" s="124"/>
      <c r="F43" s="124"/>
      <c r="G43" s="125"/>
      <c r="H43" s="124"/>
      <c r="I43" s="124"/>
      <c r="J43" s="122"/>
      <c r="K43" s="117"/>
      <c r="M43" s="282"/>
      <c r="N43" s="279"/>
      <c r="O43" s="282"/>
    </row>
    <row r="44" spans="1:15" s="118" customFormat="1">
      <c r="A44" s="122"/>
      <c r="B44" s="123"/>
      <c r="C44" s="126"/>
      <c r="D44" s="124"/>
      <c r="E44" s="124"/>
      <c r="F44" s="124"/>
      <c r="G44" s="125"/>
      <c r="H44" s="124"/>
      <c r="I44" s="124"/>
      <c r="J44" s="122"/>
      <c r="K44" s="117"/>
      <c r="M44" s="282"/>
      <c r="N44" s="279"/>
      <c r="O44" s="282"/>
    </row>
    <row r="45" spans="1:15" s="118" customFormat="1">
      <c r="A45" s="122"/>
      <c r="B45" s="123"/>
      <c r="C45" s="126"/>
      <c r="D45" s="124"/>
      <c r="E45" s="124"/>
      <c r="F45" s="124"/>
      <c r="G45" s="125"/>
      <c r="H45" s="124"/>
      <c r="I45" s="124"/>
      <c r="J45" s="122"/>
      <c r="K45" s="117"/>
      <c r="M45" s="282"/>
      <c r="N45" s="279"/>
      <c r="O45" s="282"/>
    </row>
    <row r="46" spans="1:15" s="118" customFormat="1">
      <c r="A46" s="122"/>
      <c r="B46" s="123"/>
      <c r="C46" s="126"/>
      <c r="D46" s="124"/>
      <c r="E46" s="124"/>
      <c r="F46" s="124"/>
      <c r="G46" s="125"/>
      <c r="H46" s="124"/>
      <c r="I46" s="124"/>
      <c r="J46" s="122"/>
      <c r="K46" s="117"/>
      <c r="M46" s="282"/>
      <c r="N46" s="279"/>
      <c r="O46" s="282"/>
    </row>
    <row r="47" spans="1:15" s="118" customFormat="1">
      <c r="A47" s="122"/>
      <c r="B47" s="123"/>
      <c r="C47" s="126"/>
      <c r="D47" s="124"/>
      <c r="E47" s="124"/>
      <c r="F47" s="124"/>
      <c r="G47" s="125"/>
      <c r="H47" s="124"/>
      <c r="I47" s="124"/>
      <c r="J47" s="122"/>
      <c r="K47" s="117"/>
      <c r="M47" s="282"/>
      <c r="N47" s="279"/>
      <c r="O47" s="282"/>
    </row>
    <row r="48" spans="1:15" s="118" customFormat="1">
      <c r="A48" s="122"/>
      <c r="B48" s="123"/>
      <c r="C48" s="126"/>
      <c r="D48" s="124"/>
      <c r="E48" s="124"/>
      <c r="F48" s="124"/>
      <c r="G48" s="125"/>
      <c r="H48" s="124"/>
      <c r="I48" s="124"/>
      <c r="J48" s="122"/>
      <c r="K48" s="117"/>
      <c r="M48" s="282"/>
      <c r="N48" s="279"/>
      <c r="O48" s="282"/>
    </row>
    <row r="49" spans="1:15" s="118" customFormat="1">
      <c r="A49" s="122"/>
      <c r="B49" s="123"/>
      <c r="C49" s="126"/>
      <c r="D49" s="124"/>
      <c r="E49" s="124"/>
      <c r="F49" s="124"/>
      <c r="G49" s="125"/>
      <c r="H49" s="124"/>
      <c r="I49" s="124"/>
      <c r="J49" s="122"/>
      <c r="K49" s="117"/>
      <c r="M49" s="282"/>
      <c r="N49" s="279"/>
      <c r="O49" s="282"/>
    </row>
    <row r="50" spans="1:15" s="118" customFormat="1">
      <c r="A50" s="122"/>
      <c r="B50" s="123"/>
      <c r="C50" s="126"/>
      <c r="D50" s="124"/>
      <c r="E50" s="124"/>
      <c r="F50" s="124"/>
      <c r="G50" s="125"/>
      <c r="H50" s="124"/>
      <c r="I50" s="124"/>
      <c r="J50" s="122"/>
      <c r="K50" s="117"/>
      <c r="M50" s="282"/>
      <c r="N50" s="279"/>
      <c r="O50" s="282"/>
    </row>
    <row r="51" spans="1:15" s="118" customFormat="1">
      <c r="A51" s="122"/>
      <c r="B51" s="123"/>
      <c r="C51" s="126"/>
      <c r="D51" s="124"/>
      <c r="E51" s="124"/>
      <c r="F51" s="124"/>
      <c r="G51" s="125"/>
      <c r="H51" s="124"/>
      <c r="I51" s="124"/>
      <c r="J51" s="122"/>
      <c r="K51" s="117"/>
      <c r="M51" s="282"/>
      <c r="N51" s="279"/>
      <c r="O51" s="282"/>
    </row>
    <row r="52" spans="1:15" s="118" customFormat="1">
      <c r="A52" s="122"/>
      <c r="B52" s="123"/>
      <c r="C52" s="126"/>
      <c r="D52" s="124"/>
      <c r="E52" s="124"/>
      <c r="F52" s="124"/>
      <c r="G52" s="125"/>
      <c r="H52" s="124"/>
      <c r="I52" s="124"/>
      <c r="J52" s="122"/>
      <c r="K52" s="117"/>
      <c r="M52" s="282"/>
      <c r="N52" s="279"/>
      <c r="O52" s="282"/>
    </row>
    <row r="53" spans="1:15" s="118" customFormat="1">
      <c r="A53" s="122"/>
      <c r="B53" s="123"/>
      <c r="C53" s="126"/>
      <c r="D53" s="124"/>
      <c r="E53" s="124"/>
      <c r="F53" s="124"/>
      <c r="G53" s="125"/>
      <c r="H53" s="124"/>
      <c r="I53" s="124"/>
      <c r="J53" s="122"/>
      <c r="K53" s="117"/>
      <c r="M53" s="282"/>
      <c r="N53" s="279"/>
      <c r="O53" s="282"/>
    </row>
    <row r="54" spans="1:15" s="118" customFormat="1">
      <c r="A54" s="122"/>
      <c r="B54" s="123"/>
      <c r="C54" s="126"/>
      <c r="D54" s="124"/>
      <c r="E54" s="124"/>
      <c r="F54" s="124"/>
      <c r="G54" s="125"/>
      <c r="H54" s="124"/>
      <c r="I54" s="124"/>
      <c r="J54" s="122"/>
      <c r="K54" s="117"/>
      <c r="M54" s="282"/>
      <c r="N54" s="279"/>
      <c r="O54" s="282"/>
    </row>
    <row r="55" spans="1:15" s="118" customFormat="1">
      <c r="A55" s="122"/>
      <c r="B55" s="123"/>
      <c r="C55" s="126"/>
      <c r="D55" s="124"/>
      <c r="E55" s="124"/>
      <c r="F55" s="124"/>
      <c r="G55" s="125"/>
      <c r="H55" s="124"/>
      <c r="I55" s="124"/>
      <c r="J55" s="122"/>
      <c r="K55" s="117"/>
      <c r="M55" s="282"/>
      <c r="N55" s="279"/>
      <c r="O55" s="282"/>
    </row>
    <row r="56" spans="1:15" s="118" customFormat="1">
      <c r="A56" s="122"/>
      <c r="B56" s="123"/>
      <c r="C56" s="126"/>
      <c r="D56" s="124"/>
      <c r="E56" s="124"/>
      <c r="F56" s="124"/>
      <c r="G56" s="125"/>
      <c r="H56" s="124"/>
      <c r="I56" s="124"/>
      <c r="J56" s="122"/>
      <c r="K56" s="117"/>
      <c r="M56" s="282"/>
      <c r="N56" s="279"/>
      <c r="O56" s="282"/>
    </row>
    <row r="57" spans="1:15" s="118" customFormat="1">
      <c r="A57" s="122"/>
      <c r="B57" s="123"/>
      <c r="C57" s="126"/>
      <c r="D57" s="124"/>
      <c r="E57" s="124"/>
      <c r="F57" s="124"/>
      <c r="G57" s="125"/>
      <c r="H57" s="124"/>
      <c r="I57" s="124"/>
      <c r="J57" s="122"/>
      <c r="K57" s="117"/>
      <c r="M57" s="282"/>
      <c r="N57" s="279"/>
      <c r="O57" s="282"/>
    </row>
    <row r="58" spans="1:15" s="118" customFormat="1">
      <c r="A58" s="122"/>
      <c r="B58" s="123"/>
      <c r="C58" s="126"/>
      <c r="D58" s="124"/>
      <c r="E58" s="124"/>
      <c r="F58" s="124"/>
      <c r="G58" s="125"/>
      <c r="H58" s="124"/>
      <c r="I58" s="124"/>
      <c r="J58" s="122"/>
      <c r="K58" s="117"/>
      <c r="M58" s="282"/>
      <c r="N58" s="279"/>
      <c r="O58" s="282"/>
    </row>
    <row r="59" spans="1:15" s="118" customFormat="1">
      <c r="A59" s="122"/>
      <c r="B59" s="123"/>
      <c r="C59" s="126"/>
      <c r="D59" s="124"/>
      <c r="E59" s="124"/>
      <c r="F59" s="124"/>
      <c r="G59" s="125"/>
      <c r="H59" s="124"/>
      <c r="I59" s="124"/>
      <c r="J59" s="122"/>
      <c r="K59" s="117"/>
      <c r="M59" s="282"/>
      <c r="N59" s="279"/>
      <c r="O59" s="282"/>
    </row>
    <row r="60" spans="1:15" s="118" customFormat="1">
      <c r="A60" s="122"/>
      <c r="B60" s="123"/>
      <c r="C60" s="126"/>
      <c r="D60" s="124"/>
      <c r="E60" s="124"/>
      <c r="F60" s="124"/>
      <c r="G60" s="125"/>
      <c r="H60" s="124"/>
      <c r="I60" s="124"/>
      <c r="J60" s="122"/>
      <c r="K60" s="117"/>
      <c r="M60" s="282"/>
      <c r="N60" s="279"/>
      <c r="O60" s="282"/>
    </row>
    <row r="61" spans="1:15" s="118" customFormat="1">
      <c r="A61" s="122"/>
      <c r="B61" s="123"/>
      <c r="C61" s="126"/>
      <c r="D61" s="124"/>
      <c r="E61" s="124"/>
      <c r="F61" s="124"/>
      <c r="G61" s="125"/>
      <c r="H61" s="124"/>
      <c r="I61" s="124"/>
      <c r="J61" s="122"/>
      <c r="K61" s="117"/>
      <c r="M61" s="282"/>
      <c r="N61" s="279"/>
      <c r="O61" s="282"/>
    </row>
    <row r="62" spans="1:15" s="118" customFormat="1">
      <c r="A62" s="122"/>
      <c r="B62" s="123"/>
      <c r="C62" s="126"/>
      <c r="D62" s="124"/>
      <c r="E62" s="124"/>
      <c r="F62" s="124"/>
      <c r="G62" s="125"/>
      <c r="H62" s="124"/>
      <c r="I62" s="124"/>
      <c r="J62" s="122"/>
      <c r="K62" s="117"/>
      <c r="M62" s="282"/>
      <c r="N62" s="279"/>
      <c r="O62" s="282"/>
    </row>
    <row r="63" spans="1:15" s="118" customFormat="1">
      <c r="A63" s="122"/>
      <c r="B63" s="123"/>
      <c r="C63" s="126"/>
      <c r="D63" s="124"/>
      <c r="E63" s="124"/>
      <c r="F63" s="124"/>
      <c r="G63" s="125"/>
      <c r="H63" s="124"/>
      <c r="I63" s="124"/>
      <c r="J63" s="122"/>
      <c r="K63" s="117"/>
      <c r="M63" s="282"/>
      <c r="N63" s="279"/>
      <c r="O63" s="282"/>
    </row>
    <row r="64" spans="1:15" s="118" customFormat="1">
      <c r="A64" s="122"/>
      <c r="B64" s="123"/>
      <c r="C64" s="126"/>
      <c r="D64" s="124"/>
      <c r="E64" s="124"/>
      <c r="F64" s="124"/>
      <c r="G64" s="125"/>
      <c r="H64" s="124"/>
      <c r="I64" s="124"/>
      <c r="J64" s="122"/>
      <c r="K64" s="117"/>
      <c r="M64" s="282"/>
      <c r="N64" s="279"/>
      <c r="O64" s="282"/>
    </row>
    <row r="65" spans="1:15" s="118" customFormat="1">
      <c r="A65" s="122"/>
      <c r="B65" s="123"/>
      <c r="C65" s="126"/>
      <c r="D65" s="124"/>
      <c r="E65" s="124"/>
      <c r="F65" s="124"/>
      <c r="G65" s="125"/>
      <c r="H65" s="124"/>
      <c r="I65" s="124"/>
      <c r="J65" s="122"/>
      <c r="K65" s="117"/>
      <c r="M65" s="282"/>
      <c r="N65" s="279"/>
      <c r="O65" s="282"/>
    </row>
    <row r="66" spans="1:15" s="118" customFormat="1">
      <c r="A66" s="122"/>
      <c r="B66" s="123"/>
      <c r="C66" s="126"/>
      <c r="D66" s="124"/>
      <c r="E66" s="124"/>
      <c r="F66" s="124"/>
      <c r="G66" s="125"/>
      <c r="H66" s="124"/>
      <c r="I66" s="124"/>
      <c r="J66" s="122"/>
      <c r="K66" s="117"/>
      <c r="M66" s="282"/>
      <c r="N66" s="279"/>
      <c r="O66" s="282"/>
    </row>
    <row r="67" spans="1:15" s="118" customFormat="1">
      <c r="A67" s="122"/>
      <c r="B67" s="123"/>
      <c r="C67" s="126"/>
      <c r="D67" s="124"/>
      <c r="E67" s="124"/>
      <c r="F67" s="124"/>
      <c r="G67" s="125"/>
      <c r="H67" s="124"/>
      <c r="I67" s="124"/>
      <c r="J67" s="122"/>
      <c r="K67" s="117"/>
      <c r="M67" s="282"/>
      <c r="N67" s="279"/>
      <c r="O67" s="282"/>
    </row>
    <row r="68" spans="1:15" s="118" customFormat="1">
      <c r="A68" s="122"/>
      <c r="B68" s="123"/>
      <c r="C68" s="126"/>
      <c r="D68" s="124"/>
      <c r="E68" s="124"/>
      <c r="F68" s="124"/>
      <c r="G68" s="125"/>
      <c r="H68" s="124"/>
      <c r="I68" s="124"/>
      <c r="J68" s="122"/>
      <c r="K68" s="117"/>
      <c r="M68" s="282"/>
      <c r="N68" s="279"/>
      <c r="O68" s="282"/>
    </row>
    <row r="69" spans="1:15" s="118" customFormat="1">
      <c r="A69" s="122"/>
      <c r="B69" s="123"/>
      <c r="C69" s="126"/>
      <c r="D69" s="124"/>
      <c r="E69" s="124"/>
      <c r="F69" s="124"/>
      <c r="G69" s="125"/>
      <c r="H69" s="124"/>
      <c r="I69" s="124"/>
      <c r="J69" s="122"/>
      <c r="K69" s="117"/>
      <c r="M69" s="282"/>
      <c r="N69" s="279"/>
      <c r="O69" s="282"/>
    </row>
    <row r="70" spans="1:15" s="118" customFormat="1">
      <c r="A70" s="122"/>
      <c r="B70" s="123"/>
      <c r="C70" s="126"/>
      <c r="D70" s="124"/>
      <c r="E70" s="124"/>
      <c r="F70" s="124"/>
      <c r="G70" s="125"/>
      <c r="H70" s="124"/>
      <c r="I70" s="124"/>
      <c r="J70" s="122"/>
      <c r="K70" s="117"/>
      <c r="M70" s="282"/>
      <c r="N70" s="279"/>
      <c r="O70" s="282"/>
    </row>
    <row r="71" spans="1:15" s="118" customFormat="1">
      <c r="A71" s="122"/>
      <c r="B71" s="123"/>
      <c r="C71" s="126"/>
      <c r="D71" s="124"/>
      <c r="E71" s="124"/>
      <c r="F71" s="124"/>
      <c r="G71" s="125"/>
      <c r="H71" s="124"/>
      <c r="I71" s="124"/>
      <c r="J71" s="122"/>
      <c r="K71" s="117"/>
      <c r="M71" s="282"/>
      <c r="N71" s="279"/>
      <c r="O71" s="282"/>
    </row>
    <row r="72" spans="1:15" s="118" customFormat="1">
      <c r="A72" s="122"/>
      <c r="B72" s="123"/>
      <c r="C72" s="126"/>
      <c r="D72" s="124"/>
      <c r="E72" s="124"/>
      <c r="F72" s="124"/>
      <c r="G72" s="125"/>
      <c r="H72" s="124"/>
      <c r="I72" s="124"/>
      <c r="J72" s="122"/>
      <c r="K72" s="117"/>
      <c r="M72" s="282"/>
      <c r="N72" s="279"/>
      <c r="O72" s="282"/>
    </row>
    <row r="73" spans="1:15" s="118" customFormat="1">
      <c r="A73" s="122"/>
      <c r="B73" s="123"/>
      <c r="C73" s="126"/>
      <c r="D73" s="124"/>
      <c r="E73" s="124"/>
      <c r="F73" s="124"/>
      <c r="G73" s="125"/>
      <c r="H73" s="124"/>
      <c r="I73" s="124"/>
      <c r="J73" s="122"/>
      <c r="K73" s="117"/>
      <c r="M73" s="282"/>
      <c r="N73" s="279"/>
      <c r="O73" s="282"/>
    </row>
    <row r="74" spans="1:15" s="118" customFormat="1">
      <c r="A74" s="122"/>
      <c r="B74" s="123"/>
      <c r="C74" s="126"/>
      <c r="D74" s="124"/>
      <c r="E74" s="124"/>
      <c r="F74" s="124"/>
      <c r="G74" s="125"/>
      <c r="H74" s="124"/>
      <c r="I74" s="124"/>
      <c r="J74" s="122"/>
      <c r="K74" s="117"/>
      <c r="M74" s="282"/>
      <c r="N74" s="279"/>
      <c r="O74" s="282"/>
    </row>
    <row r="75" spans="1:15" s="118" customFormat="1">
      <c r="A75" s="122"/>
      <c r="B75" s="123"/>
      <c r="C75" s="126"/>
      <c r="D75" s="124"/>
      <c r="E75" s="124"/>
      <c r="F75" s="124"/>
      <c r="G75" s="125"/>
      <c r="H75" s="124"/>
      <c r="I75" s="124"/>
      <c r="J75" s="122"/>
      <c r="K75" s="117"/>
      <c r="M75" s="282"/>
      <c r="N75" s="279"/>
      <c r="O75" s="282"/>
    </row>
    <row r="76" spans="1:15" s="118" customFormat="1">
      <c r="A76" s="122"/>
      <c r="B76" s="123"/>
      <c r="C76" s="126"/>
      <c r="D76" s="124"/>
      <c r="E76" s="124"/>
      <c r="F76" s="124"/>
      <c r="G76" s="125"/>
      <c r="H76" s="124"/>
      <c r="I76" s="124"/>
      <c r="J76" s="122"/>
      <c r="K76" s="117"/>
      <c r="M76" s="282"/>
      <c r="N76" s="279"/>
      <c r="O76" s="282"/>
    </row>
    <row r="77" spans="1:15" s="118" customFormat="1">
      <c r="A77" s="122"/>
      <c r="B77" s="123"/>
      <c r="C77" s="126"/>
      <c r="D77" s="124"/>
      <c r="E77" s="124"/>
      <c r="F77" s="124"/>
      <c r="G77" s="125"/>
      <c r="H77" s="124"/>
      <c r="I77" s="124"/>
      <c r="J77" s="122"/>
      <c r="K77" s="117"/>
      <c r="M77" s="282"/>
      <c r="N77" s="279"/>
      <c r="O77" s="282"/>
    </row>
    <row r="78" spans="1:15" s="118" customFormat="1">
      <c r="A78" s="122"/>
      <c r="B78" s="123"/>
      <c r="C78" s="126"/>
      <c r="D78" s="124"/>
      <c r="E78" s="124"/>
      <c r="F78" s="124"/>
      <c r="G78" s="125"/>
      <c r="H78" s="124"/>
      <c r="I78" s="124"/>
      <c r="J78" s="122"/>
      <c r="K78" s="117"/>
      <c r="M78" s="282"/>
      <c r="N78" s="279"/>
      <c r="O78" s="282"/>
    </row>
    <row r="79" spans="1:15" s="118" customFormat="1">
      <c r="A79" s="122"/>
      <c r="B79" s="123"/>
      <c r="C79" s="126"/>
      <c r="D79" s="124"/>
      <c r="E79" s="124"/>
      <c r="F79" s="124"/>
      <c r="G79" s="125"/>
      <c r="H79" s="124"/>
      <c r="I79" s="124"/>
      <c r="J79" s="122"/>
      <c r="K79" s="117"/>
      <c r="M79" s="282"/>
      <c r="N79" s="279"/>
      <c r="O79" s="282"/>
    </row>
    <row r="80" spans="1:15" s="118" customFormat="1">
      <c r="A80" s="122"/>
      <c r="B80" s="123"/>
      <c r="C80" s="126"/>
      <c r="D80" s="124"/>
      <c r="E80" s="124"/>
      <c r="F80" s="124"/>
      <c r="G80" s="125"/>
      <c r="H80" s="124"/>
      <c r="I80" s="124"/>
      <c r="J80" s="122"/>
      <c r="K80" s="117"/>
      <c r="M80" s="282"/>
      <c r="N80" s="279"/>
      <c r="O80" s="282"/>
    </row>
    <row r="81" spans="1:15" s="118" customFormat="1">
      <c r="A81" s="122"/>
      <c r="B81" s="123"/>
      <c r="C81" s="126"/>
      <c r="D81" s="124"/>
      <c r="E81" s="124"/>
      <c r="F81" s="124"/>
      <c r="G81" s="125"/>
      <c r="H81" s="124"/>
      <c r="I81" s="124"/>
      <c r="J81" s="122"/>
      <c r="K81" s="117"/>
      <c r="M81" s="282"/>
      <c r="N81" s="279"/>
      <c r="O81" s="282"/>
    </row>
    <row r="82" spans="1:15" s="118" customFormat="1">
      <c r="A82" s="122"/>
      <c r="B82" s="123"/>
      <c r="C82" s="126"/>
      <c r="D82" s="124"/>
      <c r="E82" s="124"/>
      <c r="F82" s="124"/>
      <c r="G82" s="125"/>
      <c r="H82" s="124"/>
      <c r="I82" s="124"/>
      <c r="J82" s="122"/>
      <c r="K82" s="117"/>
      <c r="M82" s="282"/>
      <c r="N82" s="279"/>
      <c r="O82" s="282"/>
    </row>
    <row r="83" spans="1:15" s="118" customFormat="1">
      <c r="A83" s="122"/>
      <c r="B83" s="123"/>
      <c r="C83" s="126"/>
      <c r="D83" s="124"/>
      <c r="E83" s="124"/>
      <c r="F83" s="124"/>
      <c r="G83" s="125"/>
      <c r="H83" s="124"/>
      <c r="I83" s="124"/>
      <c r="J83" s="122"/>
      <c r="K83" s="117"/>
      <c r="M83" s="282"/>
      <c r="N83" s="279"/>
      <c r="O83" s="282"/>
    </row>
    <row r="84" spans="1:15" s="118" customFormat="1">
      <c r="A84" s="122"/>
      <c r="B84" s="123"/>
      <c r="C84" s="126"/>
      <c r="D84" s="124"/>
      <c r="E84" s="124"/>
      <c r="F84" s="124"/>
      <c r="G84" s="125"/>
      <c r="H84" s="124"/>
      <c r="I84" s="124"/>
      <c r="J84" s="122"/>
      <c r="K84" s="117"/>
      <c r="M84" s="282"/>
      <c r="N84" s="279"/>
      <c r="O84" s="282"/>
    </row>
    <row r="85" spans="1:15" s="118" customFormat="1">
      <c r="A85" s="122"/>
      <c r="B85" s="123"/>
      <c r="C85" s="126"/>
      <c r="D85" s="124"/>
      <c r="E85" s="124"/>
      <c r="F85" s="124"/>
      <c r="G85" s="125"/>
      <c r="H85" s="124"/>
      <c r="I85" s="124"/>
      <c r="J85" s="122"/>
      <c r="K85" s="117"/>
      <c r="M85" s="282"/>
      <c r="N85" s="279"/>
      <c r="O85" s="282"/>
    </row>
    <row r="86" spans="1:15" s="118" customFormat="1">
      <c r="A86" s="122"/>
      <c r="B86" s="123"/>
      <c r="C86" s="126"/>
      <c r="D86" s="124"/>
      <c r="E86" s="124"/>
      <c r="F86" s="124"/>
      <c r="G86" s="125"/>
      <c r="H86" s="124"/>
      <c r="I86" s="124"/>
      <c r="J86" s="122"/>
      <c r="K86" s="117"/>
      <c r="M86" s="282"/>
      <c r="N86" s="279"/>
      <c r="O86" s="282"/>
    </row>
    <row r="87" spans="1:15" s="118" customFormat="1">
      <c r="A87" s="122"/>
      <c r="B87" s="123"/>
      <c r="C87" s="126"/>
      <c r="D87" s="124"/>
      <c r="E87" s="124"/>
      <c r="F87" s="124"/>
      <c r="G87" s="125"/>
      <c r="H87" s="124"/>
      <c r="I87" s="124"/>
      <c r="J87" s="122"/>
      <c r="K87" s="117"/>
      <c r="M87" s="282"/>
      <c r="N87" s="279"/>
      <c r="O87" s="282"/>
    </row>
    <row r="88" spans="1:15" s="118" customFormat="1">
      <c r="A88" s="122"/>
      <c r="B88" s="123"/>
      <c r="C88" s="126"/>
      <c r="D88" s="124"/>
      <c r="E88" s="124"/>
      <c r="F88" s="124"/>
      <c r="G88" s="125"/>
      <c r="H88" s="124"/>
      <c r="I88" s="124"/>
      <c r="J88" s="122"/>
      <c r="K88" s="117"/>
      <c r="M88" s="282"/>
      <c r="N88" s="279"/>
      <c r="O88" s="282"/>
    </row>
    <row r="89" spans="1:15" s="118" customFormat="1">
      <c r="A89" s="122"/>
      <c r="B89" s="123"/>
      <c r="C89" s="126"/>
      <c r="D89" s="124"/>
      <c r="E89" s="124"/>
      <c r="F89" s="124"/>
      <c r="G89" s="125"/>
      <c r="H89" s="124"/>
      <c r="I89" s="124"/>
      <c r="J89" s="122"/>
      <c r="K89" s="117"/>
      <c r="M89" s="282"/>
      <c r="N89" s="279"/>
      <c r="O89" s="282"/>
    </row>
    <row r="90" spans="1:15" s="118" customFormat="1">
      <c r="A90" s="122"/>
      <c r="B90" s="123"/>
      <c r="C90" s="126"/>
      <c r="D90" s="124"/>
      <c r="E90" s="124"/>
      <c r="F90" s="124"/>
      <c r="G90" s="125"/>
      <c r="H90" s="124"/>
      <c r="I90" s="124"/>
      <c r="J90" s="122"/>
      <c r="K90" s="117"/>
      <c r="M90" s="282"/>
      <c r="N90" s="279"/>
      <c r="O90" s="282"/>
    </row>
    <row r="91" spans="1:15" s="118" customFormat="1">
      <c r="A91" s="122"/>
      <c r="B91" s="123"/>
      <c r="C91" s="126"/>
      <c r="D91" s="124"/>
      <c r="E91" s="124"/>
      <c r="F91" s="124"/>
      <c r="G91" s="125"/>
      <c r="H91" s="124"/>
      <c r="I91" s="124"/>
      <c r="J91" s="122"/>
      <c r="K91" s="117"/>
      <c r="M91" s="282"/>
      <c r="N91" s="279"/>
      <c r="O91" s="282"/>
    </row>
    <row r="92" spans="1:15" s="118" customFormat="1">
      <c r="A92" s="122"/>
      <c r="B92" s="123"/>
      <c r="C92" s="126"/>
      <c r="D92" s="124"/>
      <c r="E92" s="124"/>
      <c r="F92" s="124"/>
      <c r="G92" s="125"/>
      <c r="H92" s="124"/>
      <c r="I92" s="124"/>
      <c r="J92" s="122"/>
      <c r="K92" s="117"/>
      <c r="M92" s="282"/>
      <c r="N92" s="279"/>
      <c r="O92" s="282"/>
    </row>
    <row r="93" spans="1:15" s="118" customFormat="1">
      <c r="A93" s="122"/>
      <c r="B93" s="123"/>
      <c r="C93" s="126"/>
      <c r="D93" s="124"/>
      <c r="E93" s="124"/>
      <c r="F93" s="124"/>
      <c r="G93" s="125"/>
      <c r="H93" s="124"/>
      <c r="I93" s="124"/>
      <c r="J93" s="122"/>
      <c r="K93" s="117"/>
      <c r="M93" s="282"/>
      <c r="N93" s="279"/>
      <c r="O93" s="282"/>
    </row>
    <row r="94" spans="1:15" s="118" customFormat="1">
      <c r="A94" s="122"/>
      <c r="B94" s="123"/>
      <c r="C94" s="126"/>
      <c r="D94" s="124"/>
      <c r="E94" s="124"/>
      <c r="F94" s="124"/>
      <c r="G94" s="125"/>
      <c r="H94" s="124"/>
      <c r="I94" s="124"/>
      <c r="J94" s="122"/>
      <c r="K94" s="117"/>
      <c r="M94" s="282"/>
      <c r="N94" s="279"/>
      <c r="O94" s="282"/>
    </row>
    <row r="95" spans="1:15" s="118" customFormat="1">
      <c r="A95" s="122"/>
      <c r="B95" s="123"/>
      <c r="C95" s="126"/>
      <c r="D95" s="124"/>
      <c r="E95" s="124"/>
      <c r="F95" s="124"/>
      <c r="G95" s="125"/>
      <c r="H95" s="124"/>
      <c r="I95" s="124"/>
      <c r="J95" s="122"/>
      <c r="K95" s="117"/>
      <c r="M95" s="282"/>
      <c r="N95" s="279"/>
      <c r="O95" s="282"/>
    </row>
    <row r="96" spans="1:15" s="118" customFormat="1">
      <c r="A96" s="122"/>
      <c r="B96" s="123"/>
      <c r="C96" s="126"/>
      <c r="D96" s="124"/>
      <c r="E96" s="124"/>
      <c r="F96" s="124"/>
      <c r="G96" s="125"/>
      <c r="H96" s="124"/>
      <c r="I96" s="124"/>
      <c r="J96" s="122"/>
      <c r="K96" s="117"/>
      <c r="M96" s="282"/>
      <c r="N96" s="279"/>
      <c r="O96" s="282"/>
    </row>
    <row r="97" spans="1:15" s="118" customFormat="1">
      <c r="A97" s="122"/>
      <c r="B97" s="123"/>
      <c r="C97" s="126"/>
      <c r="D97" s="124"/>
      <c r="E97" s="124"/>
      <c r="F97" s="124"/>
      <c r="G97" s="125"/>
      <c r="H97" s="124"/>
      <c r="I97" s="124"/>
      <c r="J97" s="122"/>
      <c r="K97" s="117"/>
      <c r="M97" s="282"/>
      <c r="N97" s="279"/>
      <c r="O97" s="282"/>
    </row>
    <row r="98" spans="1:15" s="118" customFormat="1">
      <c r="A98" s="122"/>
      <c r="B98" s="123"/>
      <c r="C98" s="126"/>
      <c r="D98" s="124"/>
      <c r="E98" s="124"/>
      <c r="F98" s="124"/>
      <c r="G98" s="125"/>
      <c r="H98" s="124"/>
      <c r="I98" s="124"/>
      <c r="J98" s="122"/>
      <c r="K98" s="117"/>
      <c r="M98" s="282"/>
      <c r="N98" s="279"/>
      <c r="O98" s="282"/>
    </row>
    <row r="99" spans="1:15" s="118" customFormat="1">
      <c r="A99" s="122"/>
      <c r="B99" s="123"/>
      <c r="C99" s="126"/>
      <c r="D99" s="124"/>
      <c r="E99" s="124"/>
      <c r="F99" s="124"/>
      <c r="G99" s="125"/>
      <c r="H99" s="124"/>
      <c r="I99" s="124"/>
      <c r="J99" s="122"/>
      <c r="K99" s="117"/>
      <c r="M99" s="282"/>
      <c r="N99" s="279"/>
      <c r="O99" s="282"/>
    </row>
    <row r="100" spans="1:15" s="118" customFormat="1">
      <c r="A100" s="122"/>
      <c r="B100" s="123"/>
      <c r="C100" s="126"/>
      <c r="D100" s="124"/>
      <c r="E100" s="124"/>
      <c r="F100" s="124"/>
      <c r="G100" s="125"/>
      <c r="H100" s="124"/>
      <c r="I100" s="124"/>
      <c r="J100" s="122"/>
      <c r="K100" s="117"/>
      <c r="M100" s="282"/>
      <c r="N100" s="279"/>
      <c r="O100" s="282"/>
    </row>
    <row r="101" spans="1:15" s="118" customFormat="1">
      <c r="A101" s="122"/>
      <c r="B101" s="123"/>
      <c r="C101" s="126"/>
      <c r="D101" s="124"/>
      <c r="E101" s="124"/>
      <c r="F101" s="124"/>
      <c r="G101" s="125"/>
      <c r="H101" s="124"/>
      <c r="I101" s="124"/>
      <c r="J101" s="122"/>
      <c r="K101" s="117"/>
      <c r="M101" s="282"/>
      <c r="N101" s="279"/>
      <c r="O101" s="282"/>
    </row>
    <row r="102" spans="1:15" s="118" customFormat="1">
      <c r="A102" s="122"/>
      <c r="B102" s="123"/>
      <c r="C102" s="126"/>
      <c r="D102" s="124"/>
      <c r="E102" s="124"/>
      <c r="F102" s="124"/>
      <c r="G102" s="125"/>
      <c r="H102" s="124"/>
      <c r="I102" s="124"/>
      <c r="J102" s="122"/>
      <c r="K102" s="117"/>
      <c r="M102" s="282"/>
      <c r="N102" s="279"/>
      <c r="O102" s="282"/>
    </row>
    <row r="103" spans="1:15" s="118" customFormat="1">
      <c r="A103" s="122"/>
      <c r="B103" s="123"/>
      <c r="C103" s="126"/>
      <c r="D103" s="124"/>
      <c r="E103" s="124"/>
      <c r="F103" s="124"/>
      <c r="G103" s="125"/>
      <c r="H103" s="124"/>
      <c r="I103" s="124"/>
      <c r="J103" s="122"/>
      <c r="K103" s="117"/>
      <c r="M103" s="282"/>
      <c r="N103" s="279"/>
      <c r="O103" s="282"/>
    </row>
    <row r="104" spans="1:15" s="118" customFormat="1">
      <c r="A104" s="122"/>
      <c r="B104" s="123"/>
      <c r="C104" s="126"/>
      <c r="D104" s="124"/>
      <c r="E104" s="124"/>
      <c r="F104" s="124"/>
      <c r="G104" s="125"/>
      <c r="H104" s="124"/>
      <c r="I104" s="124"/>
      <c r="J104" s="122"/>
      <c r="K104" s="117"/>
      <c r="M104" s="282"/>
      <c r="N104" s="279"/>
      <c r="O104" s="282"/>
    </row>
    <row r="105" spans="1:15" s="118" customFormat="1">
      <c r="A105" s="122"/>
      <c r="B105" s="123"/>
      <c r="C105" s="126"/>
      <c r="D105" s="124"/>
      <c r="E105" s="124"/>
      <c r="F105" s="124"/>
      <c r="G105" s="125"/>
      <c r="H105" s="124"/>
      <c r="I105" s="124"/>
      <c r="J105" s="122"/>
      <c r="K105" s="117"/>
      <c r="M105" s="282"/>
      <c r="N105" s="279"/>
      <c r="O105" s="282"/>
    </row>
    <row r="106" spans="1:15">
      <c r="H106" s="124"/>
    </row>
  </sheetData>
  <mergeCells count="28">
    <mergeCell ref="B6:C6"/>
    <mergeCell ref="B10:C10"/>
    <mergeCell ref="J4:J5"/>
    <mergeCell ref="E4:E5"/>
    <mergeCell ref="F4:F5"/>
    <mergeCell ref="H4:H5"/>
    <mergeCell ref="B4:B5"/>
    <mergeCell ref="C4:C5"/>
    <mergeCell ref="D4:D5"/>
    <mergeCell ref="A1:C1"/>
    <mergeCell ref="A2:C2"/>
    <mergeCell ref="G4:G5"/>
    <mergeCell ref="C3:K3"/>
    <mergeCell ref="A3:B3"/>
    <mergeCell ref="A4:A5"/>
    <mergeCell ref="M6:O6"/>
    <mergeCell ref="M10:O10"/>
    <mergeCell ref="D1:K2"/>
    <mergeCell ref="K4:K5"/>
    <mergeCell ref="I4:I5"/>
    <mergeCell ref="O24:O32"/>
    <mergeCell ref="M24:M32"/>
    <mergeCell ref="G36:I36"/>
    <mergeCell ref="O18:O19"/>
    <mergeCell ref="M18:M19"/>
    <mergeCell ref="O20:O23"/>
    <mergeCell ref="M20:M23"/>
    <mergeCell ref="A34:I34"/>
  </mergeCells>
  <phoneticPr fontId="7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59" orientation="landscape" r:id="rId1"/>
  <rowBreaks count="1" manualBreakCount="1">
    <brk id="23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22" zoomScaleNormal="100" workbookViewId="0">
      <selection activeCell="J4" sqref="J4"/>
    </sheetView>
  </sheetViews>
  <sheetFormatPr defaultColWidth="9.21875" defaultRowHeight="14.4"/>
  <cols>
    <col min="1" max="1" width="17.6640625" style="83" customWidth="1"/>
    <col min="2" max="2" width="39.77734375" style="83" customWidth="1"/>
    <col min="3" max="3" width="12.44140625" style="84" customWidth="1"/>
    <col min="4" max="4" width="12.33203125" style="84" bestFit="1" customWidth="1"/>
    <col min="5" max="5" width="10" style="84" customWidth="1"/>
    <col min="6" max="6" width="12.33203125" style="84" bestFit="1" customWidth="1"/>
    <col min="7" max="11" width="9.21875" style="83"/>
    <col min="12" max="12" width="15.6640625" style="84" bestFit="1" customWidth="1"/>
    <col min="13" max="16384" width="9.21875" style="83"/>
  </cols>
  <sheetData>
    <row r="1" spans="1:12" ht="45" customHeight="1">
      <c r="A1" s="540"/>
      <c r="B1" s="541"/>
      <c r="C1" s="541"/>
      <c r="D1" s="541"/>
      <c r="E1" s="541"/>
      <c r="F1" s="542"/>
    </row>
    <row r="2" spans="1:12" ht="54.75" customHeight="1" thickBot="1">
      <c r="A2" s="543"/>
      <c r="B2" s="544"/>
      <c r="C2" s="544"/>
      <c r="D2" s="544"/>
      <c r="E2" s="544"/>
      <c r="F2" s="545"/>
    </row>
    <row r="3" spans="1:12" ht="15.6">
      <c r="A3" s="546" t="s">
        <v>112</v>
      </c>
      <c r="B3" s="547"/>
      <c r="C3" s="547"/>
      <c r="D3" s="547"/>
      <c r="E3" s="547"/>
      <c r="F3" s="548"/>
      <c r="L3" s="83"/>
    </row>
    <row r="4" spans="1:12" s="87" customFormat="1" ht="15.6">
      <c r="A4" s="549" t="s">
        <v>2</v>
      </c>
      <c r="B4" s="550" t="s">
        <v>14</v>
      </c>
      <c r="C4" s="550" t="s">
        <v>113</v>
      </c>
      <c r="D4" s="550"/>
      <c r="E4" s="550" t="s">
        <v>114</v>
      </c>
      <c r="F4" s="551"/>
    </row>
    <row r="5" spans="1:12">
      <c r="A5" s="549"/>
      <c r="B5" s="550"/>
      <c r="C5" s="88" t="s">
        <v>115</v>
      </c>
      <c r="D5" s="88" t="s">
        <v>116</v>
      </c>
      <c r="E5" s="88" t="s">
        <v>115</v>
      </c>
      <c r="F5" s="89" t="s">
        <v>116</v>
      </c>
    </row>
    <row r="6" spans="1:12" ht="15.6">
      <c r="A6" s="530" t="s">
        <v>112</v>
      </c>
      <c r="B6" s="531"/>
      <c r="C6" s="531"/>
      <c r="D6" s="531"/>
      <c r="E6" s="531"/>
      <c r="F6" s="532"/>
      <c r="L6" s="83"/>
    </row>
    <row r="7" spans="1:12" s="84" customFormat="1" ht="15.6">
      <c r="A7" s="85" t="s">
        <v>2</v>
      </c>
      <c r="B7" s="86" t="s">
        <v>14</v>
      </c>
      <c r="C7" s="537" t="s">
        <v>113</v>
      </c>
      <c r="D7" s="538"/>
      <c r="E7" s="537" t="s">
        <v>114</v>
      </c>
      <c r="F7" s="539"/>
    </row>
    <row r="8" spans="1:12" s="84" customFormat="1" ht="15.6">
      <c r="A8" s="85"/>
      <c r="B8" s="86"/>
      <c r="C8" s="88" t="s">
        <v>115</v>
      </c>
      <c r="D8" s="88" t="s">
        <v>116</v>
      </c>
      <c r="E8" s="88" t="s">
        <v>115</v>
      </c>
      <c r="F8" s="89" t="s">
        <v>116</v>
      </c>
    </row>
    <row r="9" spans="1:12" s="84" customFormat="1" ht="15.6">
      <c r="A9" s="530" t="s">
        <v>117</v>
      </c>
      <c r="B9" s="531"/>
      <c r="C9" s="531"/>
      <c r="D9" s="531"/>
      <c r="E9" s="531"/>
      <c r="F9" s="532"/>
    </row>
    <row r="10" spans="1:12" s="84" customFormat="1">
      <c r="A10" s="90" t="s">
        <v>118</v>
      </c>
      <c r="B10" s="91" t="s">
        <v>119</v>
      </c>
      <c r="C10" s="92">
        <v>0</v>
      </c>
      <c r="D10" s="92">
        <v>0</v>
      </c>
      <c r="E10" s="92">
        <v>0.2</v>
      </c>
      <c r="F10" s="93">
        <v>0.2</v>
      </c>
    </row>
    <row r="11" spans="1:12" s="84" customFormat="1">
      <c r="A11" s="90" t="s">
        <v>120</v>
      </c>
      <c r="B11" s="91" t="s">
        <v>121</v>
      </c>
      <c r="C11" s="92">
        <v>1.4999999999999999E-2</v>
      </c>
      <c r="D11" s="92">
        <v>1.4999999999999999E-2</v>
      </c>
      <c r="E11" s="92">
        <v>1.4999999999999999E-2</v>
      </c>
      <c r="F11" s="93">
        <v>1.4999999999999999E-2</v>
      </c>
    </row>
    <row r="12" spans="1:12" s="84" customFormat="1">
      <c r="A12" s="90" t="s">
        <v>122</v>
      </c>
      <c r="B12" s="91" t="s">
        <v>123</v>
      </c>
      <c r="C12" s="92">
        <v>0.01</v>
      </c>
      <c r="D12" s="92">
        <v>0.01</v>
      </c>
      <c r="E12" s="92">
        <v>0.01</v>
      </c>
      <c r="F12" s="93">
        <v>0.01</v>
      </c>
    </row>
    <row r="13" spans="1:12" s="84" customFormat="1">
      <c r="A13" s="90" t="s">
        <v>124</v>
      </c>
      <c r="B13" s="91" t="s">
        <v>125</v>
      </c>
      <c r="C13" s="92">
        <v>2E-3</v>
      </c>
      <c r="D13" s="92">
        <v>2E-3</v>
      </c>
      <c r="E13" s="92">
        <v>2E-3</v>
      </c>
      <c r="F13" s="93">
        <v>2E-3</v>
      </c>
    </row>
    <row r="14" spans="1:12" s="84" customFormat="1">
      <c r="A14" s="90" t="s">
        <v>126</v>
      </c>
      <c r="B14" s="91" t="s">
        <v>127</v>
      </c>
      <c r="C14" s="92">
        <v>6.0000000000000001E-3</v>
      </c>
      <c r="D14" s="92">
        <v>6.0000000000000001E-3</v>
      </c>
      <c r="E14" s="92">
        <v>6.0000000000000001E-3</v>
      </c>
      <c r="F14" s="93">
        <v>6.0000000000000001E-3</v>
      </c>
    </row>
    <row r="15" spans="1:12" s="84" customFormat="1">
      <c r="A15" s="90" t="s">
        <v>128</v>
      </c>
      <c r="B15" s="91" t="s">
        <v>129</v>
      </c>
      <c r="C15" s="92">
        <v>2.5000000000000001E-2</v>
      </c>
      <c r="D15" s="92">
        <v>2.5000000000000001E-2</v>
      </c>
      <c r="E15" s="92">
        <v>2.5000000000000001E-2</v>
      </c>
      <c r="F15" s="93">
        <v>2.5000000000000001E-2</v>
      </c>
    </row>
    <row r="16" spans="1:12" s="84" customFormat="1">
      <c r="A16" s="90" t="s">
        <v>130</v>
      </c>
      <c r="B16" s="91" t="s">
        <v>131</v>
      </c>
      <c r="C16" s="92">
        <v>0.03</v>
      </c>
      <c r="D16" s="92">
        <v>0.03</v>
      </c>
      <c r="E16" s="92">
        <v>0.03</v>
      </c>
      <c r="F16" s="93">
        <v>0.03</v>
      </c>
    </row>
    <row r="17" spans="1:12">
      <c r="A17" s="90" t="s">
        <v>132</v>
      </c>
      <c r="B17" s="91" t="s">
        <v>133</v>
      </c>
      <c r="C17" s="92">
        <v>0.08</v>
      </c>
      <c r="D17" s="92">
        <v>0.08</v>
      </c>
      <c r="E17" s="92">
        <v>0.08</v>
      </c>
      <c r="F17" s="93">
        <v>0.08</v>
      </c>
      <c r="L17" s="83"/>
    </row>
    <row r="18" spans="1:12">
      <c r="A18" s="90" t="s">
        <v>134</v>
      </c>
      <c r="B18" s="91" t="s">
        <v>135</v>
      </c>
      <c r="C18" s="92">
        <v>0</v>
      </c>
      <c r="D18" s="92">
        <v>0</v>
      </c>
      <c r="E18" s="92">
        <v>0</v>
      </c>
      <c r="F18" s="93">
        <v>0</v>
      </c>
    </row>
    <row r="19" spans="1:12">
      <c r="A19" s="94" t="s">
        <v>136</v>
      </c>
      <c r="B19" s="95" t="s">
        <v>0</v>
      </c>
      <c r="C19" s="96">
        <f>SUM(C10:C18)</f>
        <v>0.16799999999999998</v>
      </c>
      <c r="D19" s="96">
        <f>SUM(D10:D18)</f>
        <v>0.16799999999999998</v>
      </c>
      <c r="E19" s="96">
        <f>SUM(E10:E18)</f>
        <v>0.36800000000000005</v>
      </c>
      <c r="F19" s="97">
        <f>SUM(F10:F18)</f>
        <v>0.36800000000000005</v>
      </c>
    </row>
    <row r="20" spans="1:12" ht="15.6">
      <c r="A20" s="530" t="s">
        <v>137</v>
      </c>
      <c r="B20" s="531"/>
      <c r="C20" s="531"/>
      <c r="D20" s="531"/>
      <c r="E20" s="531"/>
      <c r="F20" s="532"/>
    </row>
    <row r="21" spans="1:12">
      <c r="A21" s="90" t="s">
        <v>138</v>
      </c>
      <c r="B21" s="98" t="s">
        <v>139</v>
      </c>
      <c r="C21" s="92">
        <v>0.1799</v>
      </c>
      <c r="D21" s="92" t="s">
        <v>140</v>
      </c>
      <c r="E21" s="92">
        <v>0.1799</v>
      </c>
      <c r="F21" s="92" t="s">
        <v>140</v>
      </c>
    </row>
    <row r="22" spans="1:12">
      <c r="A22" s="90" t="s">
        <v>141</v>
      </c>
      <c r="B22" s="98" t="s">
        <v>142</v>
      </c>
      <c r="C22" s="92">
        <v>4.2799999999999998E-2</v>
      </c>
      <c r="D22" s="92" t="s">
        <v>140</v>
      </c>
      <c r="E22" s="92">
        <v>4.2799999999999998E-2</v>
      </c>
      <c r="F22" s="92" t="s">
        <v>140</v>
      </c>
    </row>
    <row r="23" spans="1:12">
      <c r="A23" s="90" t="s">
        <v>143</v>
      </c>
      <c r="B23" s="98" t="s">
        <v>144</v>
      </c>
      <c r="C23" s="92">
        <v>8.8000000000000005E-3</v>
      </c>
      <c r="D23" s="92">
        <v>6.6E-3</v>
      </c>
      <c r="E23" s="92">
        <v>8.8000000000000005E-3</v>
      </c>
      <c r="F23" s="92">
        <v>6.6E-3</v>
      </c>
    </row>
    <row r="24" spans="1:12">
      <c r="A24" s="90" t="s">
        <v>145</v>
      </c>
      <c r="B24" s="98" t="s">
        <v>146</v>
      </c>
      <c r="C24" s="92">
        <v>0.11119999999999999</v>
      </c>
      <c r="D24" s="92">
        <v>8.3299999999999999E-2</v>
      </c>
      <c r="E24" s="92">
        <v>0.11119999999999999</v>
      </c>
      <c r="F24" s="92">
        <v>8.3299999999999999E-2</v>
      </c>
    </row>
    <row r="25" spans="1:12">
      <c r="A25" s="90" t="s">
        <v>147</v>
      </c>
      <c r="B25" s="98" t="s">
        <v>148</v>
      </c>
      <c r="C25" s="92">
        <v>6.9999999999999999E-4</v>
      </c>
      <c r="D25" s="92">
        <v>5.0000000000000001E-4</v>
      </c>
      <c r="E25" s="92">
        <v>6.9999999999999999E-4</v>
      </c>
      <c r="F25" s="92">
        <v>5.0000000000000001E-4</v>
      </c>
    </row>
    <row r="26" spans="1:12">
      <c r="A26" s="90" t="s">
        <v>149</v>
      </c>
      <c r="B26" s="98" t="s">
        <v>150</v>
      </c>
      <c r="C26" s="92">
        <v>7.4000000000000003E-3</v>
      </c>
      <c r="D26" s="92">
        <v>5.5999999999999999E-3</v>
      </c>
      <c r="E26" s="92">
        <v>7.4000000000000003E-3</v>
      </c>
      <c r="F26" s="92">
        <v>5.5999999999999999E-3</v>
      </c>
    </row>
    <row r="27" spans="1:12">
      <c r="A27" s="90" t="s">
        <v>151</v>
      </c>
      <c r="B27" s="98" t="s">
        <v>152</v>
      </c>
      <c r="C27" s="92">
        <v>1.8200000000000001E-2</v>
      </c>
      <c r="D27" s="92" t="s">
        <v>140</v>
      </c>
      <c r="E27" s="92">
        <v>1.8200000000000001E-2</v>
      </c>
      <c r="F27" s="92" t="s">
        <v>140</v>
      </c>
    </row>
    <row r="28" spans="1:12">
      <c r="A28" s="90" t="s">
        <v>153</v>
      </c>
      <c r="B28" s="98" t="s">
        <v>154</v>
      </c>
      <c r="C28" s="92">
        <v>1.1000000000000001E-3</v>
      </c>
      <c r="D28" s="92">
        <v>8.0000000000000004E-4</v>
      </c>
      <c r="E28" s="92">
        <v>1.1000000000000001E-3</v>
      </c>
      <c r="F28" s="92">
        <v>8.0000000000000004E-4</v>
      </c>
    </row>
    <row r="29" spans="1:12">
      <c r="A29" s="90" t="s">
        <v>155</v>
      </c>
      <c r="B29" s="98" t="s">
        <v>156</v>
      </c>
      <c r="C29" s="92">
        <v>0.12670000000000001</v>
      </c>
      <c r="D29" s="92">
        <v>9.4899999999999998E-2</v>
      </c>
      <c r="E29" s="92">
        <v>0.12670000000000001</v>
      </c>
      <c r="F29" s="92">
        <v>9.4899999999999998E-2</v>
      </c>
      <c r="L29" s="83"/>
    </row>
    <row r="30" spans="1:12">
      <c r="A30" s="90" t="s">
        <v>157</v>
      </c>
      <c r="B30" s="98" t="s">
        <v>158</v>
      </c>
      <c r="C30" s="92">
        <v>4.0000000000000002E-4</v>
      </c>
      <c r="D30" s="92">
        <v>2.9999999999999997E-4</v>
      </c>
      <c r="E30" s="92">
        <v>4.0000000000000002E-4</v>
      </c>
      <c r="F30" s="92">
        <v>2.9999999999999997E-4</v>
      </c>
    </row>
    <row r="31" spans="1:12">
      <c r="A31" s="94" t="s">
        <v>159</v>
      </c>
      <c r="B31" s="99" t="s">
        <v>0</v>
      </c>
      <c r="C31" s="96">
        <f>SUM(C21:C30)</f>
        <v>0.49720000000000003</v>
      </c>
      <c r="D31" s="96">
        <f>SUM(D21:D30)</f>
        <v>0.19199999999999998</v>
      </c>
      <c r="E31" s="96">
        <f>SUM(E21:E30)</f>
        <v>0.49720000000000003</v>
      </c>
      <c r="F31" s="97">
        <f>SUM(F21:F30)</f>
        <v>0.19199999999999998</v>
      </c>
    </row>
    <row r="32" spans="1:12" ht="15.6">
      <c r="A32" s="530" t="s">
        <v>160</v>
      </c>
      <c r="B32" s="531"/>
      <c r="C32" s="531"/>
      <c r="D32" s="531"/>
      <c r="E32" s="531"/>
      <c r="F32" s="532"/>
    </row>
    <row r="33" spans="1:12">
      <c r="A33" s="90" t="s">
        <v>161</v>
      </c>
      <c r="B33" s="98" t="s">
        <v>162</v>
      </c>
      <c r="C33" s="92">
        <v>5.2200000000000003E-2</v>
      </c>
      <c r="D33" s="92">
        <v>3.9100000000000003E-2</v>
      </c>
      <c r="E33" s="92">
        <v>5.2200000000000003E-2</v>
      </c>
      <c r="F33" s="92">
        <v>3.9100000000000003E-2</v>
      </c>
    </row>
    <row r="34" spans="1:12">
      <c r="A34" s="90" t="s">
        <v>163</v>
      </c>
      <c r="B34" s="98" t="s">
        <v>164</v>
      </c>
      <c r="C34" s="92">
        <v>1.1999999999999999E-3</v>
      </c>
      <c r="D34" s="92">
        <v>8.9999999999999998E-4</v>
      </c>
      <c r="E34" s="92">
        <v>1.1999999999999999E-3</v>
      </c>
      <c r="F34" s="92">
        <v>8.9999999999999998E-4</v>
      </c>
    </row>
    <row r="35" spans="1:12">
      <c r="A35" s="90" t="s">
        <v>165</v>
      </c>
      <c r="B35" s="98" t="s">
        <v>166</v>
      </c>
      <c r="C35" s="92">
        <v>1.6E-2</v>
      </c>
      <c r="D35" s="92">
        <v>1.2E-2</v>
      </c>
      <c r="E35" s="92">
        <v>1.6E-2</v>
      </c>
      <c r="F35" s="92">
        <v>1.2E-2</v>
      </c>
    </row>
    <row r="36" spans="1:12">
      <c r="A36" s="90" t="s">
        <v>167</v>
      </c>
      <c r="B36" s="98" t="s">
        <v>168</v>
      </c>
      <c r="C36" s="92">
        <v>2.6700000000000002E-2</v>
      </c>
      <c r="D36" s="92">
        <v>0.02</v>
      </c>
      <c r="E36" s="92">
        <v>2.6700000000000002E-2</v>
      </c>
      <c r="F36" s="92">
        <v>0.02</v>
      </c>
      <c r="L36" s="83"/>
    </row>
    <row r="37" spans="1:12">
      <c r="A37" s="90" t="s">
        <v>169</v>
      </c>
      <c r="B37" s="98" t="s">
        <v>170</v>
      </c>
      <c r="C37" s="92">
        <v>4.4000000000000003E-3</v>
      </c>
      <c r="D37" s="92">
        <v>3.3E-3</v>
      </c>
      <c r="E37" s="92">
        <v>4.4000000000000003E-3</v>
      </c>
      <c r="F37" s="92">
        <v>3.3E-3</v>
      </c>
    </row>
    <row r="38" spans="1:12">
      <c r="A38" s="94" t="s">
        <v>171</v>
      </c>
      <c r="B38" s="99" t="s">
        <v>0</v>
      </c>
      <c r="C38" s="96">
        <f>SUM(C33:C37)</f>
        <v>0.10050000000000001</v>
      </c>
      <c r="D38" s="96">
        <f>SUM(D33:D37)</f>
        <v>7.5300000000000006E-2</v>
      </c>
      <c r="E38" s="96">
        <f>SUM(E33:E37)</f>
        <v>0.10050000000000001</v>
      </c>
      <c r="F38" s="97">
        <f>SUM(F33:F37)</f>
        <v>7.5300000000000006E-2</v>
      </c>
    </row>
    <row r="39" spans="1:12" ht="15.6">
      <c r="A39" s="530" t="s">
        <v>172</v>
      </c>
      <c r="B39" s="531"/>
      <c r="C39" s="531"/>
      <c r="D39" s="531"/>
      <c r="E39" s="531"/>
      <c r="F39" s="532"/>
    </row>
    <row r="40" spans="1:12" s="84" customFormat="1">
      <c r="A40" s="90" t="s">
        <v>173</v>
      </c>
      <c r="B40" s="98" t="s">
        <v>174</v>
      </c>
      <c r="C40" s="92">
        <v>8.3500000000000005E-2</v>
      </c>
      <c r="D40" s="92">
        <v>3.2300000000000002E-2</v>
      </c>
      <c r="E40" s="92">
        <v>0.183</v>
      </c>
      <c r="F40" s="93">
        <v>7.0699999999999999E-2</v>
      </c>
    </row>
    <row r="41" spans="1:12" ht="43.2">
      <c r="A41" s="90" t="s">
        <v>175</v>
      </c>
      <c r="B41" s="100" t="s">
        <v>176</v>
      </c>
      <c r="C41" s="92">
        <v>4.4000000000000003E-3</v>
      </c>
      <c r="D41" s="92">
        <v>3.3E-3</v>
      </c>
      <c r="E41" s="92">
        <v>4.5999999999999999E-3</v>
      </c>
      <c r="F41" s="93">
        <v>3.5000000000000001E-3</v>
      </c>
    </row>
    <row r="42" spans="1:12">
      <c r="A42" s="94" t="s">
        <v>177</v>
      </c>
      <c r="B42" s="99" t="s">
        <v>0</v>
      </c>
      <c r="C42" s="96">
        <f>SUM(C40:C41)</f>
        <v>8.7900000000000006E-2</v>
      </c>
      <c r="D42" s="96">
        <f t="shared" ref="D42:F42" si="0">SUM(D40:D41)</f>
        <v>3.56E-2</v>
      </c>
      <c r="E42" s="96">
        <f t="shared" si="0"/>
        <v>0.18759999999999999</v>
      </c>
      <c r="F42" s="97">
        <f t="shared" si="0"/>
        <v>7.4200000000000002E-2</v>
      </c>
    </row>
    <row r="43" spans="1:12">
      <c r="A43" s="533"/>
      <c r="B43" s="534"/>
      <c r="C43" s="534"/>
      <c r="D43" s="534"/>
      <c r="E43" s="534"/>
      <c r="F43" s="535"/>
    </row>
    <row r="44" spans="1:12" ht="16.2" thickBot="1">
      <c r="A44" s="184" t="s">
        <v>178</v>
      </c>
      <c r="B44" s="185"/>
      <c r="C44" s="186">
        <f>C42+C38+C31+C19</f>
        <v>0.85359999999999991</v>
      </c>
      <c r="D44" s="186">
        <f>D42+D38+D31+D19</f>
        <v>0.47089999999999993</v>
      </c>
      <c r="E44" s="186">
        <f>E42+E38+E31+E19</f>
        <v>1.1533000000000002</v>
      </c>
      <c r="F44" s="187">
        <f>F42+F38+F31+F19</f>
        <v>0.70950000000000002</v>
      </c>
    </row>
    <row r="45" spans="1:12">
      <c r="A45" s="536" t="s">
        <v>227</v>
      </c>
      <c r="B45" s="536"/>
      <c r="C45" s="536"/>
      <c r="D45" s="536"/>
      <c r="E45" s="536"/>
      <c r="F45" s="536"/>
    </row>
  </sheetData>
  <mergeCells count="15">
    <mergeCell ref="A1:F2"/>
    <mergeCell ref="A3:F3"/>
    <mergeCell ref="A4:A5"/>
    <mergeCell ref="B4:B5"/>
    <mergeCell ref="C4:D4"/>
    <mergeCell ref="E4:F4"/>
    <mergeCell ref="A39:F39"/>
    <mergeCell ref="A43:F43"/>
    <mergeCell ref="A45:F45"/>
    <mergeCell ref="A6:F6"/>
    <mergeCell ref="C7:D7"/>
    <mergeCell ref="E7:F7"/>
    <mergeCell ref="A9:F9"/>
    <mergeCell ref="A20:F20"/>
    <mergeCell ref="A32:F32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Q10" sqref="Q10"/>
    </sheetView>
  </sheetViews>
  <sheetFormatPr defaultColWidth="8.6640625" defaultRowHeight="14.4"/>
  <cols>
    <col min="1" max="1" width="5.77734375" style="137" customWidth="1"/>
    <col min="2" max="2" width="16.33203125" style="137" customWidth="1"/>
    <col min="3" max="3" width="6.21875" style="137" customWidth="1"/>
    <col min="4" max="5" width="14.44140625" style="137" bestFit="1" customWidth="1"/>
    <col min="6" max="9" width="14.44140625" style="137" customWidth="1"/>
    <col min="10" max="11" width="14.44140625" style="137" bestFit="1" customWidth="1"/>
    <col min="12" max="15" width="14.44140625" style="137" customWidth="1"/>
    <col min="16" max="16" width="8.21875" style="137" bestFit="1" customWidth="1"/>
    <col min="17" max="17" width="14.44140625" style="137" bestFit="1" customWidth="1"/>
    <col min="18" max="16384" width="8.6640625" style="132"/>
  </cols>
  <sheetData>
    <row r="1" spans="1:21" ht="15" customHeight="1">
      <c r="A1" s="345" t="str">
        <f>'PLANILHA LIMOEIRO - ONE'!A2</f>
        <v xml:space="preserve">DATA: 06/11/2023
OBJETO: 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LOCALIZAÇÃO: LIMOEIRO/PE.
ORÇAMENTO: ONERADO.                                                              </v>
      </c>
      <c r="B1" s="346"/>
      <c r="C1" s="346"/>
      <c r="D1" s="346"/>
      <c r="E1" s="346"/>
      <c r="F1" s="346"/>
      <c r="G1" s="346"/>
      <c r="H1" s="346"/>
      <c r="I1" s="346"/>
      <c r="J1" s="164"/>
      <c r="K1" s="164"/>
      <c r="L1" s="164"/>
      <c r="M1" s="164"/>
      <c r="N1" s="164"/>
      <c r="O1" s="164"/>
      <c r="P1" s="339"/>
      <c r="Q1" s="340"/>
    </row>
    <row r="2" spans="1:21">
      <c r="A2" s="347"/>
      <c r="B2" s="348"/>
      <c r="C2" s="348"/>
      <c r="D2" s="348"/>
      <c r="E2" s="348"/>
      <c r="F2" s="348"/>
      <c r="G2" s="348"/>
      <c r="H2" s="348"/>
      <c r="I2" s="348"/>
      <c r="J2" s="165"/>
      <c r="K2" s="165"/>
      <c r="L2" s="165"/>
      <c r="M2" s="165"/>
      <c r="N2" s="165"/>
      <c r="O2" s="165"/>
      <c r="P2" s="341"/>
      <c r="Q2" s="342"/>
    </row>
    <row r="3" spans="1:21">
      <c r="A3" s="347"/>
      <c r="B3" s="348"/>
      <c r="C3" s="348"/>
      <c r="D3" s="348"/>
      <c r="E3" s="348"/>
      <c r="F3" s="348"/>
      <c r="G3" s="348"/>
      <c r="H3" s="348"/>
      <c r="I3" s="348"/>
      <c r="J3" s="165"/>
      <c r="K3" s="165"/>
      <c r="L3" s="165"/>
      <c r="M3" s="165"/>
      <c r="N3" s="165"/>
      <c r="O3" s="165"/>
      <c r="P3" s="341"/>
      <c r="Q3" s="342"/>
    </row>
    <row r="4" spans="1:21">
      <c r="A4" s="347"/>
      <c r="B4" s="348"/>
      <c r="C4" s="348"/>
      <c r="D4" s="348"/>
      <c r="E4" s="348"/>
      <c r="F4" s="348"/>
      <c r="G4" s="348"/>
      <c r="H4" s="348"/>
      <c r="I4" s="348"/>
      <c r="J4" s="165"/>
      <c r="K4" s="165"/>
      <c r="L4" s="165"/>
      <c r="M4" s="165"/>
      <c r="N4" s="165"/>
      <c r="O4" s="165"/>
      <c r="P4" s="341"/>
      <c r="Q4" s="342"/>
    </row>
    <row r="5" spans="1:21">
      <c r="A5" s="347"/>
      <c r="B5" s="348"/>
      <c r="C5" s="348"/>
      <c r="D5" s="348"/>
      <c r="E5" s="348"/>
      <c r="F5" s="348"/>
      <c r="G5" s="348"/>
      <c r="H5" s="348"/>
      <c r="I5" s="348"/>
      <c r="J5" s="165"/>
      <c r="K5" s="165"/>
      <c r="L5" s="165"/>
      <c r="M5" s="165"/>
      <c r="N5" s="165"/>
      <c r="O5" s="165"/>
      <c r="P5" s="341"/>
      <c r="Q5" s="342"/>
    </row>
    <row r="6" spans="1:21">
      <c r="A6" s="347"/>
      <c r="B6" s="348"/>
      <c r="C6" s="348"/>
      <c r="D6" s="348"/>
      <c r="E6" s="348"/>
      <c r="F6" s="348"/>
      <c r="G6" s="348"/>
      <c r="H6" s="348"/>
      <c r="I6" s="348"/>
      <c r="J6" s="165"/>
      <c r="K6" s="165"/>
      <c r="L6" s="165"/>
      <c r="M6" s="165"/>
      <c r="N6" s="165"/>
      <c r="O6" s="165"/>
      <c r="P6" s="341"/>
      <c r="Q6" s="342"/>
    </row>
    <row r="7" spans="1:21" ht="23.4" customHeight="1">
      <c r="A7" s="349"/>
      <c r="B7" s="350"/>
      <c r="C7" s="350"/>
      <c r="D7" s="350"/>
      <c r="E7" s="350"/>
      <c r="F7" s="350"/>
      <c r="G7" s="350"/>
      <c r="H7" s="350"/>
      <c r="I7" s="350"/>
      <c r="J7" s="166"/>
      <c r="K7" s="166"/>
      <c r="L7" s="166"/>
      <c r="M7" s="166"/>
      <c r="N7" s="166"/>
      <c r="O7" s="166"/>
      <c r="P7" s="343"/>
      <c r="Q7" s="344"/>
    </row>
    <row r="8" spans="1:21" ht="15.6">
      <c r="A8" s="351" t="s">
        <v>27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133"/>
      <c r="S8" s="133"/>
      <c r="T8" s="133"/>
      <c r="U8" s="133"/>
    </row>
    <row r="9" spans="1:21" ht="15.6">
      <c r="A9" s="178" t="s">
        <v>1</v>
      </c>
      <c r="B9" s="178" t="s">
        <v>14</v>
      </c>
      <c r="C9" s="178"/>
      <c r="D9" s="178" t="s">
        <v>25</v>
      </c>
      <c r="E9" s="178" t="s">
        <v>26</v>
      </c>
      <c r="F9" s="178" t="s">
        <v>45</v>
      </c>
      <c r="G9" s="178" t="s">
        <v>46</v>
      </c>
      <c r="H9" s="178" t="s">
        <v>47</v>
      </c>
      <c r="I9" s="178" t="s">
        <v>48</v>
      </c>
      <c r="J9" s="178" t="s">
        <v>230</v>
      </c>
      <c r="K9" s="178" t="s">
        <v>231</v>
      </c>
      <c r="L9" s="178" t="s">
        <v>232</v>
      </c>
      <c r="M9" s="178" t="s">
        <v>233</v>
      </c>
      <c r="N9" s="178" t="s">
        <v>234</v>
      </c>
      <c r="O9" s="178" t="s">
        <v>235</v>
      </c>
      <c r="P9" s="178"/>
      <c r="Q9" s="178" t="s">
        <v>0</v>
      </c>
      <c r="R9" s="133"/>
      <c r="S9" s="133"/>
      <c r="T9" s="133"/>
      <c r="U9" s="133"/>
    </row>
    <row r="10" spans="1:21">
      <c r="A10" s="352">
        <v>1</v>
      </c>
      <c r="B10" s="352" t="s">
        <v>44</v>
      </c>
      <c r="C10" s="134" t="s">
        <v>16</v>
      </c>
      <c r="D10" s="135">
        <f>D11/$Q$14</f>
        <v>2.4582244934739941E-2</v>
      </c>
      <c r="E10" s="135">
        <f t="shared" ref="E10:I10" si="0">E11/$Q$14</f>
        <v>2.4582244934739941E-2</v>
      </c>
      <c r="F10" s="135">
        <f t="shared" si="0"/>
        <v>2.4582244934739941E-2</v>
      </c>
      <c r="G10" s="135">
        <f t="shared" si="0"/>
        <v>2.4582244934739941E-2</v>
      </c>
      <c r="H10" s="135">
        <f t="shared" si="0"/>
        <v>2.4582244934739941E-2</v>
      </c>
      <c r="I10" s="135">
        <f t="shared" si="0"/>
        <v>2.4582244934739941E-2</v>
      </c>
      <c r="J10" s="135">
        <f t="shared" ref="J10" si="1">J11/$Q$14</f>
        <v>2.4582244934739941E-2</v>
      </c>
      <c r="K10" s="135">
        <f t="shared" ref="K10" si="2">K11/$Q$14</f>
        <v>2.4582244934739941E-2</v>
      </c>
      <c r="L10" s="135">
        <f t="shared" ref="L10" si="3">L11/$Q$14</f>
        <v>2.4582244934739941E-2</v>
      </c>
      <c r="M10" s="135">
        <f t="shared" ref="M10" si="4">M11/$Q$14</f>
        <v>2.4582244934739941E-2</v>
      </c>
      <c r="N10" s="135">
        <f t="shared" ref="N10" si="5">N11/$Q$14</f>
        <v>2.4582244934739941E-2</v>
      </c>
      <c r="O10" s="135">
        <f t="shared" ref="O10" si="6">O11/$Q$14</f>
        <v>2.4582244934739941E-2</v>
      </c>
      <c r="P10" s="134" t="s">
        <v>16</v>
      </c>
      <c r="Q10" s="135">
        <f>SUM(D10:O10)</f>
        <v>0.29498693921687924</v>
      </c>
      <c r="R10" s="133"/>
      <c r="S10" s="133"/>
      <c r="T10" s="133"/>
      <c r="U10" s="133"/>
    </row>
    <row r="11" spans="1:21">
      <c r="A11" s="352"/>
      <c r="B11" s="352"/>
      <c r="C11" s="134" t="s">
        <v>17</v>
      </c>
      <c r="D11" s="136">
        <f>'PLANILHA LIMOEIRO - ONE'!K6/12</f>
        <v>78007.716666666674</v>
      </c>
      <c r="E11" s="136">
        <f>'PLANILHA LIMOEIRO - ONE'!K6/12</f>
        <v>78007.716666666674</v>
      </c>
      <c r="F11" s="136">
        <f>'PLANILHA LIMOEIRO - ONE'!K6/12</f>
        <v>78007.716666666674</v>
      </c>
      <c r="G11" s="136">
        <f>'PLANILHA LIMOEIRO - ONE'!K6/12</f>
        <v>78007.716666666674</v>
      </c>
      <c r="H11" s="136">
        <f>'PLANILHA LIMOEIRO - ONE'!K6/12</f>
        <v>78007.716666666674</v>
      </c>
      <c r="I11" s="136">
        <f>'PLANILHA LIMOEIRO - ONE'!K6/12</f>
        <v>78007.716666666674</v>
      </c>
      <c r="J11" s="136">
        <f>'PLANILHA LIMOEIRO - ONE'!K6/12</f>
        <v>78007.716666666674</v>
      </c>
      <c r="K11" s="136">
        <f>'PLANILHA LIMOEIRO - ONE'!K6/12</f>
        <v>78007.716666666674</v>
      </c>
      <c r="L11" s="136">
        <f>'PLANILHA LIMOEIRO - ONE'!K6/12</f>
        <v>78007.716666666674</v>
      </c>
      <c r="M11" s="136">
        <f>'PLANILHA LIMOEIRO - ONE'!K6/12</f>
        <v>78007.716666666674</v>
      </c>
      <c r="N11" s="136">
        <f>'PLANILHA LIMOEIRO - ONE'!K6/12</f>
        <v>78007.716666666674</v>
      </c>
      <c r="O11" s="136">
        <f>'PLANILHA LIMOEIRO - ONE'!K6/12</f>
        <v>78007.716666666674</v>
      </c>
      <c r="P11" s="134" t="s">
        <v>17</v>
      </c>
      <c r="Q11" s="136">
        <f>SUM(D11:O11)</f>
        <v>936092.60000000009</v>
      </c>
      <c r="R11" s="133"/>
      <c r="S11" s="133"/>
      <c r="T11" s="133"/>
      <c r="U11" s="133"/>
    </row>
    <row r="12" spans="1:21">
      <c r="A12" s="352">
        <v>2</v>
      </c>
      <c r="B12" s="353" t="s">
        <v>208</v>
      </c>
      <c r="C12" s="134" t="s">
        <v>16</v>
      </c>
      <c r="D12" s="139">
        <f t="shared" ref="D12:I12" si="7">D13/$Q$14</f>
        <v>5.8751088398593394E-2</v>
      </c>
      <c r="E12" s="139">
        <f t="shared" si="7"/>
        <v>5.8751088398593394E-2</v>
      </c>
      <c r="F12" s="139">
        <f t="shared" si="7"/>
        <v>5.8751088398593394E-2</v>
      </c>
      <c r="G12" s="139">
        <f t="shared" si="7"/>
        <v>5.8751088398593394E-2</v>
      </c>
      <c r="H12" s="139">
        <f t="shared" si="7"/>
        <v>5.8751088398593394E-2</v>
      </c>
      <c r="I12" s="139">
        <f t="shared" si="7"/>
        <v>5.8751088398593394E-2</v>
      </c>
      <c r="J12" s="139">
        <f t="shared" ref="J12" si="8">J13/$Q$14</f>
        <v>5.8751088398593394E-2</v>
      </c>
      <c r="K12" s="139">
        <f t="shared" ref="K12" si="9">K13/$Q$14</f>
        <v>5.8751088398593394E-2</v>
      </c>
      <c r="L12" s="139">
        <f t="shared" ref="L12" si="10">L13/$Q$14</f>
        <v>5.8751088398593394E-2</v>
      </c>
      <c r="M12" s="139">
        <f t="shared" ref="M12" si="11">M13/$Q$14</f>
        <v>5.8751088398593394E-2</v>
      </c>
      <c r="N12" s="139">
        <f t="shared" ref="N12" si="12">N13/$Q$14</f>
        <v>5.8751088398593394E-2</v>
      </c>
      <c r="O12" s="139">
        <f t="shared" ref="O12" si="13">O13/$Q$14</f>
        <v>5.8751088398593394E-2</v>
      </c>
      <c r="P12" s="134" t="s">
        <v>16</v>
      </c>
      <c r="Q12" s="135">
        <f>SUM(D12:O12)</f>
        <v>0.70501306078312087</v>
      </c>
      <c r="R12" s="133"/>
      <c r="S12" s="133"/>
      <c r="T12" s="133"/>
      <c r="U12" s="133"/>
    </row>
    <row r="13" spans="1:21">
      <c r="A13" s="352"/>
      <c r="B13" s="353"/>
      <c r="C13" s="134" t="s">
        <v>17</v>
      </c>
      <c r="D13" s="136">
        <f>'PLANILHA LIMOEIRO - ONE'!K10/12</f>
        <v>186436.92916666667</v>
      </c>
      <c r="E13" s="136">
        <f>'PLANILHA LIMOEIRO - ONE'!K10/12</f>
        <v>186436.92916666667</v>
      </c>
      <c r="F13" s="136">
        <f>'PLANILHA LIMOEIRO - ONE'!K10/12</f>
        <v>186436.92916666667</v>
      </c>
      <c r="G13" s="136">
        <f>'PLANILHA LIMOEIRO - ONE'!K10/12</f>
        <v>186436.92916666667</v>
      </c>
      <c r="H13" s="136">
        <f>'PLANILHA LIMOEIRO - ONE'!K10/12</f>
        <v>186436.92916666667</v>
      </c>
      <c r="I13" s="136">
        <f>'PLANILHA LIMOEIRO - ONE'!K10/12</f>
        <v>186436.92916666667</v>
      </c>
      <c r="J13" s="136">
        <f>'PLANILHA LIMOEIRO - ONE'!K10/12</f>
        <v>186436.92916666667</v>
      </c>
      <c r="K13" s="136">
        <f>'PLANILHA LIMOEIRO - ONE'!K10/12</f>
        <v>186436.92916666667</v>
      </c>
      <c r="L13" s="136">
        <f>'PLANILHA LIMOEIRO - ONE'!K10/12</f>
        <v>186436.92916666667</v>
      </c>
      <c r="M13" s="136">
        <f>'PLANILHA LIMOEIRO - ONE'!K10/12</f>
        <v>186436.92916666667</v>
      </c>
      <c r="N13" s="136">
        <f>'PLANILHA LIMOEIRO - ONE'!K10/12</f>
        <v>186436.92916666667</v>
      </c>
      <c r="O13" s="136">
        <f>'PLANILHA LIMOEIRO - ONE'!K10/12</f>
        <v>186436.92916666667</v>
      </c>
      <c r="P13" s="134" t="s">
        <v>17</v>
      </c>
      <c r="Q13" s="136">
        <f>SUM(D13:O13)</f>
        <v>2237243.15</v>
      </c>
      <c r="R13" s="133"/>
      <c r="S13" s="133"/>
      <c r="T13" s="133"/>
      <c r="U13" s="133"/>
    </row>
    <row r="14" spans="1:21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36">
        <f>Q13+Q11</f>
        <v>3173335.75</v>
      </c>
      <c r="R14" s="133"/>
      <c r="S14" s="133"/>
      <c r="T14" s="133"/>
      <c r="U14" s="133"/>
    </row>
    <row r="15" spans="1:21">
      <c r="A15" s="145"/>
      <c r="B15" s="146"/>
      <c r="C15" s="121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21"/>
      <c r="Q15" s="144"/>
      <c r="R15" s="133"/>
      <c r="S15" s="133"/>
      <c r="T15" s="133"/>
      <c r="U15" s="133"/>
    </row>
    <row r="16" spans="1:21">
      <c r="A16" s="145"/>
      <c r="B16" s="146"/>
      <c r="C16" s="121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21"/>
      <c r="Q16" s="144"/>
      <c r="R16" s="133"/>
      <c r="S16" s="133"/>
      <c r="T16" s="133"/>
      <c r="U16" s="133"/>
    </row>
    <row r="17" spans="1:21" ht="15.6">
      <c r="A17" s="121"/>
      <c r="B17" s="121"/>
      <c r="C17" s="121"/>
      <c r="D17" s="178" t="s">
        <v>25</v>
      </c>
      <c r="E17" s="178" t="s">
        <v>26</v>
      </c>
      <c r="F17" s="178" t="s">
        <v>45</v>
      </c>
      <c r="G17" s="178" t="s">
        <v>46</v>
      </c>
      <c r="H17" s="178" t="s">
        <v>47</v>
      </c>
      <c r="I17" s="178" t="s">
        <v>48</v>
      </c>
      <c r="J17" s="178" t="s">
        <v>230</v>
      </c>
      <c r="K17" s="178" t="s">
        <v>231</v>
      </c>
      <c r="L17" s="178" t="s">
        <v>232</v>
      </c>
      <c r="M17" s="178" t="s">
        <v>233</v>
      </c>
      <c r="N17" s="178" t="s">
        <v>234</v>
      </c>
      <c r="O17" s="178" t="s">
        <v>235</v>
      </c>
      <c r="P17" s="121"/>
      <c r="Q17" s="144"/>
      <c r="R17" s="133"/>
      <c r="S17" s="133"/>
      <c r="T17" s="133"/>
      <c r="U17" s="133"/>
    </row>
    <row r="18" spans="1:21">
      <c r="A18" s="121"/>
      <c r="B18" s="310" t="s">
        <v>0</v>
      </c>
      <c r="C18" s="134" t="s">
        <v>16</v>
      </c>
      <c r="D18" s="135">
        <f t="shared" ref="D18:I18" si="14">D12+D10</f>
        <v>8.3333333333333343E-2</v>
      </c>
      <c r="E18" s="135">
        <f t="shared" si="14"/>
        <v>8.3333333333333343E-2</v>
      </c>
      <c r="F18" s="135">
        <f t="shared" si="14"/>
        <v>8.3333333333333343E-2</v>
      </c>
      <c r="G18" s="135">
        <f t="shared" si="14"/>
        <v>8.3333333333333343E-2</v>
      </c>
      <c r="H18" s="135">
        <f t="shared" si="14"/>
        <v>8.3333333333333343E-2</v>
      </c>
      <c r="I18" s="135">
        <f t="shared" si="14"/>
        <v>8.3333333333333343E-2</v>
      </c>
      <c r="J18" s="135">
        <f t="shared" ref="J18:O18" si="15">J12+J10</f>
        <v>8.3333333333333343E-2</v>
      </c>
      <c r="K18" s="135">
        <f t="shared" si="15"/>
        <v>8.3333333333333343E-2</v>
      </c>
      <c r="L18" s="135">
        <f t="shared" si="15"/>
        <v>8.3333333333333343E-2</v>
      </c>
      <c r="M18" s="135">
        <f t="shared" si="15"/>
        <v>8.3333333333333343E-2</v>
      </c>
      <c r="N18" s="135">
        <f t="shared" si="15"/>
        <v>8.3333333333333343E-2</v>
      </c>
      <c r="O18" s="135">
        <f t="shared" si="15"/>
        <v>8.3333333333333343E-2</v>
      </c>
      <c r="P18" s="148"/>
      <c r="Q18" s="121"/>
      <c r="R18" s="133"/>
      <c r="S18" s="133"/>
      <c r="T18" s="133"/>
      <c r="U18" s="133"/>
    </row>
    <row r="19" spans="1:21">
      <c r="A19" s="121"/>
      <c r="B19" s="310"/>
      <c r="C19" s="134" t="s">
        <v>17</v>
      </c>
      <c r="D19" s="136">
        <f t="shared" ref="D19:I19" si="16">D11+D13</f>
        <v>264444.64583333337</v>
      </c>
      <c r="E19" s="136">
        <f t="shared" si="16"/>
        <v>264444.64583333337</v>
      </c>
      <c r="F19" s="136">
        <f t="shared" si="16"/>
        <v>264444.64583333337</v>
      </c>
      <c r="G19" s="136">
        <f t="shared" si="16"/>
        <v>264444.64583333337</v>
      </c>
      <c r="H19" s="136">
        <f t="shared" si="16"/>
        <v>264444.64583333337</v>
      </c>
      <c r="I19" s="136">
        <f t="shared" si="16"/>
        <v>264444.64583333337</v>
      </c>
      <c r="J19" s="136">
        <f t="shared" ref="J19:O19" si="17">J11+J13</f>
        <v>264444.64583333337</v>
      </c>
      <c r="K19" s="136">
        <f t="shared" si="17"/>
        <v>264444.64583333337</v>
      </c>
      <c r="L19" s="136">
        <f t="shared" si="17"/>
        <v>264444.64583333337</v>
      </c>
      <c r="M19" s="136">
        <f t="shared" si="17"/>
        <v>264444.64583333337</v>
      </c>
      <c r="N19" s="136">
        <f t="shared" si="17"/>
        <v>264444.64583333337</v>
      </c>
      <c r="O19" s="136">
        <f t="shared" si="17"/>
        <v>264444.64583333337</v>
      </c>
      <c r="P19" s="121"/>
      <c r="Q19" s="121"/>
      <c r="R19" s="133"/>
      <c r="S19" s="133"/>
      <c r="T19" s="133"/>
      <c r="U19" s="133"/>
    </row>
    <row r="20" spans="1:21">
      <c r="A20" s="121"/>
      <c r="B20" s="310" t="s">
        <v>18</v>
      </c>
      <c r="C20" s="134" t="s">
        <v>16</v>
      </c>
      <c r="D20" s="135">
        <f t="shared" ref="D20:I20" si="18">D21/$Q$14</f>
        <v>8.3333333333333343E-2</v>
      </c>
      <c r="E20" s="135">
        <f t="shared" si="18"/>
        <v>0.16666666666666669</v>
      </c>
      <c r="F20" s="135">
        <f t="shared" si="18"/>
        <v>0.25000000000000006</v>
      </c>
      <c r="G20" s="135">
        <f t="shared" si="18"/>
        <v>0.33333333333333337</v>
      </c>
      <c r="H20" s="135">
        <f t="shared" si="18"/>
        <v>0.41666666666666674</v>
      </c>
      <c r="I20" s="135">
        <f t="shared" si="18"/>
        <v>0.50000000000000011</v>
      </c>
      <c r="J20" s="135">
        <f t="shared" ref="J20" si="19">J21/$Q$14</f>
        <v>0.58333333333333348</v>
      </c>
      <c r="K20" s="135">
        <f t="shared" ref="K20" si="20">K21/$Q$14</f>
        <v>0.66666666666666696</v>
      </c>
      <c r="L20" s="135">
        <f t="shared" ref="L20" si="21">L21/$Q$14</f>
        <v>0.75000000000000033</v>
      </c>
      <c r="M20" s="135">
        <f t="shared" ref="M20" si="22">M21/$Q$14</f>
        <v>0.8333333333333337</v>
      </c>
      <c r="N20" s="135">
        <f t="shared" ref="N20" si="23">N21/$Q$14</f>
        <v>0.91666666666666707</v>
      </c>
      <c r="O20" s="135">
        <f t="shared" ref="O20" si="24">O21/$Q$14</f>
        <v>1.0000000000000004</v>
      </c>
      <c r="P20" s="121"/>
      <c r="Q20" s="121"/>
      <c r="R20" s="133"/>
      <c r="S20" s="133"/>
      <c r="T20" s="133"/>
      <c r="U20" s="133"/>
    </row>
    <row r="21" spans="1:21">
      <c r="A21" s="121"/>
      <c r="B21" s="310"/>
      <c r="C21" s="134" t="s">
        <v>17</v>
      </c>
      <c r="D21" s="136">
        <f>D19</f>
        <v>264444.64583333337</v>
      </c>
      <c r="E21" s="136">
        <f>D21+E19</f>
        <v>528889.29166666674</v>
      </c>
      <c r="F21" s="136">
        <f t="shared" ref="F21:I21" si="25">E21+F19</f>
        <v>793333.93750000012</v>
      </c>
      <c r="G21" s="136">
        <f t="shared" si="25"/>
        <v>1057778.5833333335</v>
      </c>
      <c r="H21" s="136">
        <f t="shared" si="25"/>
        <v>1322223.229166667</v>
      </c>
      <c r="I21" s="136">
        <f t="shared" si="25"/>
        <v>1586667.8750000005</v>
      </c>
      <c r="J21" s="136">
        <f t="shared" ref="J21" si="26">I21+J19</f>
        <v>1851112.520833334</v>
      </c>
      <c r="K21" s="136">
        <f t="shared" ref="K21" si="27">J21+K19</f>
        <v>2115557.1666666674</v>
      </c>
      <c r="L21" s="136">
        <f t="shared" ref="L21" si="28">K21+L19</f>
        <v>2380001.8125000009</v>
      </c>
      <c r="M21" s="136">
        <f t="shared" ref="M21" si="29">L21+M19</f>
        <v>2644446.4583333344</v>
      </c>
      <c r="N21" s="136">
        <f t="shared" ref="N21" si="30">M21+N19</f>
        <v>2908891.1041666679</v>
      </c>
      <c r="O21" s="136">
        <f t="shared" ref="O21" si="31">N21+O19</f>
        <v>3173335.7500000014</v>
      </c>
      <c r="P21" s="147">
        <f>O20</f>
        <v>1.0000000000000004</v>
      </c>
      <c r="Q21" s="149"/>
      <c r="R21" s="133"/>
      <c r="S21" s="133"/>
      <c r="T21" s="133"/>
      <c r="U21" s="133"/>
    </row>
    <row r="22" spans="1:21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33"/>
      <c r="S22" s="133"/>
      <c r="T22" s="133"/>
      <c r="U22" s="133"/>
    </row>
    <row r="23" spans="1:21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33"/>
      <c r="S23" s="133"/>
      <c r="T23" s="133"/>
      <c r="U23" s="133"/>
    </row>
    <row r="24" spans="1:21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33"/>
      <c r="S24" s="133"/>
      <c r="T24" s="133"/>
      <c r="U24" s="133"/>
    </row>
  </sheetData>
  <mergeCells count="9">
    <mergeCell ref="P1:Q7"/>
    <mergeCell ref="A1:I7"/>
    <mergeCell ref="B18:B19"/>
    <mergeCell ref="B20:B21"/>
    <mergeCell ref="A8:Q8"/>
    <mergeCell ref="A10:A11"/>
    <mergeCell ref="B10:B11"/>
    <mergeCell ref="A12:A13"/>
    <mergeCell ref="B12:B13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K18" sqref="K18"/>
    </sheetView>
  </sheetViews>
  <sheetFormatPr defaultColWidth="9.21875" defaultRowHeight="14.4"/>
  <cols>
    <col min="1" max="1" width="21.6640625" style="16" customWidth="1"/>
    <col min="2" max="2" width="36.44140625" style="16" customWidth="1"/>
    <col min="3" max="4" width="9.21875" style="16"/>
    <col min="5" max="5" width="11" style="16" customWidth="1"/>
    <col min="6" max="6" width="10.33203125" style="16" customWidth="1"/>
    <col min="7" max="7" width="10.44140625" style="16" customWidth="1"/>
    <col min="8" max="8" width="11.44140625" style="16" bestFit="1" customWidth="1"/>
    <col min="9" max="9" width="9.21875" style="16"/>
    <col min="10" max="10" width="10.6640625" style="16" bestFit="1" customWidth="1"/>
    <col min="11" max="11" width="11.6640625" style="16" bestFit="1" customWidth="1"/>
    <col min="12" max="13" width="9.21875" style="16"/>
    <col min="14" max="14" width="15.6640625" style="17" bestFit="1" customWidth="1"/>
    <col min="15" max="16384" width="9.21875" style="16"/>
  </cols>
  <sheetData>
    <row r="1" spans="1:14">
      <c r="A1" s="386" t="s">
        <v>226</v>
      </c>
      <c r="B1" s="387"/>
      <c r="C1" s="387"/>
      <c r="D1" s="387"/>
      <c r="E1" s="391"/>
      <c r="F1" s="391"/>
      <c r="G1" s="391"/>
      <c r="H1" s="392"/>
    </row>
    <row r="2" spans="1:14" ht="113.4" customHeight="1">
      <c r="A2" s="395" t="s">
        <v>424</v>
      </c>
      <c r="B2" s="396"/>
      <c r="C2" s="396"/>
      <c r="D2" s="393"/>
      <c r="E2" s="393"/>
      <c r="F2" s="393"/>
      <c r="G2" s="393"/>
      <c r="H2" s="394"/>
    </row>
    <row r="3" spans="1:14" ht="15.6">
      <c r="A3" s="400" t="s">
        <v>12</v>
      </c>
      <c r="B3" s="401"/>
      <c r="C3" s="401"/>
      <c r="D3" s="401"/>
      <c r="E3" s="401"/>
      <c r="F3" s="401"/>
      <c r="G3" s="401"/>
      <c r="H3" s="402"/>
      <c r="N3" s="16"/>
    </row>
    <row r="4" spans="1:14" s="56" customFormat="1" ht="15" customHeight="1">
      <c r="A4" s="78" t="s">
        <v>184</v>
      </c>
      <c r="B4" s="418" t="s">
        <v>407</v>
      </c>
      <c r="C4" s="419"/>
      <c r="D4" s="419"/>
      <c r="E4" s="419"/>
      <c r="F4" s="419"/>
      <c r="G4" s="419"/>
      <c r="H4" s="420"/>
    </row>
    <row r="5" spans="1:14">
      <c r="A5" s="403" t="s">
        <v>50</v>
      </c>
      <c r="B5" s="404"/>
      <c r="C5" s="404"/>
      <c r="D5" s="404"/>
      <c r="E5" s="404"/>
      <c r="F5" s="404"/>
      <c r="G5" s="404"/>
      <c r="H5" s="405"/>
      <c r="N5" s="16"/>
    </row>
    <row r="6" spans="1:14" ht="26.4">
      <c r="A6" s="406" t="s">
        <v>51</v>
      </c>
      <c r="B6" s="408" t="s">
        <v>15</v>
      </c>
      <c r="C6" s="410" t="s">
        <v>52</v>
      </c>
      <c r="D6" s="411"/>
      <c r="E6" s="412" t="s">
        <v>53</v>
      </c>
      <c r="F6" s="413"/>
      <c r="G6" s="416" t="s">
        <v>54</v>
      </c>
      <c r="H6" s="37" t="s">
        <v>55</v>
      </c>
      <c r="N6" s="16"/>
    </row>
    <row r="7" spans="1:14">
      <c r="A7" s="407"/>
      <c r="B7" s="409"/>
      <c r="C7" s="410" t="s">
        <v>12</v>
      </c>
      <c r="D7" s="411"/>
      <c r="E7" s="414"/>
      <c r="F7" s="415"/>
      <c r="G7" s="417"/>
      <c r="H7" s="37" t="s">
        <v>56</v>
      </c>
      <c r="N7" s="16"/>
    </row>
    <row r="8" spans="1:14">
      <c r="A8" s="365" t="s">
        <v>57</v>
      </c>
      <c r="B8" s="366"/>
      <c r="C8" s="366"/>
      <c r="D8" s="366"/>
      <c r="E8" s="366"/>
      <c r="F8" s="366"/>
      <c r="G8" s="366"/>
      <c r="H8" s="367"/>
      <c r="N8" s="16"/>
    </row>
    <row r="9" spans="1:14">
      <c r="A9" s="368" t="s">
        <v>2</v>
      </c>
      <c r="B9" s="368" t="s">
        <v>14</v>
      </c>
      <c r="C9" s="368" t="s">
        <v>58</v>
      </c>
      <c r="D9" s="421" t="s">
        <v>59</v>
      </c>
      <c r="E9" s="422"/>
      <c r="F9" s="421" t="s">
        <v>60</v>
      </c>
      <c r="G9" s="422"/>
      <c r="H9" s="360" t="s">
        <v>61</v>
      </c>
      <c r="N9" s="16"/>
    </row>
    <row r="10" spans="1:14">
      <c r="A10" s="369"/>
      <c r="B10" s="369"/>
      <c r="C10" s="369"/>
      <c r="D10" s="38" t="s">
        <v>62</v>
      </c>
      <c r="E10" s="38" t="s">
        <v>63</v>
      </c>
      <c r="F10" s="38" t="s">
        <v>62</v>
      </c>
      <c r="G10" s="38" t="s">
        <v>63</v>
      </c>
      <c r="H10" s="361"/>
      <c r="N10" s="16"/>
    </row>
    <row r="11" spans="1:14">
      <c r="A11" s="39"/>
      <c r="B11" s="40"/>
      <c r="C11" s="41"/>
      <c r="D11" s="389"/>
      <c r="E11" s="390"/>
      <c r="F11" s="389"/>
      <c r="G11" s="390"/>
      <c r="H11" s="42"/>
      <c r="N11" s="16"/>
    </row>
    <row r="12" spans="1:14">
      <c r="A12" s="379" t="s">
        <v>195</v>
      </c>
      <c r="B12" s="380"/>
      <c r="C12" s="380"/>
      <c r="D12" s="380"/>
      <c r="E12" s="380"/>
      <c r="F12" s="380"/>
      <c r="G12" s="381"/>
      <c r="H12" s="108">
        <f>H11+H10</f>
        <v>0</v>
      </c>
      <c r="N12" s="16"/>
    </row>
    <row r="13" spans="1:14">
      <c r="A13" s="379" t="s">
        <v>418</v>
      </c>
      <c r="B13" s="380"/>
      <c r="C13" s="380"/>
      <c r="D13" s="380"/>
      <c r="E13" s="380"/>
      <c r="F13" s="380"/>
      <c r="G13" s="381"/>
      <c r="H13" s="108">
        <f>H12*'BDI ONERADO - INS'!C27</f>
        <v>0</v>
      </c>
      <c r="N13" s="16"/>
    </row>
    <row r="14" spans="1:14">
      <c r="A14" s="379" t="s">
        <v>64</v>
      </c>
      <c r="B14" s="380"/>
      <c r="C14" s="380"/>
      <c r="D14" s="380"/>
      <c r="E14" s="380"/>
      <c r="F14" s="380"/>
      <c r="G14" s="381"/>
      <c r="H14" s="49">
        <f>H13+H12</f>
        <v>0</v>
      </c>
      <c r="N14" s="16"/>
    </row>
    <row r="15" spans="1:14" hidden="1">
      <c r="A15" s="379"/>
      <c r="B15" s="380"/>
      <c r="C15" s="380"/>
      <c r="D15" s="380"/>
      <c r="E15" s="380"/>
      <c r="F15" s="380"/>
      <c r="G15" s="381"/>
      <c r="H15" s="43"/>
      <c r="N15" s="16"/>
    </row>
    <row r="16" spans="1:14" hidden="1">
      <c r="A16" s="379"/>
      <c r="B16" s="380"/>
      <c r="C16" s="380"/>
      <c r="D16" s="380"/>
      <c r="E16" s="380"/>
      <c r="F16" s="380"/>
      <c r="G16" s="381"/>
      <c r="H16" s="44"/>
      <c r="N16" s="16"/>
    </row>
    <row r="17" spans="1:14" hidden="1">
      <c r="A17" s="379"/>
      <c r="B17" s="380"/>
      <c r="C17" s="380"/>
      <c r="D17" s="380"/>
      <c r="E17" s="380"/>
      <c r="F17" s="380"/>
      <c r="G17" s="381"/>
      <c r="H17" s="45"/>
      <c r="N17" s="16"/>
    </row>
    <row r="18" spans="1:14">
      <c r="A18" s="365" t="s">
        <v>65</v>
      </c>
      <c r="B18" s="366"/>
      <c r="C18" s="366"/>
      <c r="D18" s="366"/>
      <c r="E18" s="366"/>
      <c r="F18" s="366"/>
      <c r="G18" s="366"/>
      <c r="H18" s="367"/>
      <c r="N18" s="16"/>
    </row>
    <row r="19" spans="1:14" ht="15" customHeight="1">
      <c r="A19" s="368" t="s">
        <v>2</v>
      </c>
      <c r="B19" s="368" t="s">
        <v>14</v>
      </c>
      <c r="C19" s="360" t="s">
        <v>66</v>
      </c>
      <c r="D19" s="354" t="s">
        <v>67</v>
      </c>
      <c r="E19" s="355"/>
      <c r="F19" s="355"/>
      <c r="G19" s="356"/>
      <c r="H19" s="360" t="s">
        <v>68</v>
      </c>
      <c r="N19" s="16"/>
    </row>
    <row r="20" spans="1:14" ht="23.25" customHeight="1">
      <c r="A20" s="369"/>
      <c r="B20" s="369"/>
      <c r="C20" s="361"/>
      <c r="D20" s="357"/>
      <c r="E20" s="358"/>
      <c r="F20" s="358"/>
      <c r="G20" s="359"/>
      <c r="H20" s="361"/>
      <c r="N20" s="16"/>
    </row>
    <row r="21" spans="1:14" ht="28.05" customHeight="1">
      <c r="A21" s="46" t="s">
        <v>396</v>
      </c>
      <c r="B21" s="47" t="s">
        <v>397</v>
      </c>
      <c r="C21" s="63">
        <v>0.25</v>
      </c>
      <c r="D21" s="362">
        <v>22144.52</v>
      </c>
      <c r="E21" s="363"/>
      <c r="F21" s="363"/>
      <c r="G21" s="364"/>
      <c r="H21" s="48">
        <f t="shared" ref="H21" si="0">C21*D21</f>
        <v>5536.13</v>
      </c>
      <c r="J21" s="18"/>
      <c r="K21" s="19"/>
      <c r="N21" s="16"/>
    </row>
    <row r="22" spans="1:14">
      <c r="A22" s="388" t="s">
        <v>69</v>
      </c>
      <c r="B22" s="388"/>
      <c r="C22" s="388"/>
      <c r="D22" s="388"/>
      <c r="E22" s="388"/>
      <c r="F22" s="388"/>
      <c r="G22" s="388"/>
      <c r="H22" s="49">
        <f>SUM(H21:H21)</f>
        <v>5536.13</v>
      </c>
      <c r="N22" s="16"/>
    </row>
    <row r="23" spans="1:14">
      <c r="A23" s="379" t="s">
        <v>224</v>
      </c>
      <c r="B23" s="380"/>
      <c r="C23" s="380"/>
      <c r="D23" s="380"/>
      <c r="E23" s="380"/>
      <c r="F23" s="380"/>
      <c r="G23" s="381"/>
      <c r="H23" s="50">
        <v>0.47089999999999999</v>
      </c>
      <c r="N23" s="16"/>
    </row>
    <row r="24" spans="1:14">
      <c r="A24" s="379" t="s">
        <v>419</v>
      </c>
      <c r="B24" s="380"/>
      <c r="C24" s="380"/>
      <c r="D24" s="380"/>
      <c r="E24" s="380"/>
      <c r="F24" s="380"/>
      <c r="G24" s="381"/>
      <c r="H24" s="108">
        <f>H22*'BDI ONERADO - SER'!C27</f>
        <v>1393.9975340000001</v>
      </c>
      <c r="N24" s="16"/>
    </row>
    <row r="25" spans="1:14" ht="15" customHeight="1">
      <c r="A25" s="388" t="s">
        <v>70</v>
      </c>
      <c r="B25" s="388"/>
      <c r="C25" s="388"/>
      <c r="D25" s="388"/>
      <c r="E25" s="388"/>
      <c r="F25" s="388"/>
      <c r="G25" s="388"/>
      <c r="H25" s="49">
        <f>H22+H24</f>
        <v>6930.1275340000002</v>
      </c>
      <c r="N25" s="16"/>
    </row>
    <row r="26" spans="1:14" ht="15" customHeight="1">
      <c r="A26" s="365" t="s">
        <v>204</v>
      </c>
      <c r="B26" s="366"/>
      <c r="C26" s="366"/>
      <c r="D26" s="366"/>
      <c r="E26" s="366"/>
      <c r="F26" s="366"/>
      <c r="G26" s="366"/>
      <c r="H26" s="367"/>
      <c r="N26" s="16"/>
    </row>
    <row r="27" spans="1:14" ht="15" customHeight="1">
      <c r="A27" s="368" t="s">
        <v>2</v>
      </c>
      <c r="B27" s="370" t="s">
        <v>14</v>
      </c>
      <c r="C27" s="371"/>
      <c r="D27" s="372"/>
      <c r="E27" s="368" t="s">
        <v>58</v>
      </c>
      <c r="F27" s="368" t="s">
        <v>4</v>
      </c>
      <c r="G27" s="360" t="s">
        <v>71</v>
      </c>
      <c r="H27" s="360" t="s">
        <v>72</v>
      </c>
      <c r="N27" s="16"/>
    </row>
    <row r="28" spans="1:14" ht="15" customHeight="1">
      <c r="A28" s="369"/>
      <c r="B28" s="373"/>
      <c r="C28" s="374"/>
      <c r="D28" s="375"/>
      <c r="E28" s="369"/>
      <c r="F28" s="369"/>
      <c r="G28" s="361"/>
      <c r="H28" s="361"/>
      <c r="N28" s="16"/>
    </row>
    <row r="29" spans="1:14" s="73" customFormat="1" ht="15" customHeight="1">
      <c r="A29" s="39"/>
      <c r="B29" s="376"/>
      <c r="C29" s="377"/>
      <c r="D29" s="378"/>
      <c r="E29" s="75"/>
      <c r="F29" s="76"/>
      <c r="G29" s="67"/>
      <c r="H29" s="107">
        <f>G29*E29</f>
        <v>0</v>
      </c>
    </row>
    <row r="30" spans="1:14" ht="15" customHeight="1">
      <c r="A30" s="379" t="s">
        <v>195</v>
      </c>
      <c r="B30" s="380"/>
      <c r="C30" s="380"/>
      <c r="D30" s="380"/>
      <c r="E30" s="380"/>
      <c r="F30" s="380"/>
      <c r="G30" s="381"/>
      <c r="H30" s="108">
        <f>H29</f>
        <v>0</v>
      </c>
      <c r="N30" s="16"/>
    </row>
    <row r="31" spans="1:14" ht="15" customHeight="1">
      <c r="A31" s="379" t="s">
        <v>418</v>
      </c>
      <c r="B31" s="380"/>
      <c r="C31" s="380"/>
      <c r="D31" s="380"/>
      <c r="E31" s="380"/>
      <c r="F31" s="380"/>
      <c r="G31" s="381"/>
      <c r="H31" s="108">
        <f>H30*'BDI ONERADO - INS'!C27</f>
        <v>0</v>
      </c>
      <c r="N31" s="16"/>
    </row>
    <row r="32" spans="1:14" ht="15" customHeight="1">
      <c r="A32" s="379" t="s">
        <v>205</v>
      </c>
      <c r="B32" s="380"/>
      <c r="C32" s="380"/>
      <c r="D32" s="380"/>
      <c r="E32" s="380"/>
      <c r="F32" s="380"/>
      <c r="G32" s="381"/>
      <c r="H32" s="51">
        <f>H30+H31</f>
        <v>0</v>
      </c>
      <c r="N32" s="16"/>
    </row>
    <row r="33" spans="1:14" ht="15" customHeight="1">
      <c r="A33" s="365" t="s">
        <v>183</v>
      </c>
      <c r="B33" s="366"/>
      <c r="C33" s="366"/>
      <c r="D33" s="366"/>
      <c r="E33" s="366"/>
      <c r="F33" s="366"/>
      <c r="G33" s="366"/>
      <c r="H33" s="367"/>
      <c r="N33" s="16"/>
    </row>
    <row r="34" spans="1:14" ht="15" customHeight="1">
      <c r="A34" s="368" t="s">
        <v>2</v>
      </c>
      <c r="B34" s="370" t="s">
        <v>14</v>
      </c>
      <c r="C34" s="371"/>
      <c r="D34" s="372"/>
      <c r="E34" s="368" t="s">
        <v>58</v>
      </c>
      <c r="F34" s="368" t="s">
        <v>4</v>
      </c>
      <c r="G34" s="360" t="s">
        <v>71</v>
      </c>
      <c r="H34" s="360" t="s">
        <v>72</v>
      </c>
      <c r="N34" s="16"/>
    </row>
    <row r="35" spans="1:14" ht="15" customHeight="1">
      <c r="A35" s="369"/>
      <c r="B35" s="373"/>
      <c r="C35" s="374"/>
      <c r="D35" s="375"/>
      <c r="E35" s="369"/>
      <c r="F35" s="369"/>
      <c r="G35" s="361"/>
      <c r="H35" s="361"/>
      <c r="N35" s="16"/>
    </row>
    <row r="36" spans="1:14" s="73" customFormat="1" ht="15" customHeight="1">
      <c r="A36" s="101"/>
      <c r="B36" s="397"/>
      <c r="C36" s="397"/>
      <c r="D36" s="397"/>
      <c r="E36" s="105"/>
      <c r="F36" s="101"/>
      <c r="G36" s="67"/>
      <c r="H36" s="77">
        <f>G36*E36</f>
        <v>0</v>
      </c>
    </row>
    <row r="37" spans="1:14" ht="15" customHeight="1">
      <c r="A37" s="379" t="s">
        <v>195</v>
      </c>
      <c r="B37" s="380"/>
      <c r="C37" s="380"/>
      <c r="D37" s="380"/>
      <c r="E37" s="380"/>
      <c r="F37" s="380"/>
      <c r="G37" s="381"/>
      <c r="H37" s="108">
        <f>H36</f>
        <v>0</v>
      </c>
      <c r="N37" s="16"/>
    </row>
    <row r="38" spans="1:14" ht="15" customHeight="1">
      <c r="A38" s="379" t="s">
        <v>418</v>
      </c>
      <c r="B38" s="380"/>
      <c r="C38" s="380"/>
      <c r="D38" s="380"/>
      <c r="E38" s="380"/>
      <c r="F38" s="380"/>
      <c r="G38" s="381"/>
      <c r="H38" s="108">
        <f>H37*'BDI ONERADO - INS'!C27</f>
        <v>0</v>
      </c>
      <c r="N38" s="16"/>
    </row>
    <row r="39" spans="1:14" ht="15" customHeight="1">
      <c r="A39" s="379" t="s">
        <v>194</v>
      </c>
      <c r="B39" s="380"/>
      <c r="C39" s="380"/>
      <c r="D39" s="380"/>
      <c r="E39" s="380"/>
      <c r="F39" s="380"/>
      <c r="G39" s="381"/>
      <c r="H39" s="52">
        <f>H37+H38</f>
        <v>0</v>
      </c>
      <c r="N39" s="16"/>
    </row>
    <row r="40" spans="1:14" ht="15" customHeight="1">
      <c r="A40" s="398" t="s">
        <v>188</v>
      </c>
      <c r="B40" s="398"/>
      <c r="C40" s="398"/>
      <c r="D40" s="398"/>
      <c r="E40" s="398"/>
      <c r="F40" s="398"/>
      <c r="G40" s="398"/>
      <c r="H40" s="398"/>
      <c r="N40" s="16"/>
    </row>
    <row r="41" spans="1:14" ht="15" customHeight="1">
      <c r="A41" s="399" t="s">
        <v>2</v>
      </c>
      <c r="B41" s="399" t="s">
        <v>14</v>
      </c>
      <c r="C41" s="399"/>
      <c r="D41" s="399"/>
      <c r="E41" s="368" t="s">
        <v>58</v>
      </c>
      <c r="F41" s="368" t="s">
        <v>4</v>
      </c>
      <c r="G41" s="360" t="s">
        <v>71</v>
      </c>
      <c r="H41" s="360" t="s">
        <v>72</v>
      </c>
      <c r="N41" s="16"/>
    </row>
    <row r="42" spans="1:14" ht="15" customHeight="1">
      <c r="A42" s="399"/>
      <c r="B42" s="399"/>
      <c r="C42" s="399"/>
      <c r="D42" s="399"/>
      <c r="E42" s="369"/>
      <c r="F42" s="369"/>
      <c r="G42" s="361"/>
      <c r="H42" s="361"/>
      <c r="N42" s="16"/>
    </row>
    <row r="43" spans="1:14" ht="15" customHeight="1">
      <c r="A43" s="102"/>
      <c r="B43" s="385"/>
      <c r="C43" s="385"/>
      <c r="D43" s="385"/>
      <c r="E43" s="103"/>
      <c r="F43" s="102"/>
      <c r="G43" s="104"/>
      <c r="H43" s="104">
        <f>G43*E43</f>
        <v>0</v>
      </c>
      <c r="N43" s="16"/>
    </row>
    <row r="44" spans="1:14" ht="15" customHeight="1">
      <c r="A44" s="379" t="s">
        <v>195</v>
      </c>
      <c r="B44" s="380"/>
      <c r="C44" s="380"/>
      <c r="D44" s="380"/>
      <c r="E44" s="380"/>
      <c r="F44" s="380"/>
      <c r="G44" s="381"/>
      <c r="H44" s="108">
        <f>H43</f>
        <v>0</v>
      </c>
      <c r="N44" s="16"/>
    </row>
    <row r="45" spans="1:14" ht="15" customHeight="1">
      <c r="A45" s="379" t="s">
        <v>418</v>
      </c>
      <c r="B45" s="380"/>
      <c r="C45" s="380"/>
      <c r="D45" s="380"/>
      <c r="E45" s="380"/>
      <c r="F45" s="380"/>
      <c r="G45" s="381"/>
      <c r="H45" s="108">
        <f>H44*'BDI ONERADO - INS'!C27</f>
        <v>0</v>
      </c>
      <c r="N45" s="16"/>
    </row>
    <row r="46" spans="1:14" ht="15" customHeight="1" thickBot="1">
      <c r="A46" s="388" t="s">
        <v>189</v>
      </c>
      <c r="B46" s="388"/>
      <c r="C46" s="388"/>
      <c r="D46" s="388"/>
      <c r="E46" s="388"/>
      <c r="F46" s="388"/>
      <c r="G46" s="388"/>
      <c r="H46" s="52">
        <f>H44+H45</f>
        <v>0</v>
      </c>
      <c r="N46" s="16"/>
    </row>
    <row r="47" spans="1:14" ht="15" customHeight="1" thickTop="1">
      <c r="A47" s="382"/>
      <c r="B47" s="383"/>
      <c r="C47" s="383"/>
      <c r="D47" s="383"/>
      <c r="E47" s="383"/>
      <c r="F47" s="383"/>
      <c r="G47" s="383"/>
      <c r="H47" s="384"/>
      <c r="N47" s="16"/>
    </row>
    <row r="48" spans="1:14" ht="15" customHeight="1">
      <c r="A48" s="388" t="s">
        <v>197</v>
      </c>
      <c r="B48" s="388"/>
      <c r="C48" s="388"/>
      <c r="D48" s="388"/>
      <c r="E48" s="388"/>
      <c r="F48" s="388"/>
      <c r="G48" s="388"/>
      <c r="H48" s="49">
        <f>ROUND(H46+H39+H32+H25+H14,2)</f>
        <v>6930.13</v>
      </c>
      <c r="N48" s="16"/>
    </row>
    <row r="49" spans="1:8" ht="15" customHeight="1">
      <c r="A49" s="54"/>
      <c r="B49" s="54"/>
      <c r="C49" s="54"/>
      <c r="D49" s="54"/>
      <c r="E49" s="54"/>
      <c r="F49" s="54"/>
      <c r="G49" s="54"/>
      <c r="H49" s="54"/>
    </row>
    <row r="50" spans="1:8" ht="15" customHeight="1"/>
    <row r="51" spans="1:8" ht="15" customHeight="1"/>
    <row r="52" spans="1:8" ht="15" customHeight="1"/>
    <row r="53" spans="1:8" ht="15" customHeight="1"/>
    <row r="54" spans="1:8" ht="15" customHeight="1"/>
    <row r="55" spans="1:8" ht="15" customHeight="1"/>
    <row r="56" spans="1:8" ht="15" customHeight="1"/>
    <row r="57" spans="1:8" ht="15" customHeight="1"/>
    <row r="58" spans="1:8" ht="15" customHeight="1"/>
    <row r="59" spans="1:8" ht="15" customHeight="1"/>
    <row r="60" spans="1:8" ht="15" customHeight="1"/>
    <row r="61" spans="1:8" ht="15" customHeight="1"/>
  </sheetData>
  <mergeCells count="74">
    <mergeCell ref="A8:H8"/>
    <mergeCell ref="A9:A10"/>
    <mergeCell ref="B9:B10"/>
    <mergeCell ref="C9:C10"/>
    <mergeCell ref="D9:E9"/>
    <mergeCell ref="F9:G9"/>
    <mergeCell ref="A3:H3"/>
    <mergeCell ref="A5:H5"/>
    <mergeCell ref="A6:A7"/>
    <mergeCell ref="B6:B7"/>
    <mergeCell ref="C6:D6"/>
    <mergeCell ref="E6:F7"/>
    <mergeCell ref="G6:G7"/>
    <mergeCell ref="C7:D7"/>
    <mergeCell ref="B4:H4"/>
    <mergeCell ref="A15:G15"/>
    <mergeCell ref="A16:G16"/>
    <mergeCell ref="A17:G17"/>
    <mergeCell ref="A12:G12"/>
    <mergeCell ref="A13:G13"/>
    <mergeCell ref="A48:G48"/>
    <mergeCell ref="E1:H1"/>
    <mergeCell ref="D2:H2"/>
    <mergeCell ref="A2:C2"/>
    <mergeCell ref="D11:E11"/>
    <mergeCell ref="B36:D36"/>
    <mergeCell ref="A39:G39"/>
    <mergeCell ref="A40:H40"/>
    <mergeCell ref="A41:A42"/>
    <mergeCell ref="B41:D42"/>
    <mergeCell ref="E41:E42"/>
    <mergeCell ref="F41:F42"/>
    <mergeCell ref="G41:G42"/>
    <mergeCell ref="H41:H42"/>
    <mergeCell ref="A34:A35"/>
    <mergeCell ref="A18:H18"/>
    <mergeCell ref="A1:D1"/>
    <mergeCell ref="A46:G46"/>
    <mergeCell ref="E34:E35"/>
    <mergeCell ref="F34:F35"/>
    <mergeCell ref="G34:G35"/>
    <mergeCell ref="A22:G22"/>
    <mergeCell ref="A23:G23"/>
    <mergeCell ref="A25:G25"/>
    <mergeCell ref="A26:H26"/>
    <mergeCell ref="A19:A20"/>
    <mergeCell ref="B19:B20"/>
    <mergeCell ref="C19:C20"/>
    <mergeCell ref="F11:G11"/>
    <mergeCell ref="B34:D35"/>
    <mergeCell ref="H9:H10"/>
    <mergeCell ref="A14:G14"/>
    <mergeCell ref="A47:H47"/>
    <mergeCell ref="B43:D43"/>
    <mergeCell ref="A24:G24"/>
    <mergeCell ref="A38:G38"/>
    <mergeCell ref="A37:G37"/>
    <mergeCell ref="A44:G44"/>
    <mergeCell ref="A45:G45"/>
    <mergeCell ref="H27:H28"/>
    <mergeCell ref="A32:G32"/>
    <mergeCell ref="A31:G31"/>
    <mergeCell ref="H34:H35"/>
    <mergeCell ref="D19:G20"/>
    <mergeCell ref="H19:H20"/>
    <mergeCell ref="D21:G21"/>
    <mergeCell ref="A33:H33"/>
    <mergeCell ref="A27:A28"/>
    <mergeCell ref="B27:D28"/>
    <mergeCell ref="E27:E28"/>
    <mergeCell ref="B29:D29"/>
    <mergeCell ref="A30:G30"/>
    <mergeCell ref="F27:F28"/>
    <mergeCell ref="G27:G28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sqref="A1:D1"/>
    </sheetView>
  </sheetViews>
  <sheetFormatPr defaultColWidth="9.21875" defaultRowHeight="14.4"/>
  <cols>
    <col min="1" max="1" width="21.6640625" style="21" customWidth="1"/>
    <col min="2" max="2" width="36.44140625" style="21" customWidth="1"/>
    <col min="3" max="3" width="9.21875" style="21"/>
    <col min="4" max="4" width="10.33203125" style="21" customWidth="1"/>
    <col min="5" max="5" width="10" style="21" customWidth="1"/>
    <col min="6" max="6" width="9.6640625" style="21" customWidth="1"/>
    <col min="7" max="7" width="9.21875" style="21"/>
    <col min="8" max="8" width="11.44140625" style="21" bestFit="1" customWidth="1"/>
    <col min="9" max="13" width="9.21875" style="21"/>
    <col min="14" max="14" width="15.6640625" style="22" bestFit="1" customWidth="1"/>
    <col min="15" max="16384" width="9.21875" style="21"/>
  </cols>
  <sheetData>
    <row r="1" spans="1:14">
      <c r="A1" s="386" t="s">
        <v>226</v>
      </c>
      <c r="B1" s="387"/>
      <c r="C1" s="387"/>
      <c r="D1" s="387"/>
      <c r="E1" s="391"/>
      <c r="F1" s="391"/>
      <c r="G1" s="391"/>
      <c r="H1" s="392"/>
    </row>
    <row r="2" spans="1:14" ht="111.6" customHeight="1">
      <c r="A2" s="395" t="str">
        <f>COMP1!A2</f>
        <v>DATA: 06/11/2023
OBJETO: 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LOCALIZAÇÃO: LIMOEIRO/PE</v>
      </c>
      <c r="B2" s="430"/>
      <c r="C2" s="430"/>
      <c r="D2" s="393"/>
      <c r="E2" s="393"/>
      <c r="F2" s="393"/>
      <c r="G2" s="393"/>
      <c r="H2" s="394"/>
    </row>
    <row r="3" spans="1:14" ht="15.6">
      <c r="A3" s="455" t="s">
        <v>11</v>
      </c>
      <c r="B3" s="456"/>
      <c r="C3" s="456"/>
      <c r="D3" s="456"/>
      <c r="E3" s="456"/>
      <c r="F3" s="456"/>
      <c r="G3" s="456"/>
      <c r="H3" s="457"/>
      <c r="N3" s="21"/>
    </row>
    <row r="4" spans="1:14" s="56" customFormat="1" ht="15" customHeight="1">
      <c r="A4" s="78" t="s">
        <v>184</v>
      </c>
      <c r="B4" s="418" t="str">
        <f>COMP1!B4</f>
        <v>SINAPI_SET/23, ORSE_SET/23, EMLURB_JUL/18, COMPOSIÇÕES E COTAÇÕES</v>
      </c>
      <c r="C4" s="419"/>
      <c r="D4" s="419"/>
      <c r="E4" s="419"/>
      <c r="F4" s="419"/>
      <c r="G4" s="419"/>
      <c r="H4" s="420"/>
    </row>
    <row r="5" spans="1:14">
      <c r="A5" s="458" t="s">
        <v>50</v>
      </c>
      <c r="B5" s="459"/>
      <c r="C5" s="459"/>
      <c r="D5" s="459"/>
      <c r="E5" s="459"/>
      <c r="F5" s="459"/>
      <c r="G5" s="459"/>
      <c r="H5" s="460"/>
      <c r="N5" s="21"/>
    </row>
    <row r="6" spans="1:14" ht="26.4">
      <c r="A6" s="461" t="s">
        <v>51</v>
      </c>
      <c r="B6" s="463" t="s">
        <v>207</v>
      </c>
      <c r="C6" s="465" t="s">
        <v>52</v>
      </c>
      <c r="D6" s="466"/>
      <c r="E6" s="467" t="s">
        <v>53</v>
      </c>
      <c r="F6" s="468"/>
      <c r="G6" s="471" t="s">
        <v>213</v>
      </c>
      <c r="H6" s="57" t="s">
        <v>55</v>
      </c>
      <c r="N6" s="21"/>
    </row>
    <row r="7" spans="1:14" ht="45" customHeight="1">
      <c r="A7" s="462"/>
      <c r="B7" s="464"/>
      <c r="C7" s="465" t="s">
        <v>11</v>
      </c>
      <c r="D7" s="466"/>
      <c r="E7" s="469"/>
      <c r="F7" s="470"/>
      <c r="G7" s="472"/>
      <c r="H7" s="57" t="s">
        <v>56</v>
      </c>
      <c r="N7" s="21"/>
    </row>
    <row r="8" spans="1:14">
      <c r="A8" s="431" t="s">
        <v>57</v>
      </c>
      <c r="B8" s="432"/>
      <c r="C8" s="432"/>
      <c r="D8" s="432"/>
      <c r="E8" s="432"/>
      <c r="F8" s="432"/>
      <c r="G8" s="432"/>
      <c r="H8" s="433"/>
      <c r="N8" s="21"/>
    </row>
    <row r="9" spans="1:14">
      <c r="A9" s="434" t="s">
        <v>2</v>
      </c>
      <c r="B9" s="434" t="s">
        <v>14</v>
      </c>
      <c r="C9" s="434" t="s">
        <v>58</v>
      </c>
      <c r="D9" s="453" t="s">
        <v>59</v>
      </c>
      <c r="E9" s="454"/>
      <c r="F9" s="453" t="s">
        <v>60</v>
      </c>
      <c r="G9" s="454"/>
      <c r="H9" s="442" t="s">
        <v>187</v>
      </c>
      <c r="N9" s="21"/>
    </row>
    <row r="10" spans="1:14">
      <c r="A10" s="435"/>
      <c r="B10" s="435"/>
      <c r="C10" s="435"/>
      <c r="D10" s="58" t="s">
        <v>62</v>
      </c>
      <c r="E10" s="58" t="s">
        <v>63</v>
      </c>
      <c r="F10" s="58" t="s">
        <v>62</v>
      </c>
      <c r="G10" s="58" t="s">
        <v>63</v>
      </c>
      <c r="H10" s="443"/>
      <c r="N10" s="21"/>
    </row>
    <row r="11" spans="1:14" ht="79.2">
      <c r="A11" s="59" t="s">
        <v>179</v>
      </c>
      <c r="B11" s="106" t="s">
        <v>206</v>
      </c>
      <c r="C11" s="41">
        <v>1</v>
      </c>
      <c r="D11" s="41">
        <v>1</v>
      </c>
      <c r="E11" s="60">
        <v>0</v>
      </c>
      <c r="F11" s="41">
        <v>114.55</v>
      </c>
      <c r="G11" s="41">
        <v>31.52</v>
      </c>
      <c r="H11" s="42">
        <f>C11*((D11*F11)+(E11*G11))</f>
        <v>114.55</v>
      </c>
      <c r="N11" s="21"/>
    </row>
    <row r="12" spans="1:14" s="16" customFormat="1">
      <c r="A12" s="379" t="s">
        <v>195</v>
      </c>
      <c r="B12" s="380"/>
      <c r="C12" s="380"/>
      <c r="D12" s="380"/>
      <c r="E12" s="380"/>
      <c r="F12" s="380"/>
      <c r="G12" s="381"/>
      <c r="H12" s="108">
        <f>H11+H10</f>
        <v>114.55</v>
      </c>
    </row>
    <row r="13" spans="1:14" s="16" customFormat="1">
      <c r="A13" s="379" t="s">
        <v>419</v>
      </c>
      <c r="B13" s="380"/>
      <c r="C13" s="380"/>
      <c r="D13" s="380"/>
      <c r="E13" s="380"/>
      <c r="F13" s="380"/>
      <c r="G13" s="381"/>
      <c r="H13" s="108">
        <f>H12*'BDI ONERADO - SER'!C27</f>
        <v>28.843690000000002</v>
      </c>
    </row>
    <row r="14" spans="1:14">
      <c r="A14" s="444" t="s">
        <v>196</v>
      </c>
      <c r="B14" s="445"/>
      <c r="C14" s="445"/>
      <c r="D14" s="445"/>
      <c r="E14" s="445"/>
      <c r="F14" s="445"/>
      <c r="G14" s="446"/>
      <c r="H14" s="49">
        <f>H13+H12</f>
        <v>143.39368999999999</v>
      </c>
      <c r="N14" s="21"/>
    </row>
    <row r="15" spans="1:14">
      <c r="A15" s="431" t="s">
        <v>65</v>
      </c>
      <c r="B15" s="432"/>
      <c r="C15" s="432"/>
      <c r="D15" s="432"/>
      <c r="E15" s="432"/>
      <c r="F15" s="432"/>
      <c r="G15" s="432"/>
      <c r="H15" s="433"/>
      <c r="N15" s="21"/>
    </row>
    <row r="16" spans="1:14" ht="15" customHeight="1">
      <c r="A16" s="434" t="s">
        <v>2</v>
      </c>
      <c r="B16" s="436" t="s">
        <v>14</v>
      </c>
      <c r="C16" s="442" t="s">
        <v>77</v>
      </c>
      <c r="D16" s="442" t="s">
        <v>67</v>
      </c>
      <c r="E16" s="447" t="s">
        <v>78</v>
      </c>
      <c r="F16" s="448"/>
      <c r="G16" s="449"/>
      <c r="H16" s="442" t="s">
        <v>79</v>
      </c>
      <c r="N16" s="21"/>
    </row>
    <row r="17" spans="1:14" ht="21.75" customHeight="1">
      <c r="A17" s="435"/>
      <c r="B17" s="439"/>
      <c r="C17" s="443"/>
      <c r="D17" s="443"/>
      <c r="E17" s="450"/>
      <c r="F17" s="451"/>
      <c r="G17" s="452"/>
      <c r="H17" s="443"/>
      <c r="N17" s="21"/>
    </row>
    <row r="18" spans="1:14">
      <c r="A18" s="61" t="s">
        <v>80</v>
      </c>
      <c r="B18" s="62" t="s">
        <v>73</v>
      </c>
      <c r="C18" s="63">
        <v>1</v>
      </c>
      <c r="D18" s="42">
        <v>26.84</v>
      </c>
      <c r="E18" s="362">
        <f>D18*0.3</f>
        <v>8.0519999999999996</v>
      </c>
      <c r="F18" s="363"/>
      <c r="G18" s="364"/>
      <c r="H18" s="64">
        <f>C18*(D18+E18)</f>
        <v>34.891999999999996</v>
      </c>
      <c r="I18" s="23"/>
      <c r="N18" s="21"/>
    </row>
    <row r="19" spans="1:14" ht="15" customHeight="1">
      <c r="A19" s="429" t="s">
        <v>81</v>
      </c>
      <c r="B19" s="429"/>
      <c r="C19" s="429"/>
      <c r="D19" s="429"/>
      <c r="E19" s="429"/>
      <c r="F19" s="429"/>
      <c r="G19" s="429"/>
      <c r="H19" s="49">
        <f>SUM(H18:H18)</f>
        <v>34.891999999999996</v>
      </c>
      <c r="N19" s="21"/>
    </row>
    <row r="20" spans="1:14" ht="15" customHeight="1">
      <c r="A20" s="379" t="s">
        <v>224</v>
      </c>
      <c r="B20" s="380"/>
      <c r="C20" s="380"/>
      <c r="D20" s="380"/>
      <c r="E20" s="380"/>
      <c r="F20" s="380"/>
      <c r="G20" s="381"/>
      <c r="H20" s="50">
        <v>0.85360000000000003</v>
      </c>
      <c r="N20" s="21"/>
    </row>
    <row r="21" spans="1:14" s="24" customFormat="1" ht="15" customHeight="1">
      <c r="A21" s="429" t="s">
        <v>74</v>
      </c>
      <c r="B21" s="429"/>
      <c r="C21" s="429"/>
      <c r="D21" s="429"/>
      <c r="E21" s="429"/>
      <c r="F21" s="429"/>
      <c r="G21" s="429"/>
      <c r="H21" s="65">
        <v>0.3</v>
      </c>
    </row>
    <row r="22" spans="1:14" ht="15" customHeight="1">
      <c r="A22" s="429" t="s">
        <v>75</v>
      </c>
      <c r="B22" s="429"/>
      <c r="C22" s="429"/>
      <c r="D22" s="429"/>
      <c r="E22" s="429"/>
      <c r="F22" s="429"/>
      <c r="G22" s="429"/>
      <c r="H22" s="66">
        <v>0</v>
      </c>
      <c r="K22" s="21" t="s">
        <v>76</v>
      </c>
      <c r="N22" s="21"/>
    </row>
    <row r="23" spans="1:14" s="16" customFormat="1" ht="15" customHeight="1">
      <c r="A23" s="379" t="s">
        <v>419</v>
      </c>
      <c r="B23" s="380"/>
      <c r="C23" s="380"/>
      <c r="D23" s="380"/>
      <c r="E23" s="380"/>
      <c r="F23" s="380"/>
      <c r="G23" s="381"/>
      <c r="H23" s="108">
        <f>H19*'BDI ONERADO - SER'!C27</f>
        <v>8.7858055999999998</v>
      </c>
    </row>
    <row r="24" spans="1:14" ht="15" customHeight="1">
      <c r="A24" s="429" t="s">
        <v>82</v>
      </c>
      <c r="B24" s="429"/>
      <c r="C24" s="429"/>
      <c r="D24" s="429"/>
      <c r="E24" s="429"/>
      <c r="F24" s="429"/>
      <c r="G24" s="429"/>
      <c r="H24" s="49">
        <f>H23+H19</f>
        <v>43.677805599999999</v>
      </c>
      <c r="N24" s="21"/>
    </row>
    <row r="25" spans="1:14" ht="15" customHeight="1">
      <c r="A25" s="431" t="s">
        <v>191</v>
      </c>
      <c r="B25" s="432"/>
      <c r="C25" s="432"/>
      <c r="D25" s="432"/>
      <c r="E25" s="432"/>
      <c r="F25" s="432"/>
      <c r="G25" s="432"/>
      <c r="H25" s="433"/>
      <c r="N25" s="21"/>
    </row>
    <row r="26" spans="1:14" ht="15" customHeight="1">
      <c r="A26" s="434" t="s">
        <v>2</v>
      </c>
      <c r="B26" s="436" t="s">
        <v>14</v>
      </c>
      <c r="C26" s="437"/>
      <c r="D26" s="438"/>
      <c r="E26" s="434" t="s">
        <v>58</v>
      </c>
      <c r="F26" s="434" t="s">
        <v>4</v>
      </c>
      <c r="G26" s="442" t="s">
        <v>71</v>
      </c>
      <c r="H26" s="442" t="s">
        <v>72</v>
      </c>
      <c r="N26" s="21"/>
    </row>
    <row r="27" spans="1:14" ht="15" customHeight="1">
      <c r="A27" s="435"/>
      <c r="B27" s="439"/>
      <c r="C27" s="440"/>
      <c r="D27" s="441"/>
      <c r="E27" s="435"/>
      <c r="F27" s="435"/>
      <c r="G27" s="443"/>
      <c r="H27" s="443"/>
      <c r="N27" s="21"/>
    </row>
    <row r="28" spans="1:14" ht="15" customHeight="1">
      <c r="A28" s="74"/>
      <c r="B28" s="376"/>
      <c r="C28" s="377"/>
      <c r="D28" s="378"/>
      <c r="E28" s="75"/>
      <c r="F28" s="76"/>
      <c r="G28" s="67"/>
      <c r="H28" s="107">
        <f>G28*E28</f>
        <v>0</v>
      </c>
      <c r="N28" s="21"/>
    </row>
    <row r="29" spans="1:14" s="16" customFormat="1" ht="15" customHeight="1">
      <c r="A29" s="379" t="s">
        <v>195</v>
      </c>
      <c r="B29" s="380"/>
      <c r="C29" s="380"/>
      <c r="D29" s="380"/>
      <c r="E29" s="380"/>
      <c r="F29" s="380"/>
      <c r="G29" s="381"/>
      <c r="H29" s="108">
        <f>H28</f>
        <v>0</v>
      </c>
    </row>
    <row r="30" spans="1:14" s="16" customFormat="1" ht="15" customHeight="1">
      <c r="A30" s="379" t="s">
        <v>418</v>
      </c>
      <c r="B30" s="380"/>
      <c r="C30" s="380"/>
      <c r="D30" s="380"/>
      <c r="E30" s="380"/>
      <c r="F30" s="380"/>
      <c r="G30" s="381"/>
      <c r="H30" s="108">
        <f>H29*'BDI ONERADO - INS'!C27</f>
        <v>0</v>
      </c>
    </row>
    <row r="31" spans="1:14" ht="15" customHeight="1">
      <c r="A31" s="379" t="s">
        <v>190</v>
      </c>
      <c r="B31" s="380"/>
      <c r="C31" s="380"/>
      <c r="D31" s="380"/>
      <c r="E31" s="380"/>
      <c r="F31" s="380"/>
      <c r="G31" s="381"/>
      <c r="H31" s="51">
        <f>H29+H30</f>
        <v>0</v>
      </c>
      <c r="N31" s="21"/>
    </row>
    <row r="32" spans="1:14" ht="15" customHeight="1">
      <c r="A32" s="365" t="s">
        <v>183</v>
      </c>
      <c r="B32" s="366"/>
      <c r="C32" s="366"/>
      <c r="D32" s="366"/>
      <c r="E32" s="366"/>
      <c r="F32" s="366"/>
      <c r="G32" s="366"/>
      <c r="H32" s="367"/>
      <c r="N32" s="21"/>
    </row>
    <row r="33" spans="1:14" ht="15" customHeight="1">
      <c r="A33" s="368" t="s">
        <v>2</v>
      </c>
      <c r="B33" s="370" t="s">
        <v>14</v>
      </c>
      <c r="C33" s="371"/>
      <c r="D33" s="372"/>
      <c r="E33" s="368" t="s">
        <v>58</v>
      </c>
      <c r="F33" s="368" t="s">
        <v>4</v>
      </c>
      <c r="G33" s="360" t="s">
        <v>71</v>
      </c>
      <c r="H33" s="360" t="s">
        <v>72</v>
      </c>
      <c r="N33" s="21"/>
    </row>
    <row r="34" spans="1:14" ht="15" customHeight="1">
      <c r="A34" s="369"/>
      <c r="B34" s="373"/>
      <c r="C34" s="374"/>
      <c r="D34" s="375"/>
      <c r="E34" s="369"/>
      <c r="F34" s="369"/>
      <c r="G34" s="361"/>
      <c r="H34" s="361"/>
      <c r="N34" s="21"/>
    </row>
    <row r="35" spans="1:14" ht="15" customHeight="1">
      <c r="A35" s="101"/>
      <c r="B35" s="397"/>
      <c r="C35" s="397"/>
      <c r="D35" s="397"/>
      <c r="E35" s="105"/>
      <c r="F35" s="101"/>
      <c r="G35" s="67"/>
      <c r="H35" s="77">
        <f>G35*E35</f>
        <v>0</v>
      </c>
      <c r="N35" s="21"/>
    </row>
    <row r="36" spans="1:14" s="16" customFormat="1" ht="15" customHeight="1">
      <c r="A36" s="379" t="s">
        <v>195</v>
      </c>
      <c r="B36" s="380"/>
      <c r="C36" s="380"/>
      <c r="D36" s="380"/>
      <c r="E36" s="380"/>
      <c r="F36" s="380"/>
      <c r="G36" s="381"/>
      <c r="H36" s="108">
        <f>H35</f>
        <v>0</v>
      </c>
    </row>
    <row r="37" spans="1:14" s="16" customFormat="1" ht="15" customHeight="1">
      <c r="A37" s="379" t="s">
        <v>418</v>
      </c>
      <c r="B37" s="380"/>
      <c r="C37" s="380"/>
      <c r="D37" s="380"/>
      <c r="E37" s="380"/>
      <c r="F37" s="380"/>
      <c r="G37" s="381"/>
      <c r="H37" s="108">
        <f>H36*'BDI ONERADO - INS'!C27</f>
        <v>0</v>
      </c>
    </row>
    <row r="38" spans="1:14" ht="15" customHeight="1">
      <c r="A38" s="379" t="s">
        <v>193</v>
      </c>
      <c r="B38" s="380"/>
      <c r="C38" s="380"/>
      <c r="D38" s="380"/>
      <c r="E38" s="380"/>
      <c r="F38" s="380"/>
      <c r="G38" s="381"/>
      <c r="H38" s="52">
        <f>H36+H37</f>
        <v>0</v>
      </c>
      <c r="N38" s="21"/>
    </row>
    <row r="39" spans="1:14" ht="15" customHeight="1">
      <c r="A39" s="398" t="s">
        <v>188</v>
      </c>
      <c r="B39" s="398"/>
      <c r="C39" s="398"/>
      <c r="D39" s="398"/>
      <c r="E39" s="398"/>
      <c r="F39" s="398"/>
      <c r="G39" s="398"/>
      <c r="H39" s="398"/>
      <c r="N39" s="21"/>
    </row>
    <row r="40" spans="1:14" ht="15" customHeight="1">
      <c r="A40" s="399" t="s">
        <v>2</v>
      </c>
      <c r="B40" s="399" t="s">
        <v>14</v>
      </c>
      <c r="C40" s="399"/>
      <c r="D40" s="399"/>
      <c r="E40" s="368" t="s">
        <v>58</v>
      </c>
      <c r="F40" s="368" t="s">
        <v>4</v>
      </c>
      <c r="G40" s="360" t="s">
        <v>71</v>
      </c>
      <c r="H40" s="360" t="s">
        <v>72</v>
      </c>
      <c r="N40" s="21"/>
    </row>
    <row r="41" spans="1:14" ht="15" customHeight="1">
      <c r="A41" s="399"/>
      <c r="B41" s="399"/>
      <c r="C41" s="399"/>
      <c r="D41" s="399"/>
      <c r="E41" s="369"/>
      <c r="F41" s="369"/>
      <c r="G41" s="361"/>
      <c r="H41" s="361"/>
      <c r="N41" s="21"/>
    </row>
    <row r="42" spans="1:14" ht="15" customHeight="1">
      <c r="A42" s="101"/>
      <c r="B42" s="397"/>
      <c r="C42" s="397"/>
      <c r="D42" s="397"/>
      <c r="E42" s="105"/>
      <c r="F42" s="101"/>
      <c r="G42" s="67"/>
      <c r="H42" s="77"/>
      <c r="N42" s="21"/>
    </row>
    <row r="43" spans="1:14" s="16" customFormat="1" ht="15" customHeight="1">
      <c r="A43" s="379" t="s">
        <v>195</v>
      </c>
      <c r="B43" s="380"/>
      <c r="C43" s="380"/>
      <c r="D43" s="380"/>
      <c r="E43" s="380"/>
      <c r="F43" s="380"/>
      <c r="G43" s="381"/>
      <c r="H43" s="108">
        <f>H42</f>
        <v>0</v>
      </c>
    </row>
    <row r="44" spans="1:14" s="16" customFormat="1" ht="15" customHeight="1">
      <c r="A44" s="379" t="s">
        <v>418</v>
      </c>
      <c r="B44" s="380"/>
      <c r="C44" s="380"/>
      <c r="D44" s="380"/>
      <c r="E44" s="380"/>
      <c r="F44" s="380"/>
      <c r="G44" s="381"/>
      <c r="H44" s="108">
        <f>H43*'BDI ONERADO - INS'!C27</f>
        <v>0</v>
      </c>
    </row>
    <row r="45" spans="1:14" ht="15" customHeight="1" thickBot="1">
      <c r="A45" s="426" t="s">
        <v>192</v>
      </c>
      <c r="B45" s="427"/>
      <c r="C45" s="427"/>
      <c r="D45" s="427"/>
      <c r="E45" s="427"/>
      <c r="F45" s="427"/>
      <c r="G45" s="428"/>
      <c r="H45" s="53">
        <f>H43+H44</f>
        <v>0</v>
      </c>
      <c r="N45" s="21"/>
    </row>
    <row r="46" spans="1:14" ht="15" customHeight="1" thickTop="1">
      <c r="A46" s="423"/>
      <c r="B46" s="424"/>
      <c r="C46" s="424"/>
      <c r="D46" s="424"/>
      <c r="E46" s="424"/>
      <c r="F46" s="424"/>
      <c r="G46" s="424"/>
      <c r="H46" s="425"/>
      <c r="N46" s="21"/>
    </row>
    <row r="47" spans="1:14" ht="15" customHeight="1">
      <c r="A47" s="429" t="s">
        <v>197</v>
      </c>
      <c r="B47" s="429"/>
      <c r="C47" s="429"/>
      <c r="D47" s="429"/>
      <c r="E47" s="429"/>
      <c r="F47" s="429"/>
      <c r="G47" s="429"/>
      <c r="H47" s="49">
        <f>ROUND(H45+H38+H31+H24+H14,2)</f>
        <v>187.07</v>
      </c>
      <c r="N47" s="21"/>
    </row>
    <row r="48" spans="1:14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72">
    <mergeCell ref="A3:H3"/>
    <mergeCell ref="A5:H5"/>
    <mergeCell ref="A6:A7"/>
    <mergeCell ref="B6:B7"/>
    <mergeCell ref="C6:D6"/>
    <mergeCell ref="E6:F7"/>
    <mergeCell ref="G6:G7"/>
    <mergeCell ref="C7:D7"/>
    <mergeCell ref="A8:H8"/>
    <mergeCell ref="A9:A10"/>
    <mergeCell ref="B9:B10"/>
    <mergeCell ref="C9:C10"/>
    <mergeCell ref="D9:E9"/>
    <mergeCell ref="F9:G9"/>
    <mergeCell ref="H9:H10"/>
    <mergeCell ref="A14:G14"/>
    <mergeCell ref="A15:H15"/>
    <mergeCell ref="A16:A17"/>
    <mergeCell ref="B16:B17"/>
    <mergeCell ref="C16:C17"/>
    <mergeCell ref="D16:D17"/>
    <mergeCell ref="E16:G17"/>
    <mergeCell ref="H16:H17"/>
    <mergeCell ref="E18:G18"/>
    <mergeCell ref="A19:G19"/>
    <mergeCell ref="A20:G20"/>
    <mergeCell ref="A21:G21"/>
    <mergeCell ref="A22:G22"/>
    <mergeCell ref="F33:F34"/>
    <mergeCell ref="G33:G34"/>
    <mergeCell ref="H33:H34"/>
    <mergeCell ref="B28:D28"/>
    <mergeCell ref="A24:G24"/>
    <mergeCell ref="A25:H25"/>
    <mergeCell ref="A26:A27"/>
    <mergeCell ref="B26:D27"/>
    <mergeCell ref="E26:E27"/>
    <mergeCell ref="F26:F27"/>
    <mergeCell ref="G26:G27"/>
    <mergeCell ref="H26:H27"/>
    <mergeCell ref="A47:G47"/>
    <mergeCell ref="A1:D1"/>
    <mergeCell ref="E1:H1"/>
    <mergeCell ref="A2:C2"/>
    <mergeCell ref="D2:H2"/>
    <mergeCell ref="B35:D35"/>
    <mergeCell ref="A38:G38"/>
    <mergeCell ref="A39:H39"/>
    <mergeCell ref="A40:A41"/>
    <mergeCell ref="B40:D41"/>
    <mergeCell ref="E40:E41"/>
    <mergeCell ref="F40:F41"/>
    <mergeCell ref="G40:G41"/>
    <mergeCell ref="B4:H4"/>
    <mergeCell ref="H40:H41"/>
    <mergeCell ref="B33:D34"/>
    <mergeCell ref="A46:H46"/>
    <mergeCell ref="B42:D42"/>
    <mergeCell ref="A13:G13"/>
    <mergeCell ref="A12:G12"/>
    <mergeCell ref="A23:G23"/>
    <mergeCell ref="A29:G29"/>
    <mergeCell ref="A30:G30"/>
    <mergeCell ref="A36:G36"/>
    <mergeCell ref="A37:G37"/>
    <mergeCell ref="A43:G43"/>
    <mergeCell ref="A44:G44"/>
    <mergeCell ref="A45:G45"/>
    <mergeCell ref="A31:G31"/>
    <mergeCell ref="A32:H32"/>
    <mergeCell ref="A33:A34"/>
    <mergeCell ref="E33:E3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M2" sqref="M2"/>
    </sheetView>
  </sheetViews>
  <sheetFormatPr defaultColWidth="9.21875" defaultRowHeight="14.4"/>
  <cols>
    <col min="1" max="1" width="21.6640625" style="21" customWidth="1"/>
    <col min="2" max="2" width="36.44140625" style="21" customWidth="1"/>
    <col min="3" max="3" width="9.21875" style="21"/>
    <col min="4" max="4" width="10.33203125" style="21" customWidth="1"/>
    <col min="5" max="5" width="10" style="21" customWidth="1"/>
    <col min="6" max="6" width="9.6640625" style="21" customWidth="1"/>
    <col min="7" max="7" width="9.21875" style="21"/>
    <col min="8" max="8" width="11.44140625" style="21" bestFit="1" customWidth="1"/>
    <col min="9" max="13" width="9.21875" style="21"/>
    <col min="14" max="14" width="15.6640625" style="22" bestFit="1" customWidth="1"/>
    <col min="15" max="16384" width="9.21875" style="21"/>
  </cols>
  <sheetData>
    <row r="1" spans="1:14">
      <c r="A1" s="386" t="s">
        <v>226</v>
      </c>
      <c r="B1" s="387"/>
      <c r="C1" s="387"/>
      <c r="D1" s="387"/>
      <c r="E1" s="391"/>
      <c r="F1" s="391"/>
      <c r="G1" s="391"/>
      <c r="H1" s="392"/>
    </row>
    <row r="2" spans="1:14" ht="111.6" customHeight="1">
      <c r="A2" s="395" t="str">
        <f>COMP1!A2</f>
        <v>DATA: 06/11/2023
OBJETO: PRESTAÇÃO DE SERVIÇOS TÉCNICOS ESPECIALIZADOS EM ENGENHARIA ELÉTRICA PARA MANUTENÇÃO DE ILUMINAÇÃO, FORNECIMENTO E INSTALAÇÃO DE MATERIAIS PARA SUBSTITUIÇÃO DE LUMINÁRIAS VIÁRIAS COM TECNOLOGIAS CONVENCIONAIS PARA LUMINÁRIAS EM LED AMBIENTALMENTE SUSTENTÁVEIS NO PARQUE DE ILUMINAÇÃO PÚBLICA DE LIMOEIRO/PE, COM EPI, FERRAMENTAS, EQUIPAMENTOS E IMPOSTOS INCLUÍDOS.
LOCALIZAÇÃO: LIMOEIRO/PE</v>
      </c>
      <c r="B2" s="396"/>
      <c r="C2" s="396"/>
      <c r="D2" s="393"/>
      <c r="E2" s="393"/>
      <c r="F2" s="393"/>
      <c r="G2" s="393"/>
      <c r="H2" s="394"/>
    </row>
    <row r="3" spans="1:14" ht="15.6">
      <c r="A3" s="455" t="s">
        <v>228</v>
      </c>
      <c r="B3" s="456"/>
      <c r="C3" s="456"/>
      <c r="D3" s="456"/>
      <c r="E3" s="456"/>
      <c r="F3" s="456"/>
      <c r="G3" s="456"/>
      <c r="H3" s="457"/>
      <c r="N3" s="21"/>
    </row>
    <row r="4" spans="1:14" s="56" customFormat="1" ht="15" customHeight="1">
      <c r="A4" s="78" t="s">
        <v>184</v>
      </c>
      <c r="B4" s="418" t="str">
        <f>COMP1!B4</f>
        <v>SINAPI_SET/23, ORSE_SET/23, EMLURB_JUL/18, COMPOSIÇÕES E COTAÇÕES</v>
      </c>
      <c r="C4" s="419"/>
      <c r="D4" s="419"/>
      <c r="E4" s="419"/>
      <c r="F4" s="419"/>
      <c r="G4" s="419"/>
      <c r="H4" s="420"/>
    </row>
    <row r="5" spans="1:14">
      <c r="A5" s="458" t="s">
        <v>50</v>
      </c>
      <c r="B5" s="459"/>
      <c r="C5" s="459"/>
      <c r="D5" s="459"/>
      <c r="E5" s="459"/>
      <c r="F5" s="459"/>
      <c r="G5" s="459"/>
      <c r="H5" s="460"/>
      <c r="N5" s="21"/>
    </row>
    <row r="6" spans="1:14" ht="26.4">
      <c r="A6" s="461" t="s">
        <v>51</v>
      </c>
      <c r="B6" s="463" t="s">
        <v>265</v>
      </c>
      <c r="C6" s="465" t="s">
        <v>52</v>
      </c>
      <c r="D6" s="466"/>
      <c r="E6" s="467" t="s">
        <v>53</v>
      </c>
      <c r="F6" s="468"/>
      <c r="G6" s="471" t="s">
        <v>213</v>
      </c>
      <c r="H6" s="57" t="s">
        <v>55</v>
      </c>
      <c r="N6" s="21"/>
    </row>
    <row r="7" spans="1:14" ht="45" customHeight="1">
      <c r="A7" s="462"/>
      <c r="B7" s="464"/>
      <c r="C7" s="465" t="s">
        <v>11</v>
      </c>
      <c r="D7" s="466"/>
      <c r="E7" s="469"/>
      <c r="F7" s="470"/>
      <c r="G7" s="472"/>
      <c r="H7" s="57" t="s">
        <v>56</v>
      </c>
      <c r="N7" s="21"/>
    </row>
    <row r="8" spans="1:14">
      <c r="A8" s="431" t="s">
        <v>57</v>
      </c>
      <c r="B8" s="432"/>
      <c r="C8" s="432"/>
      <c r="D8" s="432"/>
      <c r="E8" s="432"/>
      <c r="F8" s="432"/>
      <c r="G8" s="432"/>
      <c r="H8" s="433"/>
      <c r="N8" s="21"/>
    </row>
    <row r="9" spans="1:14">
      <c r="A9" s="434" t="s">
        <v>2</v>
      </c>
      <c r="B9" s="434" t="s">
        <v>14</v>
      </c>
      <c r="C9" s="434" t="s">
        <v>58</v>
      </c>
      <c r="D9" s="453" t="s">
        <v>59</v>
      </c>
      <c r="E9" s="454"/>
      <c r="F9" s="453" t="s">
        <v>60</v>
      </c>
      <c r="G9" s="454"/>
      <c r="H9" s="442" t="s">
        <v>229</v>
      </c>
      <c r="N9" s="21"/>
    </row>
    <row r="10" spans="1:14">
      <c r="A10" s="435"/>
      <c r="B10" s="435"/>
      <c r="C10" s="435"/>
      <c r="D10" s="58" t="s">
        <v>62</v>
      </c>
      <c r="E10" s="58" t="s">
        <v>63</v>
      </c>
      <c r="F10" s="58" t="s">
        <v>62</v>
      </c>
      <c r="G10" s="58" t="s">
        <v>63</v>
      </c>
      <c r="H10" s="443"/>
      <c r="N10" s="21"/>
    </row>
    <row r="11" spans="1:14" ht="37.5" customHeight="1">
      <c r="A11" s="276" t="str">
        <f>'01.PML.001 - CAMINH. SKY'!D6</f>
        <v>01.PML.001</v>
      </c>
      <c r="B11" s="277" t="str">
        <f>'01.PML.001 - CAMINH. SKY'!A8</f>
        <v>VEÍCULO OPERACIONAL TIPO CAMINHONETE(EXECUÇÃO DA IMPLANTAÇÃO E MANUTENÇÃO)</v>
      </c>
      <c r="C11" s="41">
        <v>1</v>
      </c>
      <c r="D11" s="41">
        <v>1</v>
      </c>
      <c r="E11" s="60">
        <v>0</v>
      </c>
      <c r="F11" s="41">
        <f>'01.PML.001 - CAMINH. SKY'!D79</f>
        <v>16332.368876388888</v>
      </c>
      <c r="G11" s="41">
        <v>0</v>
      </c>
      <c r="H11" s="42">
        <f>C11*((D11*F11)+(E11*G11))</f>
        <v>16332.368876388888</v>
      </c>
      <c r="N11" s="21"/>
    </row>
    <row r="12" spans="1:14" s="16" customFormat="1">
      <c r="A12" s="379" t="s">
        <v>195</v>
      </c>
      <c r="B12" s="380"/>
      <c r="C12" s="380"/>
      <c r="D12" s="380"/>
      <c r="E12" s="380"/>
      <c r="F12" s="380"/>
      <c r="G12" s="381"/>
      <c r="H12" s="108">
        <f>H11+H10</f>
        <v>16332.368876388888</v>
      </c>
    </row>
    <row r="13" spans="1:14" s="16" customFormat="1">
      <c r="A13" s="379" t="s">
        <v>419</v>
      </c>
      <c r="B13" s="380"/>
      <c r="C13" s="380"/>
      <c r="D13" s="380"/>
      <c r="E13" s="380"/>
      <c r="F13" s="380"/>
      <c r="G13" s="381"/>
      <c r="H13" s="108">
        <f>H12*'BDI ONERADO - SER'!C27</f>
        <v>4112.4904830747219</v>
      </c>
    </row>
    <row r="14" spans="1:14">
      <c r="A14" s="444" t="s">
        <v>196</v>
      </c>
      <c r="B14" s="445"/>
      <c r="C14" s="445"/>
      <c r="D14" s="445"/>
      <c r="E14" s="445"/>
      <c r="F14" s="445"/>
      <c r="G14" s="446"/>
      <c r="H14" s="49">
        <f>H13+H12</f>
        <v>20444.859359463611</v>
      </c>
      <c r="N14" s="21"/>
    </row>
    <row r="15" spans="1:14">
      <c r="A15" s="431" t="s">
        <v>65</v>
      </c>
      <c r="B15" s="432"/>
      <c r="C15" s="432"/>
      <c r="D15" s="432"/>
      <c r="E15" s="432"/>
      <c r="F15" s="432"/>
      <c r="G15" s="432"/>
      <c r="H15" s="433"/>
      <c r="N15" s="21"/>
    </row>
    <row r="16" spans="1:14" ht="15" customHeight="1">
      <c r="A16" s="434" t="s">
        <v>2</v>
      </c>
      <c r="B16" s="436" t="s">
        <v>14</v>
      </c>
      <c r="C16" s="442" t="s">
        <v>387</v>
      </c>
      <c r="D16" s="442" t="s">
        <v>388</v>
      </c>
      <c r="E16" s="447" t="s">
        <v>78</v>
      </c>
      <c r="F16" s="448"/>
      <c r="G16" s="449"/>
      <c r="H16" s="442" t="s">
        <v>79</v>
      </c>
      <c r="N16" s="21"/>
    </row>
    <row r="17" spans="1:14" ht="21.75" customHeight="1">
      <c r="A17" s="435"/>
      <c r="B17" s="439"/>
      <c r="C17" s="443"/>
      <c r="D17" s="443"/>
      <c r="E17" s="450"/>
      <c r="F17" s="451"/>
      <c r="G17" s="452"/>
      <c r="H17" s="443"/>
      <c r="N17" s="21"/>
    </row>
    <row r="18" spans="1:14">
      <c r="A18" s="61" t="s">
        <v>391</v>
      </c>
      <c r="B18" s="62" t="s">
        <v>73</v>
      </c>
      <c r="C18" s="63">
        <v>1</v>
      </c>
      <c r="D18" s="42">
        <v>4733.3599999999997</v>
      </c>
      <c r="E18" s="362">
        <f>D18*0.3</f>
        <v>1420.0079999999998</v>
      </c>
      <c r="F18" s="363"/>
      <c r="G18" s="364"/>
      <c r="H18" s="64">
        <f>C18*(D18+E18)</f>
        <v>6153.3679999999995</v>
      </c>
      <c r="I18" s="23"/>
      <c r="N18" s="21"/>
    </row>
    <row r="19" spans="1:14" ht="26.4">
      <c r="A19" s="61" t="s">
        <v>390</v>
      </c>
      <c r="B19" s="62" t="s">
        <v>389</v>
      </c>
      <c r="C19" s="63">
        <v>1</v>
      </c>
      <c r="D19" s="42">
        <v>3696.09</v>
      </c>
      <c r="E19" s="362">
        <f>D19*0.3</f>
        <v>1108.827</v>
      </c>
      <c r="F19" s="363"/>
      <c r="G19" s="364"/>
      <c r="H19" s="64">
        <f>C19*(D19+E19)</f>
        <v>4804.9170000000004</v>
      </c>
      <c r="I19" s="23"/>
      <c r="N19" s="21"/>
    </row>
    <row r="20" spans="1:14" ht="15" customHeight="1">
      <c r="A20" s="429" t="s">
        <v>81</v>
      </c>
      <c r="B20" s="429"/>
      <c r="C20" s="429"/>
      <c r="D20" s="429"/>
      <c r="E20" s="429"/>
      <c r="F20" s="429"/>
      <c r="G20" s="429"/>
      <c r="H20" s="49">
        <f>SUM(H18:H19)</f>
        <v>10958.285</v>
      </c>
      <c r="N20" s="21"/>
    </row>
    <row r="21" spans="1:14" ht="15" customHeight="1">
      <c r="A21" s="379" t="s">
        <v>224</v>
      </c>
      <c r="B21" s="380"/>
      <c r="C21" s="380"/>
      <c r="D21" s="380"/>
      <c r="E21" s="380"/>
      <c r="F21" s="380"/>
      <c r="G21" s="381"/>
      <c r="H21" s="50">
        <v>0.85360000000000003</v>
      </c>
      <c r="N21" s="21"/>
    </row>
    <row r="22" spans="1:14" s="24" customFormat="1" ht="15" customHeight="1">
      <c r="A22" s="429" t="s">
        <v>74</v>
      </c>
      <c r="B22" s="429"/>
      <c r="C22" s="429"/>
      <c r="D22" s="429"/>
      <c r="E22" s="429"/>
      <c r="F22" s="429"/>
      <c r="G22" s="429"/>
      <c r="H22" s="65">
        <v>0.3</v>
      </c>
    </row>
    <row r="23" spans="1:14" ht="15" customHeight="1">
      <c r="A23" s="429" t="s">
        <v>75</v>
      </c>
      <c r="B23" s="429"/>
      <c r="C23" s="429"/>
      <c r="D23" s="429"/>
      <c r="E23" s="429"/>
      <c r="F23" s="429"/>
      <c r="G23" s="429"/>
      <c r="H23" s="66">
        <v>0</v>
      </c>
      <c r="N23" s="21"/>
    </row>
    <row r="24" spans="1:14" s="16" customFormat="1" ht="15" customHeight="1">
      <c r="A24" s="379" t="s">
        <v>419</v>
      </c>
      <c r="B24" s="380"/>
      <c r="C24" s="380"/>
      <c r="D24" s="380"/>
      <c r="E24" s="380"/>
      <c r="F24" s="380"/>
      <c r="G24" s="381"/>
      <c r="H24" s="108">
        <f>H20*'BDI ONERADO - SER'!C27</f>
        <v>2759.2961630000004</v>
      </c>
    </row>
    <row r="25" spans="1:14" ht="15" customHeight="1">
      <c r="A25" s="429" t="s">
        <v>82</v>
      </c>
      <c r="B25" s="429"/>
      <c r="C25" s="429"/>
      <c r="D25" s="429"/>
      <c r="E25" s="429"/>
      <c r="F25" s="429"/>
      <c r="G25" s="429"/>
      <c r="H25" s="49">
        <f>H24+H20</f>
        <v>13717.581163000001</v>
      </c>
      <c r="N25" s="21"/>
    </row>
    <row r="26" spans="1:14" ht="15" customHeight="1">
      <c r="A26" s="431" t="s">
        <v>191</v>
      </c>
      <c r="B26" s="432"/>
      <c r="C26" s="432"/>
      <c r="D26" s="432"/>
      <c r="E26" s="432"/>
      <c r="F26" s="432"/>
      <c r="G26" s="432"/>
      <c r="H26" s="433"/>
      <c r="N26" s="21"/>
    </row>
    <row r="27" spans="1:14" ht="15" customHeight="1">
      <c r="A27" s="434" t="s">
        <v>2</v>
      </c>
      <c r="B27" s="436" t="s">
        <v>14</v>
      </c>
      <c r="C27" s="437"/>
      <c r="D27" s="438"/>
      <c r="E27" s="434" t="s">
        <v>58</v>
      </c>
      <c r="F27" s="434" t="s">
        <v>4</v>
      </c>
      <c r="G27" s="442" t="s">
        <v>71</v>
      </c>
      <c r="H27" s="442" t="s">
        <v>72</v>
      </c>
      <c r="N27" s="21"/>
    </row>
    <row r="28" spans="1:14" ht="15" customHeight="1">
      <c r="A28" s="435"/>
      <c r="B28" s="439"/>
      <c r="C28" s="440"/>
      <c r="D28" s="441"/>
      <c r="E28" s="435"/>
      <c r="F28" s="435"/>
      <c r="G28" s="443"/>
      <c r="H28" s="443"/>
      <c r="N28" s="21"/>
    </row>
    <row r="29" spans="1:14" ht="15" customHeight="1">
      <c r="A29" s="74"/>
      <c r="B29" s="376"/>
      <c r="C29" s="377"/>
      <c r="D29" s="378"/>
      <c r="E29" s="75"/>
      <c r="F29" s="76"/>
      <c r="G29" s="67"/>
      <c r="H29" s="107">
        <f>G29*E29</f>
        <v>0</v>
      </c>
      <c r="N29" s="21"/>
    </row>
    <row r="30" spans="1:14" s="16" customFormat="1" ht="15" customHeight="1">
      <c r="A30" s="379" t="s">
        <v>195</v>
      </c>
      <c r="B30" s="380"/>
      <c r="C30" s="380"/>
      <c r="D30" s="380"/>
      <c r="E30" s="380"/>
      <c r="F30" s="380"/>
      <c r="G30" s="381"/>
      <c r="H30" s="108">
        <f>H29</f>
        <v>0</v>
      </c>
    </row>
    <row r="31" spans="1:14" s="16" customFormat="1" ht="15" customHeight="1">
      <c r="A31" s="379" t="s">
        <v>418</v>
      </c>
      <c r="B31" s="380"/>
      <c r="C31" s="380"/>
      <c r="D31" s="380"/>
      <c r="E31" s="380"/>
      <c r="F31" s="380"/>
      <c r="G31" s="381"/>
      <c r="H31" s="108">
        <f>H30*'BDI ONERADO - INS'!C27</f>
        <v>0</v>
      </c>
    </row>
    <row r="32" spans="1:14" ht="15" customHeight="1">
      <c r="A32" s="379" t="s">
        <v>190</v>
      </c>
      <c r="B32" s="380"/>
      <c r="C32" s="380"/>
      <c r="D32" s="380"/>
      <c r="E32" s="380"/>
      <c r="F32" s="380"/>
      <c r="G32" s="381"/>
      <c r="H32" s="51">
        <f>H30+H31</f>
        <v>0</v>
      </c>
      <c r="N32" s="21"/>
    </row>
    <row r="33" spans="1:14" ht="15" customHeight="1">
      <c r="A33" s="365" t="s">
        <v>183</v>
      </c>
      <c r="B33" s="366"/>
      <c r="C33" s="366"/>
      <c r="D33" s="366"/>
      <c r="E33" s="366"/>
      <c r="F33" s="366"/>
      <c r="G33" s="366"/>
      <c r="H33" s="367"/>
      <c r="N33" s="21"/>
    </row>
    <row r="34" spans="1:14" ht="15" customHeight="1">
      <c r="A34" s="368" t="s">
        <v>2</v>
      </c>
      <c r="B34" s="370" t="s">
        <v>14</v>
      </c>
      <c r="C34" s="371"/>
      <c r="D34" s="372"/>
      <c r="E34" s="368" t="s">
        <v>58</v>
      </c>
      <c r="F34" s="368" t="s">
        <v>4</v>
      </c>
      <c r="G34" s="360" t="s">
        <v>71</v>
      </c>
      <c r="H34" s="360" t="s">
        <v>72</v>
      </c>
      <c r="N34" s="21"/>
    </row>
    <row r="35" spans="1:14" ht="15" customHeight="1">
      <c r="A35" s="369"/>
      <c r="B35" s="373"/>
      <c r="C35" s="374"/>
      <c r="D35" s="375"/>
      <c r="E35" s="369"/>
      <c r="F35" s="369"/>
      <c r="G35" s="361"/>
      <c r="H35" s="361"/>
      <c r="N35" s="21"/>
    </row>
    <row r="36" spans="1:14" ht="15" customHeight="1">
      <c r="A36" s="101"/>
      <c r="B36" s="397"/>
      <c r="C36" s="397"/>
      <c r="D36" s="397"/>
      <c r="E36" s="105"/>
      <c r="F36" s="101"/>
      <c r="G36" s="67"/>
      <c r="H36" s="77">
        <f>G36*E36</f>
        <v>0</v>
      </c>
      <c r="N36" s="21"/>
    </row>
    <row r="37" spans="1:14" s="16" customFormat="1" ht="15" customHeight="1">
      <c r="A37" s="379" t="s">
        <v>195</v>
      </c>
      <c r="B37" s="380"/>
      <c r="C37" s="380"/>
      <c r="D37" s="380"/>
      <c r="E37" s="380"/>
      <c r="F37" s="380"/>
      <c r="G37" s="381"/>
      <c r="H37" s="108">
        <f>H36</f>
        <v>0</v>
      </c>
    </row>
    <row r="38" spans="1:14" s="16" customFormat="1" ht="15" customHeight="1">
      <c r="A38" s="379" t="s">
        <v>418</v>
      </c>
      <c r="B38" s="380"/>
      <c r="C38" s="380"/>
      <c r="D38" s="380"/>
      <c r="E38" s="380"/>
      <c r="F38" s="380"/>
      <c r="G38" s="381"/>
      <c r="H38" s="108">
        <f>H37*'BDI ONERADO - INS'!C27</f>
        <v>0</v>
      </c>
    </row>
    <row r="39" spans="1:14" ht="15" customHeight="1">
      <c r="A39" s="379" t="s">
        <v>193</v>
      </c>
      <c r="B39" s="380"/>
      <c r="C39" s="380"/>
      <c r="D39" s="380"/>
      <c r="E39" s="380"/>
      <c r="F39" s="380"/>
      <c r="G39" s="381"/>
      <c r="H39" s="52">
        <f>H37+H38</f>
        <v>0</v>
      </c>
      <c r="N39" s="21"/>
    </row>
    <row r="40" spans="1:14" ht="15" customHeight="1">
      <c r="A40" s="398" t="s">
        <v>188</v>
      </c>
      <c r="B40" s="398"/>
      <c r="C40" s="398"/>
      <c r="D40" s="398"/>
      <c r="E40" s="398"/>
      <c r="F40" s="398"/>
      <c r="G40" s="398"/>
      <c r="H40" s="398"/>
      <c r="N40" s="21"/>
    </row>
    <row r="41" spans="1:14" ht="15" customHeight="1">
      <c r="A41" s="399" t="s">
        <v>2</v>
      </c>
      <c r="B41" s="399" t="s">
        <v>14</v>
      </c>
      <c r="C41" s="399"/>
      <c r="D41" s="399"/>
      <c r="E41" s="368" t="s">
        <v>58</v>
      </c>
      <c r="F41" s="368" t="s">
        <v>4</v>
      </c>
      <c r="G41" s="360" t="s">
        <v>71</v>
      </c>
      <c r="H41" s="360" t="s">
        <v>72</v>
      </c>
      <c r="N41" s="21"/>
    </row>
    <row r="42" spans="1:14" ht="15" customHeight="1">
      <c r="A42" s="399"/>
      <c r="B42" s="399"/>
      <c r="C42" s="399"/>
      <c r="D42" s="399"/>
      <c r="E42" s="369"/>
      <c r="F42" s="369"/>
      <c r="G42" s="361"/>
      <c r="H42" s="361"/>
      <c r="N42" s="21"/>
    </row>
    <row r="43" spans="1:14" ht="15" customHeight="1">
      <c r="A43" s="101"/>
      <c r="B43" s="397"/>
      <c r="C43" s="397"/>
      <c r="D43" s="397"/>
      <c r="E43" s="105"/>
      <c r="F43" s="101"/>
      <c r="G43" s="67"/>
      <c r="H43" s="77"/>
      <c r="N43" s="21"/>
    </row>
    <row r="44" spans="1:14" s="16" customFormat="1" ht="15" customHeight="1">
      <c r="A44" s="379" t="s">
        <v>195</v>
      </c>
      <c r="B44" s="380"/>
      <c r="C44" s="380"/>
      <c r="D44" s="380"/>
      <c r="E44" s="380"/>
      <c r="F44" s="380"/>
      <c r="G44" s="381"/>
      <c r="H44" s="108">
        <f>H43</f>
        <v>0</v>
      </c>
    </row>
    <row r="45" spans="1:14" s="16" customFormat="1" ht="15" customHeight="1">
      <c r="A45" s="379" t="s">
        <v>418</v>
      </c>
      <c r="B45" s="380"/>
      <c r="C45" s="380"/>
      <c r="D45" s="380"/>
      <c r="E45" s="380"/>
      <c r="F45" s="380"/>
      <c r="G45" s="381"/>
      <c r="H45" s="108">
        <f>H44*'BDI ONERADO - INS'!C27</f>
        <v>0</v>
      </c>
    </row>
    <row r="46" spans="1:14" ht="15" customHeight="1" thickBot="1">
      <c r="A46" s="426" t="s">
        <v>192</v>
      </c>
      <c r="B46" s="427"/>
      <c r="C46" s="427"/>
      <c r="D46" s="427"/>
      <c r="E46" s="427"/>
      <c r="F46" s="427"/>
      <c r="G46" s="428"/>
      <c r="H46" s="53">
        <f>H44+H45</f>
        <v>0</v>
      </c>
      <c r="N46" s="21"/>
    </row>
    <row r="47" spans="1:14" ht="15" customHeight="1" thickTop="1">
      <c r="A47" s="423"/>
      <c r="B47" s="424"/>
      <c r="C47" s="424"/>
      <c r="D47" s="424"/>
      <c r="E47" s="424"/>
      <c r="F47" s="424"/>
      <c r="G47" s="424"/>
      <c r="H47" s="425"/>
      <c r="N47" s="21"/>
    </row>
    <row r="48" spans="1:14" ht="15" customHeight="1">
      <c r="A48" s="429" t="s">
        <v>197</v>
      </c>
      <c r="B48" s="429"/>
      <c r="C48" s="429"/>
      <c r="D48" s="429"/>
      <c r="E48" s="429"/>
      <c r="F48" s="429"/>
      <c r="G48" s="429"/>
      <c r="H48" s="49">
        <f>ROUND(H46+H39+H32+H25+H14,2)</f>
        <v>34162.44</v>
      </c>
      <c r="N48" s="21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</sheetData>
  <mergeCells count="73">
    <mergeCell ref="B4:H4"/>
    <mergeCell ref="A1:D1"/>
    <mergeCell ref="E1:H1"/>
    <mergeCell ref="A2:C2"/>
    <mergeCell ref="D2:H2"/>
    <mergeCell ref="A3:H3"/>
    <mergeCell ref="A5:H5"/>
    <mergeCell ref="A6:A7"/>
    <mergeCell ref="B6:B7"/>
    <mergeCell ref="C6:D6"/>
    <mergeCell ref="E6:F7"/>
    <mergeCell ref="G6:G7"/>
    <mergeCell ref="C7:D7"/>
    <mergeCell ref="A8:H8"/>
    <mergeCell ref="A9:A10"/>
    <mergeCell ref="B9:B10"/>
    <mergeCell ref="C9:C10"/>
    <mergeCell ref="D9:E9"/>
    <mergeCell ref="F9:G9"/>
    <mergeCell ref="H9:H10"/>
    <mergeCell ref="A24:G24"/>
    <mergeCell ref="A12:G12"/>
    <mergeCell ref="A13:G13"/>
    <mergeCell ref="A14:G14"/>
    <mergeCell ref="A15:H15"/>
    <mergeCell ref="A16:A17"/>
    <mergeCell ref="B16:B17"/>
    <mergeCell ref="C16:C17"/>
    <mergeCell ref="D16:D17"/>
    <mergeCell ref="E16:G17"/>
    <mergeCell ref="H16:H17"/>
    <mergeCell ref="E18:G18"/>
    <mergeCell ref="A20:G20"/>
    <mergeCell ref="A21:G21"/>
    <mergeCell ref="A22:G22"/>
    <mergeCell ref="A23:G23"/>
    <mergeCell ref="A25:G25"/>
    <mergeCell ref="A26:H26"/>
    <mergeCell ref="A27:A28"/>
    <mergeCell ref="B27:D28"/>
    <mergeCell ref="E27:E28"/>
    <mergeCell ref="F27:F28"/>
    <mergeCell ref="G27:G28"/>
    <mergeCell ref="H27:H28"/>
    <mergeCell ref="A37:G37"/>
    <mergeCell ref="A38:G38"/>
    <mergeCell ref="A39:G39"/>
    <mergeCell ref="B29:D29"/>
    <mergeCell ref="A30:G30"/>
    <mergeCell ref="A31:G31"/>
    <mergeCell ref="A32:G32"/>
    <mergeCell ref="A33:H33"/>
    <mergeCell ref="E34:E35"/>
    <mergeCell ref="F34:F35"/>
    <mergeCell ref="G34:G35"/>
    <mergeCell ref="H34:H35"/>
    <mergeCell ref="B36:D36"/>
    <mergeCell ref="E19:G19"/>
    <mergeCell ref="A48:G48"/>
    <mergeCell ref="A41:A42"/>
    <mergeCell ref="B41:D42"/>
    <mergeCell ref="E41:E42"/>
    <mergeCell ref="F41:F42"/>
    <mergeCell ref="G41:G42"/>
    <mergeCell ref="B43:D43"/>
    <mergeCell ref="A44:G44"/>
    <mergeCell ref="A45:G45"/>
    <mergeCell ref="A46:G46"/>
    <mergeCell ref="A47:H47"/>
    <mergeCell ref="H41:H42"/>
    <mergeCell ref="A40:H40"/>
    <mergeCell ref="A34:A35"/>
    <mergeCell ref="B34:D35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view="pageBreakPreview" zoomScaleNormal="100" zoomScaleSheetLayoutView="100" workbookViewId="0">
      <selection activeCell="AJ80" sqref="AJ80"/>
    </sheetView>
  </sheetViews>
  <sheetFormatPr defaultRowHeight="11.4"/>
  <cols>
    <col min="1" max="1" width="5" style="188" bestFit="1" customWidth="1"/>
    <col min="2" max="2" width="63.21875" style="188" customWidth="1"/>
    <col min="3" max="3" width="8.21875" style="188" customWidth="1"/>
    <col min="4" max="4" width="22.21875" style="188" customWidth="1"/>
    <col min="5" max="5" width="12.21875" style="188" hidden="1" customWidth="1"/>
    <col min="6" max="7" width="11.77734375" style="188" hidden="1" customWidth="1"/>
    <col min="8" max="8" width="14.21875" style="188" hidden="1" customWidth="1"/>
    <col min="9" max="9" width="4.21875" style="188" hidden="1" customWidth="1"/>
    <col min="10" max="10" width="10" style="188" hidden="1" customWidth="1"/>
    <col min="11" max="32" width="0" style="188" hidden="1" customWidth="1"/>
    <col min="33" max="256" width="8.77734375" style="188"/>
    <col min="257" max="257" width="5" style="188" bestFit="1" customWidth="1"/>
    <col min="258" max="258" width="61" style="188" customWidth="1"/>
    <col min="259" max="259" width="5.5546875" style="188" customWidth="1"/>
    <col min="260" max="260" width="13.21875" style="188" customWidth="1"/>
    <col min="261" max="288" width="0" style="188" hidden="1" customWidth="1"/>
    <col min="289" max="512" width="8.77734375" style="188"/>
    <col min="513" max="513" width="5" style="188" bestFit="1" customWidth="1"/>
    <col min="514" max="514" width="61" style="188" customWidth="1"/>
    <col min="515" max="515" width="5.5546875" style="188" customWidth="1"/>
    <col min="516" max="516" width="13.21875" style="188" customWidth="1"/>
    <col min="517" max="544" width="0" style="188" hidden="1" customWidth="1"/>
    <col min="545" max="768" width="8.77734375" style="188"/>
    <col min="769" max="769" width="5" style="188" bestFit="1" customWidth="1"/>
    <col min="770" max="770" width="61" style="188" customWidth="1"/>
    <col min="771" max="771" width="5.5546875" style="188" customWidth="1"/>
    <col min="772" max="772" width="13.21875" style="188" customWidth="1"/>
    <col min="773" max="800" width="0" style="188" hidden="1" customWidth="1"/>
    <col min="801" max="1024" width="8.77734375" style="188"/>
    <col min="1025" max="1025" width="5" style="188" bestFit="1" customWidth="1"/>
    <col min="1026" max="1026" width="61" style="188" customWidth="1"/>
    <col min="1027" max="1027" width="5.5546875" style="188" customWidth="1"/>
    <col min="1028" max="1028" width="13.21875" style="188" customWidth="1"/>
    <col min="1029" max="1056" width="0" style="188" hidden="1" customWidth="1"/>
    <col min="1057" max="1280" width="8.77734375" style="188"/>
    <col min="1281" max="1281" width="5" style="188" bestFit="1" customWidth="1"/>
    <col min="1282" max="1282" width="61" style="188" customWidth="1"/>
    <col min="1283" max="1283" width="5.5546875" style="188" customWidth="1"/>
    <col min="1284" max="1284" width="13.21875" style="188" customWidth="1"/>
    <col min="1285" max="1312" width="0" style="188" hidden="1" customWidth="1"/>
    <col min="1313" max="1536" width="8.77734375" style="188"/>
    <col min="1537" max="1537" width="5" style="188" bestFit="1" customWidth="1"/>
    <col min="1538" max="1538" width="61" style="188" customWidth="1"/>
    <col min="1539" max="1539" width="5.5546875" style="188" customWidth="1"/>
    <col min="1540" max="1540" width="13.21875" style="188" customWidth="1"/>
    <col min="1541" max="1568" width="0" style="188" hidden="1" customWidth="1"/>
    <col min="1569" max="1792" width="8.77734375" style="188"/>
    <col min="1793" max="1793" width="5" style="188" bestFit="1" customWidth="1"/>
    <col min="1794" max="1794" width="61" style="188" customWidth="1"/>
    <col min="1795" max="1795" width="5.5546875" style="188" customWidth="1"/>
    <col min="1796" max="1796" width="13.21875" style="188" customWidth="1"/>
    <col min="1797" max="1824" width="0" style="188" hidden="1" customWidth="1"/>
    <col min="1825" max="2048" width="8.77734375" style="188"/>
    <col min="2049" max="2049" width="5" style="188" bestFit="1" customWidth="1"/>
    <col min="2050" max="2050" width="61" style="188" customWidth="1"/>
    <col min="2051" max="2051" width="5.5546875" style="188" customWidth="1"/>
    <col min="2052" max="2052" width="13.21875" style="188" customWidth="1"/>
    <col min="2053" max="2080" width="0" style="188" hidden="1" customWidth="1"/>
    <col min="2081" max="2304" width="8.77734375" style="188"/>
    <col min="2305" max="2305" width="5" style="188" bestFit="1" customWidth="1"/>
    <col min="2306" max="2306" width="61" style="188" customWidth="1"/>
    <col min="2307" max="2307" width="5.5546875" style="188" customWidth="1"/>
    <col min="2308" max="2308" width="13.21875" style="188" customWidth="1"/>
    <col min="2309" max="2336" width="0" style="188" hidden="1" customWidth="1"/>
    <col min="2337" max="2560" width="8.77734375" style="188"/>
    <col min="2561" max="2561" width="5" style="188" bestFit="1" customWidth="1"/>
    <col min="2562" max="2562" width="61" style="188" customWidth="1"/>
    <col min="2563" max="2563" width="5.5546875" style="188" customWidth="1"/>
    <col min="2564" max="2564" width="13.21875" style="188" customWidth="1"/>
    <col min="2565" max="2592" width="0" style="188" hidden="1" customWidth="1"/>
    <col min="2593" max="2816" width="8.77734375" style="188"/>
    <col min="2817" max="2817" width="5" style="188" bestFit="1" customWidth="1"/>
    <col min="2818" max="2818" width="61" style="188" customWidth="1"/>
    <col min="2819" max="2819" width="5.5546875" style="188" customWidth="1"/>
    <col min="2820" max="2820" width="13.21875" style="188" customWidth="1"/>
    <col min="2821" max="2848" width="0" style="188" hidden="1" customWidth="1"/>
    <col min="2849" max="3072" width="8.77734375" style="188"/>
    <col min="3073" max="3073" width="5" style="188" bestFit="1" customWidth="1"/>
    <col min="3074" max="3074" width="61" style="188" customWidth="1"/>
    <col min="3075" max="3075" width="5.5546875" style="188" customWidth="1"/>
    <col min="3076" max="3076" width="13.21875" style="188" customWidth="1"/>
    <col min="3077" max="3104" width="0" style="188" hidden="1" customWidth="1"/>
    <col min="3105" max="3328" width="8.77734375" style="188"/>
    <col min="3329" max="3329" width="5" style="188" bestFit="1" customWidth="1"/>
    <col min="3330" max="3330" width="61" style="188" customWidth="1"/>
    <col min="3331" max="3331" width="5.5546875" style="188" customWidth="1"/>
    <col min="3332" max="3332" width="13.21875" style="188" customWidth="1"/>
    <col min="3333" max="3360" width="0" style="188" hidden="1" customWidth="1"/>
    <col min="3361" max="3584" width="8.77734375" style="188"/>
    <col min="3585" max="3585" width="5" style="188" bestFit="1" customWidth="1"/>
    <col min="3586" max="3586" width="61" style="188" customWidth="1"/>
    <col min="3587" max="3587" width="5.5546875" style="188" customWidth="1"/>
    <col min="3588" max="3588" width="13.21875" style="188" customWidth="1"/>
    <col min="3589" max="3616" width="0" style="188" hidden="1" customWidth="1"/>
    <col min="3617" max="3840" width="8.77734375" style="188"/>
    <col min="3841" max="3841" width="5" style="188" bestFit="1" customWidth="1"/>
    <col min="3842" max="3842" width="61" style="188" customWidth="1"/>
    <col min="3843" max="3843" width="5.5546875" style="188" customWidth="1"/>
    <col min="3844" max="3844" width="13.21875" style="188" customWidth="1"/>
    <col min="3845" max="3872" width="0" style="188" hidden="1" customWidth="1"/>
    <col min="3873" max="4096" width="8.77734375" style="188"/>
    <col min="4097" max="4097" width="5" style="188" bestFit="1" customWidth="1"/>
    <col min="4098" max="4098" width="61" style="188" customWidth="1"/>
    <col min="4099" max="4099" width="5.5546875" style="188" customWidth="1"/>
    <col min="4100" max="4100" width="13.21875" style="188" customWidth="1"/>
    <col min="4101" max="4128" width="0" style="188" hidden="1" customWidth="1"/>
    <col min="4129" max="4352" width="8.77734375" style="188"/>
    <col min="4353" max="4353" width="5" style="188" bestFit="1" customWidth="1"/>
    <col min="4354" max="4354" width="61" style="188" customWidth="1"/>
    <col min="4355" max="4355" width="5.5546875" style="188" customWidth="1"/>
    <col min="4356" max="4356" width="13.21875" style="188" customWidth="1"/>
    <col min="4357" max="4384" width="0" style="188" hidden="1" customWidth="1"/>
    <col min="4385" max="4608" width="8.77734375" style="188"/>
    <col min="4609" max="4609" width="5" style="188" bestFit="1" customWidth="1"/>
    <col min="4610" max="4610" width="61" style="188" customWidth="1"/>
    <col min="4611" max="4611" width="5.5546875" style="188" customWidth="1"/>
    <col min="4612" max="4612" width="13.21875" style="188" customWidth="1"/>
    <col min="4613" max="4640" width="0" style="188" hidden="1" customWidth="1"/>
    <col min="4641" max="4864" width="8.77734375" style="188"/>
    <col min="4865" max="4865" width="5" style="188" bestFit="1" customWidth="1"/>
    <col min="4866" max="4866" width="61" style="188" customWidth="1"/>
    <col min="4867" max="4867" width="5.5546875" style="188" customWidth="1"/>
    <col min="4868" max="4868" width="13.21875" style="188" customWidth="1"/>
    <col min="4869" max="4896" width="0" style="188" hidden="1" customWidth="1"/>
    <col min="4897" max="5120" width="8.77734375" style="188"/>
    <col min="5121" max="5121" width="5" style="188" bestFit="1" customWidth="1"/>
    <col min="5122" max="5122" width="61" style="188" customWidth="1"/>
    <col min="5123" max="5123" width="5.5546875" style="188" customWidth="1"/>
    <col min="5124" max="5124" width="13.21875" style="188" customWidth="1"/>
    <col min="5125" max="5152" width="0" style="188" hidden="1" customWidth="1"/>
    <col min="5153" max="5376" width="8.77734375" style="188"/>
    <col min="5377" max="5377" width="5" style="188" bestFit="1" customWidth="1"/>
    <col min="5378" max="5378" width="61" style="188" customWidth="1"/>
    <col min="5379" max="5379" width="5.5546875" style="188" customWidth="1"/>
    <col min="5380" max="5380" width="13.21875" style="188" customWidth="1"/>
    <col min="5381" max="5408" width="0" style="188" hidden="1" customWidth="1"/>
    <col min="5409" max="5632" width="8.77734375" style="188"/>
    <col min="5633" max="5633" width="5" style="188" bestFit="1" customWidth="1"/>
    <col min="5634" max="5634" width="61" style="188" customWidth="1"/>
    <col min="5635" max="5635" width="5.5546875" style="188" customWidth="1"/>
    <col min="5636" max="5636" width="13.21875" style="188" customWidth="1"/>
    <col min="5637" max="5664" width="0" style="188" hidden="1" customWidth="1"/>
    <col min="5665" max="5888" width="8.77734375" style="188"/>
    <col min="5889" max="5889" width="5" style="188" bestFit="1" customWidth="1"/>
    <col min="5890" max="5890" width="61" style="188" customWidth="1"/>
    <col min="5891" max="5891" width="5.5546875" style="188" customWidth="1"/>
    <col min="5892" max="5892" width="13.21875" style="188" customWidth="1"/>
    <col min="5893" max="5920" width="0" style="188" hidden="1" customWidth="1"/>
    <col min="5921" max="6144" width="8.77734375" style="188"/>
    <col min="6145" max="6145" width="5" style="188" bestFit="1" customWidth="1"/>
    <col min="6146" max="6146" width="61" style="188" customWidth="1"/>
    <col min="6147" max="6147" width="5.5546875" style="188" customWidth="1"/>
    <col min="6148" max="6148" width="13.21875" style="188" customWidth="1"/>
    <col min="6149" max="6176" width="0" style="188" hidden="1" customWidth="1"/>
    <col min="6177" max="6400" width="8.77734375" style="188"/>
    <col min="6401" max="6401" width="5" style="188" bestFit="1" customWidth="1"/>
    <col min="6402" max="6402" width="61" style="188" customWidth="1"/>
    <col min="6403" max="6403" width="5.5546875" style="188" customWidth="1"/>
    <col min="6404" max="6404" width="13.21875" style="188" customWidth="1"/>
    <col min="6405" max="6432" width="0" style="188" hidden="1" customWidth="1"/>
    <col min="6433" max="6656" width="8.77734375" style="188"/>
    <col min="6657" max="6657" width="5" style="188" bestFit="1" customWidth="1"/>
    <col min="6658" max="6658" width="61" style="188" customWidth="1"/>
    <col min="6659" max="6659" width="5.5546875" style="188" customWidth="1"/>
    <col min="6660" max="6660" width="13.21875" style="188" customWidth="1"/>
    <col min="6661" max="6688" width="0" style="188" hidden="1" customWidth="1"/>
    <col min="6689" max="6912" width="8.77734375" style="188"/>
    <col min="6913" max="6913" width="5" style="188" bestFit="1" customWidth="1"/>
    <col min="6914" max="6914" width="61" style="188" customWidth="1"/>
    <col min="6915" max="6915" width="5.5546875" style="188" customWidth="1"/>
    <col min="6916" max="6916" width="13.21875" style="188" customWidth="1"/>
    <col min="6917" max="6944" width="0" style="188" hidden="1" customWidth="1"/>
    <col min="6945" max="7168" width="8.77734375" style="188"/>
    <col min="7169" max="7169" width="5" style="188" bestFit="1" customWidth="1"/>
    <col min="7170" max="7170" width="61" style="188" customWidth="1"/>
    <col min="7171" max="7171" width="5.5546875" style="188" customWidth="1"/>
    <col min="7172" max="7172" width="13.21875" style="188" customWidth="1"/>
    <col min="7173" max="7200" width="0" style="188" hidden="1" customWidth="1"/>
    <col min="7201" max="7424" width="8.77734375" style="188"/>
    <col min="7425" max="7425" width="5" style="188" bestFit="1" customWidth="1"/>
    <col min="7426" max="7426" width="61" style="188" customWidth="1"/>
    <col min="7427" max="7427" width="5.5546875" style="188" customWidth="1"/>
    <col min="7428" max="7428" width="13.21875" style="188" customWidth="1"/>
    <col min="7429" max="7456" width="0" style="188" hidden="1" customWidth="1"/>
    <col min="7457" max="7680" width="8.77734375" style="188"/>
    <col min="7681" max="7681" width="5" style="188" bestFit="1" customWidth="1"/>
    <col min="7682" max="7682" width="61" style="188" customWidth="1"/>
    <col min="7683" max="7683" width="5.5546875" style="188" customWidth="1"/>
    <col min="7684" max="7684" width="13.21875" style="188" customWidth="1"/>
    <col min="7685" max="7712" width="0" style="188" hidden="1" customWidth="1"/>
    <col min="7713" max="7936" width="8.77734375" style="188"/>
    <col min="7937" max="7937" width="5" style="188" bestFit="1" customWidth="1"/>
    <col min="7938" max="7938" width="61" style="188" customWidth="1"/>
    <col min="7939" max="7939" width="5.5546875" style="188" customWidth="1"/>
    <col min="7940" max="7940" width="13.21875" style="188" customWidth="1"/>
    <col min="7941" max="7968" width="0" style="188" hidden="1" customWidth="1"/>
    <col min="7969" max="8192" width="8.77734375" style="188"/>
    <col min="8193" max="8193" width="5" style="188" bestFit="1" customWidth="1"/>
    <col min="8194" max="8194" width="61" style="188" customWidth="1"/>
    <col min="8195" max="8195" width="5.5546875" style="188" customWidth="1"/>
    <col min="8196" max="8196" width="13.21875" style="188" customWidth="1"/>
    <col min="8197" max="8224" width="0" style="188" hidden="1" customWidth="1"/>
    <col min="8225" max="8448" width="8.77734375" style="188"/>
    <col min="8449" max="8449" width="5" style="188" bestFit="1" customWidth="1"/>
    <col min="8450" max="8450" width="61" style="188" customWidth="1"/>
    <col min="8451" max="8451" width="5.5546875" style="188" customWidth="1"/>
    <col min="8452" max="8452" width="13.21875" style="188" customWidth="1"/>
    <col min="8453" max="8480" width="0" style="188" hidden="1" customWidth="1"/>
    <col min="8481" max="8704" width="8.77734375" style="188"/>
    <col min="8705" max="8705" width="5" style="188" bestFit="1" customWidth="1"/>
    <col min="8706" max="8706" width="61" style="188" customWidth="1"/>
    <col min="8707" max="8707" width="5.5546875" style="188" customWidth="1"/>
    <col min="8708" max="8708" width="13.21875" style="188" customWidth="1"/>
    <col min="8709" max="8736" width="0" style="188" hidden="1" customWidth="1"/>
    <col min="8737" max="8960" width="8.77734375" style="188"/>
    <col min="8961" max="8961" width="5" style="188" bestFit="1" customWidth="1"/>
    <col min="8962" max="8962" width="61" style="188" customWidth="1"/>
    <col min="8963" max="8963" width="5.5546875" style="188" customWidth="1"/>
    <col min="8964" max="8964" width="13.21875" style="188" customWidth="1"/>
    <col min="8965" max="8992" width="0" style="188" hidden="1" customWidth="1"/>
    <col min="8993" max="9216" width="8.77734375" style="188"/>
    <col min="9217" max="9217" width="5" style="188" bestFit="1" customWidth="1"/>
    <col min="9218" max="9218" width="61" style="188" customWidth="1"/>
    <col min="9219" max="9219" width="5.5546875" style="188" customWidth="1"/>
    <col min="9220" max="9220" width="13.21875" style="188" customWidth="1"/>
    <col min="9221" max="9248" width="0" style="188" hidden="1" customWidth="1"/>
    <col min="9249" max="9472" width="8.77734375" style="188"/>
    <col min="9473" max="9473" width="5" style="188" bestFit="1" customWidth="1"/>
    <col min="9474" max="9474" width="61" style="188" customWidth="1"/>
    <col min="9475" max="9475" width="5.5546875" style="188" customWidth="1"/>
    <col min="9476" max="9476" width="13.21875" style="188" customWidth="1"/>
    <col min="9477" max="9504" width="0" style="188" hidden="1" customWidth="1"/>
    <col min="9505" max="9728" width="8.77734375" style="188"/>
    <col min="9729" max="9729" width="5" style="188" bestFit="1" customWidth="1"/>
    <col min="9730" max="9730" width="61" style="188" customWidth="1"/>
    <col min="9731" max="9731" width="5.5546875" style="188" customWidth="1"/>
    <col min="9732" max="9732" width="13.21875" style="188" customWidth="1"/>
    <col min="9733" max="9760" width="0" style="188" hidden="1" customWidth="1"/>
    <col min="9761" max="9984" width="8.77734375" style="188"/>
    <col min="9985" max="9985" width="5" style="188" bestFit="1" customWidth="1"/>
    <col min="9986" max="9986" width="61" style="188" customWidth="1"/>
    <col min="9987" max="9987" width="5.5546875" style="188" customWidth="1"/>
    <col min="9988" max="9988" width="13.21875" style="188" customWidth="1"/>
    <col min="9989" max="10016" width="0" style="188" hidden="1" customWidth="1"/>
    <col min="10017" max="10240" width="8.77734375" style="188"/>
    <col min="10241" max="10241" width="5" style="188" bestFit="1" customWidth="1"/>
    <col min="10242" max="10242" width="61" style="188" customWidth="1"/>
    <col min="10243" max="10243" width="5.5546875" style="188" customWidth="1"/>
    <col min="10244" max="10244" width="13.21875" style="188" customWidth="1"/>
    <col min="10245" max="10272" width="0" style="188" hidden="1" customWidth="1"/>
    <col min="10273" max="10496" width="8.77734375" style="188"/>
    <col min="10497" max="10497" width="5" style="188" bestFit="1" customWidth="1"/>
    <col min="10498" max="10498" width="61" style="188" customWidth="1"/>
    <col min="10499" max="10499" width="5.5546875" style="188" customWidth="1"/>
    <col min="10500" max="10500" width="13.21875" style="188" customWidth="1"/>
    <col min="10501" max="10528" width="0" style="188" hidden="1" customWidth="1"/>
    <col min="10529" max="10752" width="8.77734375" style="188"/>
    <col min="10753" max="10753" width="5" style="188" bestFit="1" customWidth="1"/>
    <col min="10754" max="10754" width="61" style="188" customWidth="1"/>
    <col min="10755" max="10755" width="5.5546875" style="188" customWidth="1"/>
    <col min="10756" max="10756" width="13.21875" style="188" customWidth="1"/>
    <col min="10757" max="10784" width="0" style="188" hidden="1" customWidth="1"/>
    <col min="10785" max="11008" width="8.77734375" style="188"/>
    <col min="11009" max="11009" width="5" style="188" bestFit="1" customWidth="1"/>
    <col min="11010" max="11010" width="61" style="188" customWidth="1"/>
    <col min="11011" max="11011" width="5.5546875" style="188" customWidth="1"/>
    <col min="11012" max="11012" width="13.21875" style="188" customWidth="1"/>
    <col min="11013" max="11040" width="0" style="188" hidden="1" customWidth="1"/>
    <col min="11041" max="11264" width="8.77734375" style="188"/>
    <col min="11265" max="11265" width="5" style="188" bestFit="1" customWidth="1"/>
    <col min="11266" max="11266" width="61" style="188" customWidth="1"/>
    <col min="11267" max="11267" width="5.5546875" style="188" customWidth="1"/>
    <col min="11268" max="11268" width="13.21875" style="188" customWidth="1"/>
    <col min="11269" max="11296" width="0" style="188" hidden="1" customWidth="1"/>
    <col min="11297" max="11520" width="8.77734375" style="188"/>
    <col min="11521" max="11521" width="5" style="188" bestFit="1" customWidth="1"/>
    <col min="11522" max="11522" width="61" style="188" customWidth="1"/>
    <col min="11523" max="11523" width="5.5546875" style="188" customWidth="1"/>
    <col min="11524" max="11524" width="13.21875" style="188" customWidth="1"/>
    <col min="11525" max="11552" width="0" style="188" hidden="1" customWidth="1"/>
    <col min="11553" max="11776" width="8.77734375" style="188"/>
    <col min="11777" max="11777" width="5" style="188" bestFit="1" customWidth="1"/>
    <col min="11778" max="11778" width="61" style="188" customWidth="1"/>
    <col min="11779" max="11779" width="5.5546875" style="188" customWidth="1"/>
    <col min="11780" max="11780" width="13.21875" style="188" customWidth="1"/>
    <col min="11781" max="11808" width="0" style="188" hidden="1" customWidth="1"/>
    <col min="11809" max="12032" width="8.77734375" style="188"/>
    <col min="12033" max="12033" width="5" style="188" bestFit="1" customWidth="1"/>
    <col min="12034" max="12034" width="61" style="188" customWidth="1"/>
    <col min="12035" max="12035" width="5.5546875" style="188" customWidth="1"/>
    <col min="12036" max="12036" width="13.21875" style="188" customWidth="1"/>
    <col min="12037" max="12064" width="0" style="188" hidden="1" customWidth="1"/>
    <col min="12065" max="12288" width="8.77734375" style="188"/>
    <col min="12289" max="12289" width="5" style="188" bestFit="1" customWidth="1"/>
    <col min="12290" max="12290" width="61" style="188" customWidth="1"/>
    <col min="12291" max="12291" width="5.5546875" style="188" customWidth="1"/>
    <col min="12292" max="12292" width="13.21875" style="188" customWidth="1"/>
    <col min="12293" max="12320" width="0" style="188" hidden="1" customWidth="1"/>
    <col min="12321" max="12544" width="8.77734375" style="188"/>
    <col min="12545" max="12545" width="5" style="188" bestFit="1" customWidth="1"/>
    <col min="12546" max="12546" width="61" style="188" customWidth="1"/>
    <col min="12547" max="12547" width="5.5546875" style="188" customWidth="1"/>
    <col min="12548" max="12548" width="13.21875" style="188" customWidth="1"/>
    <col min="12549" max="12576" width="0" style="188" hidden="1" customWidth="1"/>
    <col min="12577" max="12800" width="8.77734375" style="188"/>
    <col min="12801" max="12801" width="5" style="188" bestFit="1" customWidth="1"/>
    <col min="12802" max="12802" width="61" style="188" customWidth="1"/>
    <col min="12803" max="12803" width="5.5546875" style="188" customWidth="1"/>
    <col min="12804" max="12804" width="13.21875" style="188" customWidth="1"/>
    <col min="12805" max="12832" width="0" style="188" hidden="1" customWidth="1"/>
    <col min="12833" max="13056" width="8.77734375" style="188"/>
    <col min="13057" max="13057" width="5" style="188" bestFit="1" customWidth="1"/>
    <col min="13058" max="13058" width="61" style="188" customWidth="1"/>
    <col min="13059" max="13059" width="5.5546875" style="188" customWidth="1"/>
    <col min="13060" max="13060" width="13.21875" style="188" customWidth="1"/>
    <col min="13061" max="13088" width="0" style="188" hidden="1" customWidth="1"/>
    <col min="13089" max="13312" width="8.77734375" style="188"/>
    <col min="13313" max="13313" width="5" style="188" bestFit="1" customWidth="1"/>
    <col min="13314" max="13314" width="61" style="188" customWidth="1"/>
    <col min="13315" max="13315" width="5.5546875" style="188" customWidth="1"/>
    <col min="13316" max="13316" width="13.21875" style="188" customWidth="1"/>
    <col min="13317" max="13344" width="0" style="188" hidden="1" customWidth="1"/>
    <col min="13345" max="13568" width="8.77734375" style="188"/>
    <col min="13569" max="13569" width="5" style="188" bestFit="1" customWidth="1"/>
    <col min="13570" max="13570" width="61" style="188" customWidth="1"/>
    <col min="13571" max="13571" width="5.5546875" style="188" customWidth="1"/>
    <col min="13572" max="13572" width="13.21875" style="188" customWidth="1"/>
    <col min="13573" max="13600" width="0" style="188" hidden="1" customWidth="1"/>
    <col min="13601" max="13824" width="8.77734375" style="188"/>
    <col min="13825" max="13825" width="5" style="188" bestFit="1" customWidth="1"/>
    <col min="13826" max="13826" width="61" style="188" customWidth="1"/>
    <col min="13827" max="13827" width="5.5546875" style="188" customWidth="1"/>
    <col min="13828" max="13828" width="13.21875" style="188" customWidth="1"/>
    <col min="13829" max="13856" width="0" style="188" hidden="1" customWidth="1"/>
    <col min="13857" max="14080" width="8.77734375" style="188"/>
    <col min="14081" max="14081" width="5" style="188" bestFit="1" customWidth="1"/>
    <col min="14082" max="14082" width="61" style="188" customWidth="1"/>
    <col min="14083" max="14083" width="5.5546875" style="188" customWidth="1"/>
    <col min="14084" max="14084" width="13.21875" style="188" customWidth="1"/>
    <col min="14085" max="14112" width="0" style="188" hidden="1" customWidth="1"/>
    <col min="14113" max="14336" width="8.77734375" style="188"/>
    <col min="14337" max="14337" width="5" style="188" bestFit="1" customWidth="1"/>
    <col min="14338" max="14338" width="61" style="188" customWidth="1"/>
    <col min="14339" max="14339" width="5.5546875" style="188" customWidth="1"/>
    <col min="14340" max="14340" width="13.21875" style="188" customWidth="1"/>
    <col min="14341" max="14368" width="0" style="188" hidden="1" customWidth="1"/>
    <col min="14369" max="14592" width="8.77734375" style="188"/>
    <col min="14593" max="14593" width="5" style="188" bestFit="1" customWidth="1"/>
    <col min="14594" max="14594" width="61" style="188" customWidth="1"/>
    <col min="14595" max="14595" width="5.5546875" style="188" customWidth="1"/>
    <col min="14596" max="14596" width="13.21875" style="188" customWidth="1"/>
    <col min="14597" max="14624" width="0" style="188" hidden="1" customWidth="1"/>
    <col min="14625" max="14848" width="8.77734375" style="188"/>
    <col min="14849" max="14849" width="5" style="188" bestFit="1" customWidth="1"/>
    <col min="14850" max="14850" width="61" style="188" customWidth="1"/>
    <col min="14851" max="14851" width="5.5546875" style="188" customWidth="1"/>
    <col min="14852" max="14852" width="13.21875" style="188" customWidth="1"/>
    <col min="14853" max="14880" width="0" style="188" hidden="1" customWidth="1"/>
    <col min="14881" max="15104" width="8.77734375" style="188"/>
    <col min="15105" max="15105" width="5" style="188" bestFit="1" customWidth="1"/>
    <col min="15106" max="15106" width="61" style="188" customWidth="1"/>
    <col min="15107" max="15107" width="5.5546875" style="188" customWidth="1"/>
    <col min="15108" max="15108" width="13.21875" style="188" customWidth="1"/>
    <col min="15109" max="15136" width="0" style="188" hidden="1" customWidth="1"/>
    <col min="15137" max="15360" width="8.77734375" style="188"/>
    <col min="15361" max="15361" width="5" style="188" bestFit="1" customWidth="1"/>
    <col min="15362" max="15362" width="61" style="188" customWidth="1"/>
    <col min="15363" max="15363" width="5.5546875" style="188" customWidth="1"/>
    <col min="15364" max="15364" width="13.21875" style="188" customWidth="1"/>
    <col min="15365" max="15392" width="0" style="188" hidden="1" customWidth="1"/>
    <col min="15393" max="15616" width="8.77734375" style="188"/>
    <col min="15617" max="15617" width="5" style="188" bestFit="1" customWidth="1"/>
    <col min="15618" max="15618" width="61" style="188" customWidth="1"/>
    <col min="15619" max="15619" width="5.5546875" style="188" customWidth="1"/>
    <col min="15620" max="15620" width="13.21875" style="188" customWidth="1"/>
    <col min="15621" max="15648" width="0" style="188" hidden="1" customWidth="1"/>
    <col min="15649" max="15872" width="8.77734375" style="188"/>
    <col min="15873" max="15873" width="5" style="188" bestFit="1" customWidth="1"/>
    <col min="15874" max="15874" width="61" style="188" customWidth="1"/>
    <col min="15875" max="15875" width="5.5546875" style="188" customWidth="1"/>
    <col min="15876" max="15876" width="13.21875" style="188" customWidth="1"/>
    <col min="15877" max="15904" width="0" style="188" hidden="1" customWidth="1"/>
    <col min="15905" max="16128" width="8.77734375" style="188"/>
    <col min="16129" max="16129" width="5" style="188" bestFit="1" customWidth="1"/>
    <col min="16130" max="16130" width="61" style="188" customWidth="1"/>
    <col min="16131" max="16131" width="5.5546875" style="188" customWidth="1"/>
    <col min="16132" max="16132" width="13.21875" style="188" customWidth="1"/>
    <col min="16133" max="16160" width="0" style="188" hidden="1" customWidth="1"/>
    <col min="16161" max="16384" width="8.77734375" style="188"/>
  </cols>
  <sheetData>
    <row r="1" spans="1:4" ht="15" customHeight="1">
      <c r="A1" s="479" t="s">
        <v>386</v>
      </c>
      <c r="B1" s="480"/>
      <c r="C1" s="480"/>
      <c r="D1" s="481"/>
    </row>
    <row r="2" spans="1:4" ht="12" customHeight="1">
      <c r="A2" s="482"/>
      <c r="B2" s="483"/>
      <c r="C2" s="483"/>
      <c r="D2" s="484"/>
    </row>
    <row r="3" spans="1:4">
      <c r="A3" s="189"/>
      <c r="C3" s="194"/>
      <c r="D3" s="245"/>
    </row>
    <row r="4" spans="1:4">
      <c r="A4" s="189"/>
      <c r="C4" s="194"/>
      <c r="D4" s="245"/>
    </row>
    <row r="5" spans="1:4">
      <c r="A5" s="189"/>
      <c r="C5" s="194" t="s">
        <v>267</v>
      </c>
      <c r="D5" s="245" t="s">
        <v>2</v>
      </c>
    </row>
    <row r="6" spans="1:4">
      <c r="A6" s="189"/>
      <c r="C6" s="194" t="s">
        <v>268</v>
      </c>
      <c r="D6" s="245" t="s">
        <v>385</v>
      </c>
    </row>
    <row r="7" spans="1:4" ht="13.8">
      <c r="A7" s="485" t="s">
        <v>269</v>
      </c>
      <c r="B7" s="486"/>
      <c r="C7" s="486"/>
      <c r="D7" s="487"/>
    </row>
    <row r="8" spans="1:4" ht="30" customHeight="1">
      <c r="A8" s="488" t="s">
        <v>270</v>
      </c>
      <c r="B8" s="489"/>
      <c r="C8" s="489"/>
      <c r="D8" s="490"/>
    </row>
    <row r="9" spans="1:4">
      <c r="A9" s="189"/>
      <c r="D9" s="190"/>
    </row>
    <row r="10" spans="1:4">
      <c r="A10" s="189"/>
      <c r="D10" s="190"/>
    </row>
    <row r="11" spans="1:4">
      <c r="A11" s="189"/>
      <c r="D11" s="190"/>
    </row>
    <row r="12" spans="1:4" ht="12">
      <c r="A12" s="189"/>
      <c r="C12" s="491"/>
      <c r="D12" s="491"/>
    </row>
    <row r="13" spans="1:4">
      <c r="A13" s="189"/>
      <c r="B13" s="492"/>
      <c r="C13" s="492"/>
      <c r="D13" s="492"/>
    </row>
    <row r="14" spans="1:4">
      <c r="A14" s="189"/>
      <c r="B14" s="492"/>
      <c r="C14" s="492"/>
      <c r="D14" s="492"/>
    </row>
    <row r="15" spans="1:4">
      <c r="A15" s="189"/>
      <c r="C15" s="473"/>
      <c r="D15" s="473"/>
    </row>
    <row r="16" spans="1:4">
      <c r="A16" s="189"/>
      <c r="D16" s="190"/>
    </row>
    <row r="17" spans="1:9">
      <c r="A17" s="189"/>
      <c r="D17" s="190"/>
    </row>
    <row r="18" spans="1:9">
      <c r="A18" s="189"/>
      <c r="D18" s="190"/>
    </row>
    <row r="19" spans="1:9">
      <c r="A19" s="189"/>
      <c r="D19" s="190"/>
    </row>
    <row r="20" spans="1:9">
      <c r="A20" s="189"/>
      <c r="D20" s="190"/>
    </row>
    <row r="21" spans="1:9">
      <c r="A21" s="189"/>
      <c r="D21" s="190"/>
    </row>
    <row r="22" spans="1:9" ht="15" customHeight="1">
      <c r="A22" s="189"/>
      <c r="D22" s="190"/>
    </row>
    <row r="23" spans="1:9">
      <c r="A23" s="189"/>
      <c r="D23" s="190"/>
    </row>
    <row r="24" spans="1:9" s="191" customFormat="1" ht="15" customHeight="1">
      <c r="A24" s="474" t="s">
        <v>271</v>
      </c>
      <c r="B24" s="475"/>
      <c r="C24" s="475"/>
      <c r="D24" s="476"/>
    </row>
    <row r="25" spans="1:9" s="192" customFormat="1" ht="12">
      <c r="A25" s="246" t="s">
        <v>272</v>
      </c>
      <c r="B25" s="247" t="s">
        <v>273</v>
      </c>
      <c r="C25" s="248"/>
      <c r="D25" s="249"/>
    </row>
    <row r="26" spans="1:9" ht="7.5" customHeight="1">
      <c r="A26" s="193"/>
      <c r="C26" s="194"/>
      <c r="D26" s="190"/>
      <c r="F26" s="195" t="s">
        <v>274</v>
      </c>
      <c r="G26" s="195"/>
      <c r="H26" s="195"/>
      <c r="I26" s="196"/>
    </row>
    <row r="27" spans="1:9" ht="12">
      <c r="A27" s="197" t="s">
        <v>275</v>
      </c>
      <c r="B27" s="198" t="s">
        <v>276</v>
      </c>
      <c r="C27" s="194" t="s">
        <v>277</v>
      </c>
      <c r="D27" s="199">
        <f>100862+C15</f>
        <v>100862</v>
      </c>
      <c r="E27" s="200"/>
      <c r="F27" s="201">
        <f>SUM(D27/4)</f>
        <v>25215.5</v>
      </c>
      <c r="G27" s="202">
        <v>0.2</v>
      </c>
      <c r="H27" s="195" t="s">
        <v>278</v>
      </c>
      <c r="I27" s="196"/>
    </row>
    <row r="28" spans="1:9" ht="12">
      <c r="A28" s="197" t="s">
        <v>398</v>
      </c>
      <c r="B28" s="198" t="s">
        <v>402</v>
      </c>
      <c r="C28" s="194" t="s">
        <v>280</v>
      </c>
      <c r="D28" s="199">
        <v>245543.75</v>
      </c>
      <c r="E28" s="200"/>
      <c r="F28" s="201">
        <f>SUM(D28/4)</f>
        <v>61385.9375</v>
      </c>
      <c r="G28" s="202">
        <v>0.2</v>
      </c>
      <c r="H28" s="195" t="s">
        <v>278</v>
      </c>
      <c r="I28" s="196"/>
    </row>
    <row r="29" spans="1:9" ht="12">
      <c r="A29" s="203" t="s">
        <v>282</v>
      </c>
      <c r="B29" s="204" t="s">
        <v>279</v>
      </c>
      <c r="C29" s="205" t="s">
        <v>284</v>
      </c>
      <c r="D29" s="206">
        <v>72</v>
      </c>
      <c r="F29" s="201">
        <f>SUM(F27/12)</f>
        <v>2101.2916666666665</v>
      </c>
      <c r="G29" s="202">
        <f>SUM(F29/F27)</f>
        <v>8.3333333333333329E-2</v>
      </c>
      <c r="H29" s="195" t="s">
        <v>281</v>
      </c>
      <c r="I29" s="196"/>
    </row>
    <row r="30" spans="1:9" ht="12">
      <c r="A30" s="203" t="s">
        <v>285</v>
      </c>
      <c r="B30" s="204" t="s">
        <v>283</v>
      </c>
      <c r="C30" s="205" t="s">
        <v>287</v>
      </c>
      <c r="D30" s="207">
        <v>0.15</v>
      </c>
      <c r="F30" s="202"/>
      <c r="G30" s="195"/>
      <c r="H30" s="195"/>
      <c r="I30" s="196"/>
    </row>
    <row r="31" spans="1:9" ht="12">
      <c r="A31" s="203" t="s">
        <v>399</v>
      </c>
      <c r="B31" s="204" t="s">
        <v>286</v>
      </c>
      <c r="C31" s="205" t="s">
        <v>288</v>
      </c>
      <c r="D31" s="208">
        <v>12</v>
      </c>
      <c r="F31" s="195"/>
      <c r="G31" s="195"/>
      <c r="H31" s="195"/>
      <c r="I31" s="196"/>
    </row>
    <row r="32" spans="1:9" ht="12">
      <c r="A32" s="197" t="s">
        <v>400</v>
      </c>
      <c r="B32" s="209" t="s">
        <v>68</v>
      </c>
      <c r="C32" s="210" t="s">
        <v>401</v>
      </c>
      <c r="D32" s="211">
        <f>((D27+D28)/D29)-((D27*D30)/D29)</f>
        <v>4601.061805555556</v>
      </c>
      <c r="E32" s="212"/>
      <c r="F32" s="213">
        <f>SUM(D27*D30)/12</f>
        <v>1260.7749999999999</v>
      </c>
      <c r="G32" s="201"/>
      <c r="H32" s="195"/>
      <c r="I32" s="196"/>
    </row>
    <row r="33" spans="1:11">
      <c r="A33" s="214"/>
      <c r="B33" s="215"/>
      <c r="C33" s="216"/>
      <c r="D33" s="217"/>
      <c r="F33" s="202"/>
      <c r="G33" s="195"/>
      <c r="H33" s="195"/>
      <c r="I33" s="196"/>
    </row>
    <row r="34" spans="1:11" s="192" customFormat="1" ht="12">
      <c r="A34" s="246" t="s">
        <v>289</v>
      </c>
      <c r="B34" s="247" t="s">
        <v>290</v>
      </c>
      <c r="C34" s="248"/>
      <c r="D34" s="249"/>
      <c r="F34" s="218"/>
      <c r="G34" s="218"/>
      <c r="H34" s="218"/>
      <c r="I34" s="219"/>
    </row>
    <row r="35" spans="1:11" ht="7.5" customHeight="1">
      <c r="A35" s="193"/>
      <c r="C35" s="194"/>
      <c r="D35" s="190"/>
      <c r="F35" s="201">
        <f>D27/D29</f>
        <v>1400.8611111111111</v>
      </c>
      <c r="G35" s="195"/>
      <c r="H35" s="195"/>
      <c r="I35" s="196"/>
    </row>
    <row r="36" spans="1:11" ht="12">
      <c r="A36" s="197" t="s">
        <v>291</v>
      </c>
      <c r="B36" s="188" t="s">
        <v>292</v>
      </c>
      <c r="C36" s="194" t="s">
        <v>293</v>
      </c>
      <c r="D36" s="220">
        <v>1.9900000000000001E-2</v>
      </c>
      <c r="F36" s="201">
        <f>(D27*D30)/D29</f>
        <v>210.12916666666666</v>
      </c>
      <c r="G36" s="195"/>
      <c r="H36" s="195"/>
      <c r="I36" s="196"/>
    </row>
    <row r="37" spans="1:11" ht="12">
      <c r="A37" s="197" t="s">
        <v>294</v>
      </c>
      <c r="B37" s="188" t="s">
        <v>295</v>
      </c>
      <c r="C37" s="210" t="s">
        <v>296</v>
      </c>
      <c r="D37" s="221">
        <f>SUM(D27*D36)</f>
        <v>2007.1538</v>
      </c>
      <c r="F37" s="196"/>
      <c r="G37" s="196"/>
      <c r="H37" s="196"/>
      <c r="I37" s="196"/>
    </row>
    <row r="38" spans="1:11">
      <c r="A38" s="193"/>
      <c r="C38" s="194"/>
      <c r="D38" s="190"/>
      <c r="F38" s="196"/>
      <c r="G38" s="196"/>
      <c r="H38" s="196"/>
      <c r="I38" s="196"/>
    </row>
    <row r="39" spans="1:11" s="192" customFormat="1" ht="12">
      <c r="A39" s="250" t="s">
        <v>297</v>
      </c>
      <c r="B39" s="251" t="s">
        <v>298</v>
      </c>
      <c r="C39" s="252"/>
      <c r="D39" s="253"/>
    </row>
    <row r="40" spans="1:11">
      <c r="A40" s="193"/>
      <c r="C40" s="194"/>
      <c r="D40" s="190"/>
    </row>
    <row r="41" spans="1:11">
      <c r="A41" s="477" t="s">
        <v>299</v>
      </c>
      <c r="B41" s="222" t="s">
        <v>300</v>
      </c>
      <c r="C41" s="478" t="s">
        <v>301</v>
      </c>
      <c r="D41" s="223">
        <f>SUM(D30*D32)</f>
        <v>690.15927083333338</v>
      </c>
    </row>
    <row r="42" spans="1:11">
      <c r="A42" s="477"/>
      <c r="B42" s="224" t="s">
        <v>302</v>
      </c>
      <c r="C42" s="478"/>
      <c r="D42" s="223">
        <f>SUM(D27*0.03)/D31</f>
        <v>252.15499999999997</v>
      </c>
    </row>
    <row r="43" spans="1:11" ht="12">
      <c r="A43" s="203" t="s">
        <v>303</v>
      </c>
      <c r="B43" s="224" t="s">
        <v>304</v>
      </c>
      <c r="C43" s="205" t="s">
        <v>305</v>
      </c>
      <c r="D43" s="223">
        <f>60*4</f>
        <v>240</v>
      </c>
    </row>
    <row r="44" spans="1:11" ht="12">
      <c r="A44" s="203" t="s">
        <v>306</v>
      </c>
      <c r="B44" s="224" t="s">
        <v>307</v>
      </c>
      <c r="C44" s="205" t="s">
        <v>305</v>
      </c>
      <c r="D44" s="223">
        <f>D27*0.01</f>
        <v>1008.62</v>
      </c>
    </row>
    <row r="45" spans="1:11" ht="12">
      <c r="A45" s="197" t="s">
        <v>308</v>
      </c>
      <c r="B45" s="188" t="s">
        <v>309</v>
      </c>
      <c r="C45" s="210" t="s">
        <v>310</v>
      </c>
      <c r="D45" s="221">
        <f>SUM(D41:D44)</f>
        <v>2190.9342708333334</v>
      </c>
      <c r="K45" s="188">
        <f>150/3.999</f>
        <v>37.50937734433608</v>
      </c>
    </row>
    <row r="46" spans="1:11">
      <c r="A46" s="193"/>
      <c r="C46" s="194"/>
      <c r="D46" s="190"/>
      <c r="K46" s="188">
        <f>150/3.699</f>
        <v>40.551500405515007</v>
      </c>
    </row>
    <row r="47" spans="1:11" s="257" customFormat="1" ht="12">
      <c r="A47" s="254" t="s">
        <v>311</v>
      </c>
      <c r="B47" s="255"/>
      <c r="C47" s="255"/>
      <c r="D47" s="256"/>
      <c r="K47" s="257">
        <f>SUM(K45-K46)</f>
        <v>-3.0421230611789269</v>
      </c>
    </row>
    <row r="48" spans="1:11">
      <c r="A48" s="193"/>
      <c r="C48" s="194"/>
      <c r="D48" s="190"/>
    </row>
    <row r="49" spans="1:8" s="257" customFormat="1" ht="12">
      <c r="A49" s="246" t="s">
        <v>312</v>
      </c>
      <c r="B49" s="247" t="s">
        <v>313</v>
      </c>
      <c r="C49" s="248"/>
      <c r="D49" s="249"/>
    </row>
    <row r="50" spans="1:8">
      <c r="A50" s="193"/>
      <c r="C50" s="194"/>
      <c r="D50" s="190"/>
    </row>
    <row r="51" spans="1:8">
      <c r="A51" s="225" t="s">
        <v>314</v>
      </c>
      <c r="B51" s="204" t="s">
        <v>315</v>
      </c>
      <c r="C51" s="205" t="s">
        <v>316</v>
      </c>
      <c r="D51" s="226">
        <v>6.29</v>
      </c>
    </row>
    <row r="52" spans="1:8">
      <c r="A52" s="225" t="s">
        <v>317</v>
      </c>
      <c r="B52" s="224" t="s">
        <v>318</v>
      </c>
      <c r="C52" s="205" t="s">
        <v>319</v>
      </c>
      <c r="D52" s="227">
        <v>12</v>
      </c>
      <c r="H52" s="188">
        <f>3000/10</f>
        <v>300</v>
      </c>
    </row>
    <row r="53" spans="1:8">
      <c r="A53" s="225" t="s">
        <v>320</v>
      </c>
      <c r="B53" s="204" t="s">
        <v>321</v>
      </c>
      <c r="C53" s="205" t="s">
        <v>322</v>
      </c>
      <c r="D53" s="228">
        <v>4</v>
      </c>
      <c r="H53" s="188">
        <v>3.6999</v>
      </c>
    </row>
    <row r="54" spans="1:8">
      <c r="A54" s="225" t="s">
        <v>323</v>
      </c>
      <c r="B54" s="204" t="s">
        <v>324</v>
      </c>
      <c r="C54" s="205" t="s">
        <v>325</v>
      </c>
      <c r="D54" s="229">
        <v>1500</v>
      </c>
      <c r="E54" s="230"/>
      <c r="H54" s="188">
        <f>+H53*H52</f>
        <v>1109.97</v>
      </c>
    </row>
    <row r="55" spans="1:8" ht="12">
      <c r="A55" s="203" t="s">
        <v>326</v>
      </c>
      <c r="B55" s="231" t="s">
        <v>327</v>
      </c>
      <c r="C55" s="232" t="s">
        <v>328</v>
      </c>
      <c r="D55" s="233">
        <f>((D54/D53)*D51)</f>
        <v>2358.75</v>
      </c>
      <c r="F55" s="188">
        <f>SUM(D55*D52)</f>
        <v>28305</v>
      </c>
    </row>
    <row r="56" spans="1:8" ht="12">
      <c r="A56" s="234"/>
      <c r="B56" s="235"/>
      <c r="C56" s="236"/>
      <c r="D56" s="237"/>
    </row>
    <row r="57" spans="1:8" s="257" customFormat="1" ht="12">
      <c r="A57" s="258" t="s">
        <v>329</v>
      </c>
      <c r="B57" s="255" t="s">
        <v>330</v>
      </c>
      <c r="C57" s="259"/>
      <c r="D57" s="260"/>
    </row>
    <row r="58" spans="1:8" ht="18" customHeight="1">
      <c r="A58" s="193"/>
      <c r="C58" s="194"/>
      <c r="D58" s="190"/>
    </row>
    <row r="59" spans="1:8">
      <c r="A59" s="225" t="s">
        <v>331</v>
      </c>
      <c r="B59" s="224" t="s">
        <v>332</v>
      </c>
      <c r="C59" s="205" t="s">
        <v>333</v>
      </c>
      <c r="D59" s="229">
        <v>10000</v>
      </c>
      <c r="G59" s="188">
        <v>120</v>
      </c>
    </row>
    <row r="60" spans="1:8">
      <c r="A60" s="225" t="s">
        <v>334</v>
      </c>
      <c r="B60" s="224" t="s">
        <v>335</v>
      </c>
      <c r="C60" s="205" t="s">
        <v>336</v>
      </c>
      <c r="D60" s="228">
        <v>17.66</v>
      </c>
      <c r="G60" s="188">
        <f>120/5</f>
        <v>24</v>
      </c>
    </row>
    <row r="61" spans="1:8">
      <c r="A61" s="225" t="s">
        <v>334</v>
      </c>
      <c r="B61" s="224" t="s">
        <v>337</v>
      </c>
      <c r="C61" s="205" t="s">
        <v>336</v>
      </c>
      <c r="D61" s="228">
        <v>34.9</v>
      </c>
      <c r="G61" s="188">
        <f>120/5</f>
        <v>24</v>
      </c>
    </row>
    <row r="62" spans="1:8">
      <c r="A62" s="225" t="s">
        <v>338</v>
      </c>
      <c r="B62" s="224" t="s">
        <v>339</v>
      </c>
      <c r="C62" s="205" t="s">
        <v>340</v>
      </c>
      <c r="D62" s="228">
        <v>6</v>
      </c>
    </row>
    <row r="63" spans="1:8">
      <c r="A63" s="225" t="s">
        <v>341</v>
      </c>
      <c r="B63" s="224" t="s">
        <v>342</v>
      </c>
      <c r="C63" s="205" t="s">
        <v>343</v>
      </c>
      <c r="D63" s="228">
        <v>1</v>
      </c>
    </row>
    <row r="64" spans="1:8">
      <c r="A64" s="225" t="s">
        <v>341</v>
      </c>
      <c r="B64" s="224" t="s">
        <v>344</v>
      </c>
      <c r="C64" s="205" t="s">
        <v>343</v>
      </c>
      <c r="D64" s="228">
        <f>SUM(D54*D52)/D59</f>
        <v>1.8</v>
      </c>
    </row>
    <row r="65" spans="1:10" ht="12">
      <c r="A65" s="203" t="s">
        <v>345</v>
      </c>
      <c r="B65" s="231" t="s">
        <v>346</v>
      </c>
      <c r="C65" s="232" t="s">
        <v>347</v>
      </c>
      <c r="D65" s="221">
        <f>SUM(((D60*D63)+(D61*D62))*D64)/D52</f>
        <v>34.058999999999997</v>
      </c>
      <c r="E65" s="238"/>
    </row>
    <row r="66" spans="1:10">
      <c r="A66" s="214"/>
      <c r="B66" s="215"/>
      <c r="C66" s="216"/>
      <c r="D66" s="217"/>
    </row>
    <row r="67" spans="1:10" s="257" customFormat="1" ht="12">
      <c r="A67" s="258" t="s">
        <v>348</v>
      </c>
      <c r="B67" s="255" t="s">
        <v>349</v>
      </c>
      <c r="C67" s="259"/>
      <c r="D67" s="260"/>
    </row>
    <row r="68" spans="1:10">
      <c r="A68" s="193"/>
      <c r="C68" s="194"/>
      <c r="D68" s="190"/>
    </row>
    <row r="69" spans="1:10">
      <c r="A69" s="225" t="s">
        <v>350</v>
      </c>
      <c r="B69" s="224" t="s">
        <v>351</v>
      </c>
      <c r="C69" s="194" t="s">
        <v>352</v>
      </c>
      <c r="D69" s="229">
        <v>4</v>
      </c>
    </row>
    <row r="70" spans="1:10">
      <c r="A70" s="225" t="s">
        <v>353</v>
      </c>
      <c r="B70" s="224" t="s">
        <v>354</v>
      </c>
      <c r="C70" s="194" t="s">
        <v>355</v>
      </c>
      <c r="D70" s="239">
        <v>40000</v>
      </c>
    </row>
    <row r="71" spans="1:10">
      <c r="A71" s="225" t="s">
        <v>356</v>
      </c>
      <c r="B71" s="224" t="s">
        <v>357</v>
      </c>
      <c r="C71" s="194" t="s">
        <v>358</v>
      </c>
      <c r="D71" s="239">
        <f>SUM(D54)*D52</f>
        <v>18000</v>
      </c>
    </row>
    <row r="72" spans="1:10">
      <c r="A72" s="225" t="s">
        <v>359</v>
      </c>
      <c r="B72" s="224" t="s">
        <v>360</v>
      </c>
      <c r="C72" s="194" t="s">
        <v>361</v>
      </c>
      <c r="D72" s="240">
        <v>650</v>
      </c>
    </row>
    <row r="73" spans="1:10" ht="12">
      <c r="A73" s="197" t="s">
        <v>362</v>
      </c>
      <c r="B73" s="209" t="s">
        <v>363</v>
      </c>
      <c r="C73" s="210" t="s">
        <v>364</v>
      </c>
      <c r="D73" s="241">
        <f>SUM((D71/D70)*(D72*D69))/D52</f>
        <v>97.5</v>
      </c>
    </row>
    <row r="74" spans="1:10">
      <c r="A74" s="214"/>
      <c r="B74" s="215"/>
      <c r="C74" s="216"/>
      <c r="D74" s="217"/>
    </row>
    <row r="75" spans="1:10" s="261" customFormat="1" ht="12">
      <c r="A75" s="258" t="s">
        <v>365</v>
      </c>
      <c r="B75" s="255" t="s">
        <v>366</v>
      </c>
      <c r="C75" s="259"/>
      <c r="D75" s="260"/>
    </row>
    <row r="76" spans="1:10" s="224" customFormat="1">
      <c r="A76" s="225"/>
      <c r="C76" s="205"/>
      <c r="D76" s="242"/>
      <c r="F76" s="224" t="s">
        <v>367</v>
      </c>
      <c r="G76" s="224" t="s">
        <v>368</v>
      </c>
      <c r="H76" s="224" t="s">
        <v>369</v>
      </c>
      <c r="J76" s="224" t="s">
        <v>370</v>
      </c>
    </row>
    <row r="77" spans="1:10" s="224" customFormat="1" ht="12">
      <c r="A77" s="225" t="s">
        <v>371</v>
      </c>
      <c r="B77" s="222" t="s">
        <v>413</v>
      </c>
      <c r="C77" s="205" t="s">
        <v>352</v>
      </c>
      <c r="D77" s="233">
        <v>5042.91</v>
      </c>
      <c r="F77" s="224">
        <v>26.42</v>
      </c>
      <c r="G77" s="224">
        <f>ROUND(F77/E89,2)</f>
        <v>13.92</v>
      </c>
      <c r="H77" s="224">
        <f>ROUND(G77*E90,2)</f>
        <v>20.91</v>
      </c>
      <c r="J77" s="224">
        <f>ROUND(220*H77,2)</f>
        <v>4600.2</v>
      </c>
    </row>
    <row r="78" spans="1:10" s="224" customFormat="1" ht="12">
      <c r="A78" s="203"/>
      <c r="B78" s="231"/>
      <c r="C78" s="232"/>
      <c r="D78" s="221"/>
    </row>
    <row r="79" spans="1:10" s="261" customFormat="1" ht="12">
      <c r="A79" s="262" t="s">
        <v>372</v>
      </c>
      <c r="B79" s="263" t="s">
        <v>373</v>
      </c>
      <c r="C79" s="264"/>
      <c r="D79" s="265">
        <f>SUM(D32+D37+D45+D55+D65+D73+D77)</f>
        <v>16332.368876388888</v>
      </c>
      <c r="F79" s="266"/>
    </row>
    <row r="80" spans="1:10" s="224" customFormat="1">
      <c r="A80" s="225"/>
      <c r="C80" s="205"/>
      <c r="D80" s="242"/>
    </row>
    <row r="81" spans="1:6" s="224" customFormat="1">
      <c r="A81" s="225" t="s">
        <v>374</v>
      </c>
      <c r="B81" s="204" t="s">
        <v>375</v>
      </c>
      <c r="C81" s="205" t="s">
        <v>376</v>
      </c>
      <c r="D81" s="240">
        <v>220</v>
      </c>
      <c r="F81" s="243"/>
    </row>
    <row r="82" spans="1:6" s="224" customFormat="1">
      <c r="A82" s="225"/>
      <c r="B82" s="204"/>
      <c r="C82" s="205"/>
      <c r="D82" s="240"/>
    </row>
    <row r="83" spans="1:6" s="261" customFormat="1" ht="12">
      <c r="A83" s="262" t="s">
        <v>377</v>
      </c>
      <c r="B83" s="267" t="s">
        <v>378</v>
      </c>
      <c r="C83" s="268">
        <f>'BDI ONERADO - SER'!C27</f>
        <v>0.25180000000000002</v>
      </c>
      <c r="D83" s="265">
        <f>ROUND(D79+(D79*'BDI ONERADO - SER'!C27),2)</f>
        <v>20444.86</v>
      </c>
      <c r="F83" s="269"/>
    </row>
    <row r="84" spans="1:6" s="224" customFormat="1">
      <c r="A84" s="225"/>
      <c r="B84" s="204"/>
      <c r="C84" s="205"/>
      <c r="D84" s="240"/>
      <c r="F84" s="244"/>
    </row>
    <row r="85" spans="1:6" s="261" customFormat="1" ht="12">
      <c r="A85" s="262" t="s">
        <v>379</v>
      </c>
      <c r="B85" s="263" t="s">
        <v>380</v>
      </c>
      <c r="C85" s="270"/>
      <c r="D85" s="265">
        <f>D79/D81</f>
        <v>74.23804034722221</v>
      </c>
      <c r="F85" s="271"/>
    </row>
    <row r="86" spans="1:6" s="261" customFormat="1" ht="12">
      <c r="A86" s="272" t="s">
        <v>381</v>
      </c>
      <c r="B86" s="273" t="s">
        <v>382</v>
      </c>
      <c r="C86" s="274"/>
      <c r="D86" s="275">
        <f>D83/D81</f>
        <v>92.931181818181827</v>
      </c>
      <c r="F86" s="271"/>
    </row>
    <row r="87" spans="1:6" hidden="1"/>
    <row r="88" spans="1:6" hidden="1"/>
    <row r="89" spans="1:6" hidden="1">
      <c r="D89" s="188" t="s">
        <v>383</v>
      </c>
      <c r="E89" s="188">
        <v>1.8983000000000001</v>
      </c>
    </row>
    <row r="90" spans="1:6" hidden="1">
      <c r="D90" s="188" t="s">
        <v>384</v>
      </c>
      <c r="E90" s="188">
        <v>1.5022</v>
      </c>
    </row>
    <row r="91" spans="1:6" hidden="1"/>
    <row r="92" spans="1:6" hidden="1"/>
    <row r="93" spans="1:6" hidden="1"/>
    <row r="94" spans="1:6" hidden="1"/>
    <row r="95" spans="1:6" hidden="1"/>
    <row r="96" spans="1:6" hidden="1"/>
    <row r="97" hidden="1"/>
    <row r="98" hidden="1"/>
    <row r="99" hidden="1"/>
    <row r="100" hidden="1"/>
    <row r="101" hidden="1"/>
    <row r="102" hidden="1"/>
    <row r="103" hidden="1"/>
  </sheetData>
  <mergeCells count="10">
    <mergeCell ref="C15:D15"/>
    <mergeCell ref="A24:D24"/>
    <mergeCell ref="A41:A42"/>
    <mergeCell ref="C41:C42"/>
    <mergeCell ref="A1:D2"/>
    <mergeCell ref="A7:D7"/>
    <mergeCell ref="A8:D8"/>
    <mergeCell ref="C12:D12"/>
    <mergeCell ref="B13:D13"/>
    <mergeCell ref="B14:D14"/>
  </mergeCells>
  <printOptions horizontalCentered="1"/>
  <pageMargins left="0.51181102362204722" right="0.51181102362204722" top="0.78740157480314965" bottom="0.78740157480314965" header="0.31496062992125984" footer="0.31496062992125984"/>
  <pageSetup scale="65" fitToWidth="0" orientation="portrait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K12" sqref="K12"/>
    </sheetView>
  </sheetViews>
  <sheetFormatPr defaultColWidth="9.21875" defaultRowHeight="14.4"/>
  <cols>
    <col min="1" max="1" width="5.44140625" style="150" customWidth="1"/>
    <col min="2" max="2" width="17.5546875" style="163" customWidth="1"/>
    <col min="3" max="3" width="6.77734375" style="150" bestFit="1" customWidth="1"/>
    <col min="4" max="4" width="37" style="150" customWidth="1"/>
    <col min="5" max="5" width="12.77734375" style="150" customWidth="1"/>
    <col min="6" max="6" width="13.21875" style="150" customWidth="1"/>
    <col min="7" max="7" width="8.77734375" style="150" customWidth="1"/>
    <col min="8" max="8" width="10.5546875" style="150" customWidth="1"/>
    <col min="9" max="9" width="16.21875" style="150" customWidth="1"/>
    <col min="10" max="10" width="9.21875" style="150"/>
    <col min="11" max="11" width="10.77734375" style="150" bestFit="1" customWidth="1"/>
    <col min="12" max="12" width="105.44140625" style="150" bestFit="1" customWidth="1"/>
    <col min="13" max="14" width="9.21875" style="150"/>
    <col min="15" max="15" width="15.77734375" style="151" bestFit="1" customWidth="1"/>
    <col min="16" max="16384" width="9.21875" style="150"/>
  </cols>
  <sheetData>
    <row r="1" spans="1:15" ht="15" customHeight="1">
      <c r="A1" s="386" t="s">
        <v>226</v>
      </c>
      <c r="B1" s="387"/>
      <c r="C1" s="387"/>
      <c r="D1" s="387"/>
      <c r="E1" s="391"/>
      <c r="F1" s="391"/>
      <c r="G1" s="391"/>
      <c r="H1" s="391"/>
      <c r="I1" s="502"/>
    </row>
    <row r="2" spans="1:15" ht="57" customHeight="1">
      <c r="A2" s="504" t="s">
        <v>425</v>
      </c>
      <c r="B2" s="505"/>
      <c r="C2" s="505"/>
      <c r="D2" s="505"/>
      <c r="E2" s="505"/>
      <c r="F2" s="505"/>
      <c r="G2" s="505"/>
      <c r="H2" s="505"/>
      <c r="I2" s="503"/>
    </row>
    <row r="3" spans="1:15" ht="15.6">
      <c r="A3" s="506" t="s">
        <v>214</v>
      </c>
      <c r="B3" s="506"/>
      <c r="C3" s="506"/>
      <c r="D3" s="506"/>
      <c r="E3" s="506"/>
      <c r="F3" s="506"/>
      <c r="G3" s="506"/>
      <c r="H3" s="506"/>
      <c r="I3" s="506"/>
      <c r="O3" s="150"/>
    </row>
    <row r="4" spans="1:15" s="152" customFormat="1" ht="15" customHeight="1">
      <c r="A4" s="507" t="s">
        <v>184</v>
      </c>
      <c r="B4" s="508"/>
      <c r="C4" s="509" t="str">
        <f>COMP1!B4</f>
        <v>SINAPI_SET/23, ORSE_SET/23, EMLURB_JUL/18, COMPOSIÇÕES E COTAÇÕES</v>
      </c>
      <c r="D4" s="509"/>
      <c r="E4" s="509"/>
      <c r="F4" s="509"/>
      <c r="G4" s="509"/>
      <c r="H4" s="509"/>
      <c r="I4" s="509"/>
    </row>
    <row r="5" spans="1:15">
      <c r="A5" s="510" t="s">
        <v>215</v>
      </c>
      <c r="B5" s="510"/>
      <c r="C5" s="510"/>
      <c r="D5" s="510"/>
      <c r="E5" s="510"/>
      <c r="F5" s="510"/>
      <c r="G5" s="510"/>
      <c r="H5" s="510"/>
      <c r="I5" s="510"/>
      <c r="O5" s="150"/>
    </row>
    <row r="6" spans="1:15" ht="14.7" customHeight="1">
      <c r="A6" s="511" t="s">
        <v>51</v>
      </c>
      <c r="B6" s="512"/>
      <c r="C6" s="511" t="s">
        <v>222</v>
      </c>
      <c r="D6" s="512"/>
      <c r="E6" s="500" t="s">
        <v>52</v>
      </c>
      <c r="F6" s="501"/>
      <c r="G6" s="501"/>
      <c r="H6" s="501"/>
      <c r="I6" s="499" t="s">
        <v>216</v>
      </c>
      <c r="O6" s="150"/>
    </row>
    <row r="7" spans="1:15" ht="14.7" customHeight="1">
      <c r="A7" s="513"/>
      <c r="B7" s="514"/>
      <c r="C7" s="513"/>
      <c r="D7" s="514"/>
      <c r="E7" s="500" t="s">
        <v>217</v>
      </c>
      <c r="F7" s="501"/>
      <c r="G7" s="501"/>
      <c r="H7" s="501"/>
      <c r="I7" s="499"/>
      <c r="O7" s="150"/>
    </row>
    <row r="8" spans="1:15" ht="15" thickBot="1">
      <c r="A8" s="497"/>
      <c r="B8" s="497"/>
      <c r="C8" s="497"/>
      <c r="D8" s="497"/>
      <c r="E8" s="497"/>
      <c r="F8" s="497"/>
      <c r="G8" s="498"/>
      <c r="H8" s="498"/>
      <c r="I8" s="498"/>
      <c r="O8" s="150"/>
    </row>
    <row r="9" spans="1:15">
      <c r="A9" s="153" t="s">
        <v>1</v>
      </c>
      <c r="B9" s="493" t="s">
        <v>14</v>
      </c>
      <c r="C9" s="494"/>
      <c r="D9" s="494"/>
      <c r="E9" s="494"/>
      <c r="F9" s="494"/>
      <c r="G9" s="154" t="s">
        <v>2</v>
      </c>
      <c r="H9" s="155" t="s">
        <v>218</v>
      </c>
      <c r="I9" s="156" t="s">
        <v>223</v>
      </c>
      <c r="O9" s="150"/>
    </row>
    <row r="10" spans="1:15" ht="25.05" customHeight="1">
      <c r="A10" s="157">
        <v>1</v>
      </c>
      <c r="B10" s="495" t="s">
        <v>403</v>
      </c>
      <c r="C10" s="496"/>
      <c r="D10" s="496"/>
      <c r="E10" s="496"/>
      <c r="F10" s="496"/>
      <c r="G10" s="158">
        <v>14118</v>
      </c>
      <c r="H10" s="159">
        <v>878.26</v>
      </c>
      <c r="I10" s="160">
        <f>H10</f>
        <v>878.26</v>
      </c>
    </row>
    <row r="11" spans="1:15" ht="25.05" customHeight="1">
      <c r="A11" s="157">
        <v>2</v>
      </c>
      <c r="B11" s="495" t="s">
        <v>404</v>
      </c>
      <c r="C11" s="496"/>
      <c r="D11" s="496"/>
      <c r="E11" s="496"/>
      <c r="F11" s="496"/>
      <c r="G11" s="158">
        <v>14120</v>
      </c>
      <c r="H11" s="159">
        <v>1227.8</v>
      </c>
      <c r="I11" s="160">
        <f t="shared" ref="I11:I13" si="0">H11</f>
        <v>1227.8</v>
      </c>
    </row>
    <row r="12" spans="1:15" ht="25.05" customHeight="1">
      <c r="A12" s="157">
        <v>3</v>
      </c>
      <c r="B12" s="495" t="s">
        <v>405</v>
      </c>
      <c r="C12" s="496"/>
      <c r="D12" s="496"/>
      <c r="E12" s="496"/>
      <c r="F12" s="496"/>
      <c r="G12" s="158">
        <v>14121</v>
      </c>
      <c r="H12" s="159">
        <v>1445.57</v>
      </c>
      <c r="I12" s="160">
        <f t="shared" si="0"/>
        <v>1445.57</v>
      </c>
    </row>
    <row r="13" spans="1:15" ht="25.05" customHeight="1">
      <c r="A13" s="157">
        <v>4</v>
      </c>
      <c r="B13" s="495" t="s">
        <v>406</v>
      </c>
      <c r="C13" s="496"/>
      <c r="D13" s="496"/>
      <c r="E13" s="496"/>
      <c r="F13" s="496"/>
      <c r="G13" s="158">
        <v>14204</v>
      </c>
      <c r="H13" s="159">
        <v>1806.22</v>
      </c>
      <c r="I13" s="160">
        <f t="shared" si="0"/>
        <v>1806.22</v>
      </c>
    </row>
    <row r="14" spans="1:15">
      <c r="A14" s="161"/>
      <c r="B14" s="162"/>
      <c r="C14" s="161"/>
    </row>
    <row r="15" spans="1:15">
      <c r="A15" s="161"/>
      <c r="B15" s="162"/>
      <c r="C15" s="161"/>
    </row>
    <row r="16" spans="1:15">
      <c r="A16" s="161"/>
      <c r="B16" s="162"/>
      <c r="C16" s="161"/>
    </row>
    <row r="17" spans="1:3">
      <c r="A17" s="161"/>
      <c r="B17" s="162"/>
      <c r="C17" s="161"/>
    </row>
    <row r="18" spans="1:3">
      <c r="A18" s="161"/>
      <c r="B18" s="162"/>
      <c r="C18" s="161"/>
    </row>
    <row r="19" spans="1:3">
      <c r="A19" s="161"/>
      <c r="B19" s="162"/>
      <c r="C19" s="161"/>
    </row>
    <row r="20" spans="1:3">
      <c r="A20" s="161"/>
      <c r="B20" s="162"/>
      <c r="C20" s="161"/>
    </row>
    <row r="21" spans="1:3">
      <c r="A21" s="161"/>
      <c r="B21" s="162"/>
      <c r="C21" s="161"/>
    </row>
    <row r="22" spans="1:3">
      <c r="A22" s="161"/>
      <c r="B22" s="162"/>
      <c r="C22" s="161"/>
    </row>
    <row r="23" spans="1:3">
      <c r="A23" s="161"/>
      <c r="B23" s="162"/>
      <c r="C23" s="161"/>
    </row>
  </sheetData>
  <mergeCells count="19">
    <mergeCell ref="A8:I8"/>
    <mergeCell ref="I6:I7"/>
    <mergeCell ref="E7:H7"/>
    <mergeCell ref="I1:I2"/>
    <mergeCell ref="A1:D1"/>
    <mergeCell ref="E1:H1"/>
    <mergeCell ref="A3:I3"/>
    <mergeCell ref="A4:B4"/>
    <mergeCell ref="C4:I4"/>
    <mergeCell ref="A5:I5"/>
    <mergeCell ref="A6:B7"/>
    <mergeCell ref="C6:D7"/>
    <mergeCell ref="E6:H6"/>
    <mergeCell ref="A2:H2"/>
    <mergeCell ref="B9:F9"/>
    <mergeCell ref="B10:F10"/>
    <mergeCell ref="B11:F11"/>
    <mergeCell ref="B12:F12"/>
    <mergeCell ref="B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workbookViewId="0">
      <selection activeCell="A38" sqref="A38:B38"/>
    </sheetView>
  </sheetViews>
  <sheetFormatPr defaultColWidth="9.21875" defaultRowHeight="14.4"/>
  <cols>
    <col min="1" max="1" width="10.44140625" style="20" customWidth="1"/>
    <col min="2" max="2" width="44.44140625" style="20" customWidth="1"/>
    <col min="3" max="3" width="47" style="20" customWidth="1"/>
    <col min="4" max="16384" width="9.21875" style="20"/>
  </cols>
  <sheetData>
    <row r="1" spans="1:3" ht="18" customHeight="1">
      <c r="A1" s="517"/>
      <c r="B1" s="518"/>
      <c r="C1" s="519"/>
    </row>
    <row r="2" spans="1:3" ht="18" customHeight="1">
      <c r="A2" s="520"/>
      <c r="B2" s="521"/>
      <c r="C2" s="522"/>
    </row>
    <row r="3" spans="1:3" ht="18" customHeight="1">
      <c r="A3" s="520"/>
      <c r="B3" s="521"/>
      <c r="C3" s="522"/>
    </row>
    <row r="4" spans="1:3" ht="18" customHeight="1">
      <c r="A4" s="520"/>
      <c r="B4" s="521"/>
      <c r="C4" s="522"/>
    </row>
    <row r="5" spans="1:3" ht="18" customHeight="1">
      <c r="A5" s="523"/>
      <c r="B5" s="524"/>
      <c r="C5" s="525"/>
    </row>
    <row r="6" spans="1:3" ht="15.6">
      <c r="A6" s="526" t="s">
        <v>83</v>
      </c>
      <c r="B6" s="526"/>
      <c r="C6" s="526"/>
    </row>
    <row r="7" spans="1:3" ht="20.399999999999999">
      <c r="A7" s="527" t="s">
        <v>414</v>
      </c>
      <c r="B7" s="527"/>
      <c r="C7" s="527"/>
    </row>
    <row r="8" spans="1:3" ht="15.6">
      <c r="A8" s="180" t="s">
        <v>1</v>
      </c>
      <c r="B8" s="180" t="s">
        <v>84</v>
      </c>
      <c r="C8" s="180" t="s">
        <v>16</v>
      </c>
    </row>
    <row r="9" spans="1:3" ht="15.6">
      <c r="A9" s="25"/>
      <c r="B9" s="25"/>
      <c r="C9" s="25"/>
    </row>
    <row r="10" spans="1:3" ht="15.6">
      <c r="A10" s="180">
        <v>1</v>
      </c>
      <c r="B10" s="181" t="s">
        <v>85</v>
      </c>
      <c r="C10" s="182">
        <f>SUM(C11:C12)</f>
        <v>1.4999999999999999E-2</v>
      </c>
    </row>
    <row r="11" spans="1:3" ht="15.6">
      <c r="A11" s="25"/>
      <c r="B11" s="25" t="s">
        <v>86</v>
      </c>
      <c r="C11" s="26">
        <v>1.4999999999999999E-2</v>
      </c>
    </row>
    <row r="12" spans="1:3" ht="15.6">
      <c r="A12" s="25"/>
      <c r="B12" s="25"/>
      <c r="C12" s="26"/>
    </row>
    <row r="13" spans="1:3" ht="15.6">
      <c r="A13" s="180">
        <v>2</v>
      </c>
      <c r="B13" s="181" t="s">
        <v>87</v>
      </c>
      <c r="C13" s="182">
        <f>SUM(C14:C17)</f>
        <v>3.6499999999999998E-2</v>
      </c>
    </row>
    <row r="14" spans="1:3" ht="15.6">
      <c r="A14" s="25"/>
      <c r="B14" s="25" t="s">
        <v>88</v>
      </c>
      <c r="C14" s="26">
        <v>0</v>
      </c>
    </row>
    <row r="15" spans="1:3" ht="15.6">
      <c r="A15" s="25"/>
      <c r="B15" s="25" t="s">
        <v>89</v>
      </c>
      <c r="C15" s="26">
        <v>6.4999999999999997E-3</v>
      </c>
    </row>
    <row r="16" spans="1:3" ht="15.6">
      <c r="A16" s="25"/>
      <c r="B16" s="25" t="s">
        <v>90</v>
      </c>
      <c r="C16" s="26">
        <v>0.03</v>
      </c>
    </row>
    <row r="17" spans="1:3" ht="15.6">
      <c r="A17" s="25"/>
      <c r="B17" s="25" t="s">
        <v>91</v>
      </c>
      <c r="C17" s="26">
        <v>0</v>
      </c>
    </row>
    <row r="18" spans="1:3" ht="15.6">
      <c r="A18" s="25"/>
      <c r="B18" s="25"/>
      <c r="C18" s="26"/>
    </row>
    <row r="19" spans="1:3" ht="15.6">
      <c r="A19" s="180">
        <v>3</v>
      </c>
      <c r="B19" s="181" t="s">
        <v>92</v>
      </c>
      <c r="C19" s="182">
        <v>3.5000000000000003E-2</v>
      </c>
    </row>
    <row r="20" spans="1:3" ht="15.6">
      <c r="A20" s="27"/>
      <c r="B20" s="28"/>
      <c r="C20" s="29"/>
    </row>
    <row r="21" spans="1:3" ht="15.6">
      <c r="A21" s="180">
        <v>4</v>
      </c>
      <c r="B21" s="183" t="s">
        <v>93</v>
      </c>
      <c r="C21" s="182">
        <v>3.0000000000000001E-3</v>
      </c>
    </row>
    <row r="22" spans="1:3" ht="15.6">
      <c r="A22" s="27"/>
      <c r="B22" s="28"/>
      <c r="C22" s="29"/>
    </row>
    <row r="23" spans="1:3" ht="15.6">
      <c r="A23" s="180">
        <v>5</v>
      </c>
      <c r="B23" s="183" t="s">
        <v>94</v>
      </c>
      <c r="C23" s="182">
        <v>5.5999999999999999E-3</v>
      </c>
    </row>
    <row r="24" spans="1:3" ht="15.6">
      <c r="A24" s="27"/>
      <c r="B24" s="28"/>
      <c r="C24" s="29"/>
    </row>
    <row r="25" spans="1:3" ht="15.6">
      <c r="A25" s="180">
        <v>6</v>
      </c>
      <c r="B25" s="183" t="s">
        <v>95</v>
      </c>
      <c r="C25" s="182">
        <v>8.5000000000000006E-3</v>
      </c>
    </row>
    <row r="26" spans="1:3" ht="15.6">
      <c r="A26" s="25"/>
      <c r="B26" s="25"/>
      <c r="C26" s="30"/>
    </row>
    <row r="27" spans="1:3" ht="15.6">
      <c r="A27" s="528" t="s">
        <v>96</v>
      </c>
      <c r="B27" s="528"/>
      <c r="C27" s="182">
        <f>ROUND((((1+C10+C21+C23)*(1+C25)*(1+C19))/(1-C13))-1,4)</f>
        <v>0.1089</v>
      </c>
    </row>
    <row r="28" spans="1:3">
      <c r="A28" s="31"/>
      <c r="B28" s="31"/>
      <c r="C28" s="31"/>
    </row>
    <row r="29" spans="1:3">
      <c r="A29" s="529" t="s">
        <v>97</v>
      </c>
      <c r="B29" s="529"/>
      <c r="C29" s="32" t="s">
        <v>96</v>
      </c>
    </row>
    <row r="30" spans="1:3">
      <c r="A30" s="33" t="s">
        <v>98</v>
      </c>
      <c r="B30" s="34" t="s">
        <v>99</v>
      </c>
      <c r="C30" s="516" t="s">
        <v>100</v>
      </c>
    </row>
    <row r="31" spans="1:3">
      <c r="A31" s="33" t="s">
        <v>101</v>
      </c>
      <c r="B31" s="34" t="s">
        <v>102</v>
      </c>
      <c r="C31" s="516"/>
    </row>
    <row r="32" spans="1:3">
      <c r="A32" s="33" t="s">
        <v>103</v>
      </c>
      <c r="B32" s="34" t="s">
        <v>104</v>
      </c>
      <c r="C32" s="516"/>
    </row>
    <row r="33" spans="1:3">
      <c r="A33" s="33" t="s">
        <v>105</v>
      </c>
      <c r="B33" s="34" t="s">
        <v>106</v>
      </c>
      <c r="C33" s="516"/>
    </row>
    <row r="34" spans="1:3">
      <c r="A34" s="33" t="s">
        <v>107</v>
      </c>
      <c r="B34" s="34" t="s">
        <v>108</v>
      </c>
      <c r="C34" s="516"/>
    </row>
    <row r="35" spans="1:3">
      <c r="A35" s="33" t="s">
        <v>109</v>
      </c>
      <c r="B35" s="34" t="s">
        <v>110</v>
      </c>
      <c r="C35" s="516"/>
    </row>
    <row r="36" spans="1:3">
      <c r="A36" s="79" t="s">
        <v>185</v>
      </c>
      <c r="B36" s="35"/>
      <c r="C36" s="35"/>
    </row>
    <row r="37" spans="1:3">
      <c r="A37" s="79" t="s">
        <v>186</v>
      </c>
      <c r="B37" s="35"/>
      <c r="C37" s="36"/>
    </row>
    <row r="38" spans="1:3" ht="15" customHeight="1">
      <c r="A38" s="515" t="s">
        <v>416</v>
      </c>
      <c r="B38" s="515"/>
      <c r="C38" s="36"/>
    </row>
    <row r="39" spans="1:3" ht="15" customHeight="1">
      <c r="A39" s="35"/>
      <c r="B39" s="35"/>
      <c r="C39" s="36"/>
    </row>
    <row r="40" spans="1:3" ht="15" customHeight="1"/>
    <row r="41" spans="1:3" ht="15" customHeight="1"/>
    <row r="42" spans="1:3" ht="15" customHeight="1"/>
    <row r="43" spans="1:3" ht="15" customHeight="1"/>
    <row r="44" spans="1:3" ht="15" customHeight="1"/>
    <row r="45" spans="1:3" ht="15" customHeight="1"/>
    <row r="46" spans="1:3" ht="15" customHeight="1"/>
    <row r="47" spans="1:3" ht="15" customHeight="1"/>
    <row r="48" spans="1: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</sheetData>
  <mergeCells count="7">
    <mergeCell ref="A38:B38"/>
    <mergeCell ref="C30:C35"/>
    <mergeCell ref="A1:C5"/>
    <mergeCell ref="A6:C6"/>
    <mergeCell ref="A7:C7"/>
    <mergeCell ref="A27:B27"/>
    <mergeCell ref="A29:B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F7" sqref="F7"/>
    </sheetView>
  </sheetViews>
  <sheetFormatPr defaultColWidth="9.21875" defaultRowHeight="14.4"/>
  <cols>
    <col min="1" max="1" width="10.44140625" style="20" customWidth="1"/>
    <col min="2" max="2" width="44.44140625" style="20" customWidth="1"/>
    <col min="3" max="3" width="47" style="20" customWidth="1"/>
    <col min="4" max="5" width="9.21875" style="20"/>
    <col min="6" max="6" width="17.44140625" style="20" bestFit="1" customWidth="1"/>
    <col min="7" max="16384" width="9.21875" style="20"/>
  </cols>
  <sheetData>
    <row r="1" spans="1:3" ht="18" customHeight="1">
      <c r="A1" s="517"/>
      <c r="B1" s="518"/>
      <c r="C1" s="519"/>
    </row>
    <row r="2" spans="1:3" ht="18" customHeight="1">
      <c r="A2" s="520"/>
      <c r="B2" s="521"/>
      <c r="C2" s="522"/>
    </row>
    <row r="3" spans="1:3" ht="18" customHeight="1">
      <c r="A3" s="520"/>
      <c r="B3" s="521"/>
      <c r="C3" s="522"/>
    </row>
    <row r="4" spans="1:3" ht="18" customHeight="1">
      <c r="A4" s="520"/>
      <c r="B4" s="521"/>
      <c r="C4" s="522"/>
    </row>
    <row r="5" spans="1:3" ht="18" customHeight="1">
      <c r="A5" s="523"/>
      <c r="B5" s="524"/>
      <c r="C5" s="525"/>
    </row>
    <row r="6" spans="1:3" ht="15.6">
      <c r="A6" s="526" t="s">
        <v>83</v>
      </c>
      <c r="B6" s="526"/>
      <c r="C6" s="526"/>
    </row>
    <row r="7" spans="1:3" ht="20.399999999999999">
      <c r="A7" s="527" t="s">
        <v>415</v>
      </c>
      <c r="B7" s="527"/>
      <c r="C7" s="527"/>
    </row>
    <row r="8" spans="1:3" ht="15.6">
      <c r="A8" s="180" t="s">
        <v>1</v>
      </c>
      <c r="B8" s="180" t="s">
        <v>84</v>
      </c>
      <c r="C8" s="180" t="s">
        <v>16</v>
      </c>
    </row>
    <row r="9" spans="1:3" ht="15.6">
      <c r="A9" s="25"/>
      <c r="B9" s="25"/>
      <c r="C9" s="25"/>
    </row>
    <row r="10" spans="1:3" ht="15.6">
      <c r="A10" s="180">
        <v>1</v>
      </c>
      <c r="B10" s="181" t="s">
        <v>85</v>
      </c>
      <c r="C10" s="182">
        <f>SUM(C11:C12)</f>
        <v>5.2900000000000003E-2</v>
      </c>
    </row>
    <row r="11" spans="1:3" ht="15.6">
      <c r="A11" s="25"/>
      <c r="B11" s="25" t="s">
        <v>86</v>
      </c>
      <c r="C11" s="26">
        <v>5.2900000000000003E-2</v>
      </c>
    </row>
    <row r="12" spans="1:3" ht="15.6">
      <c r="A12" s="25"/>
      <c r="B12" s="25"/>
      <c r="C12" s="26"/>
    </row>
    <row r="13" spans="1:3" ht="15.6">
      <c r="A13" s="180">
        <v>2</v>
      </c>
      <c r="B13" s="181" t="s">
        <v>87</v>
      </c>
      <c r="C13" s="182">
        <f>SUM(C14:C17)</f>
        <v>7.1500000000000008E-2</v>
      </c>
    </row>
    <row r="14" spans="1:3" ht="15.6">
      <c r="A14" s="25"/>
      <c r="B14" s="25" t="s">
        <v>88</v>
      </c>
      <c r="C14" s="26">
        <v>3.5000000000000003E-2</v>
      </c>
    </row>
    <row r="15" spans="1:3" ht="15.6">
      <c r="A15" s="25"/>
      <c r="B15" s="25" t="s">
        <v>89</v>
      </c>
      <c r="C15" s="26">
        <v>6.4999999999999997E-3</v>
      </c>
    </row>
    <row r="16" spans="1:3" ht="15.6">
      <c r="A16" s="25"/>
      <c r="B16" s="25" t="s">
        <v>90</v>
      </c>
      <c r="C16" s="26">
        <v>0.03</v>
      </c>
    </row>
    <row r="17" spans="1:6" ht="15.6">
      <c r="A17" s="25"/>
      <c r="B17" s="25" t="s">
        <v>91</v>
      </c>
      <c r="C17" s="26">
        <v>0</v>
      </c>
    </row>
    <row r="18" spans="1:6" ht="15.6">
      <c r="A18" s="25"/>
      <c r="B18" s="25"/>
      <c r="C18" s="26"/>
    </row>
    <row r="19" spans="1:6" ht="15.6">
      <c r="A19" s="180">
        <v>3</v>
      </c>
      <c r="B19" s="181" t="s">
        <v>92</v>
      </c>
      <c r="C19" s="182">
        <v>0.08</v>
      </c>
      <c r="F19" s="81"/>
    </row>
    <row r="20" spans="1:6" ht="15.6">
      <c r="A20" s="27"/>
      <c r="B20" s="28"/>
      <c r="C20" s="29"/>
    </row>
    <row r="21" spans="1:6" ht="15.6">
      <c r="A21" s="180">
        <v>4</v>
      </c>
      <c r="B21" s="183" t="s">
        <v>93</v>
      </c>
      <c r="C21" s="182">
        <v>2.5000000000000001E-3</v>
      </c>
    </row>
    <row r="22" spans="1:6" ht="15.6">
      <c r="A22" s="27"/>
      <c r="B22" s="28"/>
      <c r="C22" s="29"/>
    </row>
    <row r="23" spans="1:6" ht="15.6">
      <c r="A23" s="180">
        <v>5</v>
      </c>
      <c r="B23" s="183" t="s">
        <v>94</v>
      </c>
      <c r="C23" s="182">
        <v>0.01</v>
      </c>
    </row>
    <row r="24" spans="1:6" ht="15.6">
      <c r="A24" s="27"/>
      <c r="B24" s="28"/>
      <c r="C24" s="29"/>
    </row>
    <row r="25" spans="1:6" ht="15.6">
      <c r="A25" s="180">
        <v>6</v>
      </c>
      <c r="B25" s="183" t="s">
        <v>95</v>
      </c>
      <c r="C25" s="182">
        <v>1.01E-2</v>
      </c>
    </row>
    <row r="26" spans="1:6" ht="15.6">
      <c r="A26" s="25"/>
      <c r="B26" s="25"/>
      <c r="C26" s="30"/>
    </row>
    <row r="27" spans="1:6" ht="15.6">
      <c r="A27" s="528" t="s">
        <v>96</v>
      </c>
      <c r="B27" s="528"/>
      <c r="C27" s="182">
        <f>ROUND((((1+C10+C21+C23)*(1+C25)*(1+C19))/(1-C13))-1,4)</f>
        <v>0.25180000000000002</v>
      </c>
    </row>
    <row r="28" spans="1:6" ht="15" customHeight="1">
      <c r="A28" s="31"/>
      <c r="B28" s="31"/>
      <c r="C28" s="31"/>
    </row>
    <row r="29" spans="1:6" ht="15" customHeight="1">
      <c r="A29" s="529" t="s">
        <v>97</v>
      </c>
      <c r="B29" s="529"/>
      <c r="C29" s="32" t="s">
        <v>96</v>
      </c>
    </row>
    <row r="30" spans="1:6" ht="15" customHeight="1">
      <c r="A30" s="33" t="s">
        <v>98</v>
      </c>
      <c r="B30" s="34" t="s">
        <v>99</v>
      </c>
      <c r="C30" s="516" t="s">
        <v>111</v>
      </c>
    </row>
    <row r="31" spans="1:6" ht="15" customHeight="1">
      <c r="A31" s="33" t="s">
        <v>101</v>
      </c>
      <c r="B31" s="34" t="s">
        <v>102</v>
      </c>
      <c r="C31" s="516"/>
    </row>
    <row r="32" spans="1:6" ht="15" customHeight="1">
      <c r="A32" s="33" t="s">
        <v>103</v>
      </c>
      <c r="B32" s="34" t="s">
        <v>104</v>
      </c>
      <c r="C32" s="516"/>
    </row>
    <row r="33" spans="1:3" ht="15" customHeight="1">
      <c r="A33" s="33" t="s">
        <v>105</v>
      </c>
      <c r="B33" s="34" t="s">
        <v>106</v>
      </c>
      <c r="C33" s="516"/>
    </row>
    <row r="34" spans="1:3" ht="15" customHeight="1">
      <c r="A34" s="33" t="s">
        <v>107</v>
      </c>
      <c r="B34" s="34" t="s">
        <v>108</v>
      </c>
      <c r="C34" s="516"/>
    </row>
    <row r="35" spans="1:3" ht="15" customHeight="1">
      <c r="A35" s="33" t="s">
        <v>109</v>
      </c>
      <c r="B35" s="34" t="s">
        <v>110</v>
      </c>
      <c r="C35" s="516"/>
    </row>
    <row r="36" spans="1:3" ht="15" customHeight="1">
      <c r="A36" s="79" t="s">
        <v>185</v>
      </c>
      <c r="B36" s="35"/>
      <c r="C36" s="35"/>
    </row>
    <row r="37" spans="1:3" ht="15" customHeight="1">
      <c r="A37" s="79" t="s">
        <v>186</v>
      </c>
      <c r="B37" s="35"/>
      <c r="C37" s="36"/>
    </row>
    <row r="38" spans="1:3" ht="15" customHeight="1">
      <c r="A38" s="515" t="s">
        <v>417</v>
      </c>
      <c r="B38" s="515"/>
      <c r="C38" s="36"/>
    </row>
    <row r="39" spans="1:3" ht="15" customHeight="1">
      <c r="A39" s="35"/>
      <c r="B39" s="35"/>
      <c r="C39" s="36"/>
    </row>
    <row r="40" spans="1:3" ht="15" customHeight="1"/>
    <row r="41" spans="1:3" ht="15" customHeight="1"/>
    <row r="42" spans="1:3" ht="15" customHeight="1"/>
    <row r="43" spans="1:3" ht="15" customHeight="1"/>
    <row r="44" spans="1:3" ht="15" customHeight="1"/>
    <row r="45" spans="1:3" ht="15" customHeight="1"/>
    <row r="46" spans="1:3" ht="15" customHeight="1"/>
    <row r="47" spans="1:3" ht="15" customHeight="1"/>
    <row r="48" spans="1:3" ht="15" customHeight="1"/>
    <row r="49" ht="15" customHeight="1"/>
    <row r="50" ht="15" customHeight="1"/>
    <row r="51" ht="15" customHeight="1"/>
  </sheetData>
  <mergeCells count="7">
    <mergeCell ref="A38:B38"/>
    <mergeCell ref="C30:C35"/>
    <mergeCell ref="A1:C5"/>
    <mergeCell ref="A6:C6"/>
    <mergeCell ref="A7:C7"/>
    <mergeCell ref="A27:B27"/>
    <mergeCell ref="A29:B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12</vt:i4>
      </vt:variant>
    </vt:vector>
  </HeadingPairs>
  <TitlesOfParts>
    <vt:vector size="22" baseType="lpstr">
      <vt:lpstr>PLANILHA LIMOEIRO - ONE</vt:lpstr>
      <vt:lpstr>CRONOGRAMA FÍS-FIN</vt:lpstr>
      <vt:lpstr>COMP1</vt:lpstr>
      <vt:lpstr>COMP2</vt:lpstr>
      <vt:lpstr>COMP3</vt:lpstr>
      <vt:lpstr>01.PML.001 - CAMINH. SKY</vt:lpstr>
      <vt:lpstr>MAPA DE TABELAS REF.</vt:lpstr>
      <vt:lpstr>BDI ONERADO - INS</vt:lpstr>
      <vt:lpstr>BDI ONERADO - SER</vt:lpstr>
      <vt:lpstr>ENCARGOS</vt:lpstr>
      <vt:lpstr>'01.PML.001 - CAMINH. SKY'!Area_de_impressao</vt:lpstr>
      <vt:lpstr>'BDI ONERADO - INS'!Area_de_impressao</vt:lpstr>
      <vt:lpstr>'BDI ONERADO - SER'!Area_de_impressao</vt:lpstr>
      <vt:lpstr>COMP1!Area_de_impressao</vt:lpstr>
      <vt:lpstr>COMP2!Area_de_impressao</vt:lpstr>
      <vt:lpstr>COMP3!Area_de_impressao</vt:lpstr>
      <vt:lpstr>'CRONOGRAMA FÍS-FIN'!Area_de_impressao</vt:lpstr>
      <vt:lpstr>ENCARGOS!Area_de_impressao</vt:lpstr>
      <vt:lpstr>'MAPA DE TABELAS REF.'!Area_de_impressao</vt:lpstr>
      <vt:lpstr>'PLANILHA LIMOEIRO - ONE'!Area_de_impressao</vt:lpstr>
      <vt:lpstr>'MAPA DE TABELAS REF.'!Titulos_de_impressao</vt:lpstr>
      <vt:lpstr>'PLANILHA LIMOEIRO - ONE'!Titulos_de_impressao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Jurandir</cp:lastModifiedBy>
  <cp:lastPrinted>2023-12-28T12:14:28Z</cp:lastPrinted>
  <dcterms:created xsi:type="dcterms:W3CDTF">2015-12-01T20:30:25Z</dcterms:created>
  <dcterms:modified xsi:type="dcterms:W3CDTF">2023-12-28T12:14:38Z</dcterms:modified>
</cp:coreProperties>
</file>