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21DEFCEB-D0DF-45CE-B0E4-8E19C63262DA}" xr6:coauthVersionLast="47" xr6:coauthVersionMax="47" xr10:uidLastSave="{00000000-0000-0000-0000-000000000000}"/>
  <bookViews>
    <workbookView xWindow="-108" yWindow="-108" windowWidth="23256" windowHeight="12456" tabRatio="867" xr2:uid="{00000000-000D-0000-FFFF-FFFF00000000}"/>
  </bookViews>
  <sheets>
    <sheet name="RESUMO COM DESON" sheetId="47" r:id="rId1"/>
    <sheet name="ORÇAMENTO COM DESON" sheetId="45" r:id="rId2"/>
    <sheet name="COMPOSICOES COM DESON" sheetId="50" r:id="rId3"/>
    <sheet name="CRONOGRAMA COM DESON" sheetId="31" r:id="rId4"/>
    <sheet name="COMP_BDI_EDIFICACOES_20,84%_COM" sheetId="37" r:id="rId5"/>
    <sheet name="MEMORIA DE CALCULO" sheetId="44" r:id="rId6"/>
    <sheet name="COTAÇÕES" sheetId="51" r:id="rId7"/>
  </sheets>
  <externalReferences>
    <externalReference r:id="rId8"/>
    <externalReference r:id="rId9"/>
    <externalReference r:id="rId10"/>
  </externalReferences>
  <definedNames>
    <definedName name="_xlnm._FilterDatabase" localSheetId="2" hidden="1">'COMPOSICOES COM DESON'!$A$9:$G$10</definedName>
    <definedName name="_xlnm._FilterDatabase" localSheetId="6" hidden="1">COTAÇÕES!$A$8:$F$19</definedName>
    <definedName name="_xlnm._FilterDatabase" localSheetId="1" hidden="1">'ORÇAMENTO COM DESON'!$A$8:$I$209</definedName>
    <definedName name="_xlnm._FilterDatabase" localSheetId="0" hidden="1">'RESUMO COM DESON'!$A$8:$C$63</definedName>
    <definedName name="ADITIVO" localSheetId="2">#REF!</definedName>
    <definedName name="ADITIVO">#REF!</definedName>
    <definedName name="AF">#REF!</definedName>
    <definedName name="AFF">#REF!</definedName>
    <definedName name="AFFF">#REF!</definedName>
    <definedName name="AFFFF">#REF!</definedName>
    <definedName name="AFFFFFF">#REF!</definedName>
    <definedName name="AFFFFFFF">#REF!</definedName>
    <definedName name="AFFFFFFFF">#REF!</definedName>
    <definedName name="AFFFFFFFFFFF">#REF!</definedName>
    <definedName name="AFFFFFFFFFFFFF">#REF!</definedName>
    <definedName name="AFFFFFFFFFFFFFFF">#REF!</definedName>
    <definedName name="_xlnm.Print_Area" localSheetId="4">'COMP_BDI_EDIFICACOES_20,84%_COM'!$B$2:$D$44</definedName>
    <definedName name="_xlnm.Print_Area" localSheetId="2">'COMPOSICOES COM DESON'!$A$1:$G$151</definedName>
    <definedName name="_xlnm.Print_Area" localSheetId="6">COTAÇÕES!$A$1:$F$30</definedName>
    <definedName name="_xlnm.Print_Area" localSheetId="3">'CRONOGRAMA COM DESON'!$A$1:$O$69</definedName>
    <definedName name="_xlnm.Print_Area" localSheetId="5">'MEMORIA DE CALCULO'!$A$1:$J$1189</definedName>
    <definedName name="_xlnm.Print_Area" localSheetId="1">'ORÇAMENTO COM DESON'!$A$1:$I$209</definedName>
    <definedName name="_xlnm.Print_Area" localSheetId="0">'RESUMO COM DESON'!$A$1:$D$62</definedName>
    <definedName name="AreaTeste" localSheetId="4">#REF!</definedName>
    <definedName name="AreaTeste" localSheetId="2">#REF!</definedName>
    <definedName name="AreaTeste" localSheetId="6">#REF!</definedName>
    <definedName name="AreaTeste" localSheetId="5">#REF!</definedName>
    <definedName name="AreaTeste" localSheetId="1">#REF!</definedName>
    <definedName name="AreaTeste" localSheetId="0">#REF!</definedName>
    <definedName name="AreaTeste">#REF!</definedName>
    <definedName name="AreaTeste2" localSheetId="4">#REF!</definedName>
    <definedName name="AreaTeste2" localSheetId="2">#REF!</definedName>
    <definedName name="AreaTeste2" localSheetId="6">#REF!</definedName>
    <definedName name="AreaTeste2" localSheetId="5">#REF!</definedName>
    <definedName name="AreaTeste2" localSheetId="1">#REF!</definedName>
    <definedName name="AreaTeste2" localSheetId="0">#REF!</definedName>
    <definedName name="AreaTeste2">#REF!</definedName>
    <definedName name="CélulaInicioPlanilha" localSheetId="4">#REF!</definedName>
    <definedName name="CélulaInicioPlanilha" localSheetId="2">#REF!</definedName>
    <definedName name="CélulaInicioPlanilha" localSheetId="6">#REF!</definedName>
    <definedName name="CélulaInicioPlanilha" localSheetId="5">#REF!</definedName>
    <definedName name="CélulaInicioPlanilha" localSheetId="1">#REF!</definedName>
    <definedName name="CélulaInicioPlanilha" localSheetId="0">#REF!</definedName>
    <definedName name="CélulaInicioPlanilha">#REF!</definedName>
    <definedName name="CélulaResumo" localSheetId="4">#REF!</definedName>
    <definedName name="CélulaResumo" localSheetId="2">#REF!</definedName>
    <definedName name="CélulaResumo" localSheetId="6">#REF!</definedName>
    <definedName name="CélulaResumo" localSheetId="5">#REF!</definedName>
    <definedName name="CélulaResumo" localSheetId="1">#REF!</definedName>
    <definedName name="CélulaResumo" localSheetId="0">#REF!</definedName>
    <definedName name="CélulaResumo">#REF!</definedName>
    <definedName name="fdfd" localSheetId="4">#REF!</definedName>
    <definedName name="fdfd" localSheetId="2">#REF!</definedName>
    <definedName name="fdfd" localSheetId="6">#REF!</definedName>
    <definedName name="fdfd" localSheetId="5">#REF!</definedName>
    <definedName name="fdfd" localSheetId="1">#REF!</definedName>
    <definedName name="fdfd" localSheetId="0">#REF!</definedName>
    <definedName name="fdfd">#REF!</definedName>
    <definedName name="FFF">#REF!</definedName>
    <definedName name="GGGG">#REF!</definedName>
    <definedName name="HHHHH">#REF!</definedName>
    <definedName name="jfhdskjg" localSheetId="4">#REF!</definedName>
    <definedName name="jfhdskjg" localSheetId="2">#REF!</definedName>
    <definedName name="jfhdskjg" localSheetId="6">#REF!</definedName>
    <definedName name="jfhdskjg" localSheetId="5">#REF!</definedName>
    <definedName name="jfhdskjg" localSheetId="1">#REF!</definedName>
    <definedName name="jfhdskjg" localSheetId="0">#REF!</definedName>
    <definedName name="jfhdskjg">#REF!</definedName>
    <definedName name="orçamento" localSheetId="4">#REF!</definedName>
    <definedName name="orçamento" localSheetId="2">#REF!</definedName>
    <definedName name="orçamento" localSheetId="6">#REF!</definedName>
    <definedName name="orçamento" localSheetId="5">#REF!</definedName>
    <definedName name="orçamento" localSheetId="1">#REF!</definedName>
    <definedName name="orçamento" localSheetId="0">#REF!</definedName>
    <definedName name="orçamento">#REF!</definedName>
    <definedName name="PINTURA">#REF!</definedName>
    <definedName name="RESUMO">#REF!</definedName>
    <definedName name="TABELA" localSheetId="4">'[1]PLANILHA FONTE'!$B$1:$G$290</definedName>
    <definedName name="TABELA" localSheetId="2">'[2]PLANILHA FONTE'!$B$1:$G$290</definedName>
    <definedName name="TABELA" localSheetId="6">'[2]PLANILHA FONTE'!$B$1:$G$290</definedName>
    <definedName name="TABELA">'[2]PLANILHA FONTE'!$B$1:$G$290</definedName>
    <definedName name="_xlnm.Print_Titles" localSheetId="2">'COMPOSICOES COM DESON'!$1:$9</definedName>
    <definedName name="_xlnm.Print_Titles" localSheetId="6">COTAÇÕES!$1:$8</definedName>
    <definedName name="_xlnm.Print_Titles" localSheetId="3">'CRONOGRAMA COM DESON'!$1:$10</definedName>
    <definedName name="_xlnm.Print_Titles" localSheetId="5">'MEMORIA DE CALCULO'!$3:$9</definedName>
    <definedName name="_xlnm.Print_Titles" localSheetId="1">'ORÇAMENTO COM DESON'!$2:$8</definedName>
    <definedName name="_xlnm.Print_Titles" localSheetId="0">'RESUMO COM DESON'!$1:$8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2" i="51" l="1"/>
  <c r="F29" i="51"/>
  <c r="F28" i="51"/>
  <c r="F27" i="51"/>
  <c r="F30" i="51" s="1"/>
  <c r="F23" i="51" s="1"/>
  <c r="C22" i="51"/>
  <c r="F18" i="51"/>
  <c r="F17" i="51"/>
  <c r="F19" i="51" s="1"/>
  <c r="F12" i="51" s="1"/>
  <c r="F16" i="51"/>
  <c r="C11" i="51"/>
  <c r="J1058" i="44"/>
  <c r="G148" i="50"/>
  <c r="G120" i="50"/>
  <c r="E1130" i="44"/>
  <c r="D1130" i="44"/>
  <c r="A1130" i="44"/>
  <c r="I1138" i="44" s="1"/>
  <c r="J1137" i="44"/>
  <c r="J1136" i="44"/>
  <c r="J1135" i="44"/>
  <c r="J1134" i="44"/>
  <c r="J1133" i="44"/>
  <c r="G147" i="50"/>
  <c r="G146" i="50"/>
  <c r="G145" i="50"/>
  <c r="G144" i="50"/>
  <c r="F143" i="50"/>
  <c r="G143" i="50" s="1"/>
  <c r="J1067" i="44"/>
  <c r="J1066" i="44"/>
  <c r="J1065" i="44"/>
  <c r="J1064" i="44"/>
  <c r="J1063" i="44"/>
  <c r="J1054" i="44"/>
  <c r="J1055" i="44"/>
  <c r="J1056" i="44"/>
  <c r="J1057" i="44"/>
  <c r="E1060" i="44"/>
  <c r="D1060" i="44"/>
  <c r="A1060" i="44"/>
  <c r="I1068" i="44" s="1"/>
  <c r="E1050" i="44"/>
  <c r="D1050" i="44"/>
  <c r="A1050" i="44"/>
  <c r="I1058" i="44" s="1"/>
  <c r="J1068" i="44" l="1"/>
  <c r="F189" i="45" s="1"/>
  <c r="J1138" i="44"/>
  <c r="F197" i="45" s="1"/>
  <c r="G60" i="45"/>
  <c r="G197" i="45"/>
  <c r="G139" i="50"/>
  <c r="F18" i="50"/>
  <c r="B34" i="47"/>
  <c r="A34" i="47"/>
  <c r="B35" i="31"/>
  <c r="A35" i="31"/>
  <c r="J625" i="44"/>
  <c r="E679" i="44"/>
  <c r="D679" i="44"/>
  <c r="A679" i="44"/>
  <c r="I682" i="44" s="1"/>
  <c r="E674" i="44"/>
  <c r="D674" i="44"/>
  <c r="A674" i="44"/>
  <c r="I677" i="44" s="1"/>
  <c r="E669" i="44"/>
  <c r="D669" i="44"/>
  <c r="A669" i="44"/>
  <c r="I672" i="44" s="1"/>
  <c r="E664" i="44"/>
  <c r="D664" i="44"/>
  <c r="A664" i="44"/>
  <c r="I667" i="44" s="1"/>
  <c r="E659" i="44"/>
  <c r="D659" i="44"/>
  <c r="A659" i="44"/>
  <c r="I662" i="44" s="1"/>
  <c r="J681" i="44"/>
  <c r="J682" i="44" s="1"/>
  <c r="F109" i="45" s="1"/>
  <c r="J676" i="44"/>
  <c r="J671" i="44"/>
  <c r="J672" i="44" s="1"/>
  <c r="F107" i="45" s="1"/>
  <c r="J666" i="44"/>
  <c r="J667" i="44" s="1"/>
  <c r="F106" i="45" s="1"/>
  <c r="J661" i="44"/>
  <c r="J662" i="44" s="1"/>
  <c r="F105" i="45" s="1"/>
  <c r="E654" i="44"/>
  <c r="D654" i="44"/>
  <c r="A654" i="44"/>
  <c r="I657" i="44" s="1"/>
  <c r="J656" i="44"/>
  <c r="F614" i="44"/>
  <c r="J614" i="44" s="1"/>
  <c r="J650" i="44"/>
  <c r="E633" i="44"/>
  <c r="D633" i="44"/>
  <c r="A633" i="44"/>
  <c r="I636" i="44" s="1"/>
  <c r="E628" i="44"/>
  <c r="D628" i="44"/>
  <c r="A628" i="44"/>
  <c r="I631" i="44" s="1"/>
  <c r="E622" i="44"/>
  <c r="D622" i="44"/>
  <c r="A622" i="44"/>
  <c r="I626" i="44" s="1"/>
  <c r="E617" i="44"/>
  <c r="D617" i="44"/>
  <c r="A617" i="44"/>
  <c r="I620" i="44" s="1"/>
  <c r="E612" i="44"/>
  <c r="D612" i="44"/>
  <c r="A612" i="44"/>
  <c r="I615" i="44" s="1"/>
  <c r="E607" i="44"/>
  <c r="D607" i="44"/>
  <c r="A607" i="44"/>
  <c r="I610" i="44" s="1"/>
  <c r="E602" i="44"/>
  <c r="D602" i="44"/>
  <c r="A602" i="44"/>
  <c r="I605" i="44" s="1"/>
  <c r="E597" i="44"/>
  <c r="D597" i="44"/>
  <c r="A597" i="44"/>
  <c r="I600" i="44" s="1"/>
  <c r="E592" i="44"/>
  <c r="D592" i="44"/>
  <c r="A592" i="44"/>
  <c r="I595" i="44" s="1"/>
  <c r="E587" i="44"/>
  <c r="D587" i="44"/>
  <c r="A587" i="44"/>
  <c r="I590" i="44" s="1"/>
  <c r="E582" i="44"/>
  <c r="D582" i="44"/>
  <c r="A582" i="44"/>
  <c r="I585" i="44" s="1"/>
  <c r="E577" i="44"/>
  <c r="D577" i="44"/>
  <c r="A577" i="44"/>
  <c r="I580" i="44" s="1"/>
  <c r="J635" i="44"/>
  <c r="J630" i="44"/>
  <c r="J624" i="44"/>
  <c r="J619" i="44"/>
  <c r="J609" i="44"/>
  <c r="J604" i="44"/>
  <c r="J599" i="44"/>
  <c r="J594" i="44"/>
  <c r="J589" i="44"/>
  <c r="J584" i="44"/>
  <c r="J579" i="44"/>
  <c r="J573" i="44"/>
  <c r="J567" i="44"/>
  <c r="G130" i="50"/>
  <c r="G131" i="50"/>
  <c r="G132" i="50"/>
  <c r="G127" i="50"/>
  <c r="G129" i="50"/>
  <c r="G128" i="50"/>
  <c r="J626" i="44" l="1"/>
  <c r="F98" i="45" s="1"/>
  <c r="G133" i="50"/>
  <c r="J677" i="44"/>
  <c r="F108" i="45" s="1"/>
  <c r="J657" i="44"/>
  <c r="F104" i="45" s="1"/>
  <c r="J590" i="44"/>
  <c r="F91" i="45" s="1"/>
  <c r="J595" i="44"/>
  <c r="F92" i="45" s="1"/>
  <c r="J631" i="44"/>
  <c r="F99" i="45" s="1"/>
  <c r="J636" i="44"/>
  <c r="F100" i="45" s="1"/>
  <c r="J580" i="44"/>
  <c r="F89" i="45" s="1"/>
  <c r="J620" i="44"/>
  <c r="F97" i="45" s="1"/>
  <c r="J605" i="44"/>
  <c r="F94" i="45" s="1"/>
  <c r="J585" i="44"/>
  <c r="F90" i="45" s="1"/>
  <c r="J600" i="44"/>
  <c r="F93" i="45" s="1"/>
  <c r="J610" i="44"/>
  <c r="F95" i="45" s="1"/>
  <c r="J615" i="44"/>
  <c r="F96" i="45" s="1"/>
  <c r="G95" i="45"/>
  <c r="H225" i="44"/>
  <c r="H226" i="44"/>
  <c r="H227" i="44"/>
  <c r="H228" i="44"/>
  <c r="H229" i="44"/>
  <c r="H230" i="44"/>
  <c r="H231" i="44"/>
  <c r="H232" i="44"/>
  <c r="H224" i="44"/>
  <c r="J181" i="44"/>
  <c r="J179" i="44"/>
  <c r="F169" i="44"/>
  <c r="J169" i="44" s="1"/>
  <c r="J162" i="44"/>
  <c r="J159" i="44"/>
  <c r="F94" i="44"/>
  <c r="J94" i="44" s="1"/>
  <c r="F147" i="44"/>
  <c r="J147" i="44" s="1"/>
  <c r="J160" i="44"/>
  <c r="F180" i="44"/>
  <c r="J153" i="44"/>
  <c r="J93" i="44"/>
  <c r="J124" i="44"/>
  <c r="J115" i="44"/>
  <c r="J105" i="44"/>
  <c r="J92" i="44"/>
  <c r="F91" i="44"/>
  <c r="J91" i="44" s="1"/>
  <c r="F90" i="44"/>
  <c r="J90" i="44" s="1"/>
  <c r="J122" i="44"/>
  <c r="J121" i="44"/>
  <c r="F113" i="44"/>
  <c r="J113" i="44" s="1"/>
  <c r="F112" i="44"/>
  <c r="J112" i="44" s="1"/>
  <c r="F111" i="44"/>
  <c r="J111" i="44" s="1"/>
  <c r="F109" i="44"/>
  <c r="J109" i="44" s="1"/>
  <c r="F108" i="44"/>
  <c r="J108" i="44" s="1"/>
  <c r="F107" i="44"/>
  <c r="J107" i="44" s="1"/>
  <c r="F104" i="44"/>
  <c r="J104" i="44" s="1"/>
  <c r="F103" i="44"/>
  <c r="J103" i="44" s="1"/>
  <c r="D576" i="44"/>
  <c r="A576" i="44"/>
  <c r="E515" i="44"/>
  <c r="D515" i="44"/>
  <c r="A515" i="44"/>
  <c r="I518" i="44" s="1"/>
  <c r="J517" i="44"/>
  <c r="E520" i="44"/>
  <c r="D520" i="44"/>
  <c r="A520" i="44"/>
  <c r="I523" i="44" s="1"/>
  <c r="J522" i="44"/>
  <c r="E570" i="44"/>
  <c r="D570" i="44"/>
  <c r="A570" i="44"/>
  <c r="I574" i="44" s="1"/>
  <c r="E564" i="44"/>
  <c r="D564" i="44"/>
  <c r="A564" i="44"/>
  <c r="I568" i="44" s="1"/>
  <c r="E558" i="44"/>
  <c r="D558" i="44"/>
  <c r="A558" i="44"/>
  <c r="I562" i="44" s="1"/>
  <c r="E553" i="44"/>
  <c r="D553" i="44"/>
  <c r="A553" i="44"/>
  <c r="I556" i="44" s="1"/>
  <c r="E548" i="44"/>
  <c r="D548" i="44"/>
  <c r="A548" i="44"/>
  <c r="I551" i="44" s="1"/>
  <c r="E542" i="44"/>
  <c r="D542" i="44"/>
  <c r="A542" i="44"/>
  <c r="I546" i="44" s="1"/>
  <c r="E535" i="44"/>
  <c r="D535" i="44"/>
  <c r="A535" i="44"/>
  <c r="I540" i="44" s="1"/>
  <c r="J572" i="44"/>
  <c r="J574" i="44" s="1"/>
  <c r="J566" i="44"/>
  <c r="J568" i="44" s="1"/>
  <c r="J561" i="44"/>
  <c r="J560" i="44"/>
  <c r="J555" i="44"/>
  <c r="J550" i="44"/>
  <c r="J545" i="44"/>
  <c r="J544" i="44"/>
  <c r="J539" i="44"/>
  <c r="J538" i="44"/>
  <c r="J537" i="44"/>
  <c r="G1010" i="44"/>
  <c r="F1170" i="44"/>
  <c r="J745" i="44"/>
  <c r="J746" i="44" s="1"/>
  <c r="G123" i="50" l="1"/>
  <c r="J116" i="44"/>
  <c r="J518" i="44"/>
  <c r="F77" i="45" s="1"/>
  <c r="J523" i="44"/>
  <c r="F78" i="45" s="1"/>
  <c r="J546" i="44"/>
  <c r="F82" i="45" s="1"/>
  <c r="F86" i="45"/>
  <c r="F87" i="45"/>
  <c r="J562" i="44"/>
  <c r="F85" i="45" s="1"/>
  <c r="J540" i="44"/>
  <c r="F81" i="45" s="1"/>
  <c r="J556" i="44"/>
  <c r="F84" i="45" s="1"/>
  <c r="J551" i="44"/>
  <c r="F83" i="45" s="1"/>
  <c r="J863" i="44"/>
  <c r="J864" i="44"/>
  <c r="A744" i="44"/>
  <c r="I746" i="44" s="1"/>
  <c r="D744" i="44"/>
  <c r="E744" i="44"/>
  <c r="F120" i="45"/>
  <c r="A748" i="44"/>
  <c r="I750" i="44" s="1"/>
  <c r="D748" i="44"/>
  <c r="E748" i="44"/>
  <c r="J749" i="44"/>
  <c r="J750" i="44" s="1"/>
  <c r="F121" i="45" s="1"/>
  <c r="A752" i="44"/>
  <c r="I754" i="44" s="1"/>
  <c r="D752" i="44"/>
  <c r="E752" i="44"/>
  <c r="J753" i="44"/>
  <c r="J754" i="44" s="1"/>
  <c r="F122" i="45" s="1"/>
  <c r="F797" i="44"/>
  <c r="J797" i="44" s="1"/>
  <c r="J798" i="44" s="1"/>
  <c r="F133" i="45" s="1"/>
  <c r="F793" i="44"/>
  <c r="J793" i="44" s="1"/>
  <c r="J794" i="44" s="1"/>
  <c r="F132" i="45" s="1"/>
  <c r="J880" i="44"/>
  <c r="J881" i="44" s="1"/>
  <c r="F153" i="45" s="1"/>
  <c r="J876" i="44"/>
  <c r="J877" i="44" s="1"/>
  <c r="F152" i="45" s="1"/>
  <c r="J872" i="44"/>
  <c r="J873" i="44" s="1"/>
  <c r="F151" i="45" s="1"/>
  <c r="J868" i="44"/>
  <c r="J869" i="44" s="1"/>
  <c r="F150" i="45" s="1"/>
  <c r="J858" i="44"/>
  <c r="J859" i="44" s="1"/>
  <c r="F148" i="45" s="1"/>
  <c r="J854" i="44"/>
  <c r="J855" i="44" s="1"/>
  <c r="F147" i="45" s="1"/>
  <c r="J850" i="44"/>
  <c r="J851" i="44" s="1"/>
  <c r="F146" i="45" s="1"/>
  <c r="J846" i="44"/>
  <c r="J847" i="44" s="1"/>
  <c r="F145" i="45" s="1"/>
  <c r="J842" i="44"/>
  <c r="J843" i="44" s="1"/>
  <c r="F144" i="45" s="1"/>
  <c r="J838" i="44"/>
  <c r="J839" i="44" s="1"/>
  <c r="F143" i="45" s="1"/>
  <c r="J833" i="44"/>
  <c r="J829" i="44"/>
  <c r="J830" i="44" s="1"/>
  <c r="F141" i="45" s="1"/>
  <c r="J825" i="44"/>
  <c r="J826" i="44" s="1"/>
  <c r="F140" i="45" s="1"/>
  <c r="J821" i="44"/>
  <c r="J822" i="44" s="1"/>
  <c r="F139" i="45" s="1"/>
  <c r="J817" i="44"/>
  <c r="J818" i="44" s="1"/>
  <c r="F138" i="45" s="1"/>
  <c r="J813" i="44"/>
  <c r="J814" i="44" s="1"/>
  <c r="F137" i="45" s="1"/>
  <c r="J809" i="44"/>
  <c r="J810" i="44" s="1"/>
  <c r="F136" i="45" s="1"/>
  <c r="J805" i="44"/>
  <c r="J806" i="44" s="1"/>
  <c r="F135" i="45" s="1"/>
  <c r="J801" i="44"/>
  <c r="J802" i="44" s="1"/>
  <c r="F134" i="45" s="1"/>
  <c r="J789" i="44"/>
  <c r="J790" i="44" s="1"/>
  <c r="F131" i="45" s="1"/>
  <c r="J785" i="44"/>
  <c r="J786" i="44" s="1"/>
  <c r="F130" i="45" s="1"/>
  <c r="J781" i="44"/>
  <c r="J782" i="44" s="1"/>
  <c r="F129" i="45" s="1"/>
  <c r="J777" i="44"/>
  <c r="J778" i="44" s="1"/>
  <c r="F128" i="45" s="1"/>
  <c r="J773" i="44"/>
  <c r="J774" i="44" s="1"/>
  <c r="F127" i="45" s="1"/>
  <c r="J769" i="44"/>
  <c r="J770" i="44" s="1"/>
  <c r="F126" i="45" s="1"/>
  <c r="J765" i="44"/>
  <c r="J766" i="44" s="1"/>
  <c r="F125" i="45" s="1"/>
  <c r="J761" i="44"/>
  <c r="J762" i="44" s="1"/>
  <c r="F124" i="45" s="1"/>
  <c r="J757" i="44"/>
  <c r="J758" i="44" s="1"/>
  <c r="F123" i="45" s="1"/>
  <c r="E879" i="44"/>
  <c r="D879" i="44"/>
  <c r="A879" i="44"/>
  <c r="I881" i="44" s="1"/>
  <c r="E875" i="44"/>
  <c r="D875" i="44"/>
  <c r="A875" i="44"/>
  <c r="I877" i="44" s="1"/>
  <c r="E871" i="44"/>
  <c r="D871" i="44"/>
  <c r="A871" i="44"/>
  <c r="I873" i="44" s="1"/>
  <c r="E867" i="44"/>
  <c r="D867" i="44"/>
  <c r="A867" i="44"/>
  <c r="I869" i="44" s="1"/>
  <c r="E861" i="44"/>
  <c r="D861" i="44"/>
  <c r="A861" i="44"/>
  <c r="I865" i="44" s="1"/>
  <c r="E857" i="44"/>
  <c r="D857" i="44"/>
  <c r="A857" i="44"/>
  <c r="I859" i="44" s="1"/>
  <c r="E853" i="44"/>
  <c r="D853" i="44"/>
  <c r="A853" i="44"/>
  <c r="I855" i="44" s="1"/>
  <c r="E849" i="44"/>
  <c r="D849" i="44"/>
  <c r="A849" i="44"/>
  <c r="I851" i="44" s="1"/>
  <c r="E845" i="44"/>
  <c r="D845" i="44"/>
  <c r="A845" i="44"/>
  <c r="I847" i="44" s="1"/>
  <c r="E841" i="44"/>
  <c r="D841" i="44"/>
  <c r="A841" i="44"/>
  <c r="I843" i="44" s="1"/>
  <c r="E837" i="44"/>
  <c r="D837" i="44"/>
  <c r="A837" i="44"/>
  <c r="I839" i="44" s="1"/>
  <c r="E800" i="44"/>
  <c r="D800" i="44"/>
  <c r="A800" i="44"/>
  <c r="I802" i="44" s="1"/>
  <c r="E796" i="44"/>
  <c r="D796" i="44"/>
  <c r="A796" i="44"/>
  <c r="I798" i="44" s="1"/>
  <c r="E792" i="44"/>
  <c r="D792" i="44"/>
  <c r="A792" i="44"/>
  <c r="I794" i="44" s="1"/>
  <c r="E788" i="44"/>
  <c r="D788" i="44"/>
  <c r="A788" i="44"/>
  <c r="I790" i="44" s="1"/>
  <c r="E784" i="44"/>
  <c r="D784" i="44"/>
  <c r="A784" i="44"/>
  <c r="I786" i="44" s="1"/>
  <c r="E780" i="44"/>
  <c r="D780" i="44"/>
  <c r="A780" i="44"/>
  <c r="I782" i="44" s="1"/>
  <c r="E776" i="44"/>
  <c r="D776" i="44"/>
  <c r="A776" i="44"/>
  <c r="I778" i="44" s="1"/>
  <c r="E772" i="44"/>
  <c r="D772" i="44"/>
  <c r="A772" i="44"/>
  <c r="I774" i="44" s="1"/>
  <c r="E768" i="44"/>
  <c r="D768" i="44"/>
  <c r="A768" i="44"/>
  <c r="I770" i="44" s="1"/>
  <c r="E764" i="44"/>
  <c r="D764" i="44"/>
  <c r="A764" i="44"/>
  <c r="I766" i="44" s="1"/>
  <c r="E760" i="44"/>
  <c r="D760" i="44"/>
  <c r="A760" i="44"/>
  <c r="I762" i="44" s="1"/>
  <c r="E756" i="44"/>
  <c r="D756" i="44"/>
  <c r="A756" i="44"/>
  <c r="I758" i="44" s="1"/>
  <c r="J865" i="44" l="1"/>
  <c r="F149" i="45" s="1"/>
  <c r="G59" i="44"/>
  <c r="J59" i="44" s="1"/>
  <c r="G58" i="44"/>
  <c r="J58" i="44" s="1"/>
  <c r="I57" i="44"/>
  <c r="G57" i="44"/>
  <c r="I38" i="44"/>
  <c r="G40" i="44"/>
  <c r="J40" i="44" s="1"/>
  <c r="G39" i="44"/>
  <c r="J39" i="44" s="1"/>
  <c r="G38" i="44"/>
  <c r="J161" i="44"/>
  <c r="J163" i="44" s="1"/>
  <c r="J146" i="44"/>
  <c r="J145" i="44"/>
  <c r="J135" i="44"/>
  <c r="J136" i="44"/>
  <c r="J129" i="44"/>
  <c r="J123" i="44"/>
  <c r="J125" i="44" s="1"/>
  <c r="J249" i="44"/>
  <c r="J148" i="44" l="1"/>
  <c r="J57" i="44"/>
  <c r="J155" i="44"/>
  <c r="J130" i="44"/>
  <c r="B53" i="31" l="1"/>
  <c r="A53" i="31"/>
  <c r="B47" i="31"/>
  <c r="A47" i="31"/>
  <c r="E648" i="44"/>
  <c r="D648" i="44"/>
  <c r="A648" i="44"/>
  <c r="I652" i="44" s="1"/>
  <c r="J651" i="44"/>
  <c r="J652" i="44" s="1"/>
  <c r="F103" i="45" s="1"/>
  <c r="I96" i="44"/>
  <c r="J96" i="44" s="1"/>
  <c r="J97" i="44" s="1"/>
  <c r="J51" i="44"/>
  <c r="A1173" i="44"/>
  <c r="I1176" i="44" s="1"/>
  <c r="J1175" i="44"/>
  <c r="J1176" i="44" s="1"/>
  <c r="F204" i="45" s="1"/>
  <c r="E204" i="45"/>
  <c r="E1173" i="44" s="1"/>
  <c r="C204" i="45"/>
  <c r="D204" i="45"/>
  <c r="D1173" i="44" s="1"/>
  <c r="B60" i="47"/>
  <c r="A60" i="47"/>
  <c r="B58" i="47"/>
  <c r="A58" i="47"/>
  <c r="B56" i="47"/>
  <c r="A56" i="47"/>
  <c r="B54" i="47"/>
  <c r="A54" i="47"/>
  <c r="B52" i="47"/>
  <c r="A52" i="47"/>
  <c r="B50" i="47"/>
  <c r="A50" i="47"/>
  <c r="B48" i="47"/>
  <c r="A48" i="47"/>
  <c r="B46" i="47"/>
  <c r="A46" i="47"/>
  <c r="B44" i="47"/>
  <c r="A44" i="47"/>
  <c r="D102" i="45" l="1"/>
  <c r="C102" i="45"/>
  <c r="J110" i="50"/>
  <c r="J107" i="50"/>
  <c r="J108" i="50" s="1"/>
  <c r="J109" i="50" s="1"/>
  <c r="J111" i="50" s="1"/>
  <c r="J112" i="50" s="1"/>
  <c r="E111" i="50" s="1"/>
  <c r="G111" i="50" s="1"/>
  <c r="G119" i="50"/>
  <c r="G118" i="50"/>
  <c r="G117" i="50"/>
  <c r="G116" i="50"/>
  <c r="G115" i="50"/>
  <c r="G114" i="50"/>
  <c r="G113" i="50"/>
  <c r="G112" i="50"/>
  <c r="G110" i="50"/>
  <c r="G109" i="50"/>
  <c r="G108" i="50"/>
  <c r="J926" i="44"/>
  <c r="E924" i="44"/>
  <c r="D924" i="44"/>
  <c r="A924" i="44"/>
  <c r="I927" i="44" s="1"/>
  <c r="G104" i="50" l="1"/>
  <c r="J927" i="44"/>
  <c r="E421" i="44"/>
  <c r="D421" i="44"/>
  <c r="A421" i="44"/>
  <c r="I424" i="44" s="1"/>
  <c r="J423" i="44"/>
  <c r="J396" i="44"/>
  <c r="J380" i="44"/>
  <c r="F1156" i="44"/>
  <c r="I1156" i="44"/>
  <c r="I1151" i="44"/>
  <c r="I1094" i="44"/>
  <c r="I1083" i="44"/>
  <c r="E1081" i="44"/>
  <c r="D1081" i="44"/>
  <c r="A1081" i="44"/>
  <c r="I1084" i="44" s="1"/>
  <c r="E1042" i="44"/>
  <c r="D1042" i="44"/>
  <c r="A1042" i="44"/>
  <c r="I1046" i="44" s="1"/>
  <c r="D1040" i="44"/>
  <c r="A1040" i="44"/>
  <c r="H1045" i="44"/>
  <c r="A1048" i="44"/>
  <c r="D1048" i="44"/>
  <c r="A1070" i="44"/>
  <c r="I1079" i="44" s="1"/>
  <c r="E1070" i="44"/>
  <c r="I1072" i="44"/>
  <c r="J1072" i="44" s="1"/>
  <c r="I1073" i="44"/>
  <c r="J1073" i="44" s="1"/>
  <c r="I1074" i="44"/>
  <c r="J1074" i="44" s="1"/>
  <c r="I1075" i="44"/>
  <c r="J1075" i="44" s="1"/>
  <c r="I1076" i="44"/>
  <c r="J1076" i="44" s="1"/>
  <c r="I1077" i="44"/>
  <c r="J1077" i="44" s="1"/>
  <c r="F1078" i="44"/>
  <c r="F1099" i="44" s="1"/>
  <c r="F1116" i="44" s="1"/>
  <c r="I1078" i="44"/>
  <c r="I1099" i="44" s="1"/>
  <c r="A1086" i="44"/>
  <c r="I1095" i="44" s="1"/>
  <c r="D1086" i="44"/>
  <c r="E1086" i="44"/>
  <c r="E1035" i="44"/>
  <c r="D1035" i="44"/>
  <c r="A1035" i="44"/>
  <c r="I1038" i="44" s="1"/>
  <c r="E1023" i="44"/>
  <c r="D1023" i="44"/>
  <c r="A1023" i="44"/>
  <c r="I1026" i="44" s="1"/>
  <c r="F1020" i="44"/>
  <c r="E1018" i="44"/>
  <c r="D1018" i="44"/>
  <c r="A1018" i="44"/>
  <c r="I1021" i="44" s="1"/>
  <c r="E1013" i="44"/>
  <c r="D1013" i="44"/>
  <c r="A1013" i="44"/>
  <c r="I1016" i="44" s="1"/>
  <c r="F1015" i="44"/>
  <c r="E1008" i="44"/>
  <c r="D1008" i="44"/>
  <c r="A1008" i="44"/>
  <c r="I1011" i="44" s="1"/>
  <c r="F1025" i="44"/>
  <c r="L1020" i="44"/>
  <c r="K1020" i="44"/>
  <c r="A1028" i="44"/>
  <c r="D1028" i="44"/>
  <c r="A1030" i="44"/>
  <c r="I1033" i="44" s="1"/>
  <c r="D1030" i="44"/>
  <c r="E1030" i="44"/>
  <c r="F1032" i="44"/>
  <c r="J1032" i="44" s="1"/>
  <c r="F1089" i="44"/>
  <c r="J1089" i="44" s="1"/>
  <c r="F1091" i="44"/>
  <c r="J1091" i="44" s="1"/>
  <c r="F1092" i="44"/>
  <c r="J1092" i="44" s="1"/>
  <c r="F1093" i="44"/>
  <c r="J1093" i="44" s="1"/>
  <c r="A1097" i="44"/>
  <c r="I1100" i="44" s="1"/>
  <c r="D1097" i="44"/>
  <c r="E1097" i="44"/>
  <c r="D1099" i="44"/>
  <c r="D1116" i="44" s="1"/>
  <c r="H1099" i="44"/>
  <c r="A1102" i="44"/>
  <c r="I1110" i="44" s="1"/>
  <c r="D1102" i="44"/>
  <c r="E1102" i="44"/>
  <c r="D1104" i="44"/>
  <c r="D1114" i="44" s="1"/>
  <c r="F1104" i="44"/>
  <c r="H1104" i="44"/>
  <c r="I1104" i="44"/>
  <c r="I1114" i="44" s="1"/>
  <c r="D1105" i="44"/>
  <c r="D1115" i="44" s="1"/>
  <c r="F1105" i="44"/>
  <c r="F1115" i="44" s="1"/>
  <c r="H1105" i="44"/>
  <c r="I1105" i="44"/>
  <c r="I1115" i="44" s="1"/>
  <c r="D1106" i="44"/>
  <c r="F1106" i="44"/>
  <c r="H1106" i="44"/>
  <c r="I1106" i="44"/>
  <c r="D1107" i="44"/>
  <c r="F1107" i="44"/>
  <c r="H1107" i="44"/>
  <c r="I1107" i="44"/>
  <c r="D1108" i="44"/>
  <c r="F1108" i="44"/>
  <c r="H1108" i="44"/>
  <c r="I1108" i="44"/>
  <c r="I1109" i="44"/>
  <c r="J1109" i="44" s="1"/>
  <c r="A1112" i="44"/>
  <c r="I1117" i="44" s="1"/>
  <c r="A1119" i="44"/>
  <c r="G967" i="44"/>
  <c r="G950" i="44"/>
  <c r="G948" i="44"/>
  <c r="E945" i="44"/>
  <c r="D945" i="44"/>
  <c r="A945" i="44"/>
  <c r="I951" i="44" s="1"/>
  <c r="E937" i="44"/>
  <c r="D937" i="44"/>
  <c r="A937" i="44"/>
  <c r="I943" i="44" s="1"/>
  <c r="H950" i="44"/>
  <c r="I948" i="44"/>
  <c r="I963" i="44" s="1"/>
  <c r="H948" i="44"/>
  <c r="F948" i="44"/>
  <c r="F950" i="44"/>
  <c r="F957" i="44" s="1"/>
  <c r="J940" i="44"/>
  <c r="E992" i="44"/>
  <c r="D992" i="44"/>
  <c r="A992" i="44"/>
  <c r="I995" i="44" s="1"/>
  <c r="E987" i="44"/>
  <c r="D987" i="44"/>
  <c r="A987" i="44"/>
  <c r="I990" i="44" s="1"/>
  <c r="E981" i="44"/>
  <c r="D981" i="44"/>
  <c r="A981" i="44"/>
  <c r="I985" i="44" s="1"/>
  <c r="E976" i="44"/>
  <c r="D976" i="44"/>
  <c r="A976" i="44"/>
  <c r="I979" i="44" s="1"/>
  <c r="E970" i="44"/>
  <c r="D970" i="44"/>
  <c r="A970" i="44"/>
  <c r="I974" i="44" s="1"/>
  <c r="E960" i="44"/>
  <c r="D960" i="44"/>
  <c r="A960" i="44"/>
  <c r="I968" i="44" s="1"/>
  <c r="E955" i="44"/>
  <c r="D955" i="44"/>
  <c r="A955" i="44"/>
  <c r="I958" i="44" s="1"/>
  <c r="D953" i="44"/>
  <c r="A953" i="44"/>
  <c r="G994" i="44"/>
  <c r="F994" i="44"/>
  <c r="G989" i="44"/>
  <c r="F984" i="44"/>
  <c r="F972" i="44"/>
  <c r="E1168" i="44"/>
  <c r="D1168" i="44"/>
  <c r="A1168" i="44"/>
  <c r="I1171" i="44" s="1"/>
  <c r="F965" i="44" l="1"/>
  <c r="F1037" i="44"/>
  <c r="F161" i="45"/>
  <c r="G102" i="45"/>
  <c r="J424" i="44"/>
  <c r="J1033" i="44"/>
  <c r="J1170" i="44"/>
  <c r="J1171" i="44" s="1"/>
  <c r="J1156" i="44"/>
  <c r="J1078" i="44"/>
  <c r="J1079" i="44" s="1"/>
  <c r="F1045" i="44"/>
  <c r="J1045" i="44" s="1"/>
  <c r="G1020" i="44"/>
  <c r="G1025" i="44"/>
  <c r="J1115" i="44"/>
  <c r="J1107" i="44"/>
  <c r="J1106" i="44"/>
  <c r="J1108" i="44"/>
  <c r="J1104" i="44"/>
  <c r="J1105" i="44"/>
  <c r="J1099" i="44"/>
  <c r="I1116" i="44"/>
  <c r="J1116" i="44" s="1"/>
  <c r="F1114" i="44"/>
  <c r="J1114" i="44" s="1"/>
  <c r="H972" i="44"/>
  <c r="J972" i="44" s="1"/>
  <c r="I967" i="44"/>
  <c r="J948" i="44"/>
  <c r="J950" i="44"/>
  <c r="J942" i="44"/>
  <c r="J943" i="44" s="1"/>
  <c r="J957" i="44"/>
  <c r="J963" i="44"/>
  <c r="H994" i="44"/>
  <c r="J994" i="44" s="1"/>
  <c r="J965" i="44" l="1"/>
  <c r="J1053" i="44"/>
  <c r="F989" i="44"/>
  <c r="J989" i="44" s="1"/>
  <c r="J990" i="44" s="1"/>
  <c r="F203" i="45"/>
  <c r="F183" i="45"/>
  <c r="F62" i="45"/>
  <c r="J951" i="44"/>
  <c r="J1046" i="44"/>
  <c r="J1100" i="44"/>
  <c r="J1110" i="44"/>
  <c r="F190" i="45"/>
  <c r="J1117" i="44"/>
  <c r="J995" i="44"/>
  <c r="J958" i="44"/>
  <c r="F166" i="45"/>
  <c r="J1037" i="44"/>
  <c r="F1083" i="44"/>
  <c r="J967" i="44"/>
  <c r="I1010" i="44"/>
  <c r="F188" i="45" l="1"/>
  <c r="J968" i="44"/>
  <c r="F167" i="45"/>
  <c r="F195" i="45"/>
  <c r="F175" i="45"/>
  <c r="F193" i="45"/>
  <c r="F169" i="45"/>
  <c r="F194" i="45"/>
  <c r="F186" i="45"/>
  <c r="J1038" i="44"/>
  <c r="J1083" i="44"/>
  <c r="F1094" i="44"/>
  <c r="H1025" i="44"/>
  <c r="J1025" i="44" s="1"/>
  <c r="H1020" i="44"/>
  <c r="J1020" i="44" s="1"/>
  <c r="G1015" i="44"/>
  <c r="J1015" i="44" s="1"/>
  <c r="J1010" i="44"/>
  <c r="F184" i="45" l="1"/>
  <c r="J1016" i="44"/>
  <c r="J1026" i="44"/>
  <c r="J1011" i="44"/>
  <c r="J1084" i="44"/>
  <c r="J1021" i="44"/>
  <c r="J1094" i="44"/>
  <c r="F1151" i="44"/>
  <c r="J1151" i="44" s="1"/>
  <c r="F191" i="45" l="1"/>
  <c r="F178" i="45"/>
  <c r="F179" i="45"/>
  <c r="F180" i="45"/>
  <c r="F181" i="45"/>
  <c r="J1095" i="44"/>
  <c r="E643" i="44"/>
  <c r="D643" i="44"/>
  <c r="A643" i="44"/>
  <c r="I646" i="44" s="1"/>
  <c r="J645" i="44"/>
  <c r="E638" i="44"/>
  <c r="D638" i="44"/>
  <c r="A638" i="44"/>
  <c r="I641" i="44" s="1"/>
  <c r="J640" i="44"/>
  <c r="A832" i="44"/>
  <c r="I835" i="44" s="1"/>
  <c r="J834" i="44"/>
  <c r="J835" i="44" s="1"/>
  <c r="F142" i="45" s="1"/>
  <c r="E142" i="45"/>
  <c r="E832" i="44" s="1"/>
  <c r="D142" i="45"/>
  <c r="D832" i="44" s="1"/>
  <c r="C142" i="45"/>
  <c r="G99" i="50"/>
  <c r="G98" i="50"/>
  <c r="G100" i="50" s="1"/>
  <c r="E492" i="44"/>
  <c r="D492" i="44"/>
  <c r="A492" i="44"/>
  <c r="I501" i="44" s="1"/>
  <c r="E481" i="44"/>
  <c r="D481" i="44"/>
  <c r="A481" i="44"/>
  <c r="I490" i="44" s="1"/>
  <c r="E470" i="44"/>
  <c r="D470" i="44"/>
  <c r="A470" i="44"/>
  <c r="I479" i="44" s="1"/>
  <c r="J500" i="44"/>
  <c r="J499" i="44"/>
  <c r="J498" i="44"/>
  <c r="J497" i="44"/>
  <c r="J496" i="44"/>
  <c r="J495" i="44"/>
  <c r="J494" i="44"/>
  <c r="A503" i="44"/>
  <c r="D503" i="44"/>
  <c r="J489" i="44"/>
  <c r="J488" i="44"/>
  <c r="J487" i="44"/>
  <c r="J486" i="44"/>
  <c r="J485" i="44"/>
  <c r="J484" i="44"/>
  <c r="J483" i="44"/>
  <c r="J896" i="44"/>
  <c r="J478" i="44"/>
  <c r="J477" i="44"/>
  <c r="J476" i="44"/>
  <c r="J475" i="44"/>
  <c r="J474" i="44"/>
  <c r="J473" i="44"/>
  <c r="J472" i="44"/>
  <c r="B61" i="31"/>
  <c r="A61" i="31"/>
  <c r="B59" i="31"/>
  <c r="A59" i="31"/>
  <c r="B57" i="31"/>
  <c r="A57" i="31"/>
  <c r="B55" i="31"/>
  <c r="A55" i="31"/>
  <c r="B51" i="31"/>
  <c r="A51" i="31"/>
  <c r="B49" i="31"/>
  <c r="A49" i="31"/>
  <c r="B45" i="31"/>
  <c r="A45" i="31"/>
  <c r="B43" i="31"/>
  <c r="A43" i="31"/>
  <c r="B41" i="31"/>
  <c r="A41" i="31"/>
  <c r="B39" i="31"/>
  <c r="A39" i="31"/>
  <c r="B37" i="31"/>
  <c r="A37" i="31"/>
  <c r="B33" i="31"/>
  <c r="A33" i="31"/>
  <c r="B31" i="31"/>
  <c r="A31" i="31"/>
  <c r="B29" i="31"/>
  <c r="A29" i="31"/>
  <c r="B27" i="31"/>
  <c r="A27" i="31"/>
  <c r="B25" i="31"/>
  <c r="A25" i="31"/>
  <c r="B23" i="31"/>
  <c r="A23" i="31"/>
  <c r="B21" i="31"/>
  <c r="A21" i="31"/>
  <c r="B19" i="31"/>
  <c r="A19" i="31"/>
  <c r="B17" i="31"/>
  <c r="A17" i="31"/>
  <c r="B15" i="31"/>
  <c r="A15" i="31"/>
  <c r="B13" i="31"/>
  <c r="A13" i="31"/>
  <c r="A11" i="31"/>
  <c r="B11" i="31"/>
  <c r="C190" i="45"/>
  <c r="D190" i="45"/>
  <c r="D1070" i="44" s="1"/>
  <c r="F62" i="50"/>
  <c r="F1187" i="44"/>
  <c r="I1150" i="44"/>
  <c r="I1149" i="44"/>
  <c r="I1148" i="44"/>
  <c r="I1147" i="44"/>
  <c r="I1146" i="44"/>
  <c r="I1145" i="44"/>
  <c r="I1144" i="44"/>
  <c r="F934" i="44"/>
  <c r="I1127" i="44"/>
  <c r="I1126" i="44"/>
  <c r="I1122" i="44"/>
  <c r="I1121" i="44"/>
  <c r="I1125" i="44"/>
  <c r="I1124" i="44"/>
  <c r="I1123" i="44"/>
  <c r="F1126" i="44"/>
  <c r="F1149" i="44" s="1"/>
  <c r="D1126" i="44"/>
  <c r="I1128" i="44"/>
  <c r="E196" i="45"/>
  <c r="E1119" i="44" s="1"/>
  <c r="D196" i="45"/>
  <c r="D1119" i="44" s="1"/>
  <c r="C196" i="45"/>
  <c r="E195" i="45"/>
  <c r="E1112" i="44" s="1"/>
  <c r="D195" i="45"/>
  <c r="D1112" i="44" s="1"/>
  <c r="C195" i="45"/>
  <c r="J1165" i="44"/>
  <c r="J1164" i="44"/>
  <c r="J1163" i="44"/>
  <c r="A1183" i="44"/>
  <c r="E1161" i="44"/>
  <c r="D1161" i="44"/>
  <c r="A1161" i="44"/>
  <c r="I1166" i="44" s="1"/>
  <c r="D1159" i="44"/>
  <c r="A1159" i="44"/>
  <c r="J1003" i="44"/>
  <c r="J1004" i="44"/>
  <c r="J1005" i="44"/>
  <c r="E1185" i="44"/>
  <c r="D1185" i="44"/>
  <c r="A1185" i="44"/>
  <c r="D1183" i="44"/>
  <c r="E1153" i="44"/>
  <c r="D1153" i="44"/>
  <c r="A1153" i="44"/>
  <c r="E1142" i="44"/>
  <c r="D1142" i="44"/>
  <c r="A1142" i="44"/>
  <c r="D1140" i="44"/>
  <c r="A1140" i="44"/>
  <c r="F1123" i="44"/>
  <c r="F1146" i="44" s="1"/>
  <c r="F1124" i="44"/>
  <c r="F1147" i="44" s="1"/>
  <c r="F1125" i="44"/>
  <c r="D1123" i="44"/>
  <c r="D1124" i="44"/>
  <c r="D1125" i="44"/>
  <c r="G89" i="50"/>
  <c r="G88" i="50"/>
  <c r="G90" i="50" s="1"/>
  <c r="G142" i="45" l="1"/>
  <c r="J479" i="44"/>
  <c r="F192" i="45"/>
  <c r="J1166" i="44"/>
  <c r="J501" i="44"/>
  <c r="J641" i="44"/>
  <c r="F101" i="45" s="1"/>
  <c r="J646" i="44"/>
  <c r="F102" i="45" s="1"/>
  <c r="J490" i="44"/>
  <c r="J1125" i="44"/>
  <c r="J1147" i="44"/>
  <c r="J1149" i="44"/>
  <c r="J1146" i="44"/>
  <c r="F1148" i="44"/>
  <c r="J1148" i="44" s="1"/>
  <c r="D1127" i="44"/>
  <c r="F1122" i="44"/>
  <c r="F1145" i="44" s="1"/>
  <c r="J1145" i="44" s="1"/>
  <c r="F1127" i="44"/>
  <c r="D1121" i="44"/>
  <c r="D1122" i="44"/>
  <c r="F1121" i="44"/>
  <c r="J1124" i="44"/>
  <c r="J1126" i="44"/>
  <c r="J1123" i="44"/>
  <c r="E999" i="44"/>
  <c r="D999" i="44"/>
  <c r="A999" i="44"/>
  <c r="D997" i="44"/>
  <c r="A997" i="44"/>
  <c r="E932" i="44"/>
  <c r="D932" i="44"/>
  <c r="A932" i="44"/>
  <c r="D930" i="44"/>
  <c r="A930" i="44"/>
  <c r="H62" i="44"/>
  <c r="H63" i="44"/>
  <c r="H64" i="44"/>
  <c r="H65" i="44"/>
  <c r="H66" i="44"/>
  <c r="H67" i="44"/>
  <c r="H68" i="44"/>
  <c r="H69" i="44"/>
  <c r="H61" i="44"/>
  <c r="F63" i="44"/>
  <c r="F66" i="44"/>
  <c r="L167" i="44"/>
  <c r="K167" i="44"/>
  <c r="G77" i="44"/>
  <c r="G78" i="44"/>
  <c r="G79" i="44"/>
  <c r="G80" i="44"/>
  <c r="G81" i="44"/>
  <c r="G82" i="44"/>
  <c r="G83" i="44"/>
  <c r="G84" i="44"/>
  <c r="G76" i="44"/>
  <c r="F71" i="45" l="1"/>
  <c r="F202" i="45"/>
  <c r="F72" i="45"/>
  <c r="F73" i="45"/>
  <c r="G94" i="50"/>
  <c r="G84" i="50"/>
  <c r="G190" i="45"/>
  <c r="J1122" i="44"/>
  <c r="J1121" i="44"/>
  <c r="F1144" i="44"/>
  <c r="J1144" i="44" s="1"/>
  <c r="J1127" i="44"/>
  <c r="F1150" i="44"/>
  <c r="J1150" i="44" s="1"/>
  <c r="J1128" i="44" l="1"/>
  <c r="J1152" i="44"/>
  <c r="F323" i="44"/>
  <c r="J323" i="44" s="1"/>
  <c r="F322" i="44"/>
  <c r="J322" i="44" s="1"/>
  <c r="F321" i="44"/>
  <c r="J321" i="44" s="1"/>
  <c r="F318" i="44"/>
  <c r="J318" i="44" s="1"/>
  <c r="F320" i="44"/>
  <c r="J320" i="44" s="1"/>
  <c r="F319" i="44"/>
  <c r="J319" i="44" s="1"/>
  <c r="F921" i="44"/>
  <c r="J921" i="44" s="1"/>
  <c r="F920" i="44"/>
  <c r="J920" i="44" s="1"/>
  <c r="F919" i="44"/>
  <c r="J919" i="44" s="1"/>
  <c r="F918" i="44"/>
  <c r="J918" i="44" s="1"/>
  <c r="F917" i="44"/>
  <c r="E828" i="44"/>
  <c r="D828" i="44"/>
  <c r="A828" i="44"/>
  <c r="I830" i="44" s="1"/>
  <c r="J910" i="44"/>
  <c r="J911" i="44"/>
  <c r="J912" i="44"/>
  <c r="J909" i="44"/>
  <c r="E899" i="44"/>
  <c r="D899" i="44"/>
  <c r="A899" i="44"/>
  <c r="I904" i="44" s="1"/>
  <c r="J903" i="44"/>
  <c r="J902" i="44"/>
  <c r="J901" i="44"/>
  <c r="J895" i="44"/>
  <c r="E816" i="44"/>
  <c r="D816" i="44"/>
  <c r="A816" i="44"/>
  <c r="I818" i="44" s="1"/>
  <c r="E808" i="44"/>
  <c r="D808" i="44"/>
  <c r="A808" i="44"/>
  <c r="I810" i="44" s="1"/>
  <c r="J739" i="44"/>
  <c r="J738" i="44"/>
  <c r="J737" i="44"/>
  <c r="J732" i="44"/>
  <c r="J731" i="44"/>
  <c r="J730" i="44"/>
  <c r="J725" i="44"/>
  <c r="J724" i="44"/>
  <c r="J723" i="44"/>
  <c r="J718" i="44"/>
  <c r="J717" i="44"/>
  <c r="J716" i="44"/>
  <c r="J711" i="44"/>
  <c r="J710" i="44"/>
  <c r="J709" i="44"/>
  <c r="J704" i="44"/>
  <c r="J703" i="44"/>
  <c r="J702" i="44"/>
  <c r="J697" i="44"/>
  <c r="J696" i="44"/>
  <c r="J695" i="44"/>
  <c r="J689" i="44"/>
  <c r="J690" i="44"/>
  <c r="J459" i="44"/>
  <c r="J460" i="44"/>
  <c r="J461" i="44"/>
  <c r="J462" i="44"/>
  <c r="J458" i="44"/>
  <c r="J442" i="44"/>
  <c r="J433" i="44"/>
  <c r="J434" i="44"/>
  <c r="J435" i="44"/>
  <c r="J436" i="44"/>
  <c r="J430" i="44"/>
  <c r="J418" i="44"/>
  <c r="J417" i="44"/>
  <c r="J414" i="44"/>
  <c r="J415" i="44"/>
  <c r="J416" i="44"/>
  <c r="J413" i="44"/>
  <c r="J394" i="44"/>
  <c r="E391" i="44"/>
  <c r="D391" i="44"/>
  <c r="A391" i="44"/>
  <c r="I397" i="44" s="1"/>
  <c r="J395" i="44"/>
  <c r="J393" i="44"/>
  <c r="J377" i="44"/>
  <c r="J378" i="44"/>
  <c r="J379" i="44"/>
  <c r="E371" i="44"/>
  <c r="D371" i="44"/>
  <c r="A371" i="44"/>
  <c r="I381" i="44" s="1"/>
  <c r="F386" i="44"/>
  <c r="F374" i="44" s="1"/>
  <c r="J374" i="44" s="1"/>
  <c r="F387" i="44"/>
  <c r="F375" i="44" s="1"/>
  <c r="J375" i="44" s="1"/>
  <c r="F388" i="44"/>
  <c r="D386" i="44"/>
  <c r="D374" i="44" s="1"/>
  <c r="D387" i="44"/>
  <c r="D375" i="44" s="1"/>
  <c r="D388" i="44"/>
  <c r="D376" i="44" s="1"/>
  <c r="F385" i="44"/>
  <c r="F373" i="44" s="1"/>
  <c r="J373" i="44" s="1"/>
  <c r="D385" i="44"/>
  <c r="D373" i="44" s="1"/>
  <c r="J407" i="44"/>
  <c r="J403" i="44"/>
  <c r="J404" i="44"/>
  <c r="J698" i="44" l="1"/>
  <c r="J726" i="44"/>
  <c r="F196" i="45"/>
  <c r="F199" i="45"/>
  <c r="J712" i="44"/>
  <c r="J719" i="44"/>
  <c r="J740" i="44"/>
  <c r="J904" i="44"/>
  <c r="J443" i="44"/>
  <c r="J397" i="44"/>
  <c r="J705" i="44"/>
  <c r="J733" i="44"/>
  <c r="J917" i="44"/>
  <c r="F376" i="44"/>
  <c r="J376" i="44" s="1"/>
  <c r="J381" i="44" s="1"/>
  <c r="J388" i="44"/>
  <c r="F195" i="44"/>
  <c r="F201" i="44" s="1"/>
  <c r="F194" i="44"/>
  <c r="F200" i="44" s="1"/>
  <c r="J406" i="44"/>
  <c r="J405" i="44"/>
  <c r="I328" i="44"/>
  <c r="I359" i="44" s="1"/>
  <c r="I365" i="44"/>
  <c r="I366" i="44"/>
  <c r="I353" i="44"/>
  <c r="F353" i="44"/>
  <c r="I335" i="44"/>
  <c r="I315" i="44"/>
  <c r="I364" i="44"/>
  <c r="I363" i="44"/>
  <c r="I362" i="44"/>
  <c r="I361" i="44"/>
  <c r="I360" i="44"/>
  <c r="D366" i="44"/>
  <c r="D363" i="44"/>
  <c r="D364" i="44"/>
  <c r="D362" i="44"/>
  <c r="J341" i="44"/>
  <c r="F112" i="45" l="1"/>
  <c r="F116" i="45"/>
  <c r="F114" i="45"/>
  <c r="F113" i="45"/>
  <c r="F118" i="45"/>
  <c r="F115" i="45"/>
  <c r="F59" i="45"/>
  <c r="F117" i="45"/>
  <c r="F66" i="45"/>
  <c r="F158" i="45"/>
  <c r="J922" i="44"/>
  <c r="F57" i="45"/>
  <c r="J353" i="44"/>
  <c r="F365" i="44"/>
  <c r="J365" i="44" s="1"/>
  <c r="F160" i="45" l="1"/>
  <c r="F174" i="45"/>
  <c r="F170" i="45"/>
  <c r="F973" i="44"/>
  <c r="F978" i="44" s="1"/>
  <c r="H984" i="44" s="1"/>
  <c r="E54" i="45"/>
  <c r="E338" i="44"/>
  <c r="D338" i="44"/>
  <c r="A338" i="44"/>
  <c r="I344" i="44" s="1"/>
  <c r="I349" i="44"/>
  <c r="I348" i="44"/>
  <c r="I316" i="44"/>
  <c r="I314" i="44"/>
  <c r="I313" i="44"/>
  <c r="F315" i="44"/>
  <c r="I312" i="44"/>
  <c r="E310" i="44"/>
  <c r="D310" i="44"/>
  <c r="A310" i="44"/>
  <c r="I324" i="44" s="1"/>
  <c r="I334" i="44"/>
  <c r="I333" i="44"/>
  <c r="H307" i="44"/>
  <c r="F335" i="44"/>
  <c r="D334" i="44"/>
  <c r="D361" i="44" s="1"/>
  <c r="D335" i="44"/>
  <c r="D333" i="44"/>
  <c r="D360" i="44" s="1"/>
  <c r="F307" i="44"/>
  <c r="F328" i="44" s="1"/>
  <c r="F359" i="44" s="1"/>
  <c r="J359" i="44" s="1"/>
  <c r="D328" i="44"/>
  <c r="D359" i="44" s="1"/>
  <c r="I302" i="44"/>
  <c r="F302" i="44"/>
  <c r="I301" i="44"/>
  <c r="J301" i="44" s="1"/>
  <c r="I300" i="44"/>
  <c r="F300" i="44"/>
  <c r="F352" i="44" s="1"/>
  <c r="I299" i="44"/>
  <c r="F299" i="44"/>
  <c r="F351" i="44" s="1"/>
  <c r="I298" i="44"/>
  <c r="F298" i="44"/>
  <c r="F350" i="44" s="1"/>
  <c r="F362" i="44" s="1"/>
  <c r="J362" i="44" s="1"/>
  <c r="I297" i="44"/>
  <c r="I296" i="44"/>
  <c r="F297" i="44"/>
  <c r="F296" i="44"/>
  <c r="I248" i="44"/>
  <c r="I244" i="44"/>
  <c r="I243" i="44"/>
  <c r="I246" i="44"/>
  <c r="I241" i="44"/>
  <c r="I240" i="44"/>
  <c r="H247" i="44"/>
  <c r="H246" i="44"/>
  <c r="H244" i="44"/>
  <c r="H243" i="44"/>
  <c r="H241" i="44"/>
  <c r="H240" i="44"/>
  <c r="J288" i="44"/>
  <c r="F282" i="44"/>
  <c r="J282" i="44" s="1"/>
  <c r="F281" i="44"/>
  <c r="J281" i="44" s="1"/>
  <c r="F279" i="44"/>
  <c r="J279" i="44" s="1"/>
  <c r="F278" i="44"/>
  <c r="J278" i="44" s="1"/>
  <c r="F277" i="44"/>
  <c r="J277" i="44" s="1"/>
  <c r="F267" i="44"/>
  <c r="J267" i="44" s="1"/>
  <c r="F266" i="44"/>
  <c r="J266" i="44" s="1"/>
  <c r="F265" i="44"/>
  <c r="F271" i="44"/>
  <c r="J271" i="44" s="1"/>
  <c r="F269" i="44"/>
  <c r="J269" i="44" s="1"/>
  <c r="F270" i="44"/>
  <c r="J270" i="44" s="1"/>
  <c r="F259" i="44"/>
  <c r="J259" i="44" s="1"/>
  <c r="F258" i="44"/>
  <c r="J258" i="44" s="1"/>
  <c r="F255" i="44"/>
  <c r="J255" i="44" s="1"/>
  <c r="F256" i="44"/>
  <c r="J256" i="44" s="1"/>
  <c r="F254" i="44"/>
  <c r="J201" i="44"/>
  <c r="J195" i="44"/>
  <c r="E192" i="44"/>
  <c r="D192" i="44"/>
  <c r="A192" i="44"/>
  <c r="I196" i="44" s="1"/>
  <c r="J1187" i="44"/>
  <c r="J1188" i="44" s="1"/>
  <c r="I1188" i="44"/>
  <c r="I1157" i="44"/>
  <c r="I1152" i="44"/>
  <c r="I1006" i="44"/>
  <c r="J934" i="44"/>
  <c r="J935" i="44" s="1"/>
  <c r="I935" i="44"/>
  <c r="A11" i="44"/>
  <c r="F78" i="44"/>
  <c r="F81" i="44"/>
  <c r="G43" i="44"/>
  <c r="G62" i="44" s="1"/>
  <c r="G44" i="44"/>
  <c r="G63" i="44" s="1"/>
  <c r="G45" i="44"/>
  <c r="G64" i="44" s="1"/>
  <c r="G46" i="44"/>
  <c r="G65" i="44" s="1"/>
  <c r="G47" i="44"/>
  <c r="G48" i="44"/>
  <c r="G67" i="44" s="1"/>
  <c r="G49" i="44"/>
  <c r="G68" i="44" s="1"/>
  <c r="G50" i="44"/>
  <c r="G69" i="44" s="1"/>
  <c r="G42" i="44"/>
  <c r="G61" i="44" s="1"/>
  <c r="F50" i="44"/>
  <c r="F49" i="44"/>
  <c r="F48" i="44"/>
  <c r="F46" i="44"/>
  <c r="F45" i="44"/>
  <c r="F64" i="44" s="1"/>
  <c r="F43" i="44"/>
  <c r="F42" i="44"/>
  <c r="F25" i="44"/>
  <c r="E1178" i="44"/>
  <c r="D1178" i="44"/>
  <c r="A1178" i="44"/>
  <c r="E915" i="44"/>
  <c r="D915" i="44"/>
  <c r="A915" i="44"/>
  <c r="E906" i="44"/>
  <c r="D906" i="44"/>
  <c r="A906" i="44"/>
  <c r="E892" i="44"/>
  <c r="D892" i="44"/>
  <c r="A892" i="44"/>
  <c r="D890" i="44"/>
  <c r="A890" i="44"/>
  <c r="E885" i="44"/>
  <c r="D885" i="44"/>
  <c r="A885" i="44"/>
  <c r="D883" i="44"/>
  <c r="A883" i="44"/>
  <c r="E824" i="44"/>
  <c r="D824" i="44"/>
  <c r="A824" i="44"/>
  <c r="E820" i="44"/>
  <c r="D820" i="44"/>
  <c r="A820" i="44"/>
  <c r="E812" i="44"/>
  <c r="D812" i="44"/>
  <c r="A812" i="44"/>
  <c r="A804" i="44"/>
  <c r="D742" i="44"/>
  <c r="A742" i="44"/>
  <c r="E735" i="44"/>
  <c r="D735" i="44"/>
  <c r="A735" i="44"/>
  <c r="E728" i="44"/>
  <c r="D728" i="44"/>
  <c r="A728" i="44"/>
  <c r="E721" i="44"/>
  <c r="D721" i="44"/>
  <c r="A721" i="44"/>
  <c r="E714" i="44"/>
  <c r="D714" i="44"/>
  <c r="A714" i="44"/>
  <c r="E707" i="44"/>
  <c r="D707" i="44"/>
  <c r="A707" i="44"/>
  <c r="E700" i="44"/>
  <c r="D700" i="44"/>
  <c r="A700" i="44"/>
  <c r="E693" i="44"/>
  <c r="D693" i="44"/>
  <c r="A693" i="44"/>
  <c r="E686" i="44"/>
  <c r="D686" i="44"/>
  <c r="A686" i="44"/>
  <c r="D684" i="44"/>
  <c r="A684" i="44"/>
  <c r="E530" i="44"/>
  <c r="D530" i="44"/>
  <c r="A530" i="44"/>
  <c r="E525" i="44"/>
  <c r="D525" i="44"/>
  <c r="A525" i="44"/>
  <c r="E510" i="44"/>
  <c r="D510" i="44"/>
  <c r="A510" i="44"/>
  <c r="E505" i="44"/>
  <c r="D505" i="44"/>
  <c r="A505" i="44"/>
  <c r="E465" i="44"/>
  <c r="D465" i="44"/>
  <c r="A465" i="44"/>
  <c r="E455" i="44"/>
  <c r="D455" i="44"/>
  <c r="A455" i="44"/>
  <c r="E450" i="44"/>
  <c r="D450" i="44"/>
  <c r="A450" i="44"/>
  <c r="E445" i="44"/>
  <c r="D445" i="44"/>
  <c r="A445" i="44"/>
  <c r="E441" i="44"/>
  <c r="D441" i="44"/>
  <c r="A441" i="44"/>
  <c r="D439" i="44"/>
  <c r="A439" i="44"/>
  <c r="E428" i="44"/>
  <c r="D428" i="44"/>
  <c r="A428" i="44"/>
  <c r="D426" i="44"/>
  <c r="A426" i="44"/>
  <c r="E410" i="44"/>
  <c r="D410" i="44"/>
  <c r="A410" i="44"/>
  <c r="E383" i="44"/>
  <c r="D383" i="44"/>
  <c r="A383" i="44"/>
  <c r="E399" i="44"/>
  <c r="D399" i="44"/>
  <c r="A399" i="44"/>
  <c r="D369" i="44"/>
  <c r="A369" i="44"/>
  <c r="A357" i="44"/>
  <c r="A346" i="44"/>
  <c r="E331" i="44"/>
  <c r="D331" i="44"/>
  <c r="A331" i="44"/>
  <c r="E326" i="44"/>
  <c r="D326" i="44"/>
  <c r="A326" i="44"/>
  <c r="E305" i="44"/>
  <c r="D305" i="44"/>
  <c r="A305" i="44"/>
  <c r="E293" i="44"/>
  <c r="D293" i="44"/>
  <c r="A293" i="44"/>
  <c r="D291" i="44"/>
  <c r="A291" i="44"/>
  <c r="E285" i="44"/>
  <c r="D285" i="44"/>
  <c r="A285" i="44"/>
  <c r="E274" i="44"/>
  <c r="D274" i="44"/>
  <c r="A274" i="44"/>
  <c r="E262" i="44"/>
  <c r="D262" i="44"/>
  <c r="A262" i="44"/>
  <c r="E252" i="44"/>
  <c r="D252" i="44"/>
  <c r="A252" i="44"/>
  <c r="E237" i="44"/>
  <c r="D237" i="44"/>
  <c r="A237" i="44"/>
  <c r="D235" i="44"/>
  <c r="A235" i="44"/>
  <c r="E221" i="44"/>
  <c r="D221" i="44"/>
  <c r="A221" i="44"/>
  <c r="D219" i="44"/>
  <c r="A219" i="44"/>
  <c r="E214" i="44"/>
  <c r="D214" i="44"/>
  <c r="A214" i="44"/>
  <c r="E209" i="44"/>
  <c r="D209" i="44"/>
  <c r="A209" i="44"/>
  <c r="E204" i="44"/>
  <c r="D204" i="44"/>
  <c r="A204" i="44"/>
  <c r="E198" i="44"/>
  <c r="D198" i="44"/>
  <c r="A198" i="44"/>
  <c r="E186" i="44"/>
  <c r="D186" i="44"/>
  <c r="A186" i="44"/>
  <c r="D184" i="44"/>
  <c r="A184" i="44"/>
  <c r="E177" i="44"/>
  <c r="D177" i="44"/>
  <c r="A177" i="44"/>
  <c r="A172" i="44"/>
  <c r="E165" i="44"/>
  <c r="D165" i="44"/>
  <c r="A165" i="44"/>
  <c r="E157" i="44"/>
  <c r="D157" i="44"/>
  <c r="A157" i="44"/>
  <c r="E150" i="44"/>
  <c r="D150" i="44"/>
  <c r="A150" i="44"/>
  <c r="E141" i="44"/>
  <c r="D141" i="44"/>
  <c r="A141" i="44"/>
  <c r="D139" i="44"/>
  <c r="A139" i="44"/>
  <c r="E132" i="44"/>
  <c r="D132" i="44"/>
  <c r="A132" i="44"/>
  <c r="E127" i="44"/>
  <c r="D127" i="44"/>
  <c r="A127" i="44"/>
  <c r="E118" i="44"/>
  <c r="D118" i="44"/>
  <c r="A118" i="44"/>
  <c r="E99" i="44"/>
  <c r="D99" i="44"/>
  <c r="A99" i="44"/>
  <c r="E87" i="44"/>
  <c r="D87" i="44"/>
  <c r="A87" i="44"/>
  <c r="E74" i="44"/>
  <c r="D74" i="44"/>
  <c r="A74" i="44"/>
  <c r="D72" i="44"/>
  <c r="A72" i="44"/>
  <c r="E54" i="44"/>
  <c r="D54" i="44"/>
  <c r="A54" i="44"/>
  <c r="E35" i="44"/>
  <c r="D35" i="44"/>
  <c r="A35" i="44"/>
  <c r="E30" i="44"/>
  <c r="D30" i="44"/>
  <c r="A30" i="44"/>
  <c r="D28" i="44"/>
  <c r="A28" i="44"/>
  <c r="E23" i="44"/>
  <c r="D23" i="44"/>
  <c r="A23" i="44"/>
  <c r="E18" i="44"/>
  <c r="D18" i="44"/>
  <c r="A18" i="44"/>
  <c r="E13" i="44"/>
  <c r="D13" i="44"/>
  <c r="A13" i="44"/>
  <c r="J283" i="44" l="1"/>
  <c r="J973" i="44"/>
  <c r="F165" i="45"/>
  <c r="J47" i="44"/>
  <c r="G66" i="44"/>
  <c r="J66" i="44" s="1"/>
  <c r="F76" i="44"/>
  <c r="F61" i="44"/>
  <c r="F77" i="44"/>
  <c r="F62" i="44"/>
  <c r="F80" i="44"/>
  <c r="F65" i="44"/>
  <c r="J65" i="44" s="1"/>
  <c r="F82" i="44"/>
  <c r="F246" i="44" s="1"/>
  <c r="J246" i="44" s="1"/>
  <c r="F67" i="44"/>
  <c r="J67" i="44" s="1"/>
  <c r="F83" i="44"/>
  <c r="F247" i="44" s="1"/>
  <c r="J247" i="44" s="1"/>
  <c r="F68" i="44"/>
  <c r="J68" i="44" s="1"/>
  <c r="F84" i="44"/>
  <c r="F69" i="44"/>
  <c r="J69" i="44" s="1"/>
  <c r="F79" i="44"/>
  <c r="J226" i="44"/>
  <c r="J351" i="44"/>
  <c r="F363" i="44"/>
  <c r="J363" i="44" s="1"/>
  <c r="J352" i="44"/>
  <c r="F364" i="44"/>
  <c r="J364" i="44" s="1"/>
  <c r="F316" i="44"/>
  <c r="J316" i="44" s="1"/>
  <c r="F354" i="44"/>
  <c r="F333" i="44"/>
  <c r="J333" i="44" s="1"/>
  <c r="F348" i="44"/>
  <c r="F360" i="44" s="1"/>
  <c r="J360" i="44" s="1"/>
  <c r="F334" i="44"/>
  <c r="J334" i="44" s="1"/>
  <c r="F349" i="44"/>
  <c r="F361" i="44" s="1"/>
  <c r="J361" i="44" s="1"/>
  <c r="J350" i="44"/>
  <c r="J343" i="44"/>
  <c r="J340" i="44"/>
  <c r="J342" i="44"/>
  <c r="J315" i="44"/>
  <c r="F312" i="44"/>
  <c r="J312" i="44" s="1"/>
  <c r="F313" i="44"/>
  <c r="J313" i="44" s="1"/>
  <c r="F314" i="44"/>
  <c r="J314" i="44" s="1"/>
  <c r="J307" i="44"/>
  <c r="J335" i="44"/>
  <c r="J302" i="44"/>
  <c r="J298" i="44"/>
  <c r="J299" i="44"/>
  <c r="J297" i="44"/>
  <c r="J300" i="44"/>
  <c r="J296" i="44"/>
  <c r="F245" i="44"/>
  <c r="J245" i="44" s="1"/>
  <c r="F242" i="44"/>
  <c r="J242" i="44" s="1"/>
  <c r="F207" i="45"/>
  <c r="J1001" i="44"/>
  <c r="J81" i="44"/>
  <c r="J50" i="44"/>
  <c r="J49" i="44"/>
  <c r="J48" i="44"/>
  <c r="J189" i="44"/>
  <c r="I33" i="44"/>
  <c r="F45" i="45" l="1"/>
  <c r="J1006" i="44"/>
  <c r="J324" i="44"/>
  <c r="J974" i="44"/>
  <c r="J308" i="44"/>
  <c r="J303" i="44"/>
  <c r="J336" i="44"/>
  <c r="J344" i="44"/>
  <c r="J978" i="44"/>
  <c r="J984" i="44"/>
  <c r="F240" i="44"/>
  <c r="J240" i="44" s="1"/>
  <c r="J80" i="44"/>
  <c r="J82" i="44"/>
  <c r="F241" i="44"/>
  <c r="J241" i="44" s="1"/>
  <c r="J228" i="44"/>
  <c r="J83" i="44"/>
  <c r="F244" i="44"/>
  <c r="J244" i="44" s="1"/>
  <c r="J84" i="44"/>
  <c r="F248" i="44"/>
  <c r="J248" i="44" s="1"/>
  <c r="J227" i="44"/>
  <c r="F243" i="44"/>
  <c r="J243" i="44" s="1"/>
  <c r="J348" i="44"/>
  <c r="J354" i="44"/>
  <c r="F366" i="44"/>
  <c r="J366" i="44" s="1"/>
  <c r="J349" i="44"/>
  <c r="J328" i="44"/>
  <c r="J229" i="44"/>
  <c r="F50" i="45" l="1"/>
  <c r="J250" i="44"/>
  <c r="F52" i="45"/>
  <c r="F48" i="45"/>
  <c r="F49" i="45"/>
  <c r="F171" i="45"/>
  <c r="F177" i="45"/>
  <c r="F53" i="45"/>
  <c r="J329" i="44"/>
  <c r="J979" i="44"/>
  <c r="J355" i="44"/>
  <c r="J985" i="44"/>
  <c r="J367" i="44"/>
  <c r="J1155" i="44"/>
  <c r="I389" i="44"/>
  <c r="J387" i="44"/>
  <c r="J386" i="44"/>
  <c r="J385" i="44"/>
  <c r="J532" i="44"/>
  <c r="J533" i="44" l="1"/>
  <c r="F172" i="45"/>
  <c r="F51" i="45"/>
  <c r="F55" i="45"/>
  <c r="F54" i="45"/>
  <c r="F173" i="45"/>
  <c r="F42" i="45"/>
  <c r="J389" i="44"/>
  <c r="J1157" i="44"/>
  <c r="F80" i="45" l="1"/>
  <c r="F58" i="45"/>
  <c r="F200" i="45"/>
  <c r="I448" i="44"/>
  <c r="D452" i="44" s="1"/>
  <c r="J287" i="44"/>
  <c r="I289" i="44"/>
  <c r="J225" i="44"/>
  <c r="I212" i="44"/>
  <c r="J45" i="44"/>
  <c r="J401" i="44"/>
  <c r="J254" i="44"/>
  <c r="J32" i="44"/>
  <c r="J33" i="44" s="1"/>
  <c r="J25" i="44"/>
  <c r="J26" i="44" s="1"/>
  <c r="J174" i="44"/>
  <c r="F15" i="45" l="1"/>
  <c r="F13" i="45"/>
  <c r="J289" i="44"/>
  <c r="J260" i="44"/>
  <c r="J224" i="44"/>
  <c r="J194" i="44"/>
  <c r="J196" i="44" s="1"/>
  <c r="J64" i="44"/>
  <c r="J46" i="44"/>
  <c r="J78" i="44"/>
  <c r="J44" i="44"/>
  <c r="J62" i="44"/>
  <c r="J61" i="44"/>
  <c r="J63" i="44"/>
  <c r="J42" i="44"/>
  <c r="J43" i="44"/>
  <c r="J38" i="44"/>
  <c r="B42" i="47"/>
  <c r="A42" i="47"/>
  <c r="B40" i="47"/>
  <c r="A40" i="47"/>
  <c r="B38" i="47"/>
  <c r="A38" i="47"/>
  <c r="B36" i="47"/>
  <c r="A36" i="47"/>
  <c r="B32" i="47"/>
  <c r="A32" i="47"/>
  <c r="B30" i="47"/>
  <c r="A30" i="47"/>
  <c r="B28" i="47"/>
  <c r="A28" i="47"/>
  <c r="B26" i="47"/>
  <c r="A26" i="47"/>
  <c r="B24" i="47"/>
  <c r="A24" i="47"/>
  <c r="B22" i="47"/>
  <c r="A22" i="47"/>
  <c r="B20" i="47"/>
  <c r="A20" i="47"/>
  <c r="B18" i="47"/>
  <c r="A18" i="47"/>
  <c r="B16" i="47"/>
  <c r="A16" i="47"/>
  <c r="B14" i="47"/>
  <c r="A14" i="47"/>
  <c r="B12" i="47"/>
  <c r="A12" i="47"/>
  <c r="B10" i="47"/>
  <c r="A10" i="47"/>
  <c r="I533" i="44"/>
  <c r="I528" i="44"/>
  <c r="J527" i="44"/>
  <c r="I513" i="44"/>
  <c r="J512" i="44"/>
  <c r="I137" i="44"/>
  <c r="I1181" i="44"/>
  <c r="J1180" i="44"/>
  <c r="I508" i="44"/>
  <c r="J507" i="44"/>
  <c r="I283" i="44"/>
  <c r="J265" i="44"/>
  <c r="I272" i="44"/>
  <c r="I260" i="44"/>
  <c r="I175" i="44"/>
  <c r="I182" i="44"/>
  <c r="E30" i="45"/>
  <c r="E172" i="44" s="1"/>
  <c r="D30" i="45"/>
  <c r="D172" i="44" s="1"/>
  <c r="G77" i="50"/>
  <c r="G73" i="50"/>
  <c r="G72" i="50"/>
  <c r="G74" i="50"/>
  <c r="G75" i="50"/>
  <c r="G76" i="50"/>
  <c r="I170" i="44"/>
  <c r="I163" i="44"/>
  <c r="I125" i="44"/>
  <c r="I116" i="44"/>
  <c r="I130" i="44"/>
  <c r="I826" i="44"/>
  <c r="I822" i="44"/>
  <c r="I814" i="44"/>
  <c r="I806" i="44"/>
  <c r="E135" i="45"/>
  <c r="E804" i="44" s="1"/>
  <c r="D135" i="45"/>
  <c r="D804" i="44" s="1"/>
  <c r="C135" i="45"/>
  <c r="G62" i="50"/>
  <c r="G61" i="50"/>
  <c r="G60" i="50"/>
  <c r="J70" i="44" l="1"/>
  <c r="J52" i="44"/>
  <c r="G78" i="50"/>
  <c r="G68" i="50" s="1"/>
  <c r="G30" i="45" s="1"/>
  <c r="G63" i="50"/>
  <c r="G56" i="50" s="1"/>
  <c r="G135" i="45" s="1"/>
  <c r="F34" i="45"/>
  <c r="J508" i="44"/>
  <c r="F43" i="45"/>
  <c r="F46" i="45"/>
  <c r="J528" i="44"/>
  <c r="F79" i="45" s="1"/>
  <c r="J1181" i="44"/>
  <c r="J272" i="44"/>
  <c r="J513" i="44"/>
  <c r="F76" i="45" s="1"/>
  <c r="J232" i="44"/>
  <c r="J231" i="44"/>
  <c r="J77" i="44"/>
  <c r="J79" i="44"/>
  <c r="F75" i="45" l="1"/>
  <c r="F16" i="45"/>
  <c r="F44" i="45"/>
  <c r="F205" i="45"/>
  <c r="F17" i="45"/>
  <c r="J180" i="44"/>
  <c r="J182" i="44" s="1"/>
  <c r="J134" i="44"/>
  <c r="J137" i="44" s="1"/>
  <c r="J167" i="44"/>
  <c r="F24" i="45" l="1"/>
  <c r="F31" i="45"/>
  <c r="F28" i="45"/>
  <c r="F20" i="45" l="1"/>
  <c r="I733" i="44"/>
  <c r="I726" i="44"/>
  <c r="I740" i="44"/>
  <c r="I719" i="44"/>
  <c r="I712" i="44"/>
  <c r="I705" i="44"/>
  <c r="I698" i="44"/>
  <c r="I691" i="44"/>
  <c r="J688" i="44"/>
  <c r="G49" i="50"/>
  <c r="G48" i="50"/>
  <c r="G47" i="50"/>
  <c r="I468" i="44"/>
  <c r="I463" i="44"/>
  <c r="D467" i="44" s="1"/>
  <c r="J457" i="44"/>
  <c r="J463" i="44" s="1"/>
  <c r="I453" i="44"/>
  <c r="I443" i="44"/>
  <c r="D447" i="44" s="1"/>
  <c r="I922" i="44"/>
  <c r="I913" i="44"/>
  <c r="J908" i="44"/>
  <c r="I897" i="44"/>
  <c r="J894" i="44"/>
  <c r="J432" i="44"/>
  <c r="J431" i="44"/>
  <c r="I437" i="44"/>
  <c r="I367" i="44"/>
  <c r="E55" i="45"/>
  <c r="E357" i="44" s="1"/>
  <c r="D55" i="45"/>
  <c r="D357" i="44" s="1"/>
  <c r="C55" i="45"/>
  <c r="G36" i="50"/>
  <c r="G35" i="50"/>
  <c r="G34" i="50"/>
  <c r="G33" i="50"/>
  <c r="G32" i="50"/>
  <c r="G37" i="50" s="1"/>
  <c r="I355" i="44"/>
  <c r="I336" i="44"/>
  <c r="I329" i="44"/>
  <c r="I308" i="44"/>
  <c r="I303" i="44"/>
  <c r="E346" i="44"/>
  <c r="D54" i="45"/>
  <c r="D346" i="44" s="1"/>
  <c r="C54" i="45"/>
  <c r="I419" i="44"/>
  <c r="J412" i="44"/>
  <c r="I408" i="44"/>
  <c r="J402" i="44"/>
  <c r="J408" i="44" s="1"/>
  <c r="I233" i="44"/>
  <c r="J206" i="44"/>
  <c r="I207" i="44"/>
  <c r="I217" i="44"/>
  <c r="I202" i="44"/>
  <c r="J200" i="44"/>
  <c r="J202" i="44" s="1"/>
  <c r="I190" i="44"/>
  <c r="J188" i="44"/>
  <c r="J190" i="44" s="1"/>
  <c r="I26" i="44"/>
  <c r="I21" i="44"/>
  <c r="J20" i="44"/>
  <c r="J21" i="44" s="1"/>
  <c r="D11" i="44"/>
  <c r="I16" i="44"/>
  <c r="I70" i="44"/>
  <c r="I52" i="44"/>
  <c r="I155" i="44"/>
  <c r="I97" i="44"/>
  <c r="I85" i="44"/>
  <c r="I148" i="44"/>
  <c r="I250" i="44"/>
  <c r="G19" i="50"/>
  <c r="G20" i="50"/>
  <c r="G21" i="50"/>
  <c r="G22" i="50"/>
  <c r="G18" i="50"/>
  <c r="A7" i="50"/>
  <c r="A6" i="50"/>
  <c r="A5" i="50"/>
  <c r="L206" i="50"/>
  <c r="B5" i="50"/>
  <c r="B4" i="50"/>
  <c r="G23" i="50" l="1"/>
  <c r="G50" i="50"/>
  <c r="F33" i="45"/>
  <c r="F26" i="45"/>
  <c r="F35" i="45"/>
  <c r="F12" i="45"/>
  <c r="J437" i="44"/>
  <c r="J207" i="44"/>
  <c r="J897" i="44"/>
  <c r="J691" i="44"/>
  <c r="J913" i="44"/>
  <c r="J419" i="44"/>
  <c r="J76" i="44"/>
  <c r="J85" i="44" s="1"/>
  <c r="J15" i="44"/>
  <c r="J16" i="44" s="1"/>
  <c r="F19" i="45" l="1"/>
  <c r="F36" i="45"/>
  <c r="F61" i="45"/>
  <c r="F11" i="45"/>
  <c r="F64" i="45"/>
  <c r="F159" i="45"/>
  <c r="F111" i="45"/>
  <c r="F60" i="45"/>
  <c r="F157" i="45"/>
  <c r="G43" i="50"/>
  <c r="G204" i="45"/>
  <c r="F467" i="44"/>
  <c r="J467" i="44" s="1"/>
  <c r="F69" i="45"/>
  <c r="G28" i="50"/>
  <c r="G55" i="45" s="1"/>
  <c r="G196" i="45"/>
  <c r="G14" i="50"/>
  <c r="G54" i="45" s="1"/>
  <c r="G195" i="45"/>
  <c r="J168" i="44"/>
  <c r="J170" i="44" s="1"/>
  <c r="J211" i="44"/>
  <c r="F216" i="44"/>
  <c r="J216" i="44" s="1"/>
  <c r="F29" i="45" l="1"/>
  <c r="F23" i="45"/>
  <c r="J217" i="44"/>
  <c r="J212" i="44"/>
  <c r="J468" i="44"/>
  <c r="F447" i="44"/>
  <c r="J230" i="44"/>
  <c r="J233" i="44" s="1"/>
  <c r="J175" i="44"/>
  <c r="F27" i="45" l="1"/>
  <c r="F21" i="45"/>
  <c r="F30" i="45"/>
  <c r="F38" i="45"/>
  <c r="F70" i="45"/>
  <c r="F37" i="45"/>
  <c r="F40" i="45"/>
  <c r="J447" i="44"/>
  <c r="F22" i="45" l="1"/>
  <c r="J448" i="44"/>
  <c r="F67" i="45" l="1"/>
  <c r="F452" i="44"/>
  <c r="J452" i="44" s="1"/>
  <c r="I888" i="44"/>
  <c r="A1" i="31"/>
  <c r="A1" i="44"/>
  <c r="A4" i="50" l="1"/>
  <c r="J453" i="44"/>
  <c r="A1" i="47"/>
  <c r="B6" i="37"/>
  <c r="F68" i="45" l="1"/>
  <c r="J887" i="44"/>
  <c r="J888" i="44" l="1"/>
  <c r="A6" i="47"/>
  <c r="A5" i="47"/>
  <c r="A4" i="47"/>
  <c r="F155" i="45" l="1"/>
  <c r="B9" i="37"/>
  <c r="B8" i="37"/>
  <c r="B7" i="37"/>
  <c r="A6" i="31"/>
  <c r="A5" i="31"/>
  <c r="A4" i="31"/>
  <c r="A4" i="44"/>
  <c r="A6" i="44"/>
  <c r="C71" i="47" l="1"/>
  <c r="D25" i="37" l="1"/>
  <c r="D29" i="37" s="1"/>
  <c r="M4" i="45" s="1"/>
  <c r="E22" i="37"/>
  <c r="H189" i="45" l="1"/>
  <c r="I189" i="45" s="1"/>
  <c r="H197" i="45"/>
  <c r="I197" i="45" s="1"/>
  <c r="H109" i="45"/>
  <c r="I109" i="45" s="1"/>
  <c r="H188" i="45"/>
  <c r="I188" i="45" s="1"/>
  <c r="H108" i="45"/>
  <c r="I108" i="45" s="1"/>
  <c r="H107" i="45"/>
  <c r="I107" i="45" s="1"/>
  <c r="H106" i="45"/>
  <c r="I106" i="45" s="1"/>
  <c r="H105" i="45"/>
  <c r="I105" i="45" s="1"/>
  <c r="H98" i="45"/>
  <c r="I98" i="45" s="1"/>
  <c r="H99" i="45"/>
  <c r="I99" i="45" s="1"/>
  <c r="H104" i="45"/>
  <c r="I104" i="45" s="1"/>
  <c r="H100" i="45"/>
  <c r="I100" i="45" s="1"/>
  <c r="H90" i="45"/>
  <c r="I90" i="45" s="1"/>
  <c r="H91" i="45"/>
  <c r="I91" i="45" s="1"/>
  <c r="H89" i="45"/>
  <c r="I89" i="45" s="1"/>
  <c r="H92" i="45"/>
  <c r="I92" i="45" s="1"/>
  <c r="H101" i="45"/>
  <c r="I101" i="45" s="1"/>
  <c r="H93" i="45"/>
  <c r="I93" i="45" s="1"/>
  <c r="H94" i="45"/>
  <c r="I94" i="45" s="1"/>
  <c r="H96" i="45"/>
  <c r="I96" i="45" s="1"/>
  <c r="H97" i="45"/>
  <c r="I97" i="45" s="1"/>
  <c r="H95" i="45"/>
  <c r="I95" i="45" s="1"/>
  <c r="H78" i="45"/>
  <c r="I78" i="45" s="1"/>
  <c r="H77" i="45"/>
  <c r="I77" i="45" s="1"/>
  <c r="H84" i="45"/>
  <c r="I84" i="45" s="1"/>
  <c r="H83" i="45"/>
  <c r="I83" i="45" s="1"/>
  <c r="H40" i="45"/>
  <c r="I40" i="45" s="1"/>
  <c r="I39" i="45" s="1"/>
  <c r="H82" i="45"/>
  <c r="I82" i="45" s="1"/>
  <c r="H81" i="45"/>
  <c r="I81" i="45" s="1"/>
  <c r="H137" i="45"/>
  <c r="I137" i="45" s="1"/>
  <c r="H149" i="45"/>
  <c r="I149" i="45" s="1"/>
  <c r="H128" i="45"/>
  <c r="I128" i="45" s="1"/>
  <c r="H138" i="45"/>
  <c r="I138" i="45" s="1"/>
  <c r="H150" i="45"/>
  <c r="I150" i="45" s="1"/>
  <c r="H129" i="45"/>
  <c r="I129" i="45" s="1"/>
  <c r="H139" i="45"/>
  <c r="I139" i="45" s="1"/>
  <c r="H151" i="45"/>
  <c r="I151" i="45" s="1"/>
  <c r="H130" i="45"/>
  <c r="I130" i="45" s="1"/>
  <c r="H140" i="45"/>
  <c r="I140" i="45" s="1"/>
  <c r="H152" i="45"/>
  <c r="I152" i="45" s="1"/>
  <c r="H131" i="45"/>
  <c r="I131" i="45" s="1"/>
  <c r="H141" i="45"/>
  <c r="I141" i="45" s="1"/>
  <c r="H153" i="45"/>
  <c r="I153" i="45" s="1"/>
  <c r="H132" i="45"/>
  <c r="I132" i="45" s="1"/>
  <c r="H147" i="45"/>
  <c r="I147" i="45" s="1"/>
  <c r="H121" i="45"/>
  <c r="I121" i="45" s="1"/>
  <c r="H133" i="45"/>
  <c r="I133" i="45" s="1"/>
  <c r="H143" i="45"/>
  <c r="I143" i="45" s="1"/>
  <c r="H122" i="45"/>
  <c r="I122" i="45" s="1"/>
  <c r="H134" i="45"/>
  <c r="I134" i="45" s="1"/>
  <c r="H144" i="45"/>
  <c r="I144" i="45" s="1"/>
  <c r="H123" i="45"/>
  <c r="I123" i="45" s="1"/>
  <c r="H120" i="45"/>
  <c r="I120" i="45" s="1"/>
  <c r="H126" i="45"/>
  <c r="I126" i="45" s="1"/>
  <c r="H145" i="45"/>
  <c r="I145" i="45" s="1"/>
  <c r="H124" i="45"/>
  <c r="I124" i="45" s="1"/>
  <c r="H146" i="45"/>
  <c r="I146" i="45" s="1"/>
  <c r="H125" i="45"/>
  <c r="I125" i="45" s="1"/>
  <c r="H136" i="45"/>
  <c r="I136" i="45" s="1"/>
  <c r="H148" i="45"/>
  <c r="I148" i="45" s="1"/>
  <c r="H127" i="45"/>
  <c r="I127" i="45" s="1"/>
  <c r="H142" i="45"/>
  <c r="I142" i="45" s="1"/>
  <c r="H135" i="45"/>
  <c r="I135" i="45" s="1"/>
  <c r="H103" i="45"/>
  <c r="I103" i="45" s="1"/>
  <c r="H85" i="45"/>
  <c r="I85" i="45" s="1"/>
  <c r="H86" i="45"/>
  <c r="I86" i="45" s="1"/>
  <c r="H87" i="45"/>
  <c r="I87" i="45" s="1"/>
  <c r="H204" i="45"/>
  <c r="I204" i="45" s="1"/>
  <c r="H161" i="45"/>
  <c r="I161" i="45" s="1"/>
  <c r="H102" i="45"/>
  <c r="I102" i="45" s="1"/>
  <c r="H191" i="45"/>
  <c r="I191" i="45" s="1"/>
  <c r="H62" i="45"/>
  <c r="I62" i="45" s="1"/>
  <c r="H184" i="45"/>
  <c r="I184" i="45" s="1"/>
  <c r="H186" i="45"/>
  <c r="I186" i="45" s="1"/>
  <c r="I185" i="45" s="1"/>
  <c r="H181" i="45"/>
  <c r="I181" i="45" s="1"/>
  <c r="H179" i="45"/>
  <c r="I179" i="45" s="1"/>
  <c r="H180" i="45"/>
  <c r="I180" i="45" s="1"/>
  <c r="H178" i="45"/>
  <c r="I178" i="45" s="1"/>
  <c r="H167" i="45"/>
  <c r="I167" i="45" s="1"/>
  <c r="H166" i="45"/>
  <c r="I166" i="45" s="1"/>
  <c r="H175" i="45"/>
  <c r="I175" i="45" s="1"/>
  <c r="H171" i="45"/>
  <c r="I171" i="45" s="1"/>
  <c r="H174" i="45"/>
  <c r="I174" i="45" s="1"/>
  <c r="H170" i="45"/>
  <c r="I170" i="45" s="1"/>
  <c r="H203" i="45"/>
  <c r="I203" i="45" s="1"/>
  <c r="H173" i="45"/>
  <c r="I173" i="45" s="1"/>
  <c r="H169" i="45"/>
  <c r="I169" i="45" s="1"/>
  <c r="H172" i="45"/>
  <c r="I172" i="45" s="1"/>
  <c r="H73" i="45"/>
  <c r="I73" i="45" s="1"/>
  <c r="H72" i="45"/>
  <c r="I72" i="45" s="1"/>
  <c r="H71" i="45"/>
  <c r="I71" i="45" s="1"/>
  <c r="H202" i="45"/>
  <c r="I202" i="45" s="1"/>
  <c r="H195" i="45"/>
  <c r="I195" i="45" s="1"/>
  <c r="H196" i="45"/>
  <c r="I196" i="45" s="1"/>
  <c r="H190" i="45"/>
  <c r="I190" i="45" s="1"/>
  <c r="H192" i="45"/>
  <c r="I192" i="45" s="1"/>
  <c r="H158" i="45"/>
  <c r="I158" i="45" s="1"/>
  <c r="H57" i="45"/>
  <c r="I57" i="45" s="1"/>
  <c r="H59" i="45"/>
  <c r="I59" i="45" s="1"/>
  <c r="H34" i="45"/>
  <c r="I34" i="45" s="1"/>
  <c r="H53" i="45"/>
  <c r="I53" i="45" s="1"/>
  <c r="H50" i="45"/>
  <c r="I50" i="45" s="1"/>
  <c r="H199" i="45"/>
  <c r="I199" i="45" s="1"/>
  <c r="H200" i="45"/>
  <c r="I200" i="45" s="1"/>
  <c r="H194" i="45"/>
  <c r="I194" i="45" s="1"/>
  <c r="H207" i="45"/>
  <c r="I207" i="45" s="1"/>
  <c r="I206" i="45" s="1"/>
  <c r="H165" i="45"/>
  <c r="I165" i="45" s="1"/>
  <c r="H177" i="45"/>
  <c r="I177" i="45" s="1"/>
  <c r="H183" i="45"/>
  <c r="I183" i="45" s="1"/>
  <c r="I182" i="45" s="1"/>
  <c r="H193" i="45"/>
  <c r="I193" i="45" s="1"/>
  <c r="H205" i="45"/>
  <c r="I205" i="45" s="1"/>
  <c r="H30" i="45"/>
  <c r="I30" i="45" s="1"/>
  <c r="H112" i="45"/>
  <c r="I112" i="45" s="1"/>
  <c r="H36" i="45"/>
  <c r="I36" i="45" s="1"/>
  <c r="H11" i="45"/>
  <c r="I11" i="45" s="1"/>
  <c r="H66" i="45"/>
  <c r="I66" i="45" s="1"/>
  <c r="H17" i="45"/>
  <c r="I17" i="45" s="1"/>
  <c r="H42" i="45"/>
  <c r="I42" i="45" s="1"/>
  <c r="H49" i="45"/>
  <c r="I49" i="45" s="1"/>
  <c r="H12" i="45"/>
  <c r="I12" i="45" s="1"/>
  <c r="H22" i="45"/>
  <c r="I22" i="45" s="1"/>
  <c r="H79" i="45"/>
  <c r="I79" i="45" s="1"/>
  <c r="H28" i="45"/>
  <c r="I28" i="45" s="1"/>
  <c r="H75" i="45"/>
  <c r="I75" i="45" s="1"/>
  <c r="H70" i="45"/>
  <c r="I70" i="45" s="1"/>
  <c r="H51" i="45"/>
  <c r="I51" i="45" s="1"/>
  <c r="H27" i="45"/>
  <c r="I27" i="45" s="1"/>
  <c r="H37" i="45"/>
  <c r="I37" i="45" s="1"/>
  <c r="H45" i="45"/>
  <c r="I45" i="45" s="1"/>
  <c r="H117" i="45"/>
  <c r="I117" i="45" s="1"/>
  <c r="H55" i="45"/>
  <c r="I55" i="45" s="1"/>
  <c r="H38" i="45"/>
  <c r="I38" i="45" s="1"/>
  <c r="H33" i="45"/>
  <c r="I33" i="45" s="1"/>
  <c r="H26" i="45"/>
  <c r="I26" i="45" s="1"/>
  <c r="H155" i="45"/>
  <c r="I155" i="45" s="1"/>
  <c r="I154" i="45" s="1"/>
  <c r="H159" i="45"/>
  <c r="I159" i="45" s="1"/>
  <c r="H23" i="45"/>
  <c r="I23" i="45" s="1"/>
  <c r="H24" i="45"/>
  <c r="I24" i="45" s="1"/>
  <c r="H31" i="45"/>
  <c r="I31" i="45" s="1"/>
  <c r="H111" i="45"/>
  <c r="I111" i="45" s="1"/>
  <c r="H157" i="45"/>
  <c r="I157" i="45" s="1"/>
  <c r="H16" i="45"/>
  <c r="I16" i="45" s="1"/>
  <c r="H67" i="45"/>
  <c r="I67" i="45" s="1"/>
  <c r="H68" i="45"/>
  <c r="I68" i="45" s="1"/>
  <c r="H69" i="45"/>
  <c r="I69" i="45" s="1"/>
  <c r="H113" i="45"/>
  <c r="I113" i="45" s="1"/>
  <c r="H48" i="45"/>
  <c r="I48" i="45" s="1"/>
  <c r="H80" i="45"/>
  <c r="I80" i="45" s="1"/>
  <c r="H29" i="45"/>
  <c r="I29" i="45" s="1"/>
  <c r="H64" i="45"/>
  <c r="I64" i="45" s="1"/>
  <c r="I63" i="45" s="1"/>
  <c r="H20" i="45"/>
  <c r="I20" i="45" s="1"/>
  <c r="H44" i="45"/>
  <c r="I44" i="45" s="1"/>
  <c r="H76" i="45"/>
  <c r="I76" i="45" s="1"/>
  <c r="H46" i="45"/>
  <c r="I46" i="45" s="1"/>
  <c r="H21" i="45"/>
  <c r="I21" i="45" s="1"/>
  <c r="H118" i="45"/>
  <c r="I118" i="45" s="1"/>
  <c r="H54" i="45"/>
  <c r="I54" i="45" s="1"/>
  <c r="H61" i="45"/>
  <c r="I61" i="45" s="1"/>
  <c r="H35" i="45"/>
  <c r="I35" i="45" s="1"/>
  <c r="H19" i="45"/>
  <c r="I19" i="45" s="1"/>
  <c r="H116" i="45"/>
  <c r="I116" i="45" s="1"/>
  <c r="H52" i="45"/>
  <c r="I52" i="45" s="1"/>
  <c r="H115" i="45"/>
  <c r="I115" i="45" s="1"/>
  <c r="H13" i="45"/>
  <c r="I13" i="45" s="1"/>
  <c r="H160" i="45"/>
  <c r="I160" i="45" s="1"/>
  <c r="H43" i="45"/>
  <c r="I43" i="45" s="1"/>
  <c r="H60" i="45"/>
  <c r="I60" i="45" s="1"/>
  <c r="H15" i="45"/>
  <c r="I15" i="45" s="1"/>
  <c r="H114" i="45"/>
  <c r="I114" i="45" s="1"/>
  <c r="H58" i="45"/>
  <c r="I58" i="45" s="1"/>
  <c r="I176" i="45" l="1"/>
  <c r="I164" i="45"/>
  <c r="I14" i="45"/>
  <c r="I41" i="45"/>
  <c r="I156" i="45"/>
  <c r="I110" i="45"/>
  <c r="I65" i="45"/>
  <c r="I201" i="45"/>
  <c r="I10" i="45"/>
  <c r="I198" i="45"/>
  <c r="I119" i="45"/>
  <c r="I18" i="45"/>
  <c r="I74" i="45"/>
  <c r="I187" i="45"/>
  <c r="I168" i="45"/>
  <c r="I88" i="45"/>
  <c r="I47" i="45"/>
  <c r="I25" i="45"/>
  <c r="I56" i="45"/>
  <c r="I32" i="45"/>
  <c r="C21" i="31"/>
  <c r="G21" i="31" s="1"/>
  <c r="C29" i="31"/>
  <c r="K29" i="31" s="1"/>
  <c r="C61" i="31"/>
  <c r="O61" i="31" s="1"/>
  <c r="C53" i="31"/>
  <c r="G53" i="31" s="1"/>
  <c r="C60" i="47"/>
  <c r="G61" i="47" s="1"/>
  <c r="C52" i="47"/>
  <c r="G53" i="47" s="1"/>
  <c r="C34" i="47" l="1"/>
  <c r="G35" i="47" s="1"/>
  <c r="C35" i="31"/>
  <c r="I35" i="31" s="1"/>
  <c r="I208" i="45"/>
  <c r="I162" i="45"/>
  <c r="C33" i="31"/>
  <c r="C25" i="31"/>
  <c r="C23" i="31"/>
  <c r="G23" i="31" s="1"/>
  <c r="C37" i="31"/>
  <c r="C27" i="31"/>
  <c r="M27" i="31" s="1"/>
  <c r="C31" i="31"/>
  <c r="M31" i="31" s="1"/>
  <c r="C41" i="31"/>
  <c r="O41" i="31" s="1"/>
  <c r="C17" i="31"/>
  <c r="C59" i="31"/>
  <c r="O59" i="31" s="1"/>
  <c r="C39" i="31"/>
  <c r="G39" i="31" s="1"/>
  <c r="C55" i="31"/>
  <c r="C43" i="31"/>
  <c r="O43" i="31" s="1"/>
  <c r="C11" i="31"/>
  <c r="C45" i="31"/>
  <c r="E45" i="31" s="1"/>
  <c r="C13" i="31"/>
  <c r="E13" i="31" s="1"/>
  <c r="C47" i="31"/>
  <c r="G47" i="31" s="1"/>
  <c r="C15" i="31"/>
  <c r="C49" i="31"/>
  <c r="C51" i="31"/>
  <c r="E51" i="31" s="1"/>
  <c r="C19" i="31"/>
  <c r="O19" i="31" s="1"/>
  <c r="C57" i="31"/>
  <c r="K57" i="31" s="1"/>
  <c r="C44" i="47"/>
  <c r="G45" i="47" s="1"/>
  <c r="C56" i="47"/>
  <c r="G57" i="47" s="1"/>
  <c r="C46" i="47"/>
  <c r="G47" i="47" s="1"/>
  <c r="C48" i="47"/>
  <c r="G49" i="47" s="1"/>
  <c r="C50" i="47"/>
  <c r="G51" i="47" s="1"/>
  <c r="C58" i="47"/>
  <c r="G59" i="47" s="1"/>
  <c r="C54" i="47"/>
  <c r="G55" i="47" s="1"/>
  <c r="C40" i="47"/>
  <c r="G41" i="47" s="1"/>
  <c r="C28" i="47"/>
  <c r="G29" i="47" s="1"/>
  <c r="C12" i="47"/>
  <c r="C42" i="47"/>
  <c r="G43" i="47" s="1"/>
  <c r="C22" i="47"/>
  <c r="G23" i="47" s="1"/>
  <c r="C26" i="47"/>
  <c r="G27" i="47" s="1"/>
  <c r="C30" i="47"/>
  <c r="G31" i="47" s="1"/>
  <c r="C20" i="47"/>
  <c r="G21" i="47" s="1"/>
  <c r="C24" i="47"/>
  <c r="C38" i="47"/>
  <c r="C16" i="47"/>
  <c r="C14" i="47"/>
  <c r="C36" i="47"/>
  <c r="C18" i="47"/>
  <c r="C10" i="47"/>
  <c r="I209" i="45" l="1"/>
  <c r="N69" i="31"/>
  <c r="J39" i="45"/>
  <c r="C32" i="47"/>
  <c r="G33" i="47" s="1"/>
  <c r="J88" i="45"/>
  <c r="M59" i="31"/>
  <c r="I25" i="31"/>
  <c r="K25" i="31"/>
  <c r="O63" i="31"/>
  <c r="K55" i="31"/>
  <c r="I55" i="31"/>
  <c r="E49" i="31"/>
  <c r="G17" i="31"/>
  <c r="G63" i="31" s="1"/>
  <c r="M19" i="31"/>
  <c r="J168" i="45"/>
  <c r="J185" i="45"/>
  <c r="J201" i="45"/>
  <c r="J74" i="45"/>
  <c r="J10" i="45"/>
  <c r="J32" i="45"/>
  <c r="J25" i="45"/>
  <c r="J110" i="45"/>
  <c r="J18" i="45"/>
  <c r="J119" i="45"/>
  <c r="E15" i="31"/>
  <c r="G15" i="47"/>
  <c r="E11" i="31"/>
  <c r="G19" i="47"/>
  <c r="J47" i="45"/>
  <c r="G25" i="47"/>
  <c r="I37" i="31"/>
  <c r="G37" i="47"/>
  <c r="G17" i="47"/>
  <c r="G39" i="47"/>
  <c r="J63" i="45"/>
  <c r="J14" i="45"/>
  <c r="J65" i="45"/>
  <c r="I33" i="31"/>
  <c r="C62" i="47" l="1"/>
  <c r="M63" i="31"/>
  <c r="E63" i="31"/>
  <c r="K63" i="31"/>
  <c r="I63" i="31"/>
  <c r="F63" i="31"/>
  <c r="D50" i="47" l="1"/>
  <c r="D34" i="47"/>
  <c r="D44" i="47"/>
  <c r="D56" i="47"/>
  <c r="D60" i="47"/>
  <c r="D58" i="47"/>
  <c r="D48" i="47"/>
  <c r="D52" i="47"/>
  <c r="D46" i="47"/>
  <c r="D54" i="47"/>
  <c r="D63" i="31"/>
  <c r="L63" i="31"/>
  <c r="H63" i="31"/>
  <c r="J63" i="31"/>
  <c r="N63" i="31"/>
  <c r="E66" i="31"/>
  <c r="G66" i="31" l="1"/>
  <c r="E67" i="31"/>
  <c r="I66" i="31" l="1"/>
  <c r="G67" i="31"/>
  <c r="K66" i="31" l="1"/>
  <c r="I67" i="31"/>
  <c r="G11" i="47"/>
  <c r="M66" i="31" l="1"/>
  <c r="K67" i="31"/>
  <c r="D40" i="47"/>
  <c r="D42" i="47"/>
  <c r="D38" i="47"/>
  <c r="D36" i="47"/>
  <c r="D28" i="47"/>
  <c r="D26" i="47"/>
  <c r="D32" i="47"/>
  <c r="D22" i="47"/>
  <c r="D30" i="47"/>
  <c r="D24" i="47"/>
  <c r="D16" i="47"/>
  <c r="D18" i="47"/>
  <c r="D20" i="47"/>
  <c r="D10" i="47"/>
  <c r="D14" i="47"/>
  <c r="D12" i="47"/>
  <c r="G13" i="47"/>
  <c r="D62" i="47" l="1"/>
  <c r="M67" i="31"/>
  <c r="O66" i="31"/>
  <c r="O67" i="31" s="1"/>
  <c r="J156" i="45" l="1"/>
  <c r="J41" i="45"/>
  <c r="J154" i="45"/>
  <c r="J56" i="45"/>
</calcChain>
</file>

<file path=xl/sharedStrings.xml><?xml version="1.0" encoding="utf-8"?>
<sst xmlns="http://schemas.openxmlformats.org/spreadsheetml/2006/main" count="2085" uniqueCount="774">
  <si>
    <t>ITEM</t>
  </si>
  <si>
    <t>UN.</t>
  </si>
  <si>
    <t>TAXA</t>
  </si>
  <si>
    <t>ALTURA</t>
  </si>
  <si>
    <t>TOTAL</t>
  </si>
  <si>
    <t>1.0</t>
  </si>
  <si>
    <t>SERVIÇOS PRELIMINARES</t>
  </si>
  <si>
    <t>1.1</t>
  </si>
  <si>
    <t>m²</t>
  </si>
  <si>
    <t>2.0</t>
  </si>
  <si>
    <t>2.1</t>
  </si>
  <si>
    <t>2.2</t>
  </si>
  <si>
    <t>CÓDIGO</t>
  </si>
  <si>
    <t>PLANILHA ORÇAMENTÁRIA</t>
  </si>
  <si>
    <t>ESQUADRIAS</t>
  </si>
  <si>
    <t>PINTURA</t>
  </si>
  <si>
    <t>INSTALAÇÕES ELÉTRICAS</t>
  </si>
  <si>
    <t>un</t>
  </si>
  <si>
    <t>Área</t>
  </si>
  <si>
    <t>Total</t>
  </si>
  <si>
    <t>m³</t>
  </si>
  <si>
    <t>m</t>
  </si>
  <si>
    <t>MEMÓRIA DE CÁLCULO EXPLICATIVO</t>
  </si>
  <si>
    <t>2.3</t>
  </si>
  <si>
    <t>1.1.1</t>
  </si>
  <si>
    <t>Pilares</t>
  </si>
  <si>
    <t>Quantidade</t>
  </si>
  <si>
    <t xml:space="preserve">Discriminação: </t>
  </si>
  <si>
    <t>Unidade</t>
  </si>
  <si>
    <t>Preço Unitário Custo</t>
  </si>
  <si>
    <t>Composição</t>
  </si>
  <si>
    <t>COMPOSIÇÕES DE CUSTO UNITÁRIOS COMPLEMENTARES</t>
  </si>
  <si>
    <t>COBERTURA</t>
  </si>
  <si>
    <t>COMP.</t>
  </si>
  <si>
    <t>LARG.</t>
  </si>
  <si>
    <t>REFERÊNCIA</t>
  </si>
  <si>
    <t>DESCRIÇÃO DOS SERVIÇOS</t>
  </si>
  <si>
    <t>SINAPI</t>
  </si>
  <si>
    <t>TOTAL GERAL</t>
  </si>
  <si>
    <t>RESUMO DO ORÇAMENTO</t>
  </si>
  <si>
    <t>CRONOGRAMA FÍSICO FINANCEIRO</t>
  </si>
  <si>
    <t>ETAPA</t>
  </si>
  <si>
    <t>SERVIÇO</t>
  </si>
  <si>
    <t>TOTAL ETAPA (R$)</t>
  </si>
  <si>
    <t>TOTAIS PARCIAIS</t>
  </si>
  <si>
    <t>TOTAIS ACUMULADOS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</si>
  <si>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</si>
  <si>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</si>
  <si>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</si>
  <si>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</si>
  <si>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</si>
  <si>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</si>
  <si>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</si>
  <si>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</si>
  <si>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</si>
  <si>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</si>
  <si>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COFINS</t>
  </si>
  <si>
    <t>ISS (**)</t>
  </si>
  <si>
    <t>ISS</t>
  </si>
  <si>
    <t>PIS</t>
  </si>
  <si>
    <t>CONTRIBUIÇÃO PREVIDENCIÁRIA SOBRE RECEITA BRUTA (***)</t>
  </si>
  <si>
    <t>CPRB</t>
  </si>
  <si>
    <t>*</t>
  </si>
  <si>
    <t>I</t>
  </si>
  <si>
    <t>Taxa de Lucro</t>
  </si>
  <si>
    <t>L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</si>
  <si>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</si>
  <si>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</si>
  <si>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</si>
  <si>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</si>
  <si>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</si>
  <si>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t>Fórmula BDI conforme Acórdão TCU 325/2007:</t>
  </si>
  <si>
    <t>COMPOSIÇÃO DE BDI PARA SERVIÇOS GERAIS DE EDIFICAÇÕES</t>
  </si>
  <si>
    <t>med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</si>
  <si>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</si>
  <si>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</si>
  <si>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</si>
  <si>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t>Taxa de Seguro e Taxa de Garantia</t>
  </si>
  <si>
    <t>S + G</t>
  </si>
  <si>
    <t>*med=min</t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</si>
  <si>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</si>
  <si>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t xml:space="preserve">Taxa de Tributos (Soma dos itens COFINS, ISS, PIS e CPRB) </t>
  </si>
  <si>
    <t>min-med</t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</si>
  <si>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</si>
  <si>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</si>
  <si>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</si>
  <si>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VALOR TOTAL (R$)</t>
  </si>
  <si>
    <t>COMPOSIÇÃO</t>
  </si>
  <si>
    <t>COMP-001</t>
  </si>
  <si>
    <t>Fossa</t>
  </si>
  <si>
    <t>REVESTIMENTOS</t>
  </si>
  <si>
    <t>V. UNIT. S/BDI</t>
  </si>
  <si>
    <t>V. UNIT. C/BDI</t>
  </si>
  <si>
    <t>UN</t>
  </si>
  <si>
    <t>SINAPI-I</t>
  </si>
  <si>
    <t>WC Feminino</t>
  </si>
  <si>
    <t>WC Masculino</t>
  </si>
  <si>
    <t xml:space="preserve">Fonte </t>
  </si>
  <si>
    <t>Código</t>
  </si>
  <si>
    <t>Coeficiente</t>
  </si>
  <si>
    <t>Custo
Unitário</t>
  </si>
  <si>
    <t>Custo
Total</t>
  </si>
  <si>
    <t>M</t>
  </si>
  <si>
    <t>H</t>
  </si>
  <si>
    <t>SERVENTE COM ENCARGOS COMPLEMENTARES</t>
  </si>
  <si>
    <t>OK</t>
  </si>
  <si>
    <t>COMP-002</t>
  </si>
  <si>
    <t>CAIXA OCTOGONAL 3" X 3", PVC, INSTALADA EM LAJE - FORNECIMENTO E INSTALAÇÃO. AF_12/2015</t>
  </si>
  <si>
    <t>COMP-003</t>
  </si>
  <si>
    <t>COMP-004</t>
  </si>
  <si>
    <t>COMP-005</t>
  </si>
  <si>
    <t>88247</t>
  </si>
  <si>
    <t>ELETRICISTA COM ENCARGOS COMPLEMENTARES</t>
  </si>
  <si>
    <t>COMP-006</t>
  </si>
  <si>
    <t>2.2.1</t>
  </si>
  <si>
    <t>2.2.2</t>
  </si>
  <si>
    <t>2.2.3</t>
  </si>
  <si>
    <t>2.2.4</t>
  </si>
  <si>
    <t>2.2.5</t>
  </si>
  <si>
    <t>2.3.1</t>
  </si>
  <si>
    <t>2.3.2</t>
  </si>
  <si>
    <t>4.2.3</t>
  </si>
  <si>
    <t>SEINFRA</t>
  </si>
  <si>
    <t xml:space="preserve">TRAMA DE MADEIRA COMPOSTA POR RIPAS, CAIBROS E TERÇAS PARA TELHADOS DE ATÉ 2 ÁGUAS PARA TELHA CERÂMICA CAPA-CANAL, INCLUSO TRANSPORTE VERTICAL. </t>
  </si>
  <si>
    <t>2.4</t>
  </si>
  <si>
    <t>2.4.1</t>
  </si>
  <si>
    <t>2.4.2</t>
  </si>
  <si>
    <t>AJUDANTE DE CARPINTEIRO COM ENCARGOS COMPLEMENTARES</t>
  </si>
  <si>
    <t>KG</t>
  </si>
  <si>
    <t>QUANT.</t>
  </si>
  <si>
    <t>BDI Ñ DESON</t>
  </si>
  <si>
    <t>(BDI padrão Edificações sem CPRB considerando M.O. de 40%)</t>
  </si>
  <si>
    <t>COMPOSIÇÃO DE B.D.I. – BONIFICAÇÃO E DESPESAS INDIRETAS - SEM DESONERAÇÃO</t>
  </si>
  <si>
    <t>TOTAL GLOBAL</t>
  </si>
  <si>
    <t>REPRESEN-
TATIVIDADE</t>
  </si>
  <si>
    <t>APLICAÇÃO MANUAL DE PINTURA COM TINTA LÁTEX ACRÍLICA EM PAREDES, DUAS DEMÃOS. AF_06/2014</t>
  </si>
  <si>
    <t>APLICAÇÃO MANUAL DE PINTURA COM TINTA LÁTEX ACRÍLICA EM TETO, DUAS DEMÃOS. AF_06/2014</t>
  </si>
  <si>
    <t>Hall</t>
  </si>
  <si>
    <t>LOCALIZAÇÃO: LIMOEIRO - PE</t>
  </si>
  <si>
    <t>Quant.</t>
  </si>
  <si>
    <t>PERCENT.</t>
  </si>
  <si>
    <t>VALOR</t>
  </si>
  <si>
    <t>PAISAGISMO</t>
  </si>
  <si>
    <t>PLANTIO DE GRAMA ESMERALDA OU SÃO CARLOS OU CURITIBANA, EM PLACAS. AF_ 05/2022</t>
  </si>
  <si>
    <t>COTAÇÃO</t>
  </si>
  <si>
    <t>SINAPI I</t>
  </si>
  <si>
    <t>SINAPI C</t>
  </si>
  <si>
    <t>88316</t>
  </si>
  <si>
    <t>PISO/ PASSEIO</t>
  </si>
  <si>
    <t>Comp.</t>
  </si>
  <si>
    <t>ALVENARIA DE VEDAÇÃO</t>
  </si>
  <si>
    <t>INFRAESTRUTURA</t>
  </si>
  <si>
    <t>SUPERESTRUTURA</t>
  </si>
  <si>
    <t>MOVIMENTAÇÃO DE TERRA</t>
  </si>
  <si>
    <t>ALVENARIA DE VEDAÇÃO DE BLOCOS CERÂMICOS FURADOS NA HORIZONTAL DE 9X19 X29 CM (ESPESSURA 9 CM) E ARGAMASSA DE ASSENTAMENTO COM PREPARO EM BETONEIRA. AF_12/2021</t>
  </si>
  <si>
    <t>Altura</t>
  </si>
  <si>
    <t>Compr.</t>
  </si>
  <si>
    <t>ALVENARIA DE EMBASAMENTO COM BLOCO ESTRUTURAL DE CERÂMICA, DE 14X19X29 CM E ARGAMASSA DE ASSENTAMENTO COM PREPARO EM BETONEIRA. AF_05/2020</t>
  </si>
  <si>
    <t>Alt.</t>
  </si>
  <si>
    <t>Larg.</t>
  </si>
  <si>
    <t>CONCRETO FCK = 25MPA, TRAÇO 1:2,3:2,7 (EM MASSA SECA DE CIMENTO/ AREIA MÉDIA/ BRITA 1) - PREPARO MECÂNICO COM BETONEIRA 400 L. AF_05/2021</t>
  </si>
  <si>
    <t>CONCRETAGEM DE PILARES, FCK = 25 MPA, COM USO DE BALDES - LANÇAMENTO, ADENSAMENTO E ACABAMENTO. AF_02/2022</t>
  </si>
  <si>
    <t>CONCRETAGEM DE VIGAS E LAJES, FCK=25 MPA, PARA LAJES PREMOLDADAS COM USO DE BOMBA - LANÇAMENTO, ADENSAMENTO E ACABAMENTO. AF_02/2022</t>
  </si>
  <si>
    <t>C2796</t>
  </si>
  <si>
    <t>ESCAVAÇÃO MECÂNICA SOLO DE 2A.CAT. PROF. ATÉ 2.00m</t>
  </si>
  <si>
    <t>REATERRO MANUAL APILOADO COM SOQUETE. AF_10/2017</t>
  </si>
  <si>
    <t>SINAPI - I</t>
  </si>
  <si>
    <t>PLACA DE OBRA (PARA CONSTRUCAO CIVIL) EM CHAPA GALVANIZADA *N. 22*, ADESIVADA DE *2,4 X 1,2* M (SEM POSTES PARA FIXACAO)</t>
  </si>
  <si>
    <t>C1630</t>
  </si>
  <si>
    <t>LOCAÇÃO DA OBRA - EXECUÇÃO DE GABARITO</t>
  </si>
  <si>
    <t>C2316</t>
  </si>
  <si>
    <t xml:space="preserve">TAPUME DE CHAPA DE MADEIRA COMPENSADA E= 6mm C/ABERTURA E PORTÃO </t>
  </si>
  <si>
    <t>Tapume p/ todo o terreno</t>
  </si>
  <si>
    <t>Taxa</t>
  </si>
  <si>
    <t>TRAMA DE MADEIRA COMPOSTA POR TERÇAS PARA TELHADOS DE ATÉ 2 ÁGUAS PARA TELHA ONDULADA DE FIBROCIMENTO, METÁLICA, PLÁSTICA OU TERMOACÚSTICA, INCLUSO TRANSPORTE VERTICAL. AF_07/2019</t>
  </si>
  <si>
    <t>TELHAMENTO COM TELHA ESTRUTURAL DE FIBROCIMENTO E= 8 MM, COM ATÉ 2 ÁGUAS, INCLUSO IÇAMENTO. AF_07/2019_P</t>
  </si>
  <si>
    <t>C1904</t>
  </si>
  <si>
    <t>PINGADOR METÁLICO/ALUMÍNIO ( 1 X 1)cm P/ FACHADAS</t>
  </si>
  <si>
    <t>CALHA EM CHAPA DE AÇO GALVANIZADO NÚMERO 24, DESENVOLVIMENTO DE 50 CM, INCLUSO TRANSPORTE VERTICAL. AF_07/2019</t>
  </si>
  <si>
    <t>IMPERMEABILIZAÇÃO</t>
  </si>
  <si>
    <t>IMPERMEABILIZAÇÃO DE SUPERFÍCIE COM EMULSÃO ASFÁLTICA, 2 DEMÃOS AF_06/2018</t>
  </si>
  <si>
    <t xml:space="preserve">SOLEIRA EM GRANITO, LARGURA 15 CM, ESPESSURA 2,0 CM. AF_09/2020 </t>
  </si>
  <si>
    <t>CHAPISCO APLICADO EM ALVENARIAS E ESTRUTURAS DE CONCRETO INTERNAS, COM COLHER DE PEDREIRO. ARGAMASSA TRAÇO 1:3 COM PREPARO EM BETONEIRA 400 L. AF_06/2014</t>
  </si>
  <si>
    <t>CHAPISCO APLICADO EM ALVENARIA (COM PRESENÇA DE VÃOS) E ESTRUTURAS DE CONCRETO DE FACHADA, COM COLHER DE PEDREIRO. ARGAMASSA TRAÇO 1:3 COM  PREPARO EM BETONEIRA 400L. AF_06/2014</t>
  </si>
  <si>
    <t>EMBOÇO, PARA RECEBIMENTO DE CERÂMICA, EM ARGAMASSA TRAÇO 1:2:8, PREPARO MECÂNICO COM BETONEIRA 400L, APLICADO MANUALMENTE EM FACES INTERNAS DE PAREDES, PARA AMBIENTE COM ÁREA ENTRE 5M2 E 10M2, ESPESSURA DE 20MM , COM EXECUÇÃO DE TALISCAS. AF_06/2014</t>
  </si>
  <si>
    <t>EMBOÇO OU MASSA ÚNICA EM ARGAMASSA TRAÇO 1:2:8, PREPARO MECÂNICO COM BETONEIRA 400 L, APLICADA MANUALMENTE EM PANOS DE FACHADA COM PRESENÇA
 DE VÃOS, ESPESSURA DE 25 MM. AF_08/2022</t>
  </si>
  <si>
    <t xml:space="preserve">*FONTE DA COMPOSIÇÃO SINAPI 87265 </t>
  </si>
  <si>
    <t>1381</t>
  </si>
  <si>
    <t xml:space="preserve"> ARGAMASSA COLANTE AC I PARA CERAMICAS</t>
  </si>
  <si>
    <t>kg</t>
  </si>
  <si>
    <t>34357</t>
  </si>
  <si>
    <t xml:space="preserve"> REJUNTE CIMENTICIO, QUALQUER COR</t>
  </si>
  <si>
    <t xml:space="preserve">88256 </t>
  </si>
  <si>
    <t>AZULEJISTA OU LADRILHISTA COM ENCARGOS COMPLEMENTARES</t>
  </si>
  <si>
    <t>h</t>
  </si>
  <si>
    <t xml:space="preserve"> SERVENTE COM ENCARGOS COMPLEMENTARES </t>
  </si>
  <si>
    <t>536</t>
  </si>
  <si>
    <t>REVESTIMENTO EM CERAMICA ESMALTADA EXTRA, PEI MENOR OU IGUAL A 3, FORMATO MENOR OU IGUAL A 2025 CM2</t>
  </si>
  <si>
    <t>ALT.</t>
  </si>
  <si>
    <t>Perím.</t>
  </si>
  <si>
    <t>COMP-008</t>
  </si>
  <si>
    <t>*FONTE DA COMPOSIÇÃO SINAPI 88786</t>
  </si>
  <si>
    <t>37596</t>
  </si>
  <si>
    <t xml:space="preserve"> ARGAMASSA COLANTE TIPO AC III E </t>
  </si>
  <si>
    <t>REVESTIMENTO CERÂMICO COM PLACAS TIPO ESMALTADA EXTRA DE DIMENSÕES 10X10</t>
  </si>
  <si>
    <t>FORRO</t>
  </si>
  <si>
    <t>Quant</t>
  </si>
  <si>
    <t>KIT DE PORTA DE MADEIRA PARA PINTURA, SEMI-OCA (LEVE OU MÉDIA), PADRÃO MÉDIO, 90X210CM, ESPESSURA DE 3,5CM, ITENS INCLUSOS: DOBRADIÇAS, MONTAGEM E INSTALAÇÃO DO BATENTE, FECHADURA COM EXECUÇÃO DO FURORNECIMENTO E INST ALAÇÃO. AF_12/2019</t>
  </si>
  <si>
    <t xml:space="preserve">SERVENTE COM ENCARGOS COMPLEMENTARES </t>
  </si>
  <si>
    <t>Larg</t>
  </si>
  <si>
    <t>JANELA DE ALUMÍNIO DE CORRER COM 2 FOLHAS PARA VIDROS, COM VIDROS, BATENTE, ACABAMENTO COM ACETATO OU BRILHANTE E FERRAGENS. EXCLUSIVE ALIZAR E CONTRAMARCO. FORNECIMENTO E INSTALAÇÃO. AF_12/2019</t>
  </si>
  <si>
    <t>CONTRAMARCO DE ALUMÍNIO, FIXAÇÃO COM PARAFUSO - FORNECIMENTO E INSTALAÇÃO. AF_12/2019</t>
  </si>
  <si>
    <t xml:space="preserve">C1207 </t>
  </si>
  <si>
    <t>APLICAÇÃO MANUAL DE FUNDO SELADOR ACRÍLICO EM PAREDES EXTERNAS DE CASAS. AF_06/2014</t>
  </si>
  <si>
    <t>EMASSAMENTO DE PAREDES EXTERNAS 2 DEMÃOS C/MASSA ACRÍLICA</t>
  </si>
  <si>
    <t>APLICAÇÃO MASSA ACRÍLICA PARA MADEIRA, PARA PINTURA COM TINTA DE ACABAMENTO (PIGMENTADA). AF_01/2021</t>
  </si>
  <si>
    <t>PINTURA TINTA DE ACABAMENTO (PIGMENTADA) A ÓLEO EM MADEIRA, 1 DEMÃO. AF_01/2021</t>
  </si>
  <si>
    <t>PINTURA COM TINTA ALQUÍDICA DE ACABAMENTO (ESMALTE SINTÉTICO ACETINADO) APLICADA A ROLO OU PINCEL SOBRE PERFIL METÁLICO EXECUTADO EM FÁBRICA  (POR DEMÃO). AF_01/2020</t>
  </si>
  <si>
    <t>LOUÇAS, METAIS E MARMOARIA</t>
  </si>
  <si>
    <t>*FONTE DA COMPOSIÇÃO SINAPI 100702</t>
  </si>
  <si>
    <t>PORTAO DE CORRER EM GRADIL FIXO DE BARRA DE FERRO CHATA DE 3 X 1/4" NA VERTICAL, SEM REQUADRO, ACABAMENTO NATURAL, COM TRILHOS E ROLDANAS</t>
  </si>
  <si>
    <t>37562</t>
  </si>
  <si>
    <t>88309</t>
  </si>
  <si>
    <t xml:space="preserve"> PEDREIRO COM ENCARGOS COMPLEMENTARESCOMPLEMENTARES</t>
  </si>
  <si>
    <t>VASO SANITARIO SIFONADO CONVENCIONAL COM LOUÇA BRANCA - FORNECIMENTO E INSTALAÇÃO. AF_01/2020</t>
  </si>
  <si>
    <t>ASSENTO SANITÁRIO CONVENCIONAL - FORNECIMENTO E INSTALACAO. AF_01/2020</t>
  </si>
  <si>
    <t xml:space="preserve">MANOPLA E CANOPLA CROMADA FORNECIMENTO E INSTALAÇÃO. AF_01/2020 </t>
  </si>
  <si>
    <t xml:space="preserve">C1619 </t>
  </si>
  <si>
    <t>LAVATÓRIO DE LOUÇA BRANCA S/COLUNA C/TORNEIRA E ACESSÓRIOS</t>
  </si>
  <si>
    <t>RALO SIFONADO, PVC, DN 100 X 40 MM, JUNTA SOLDÁVEL, FORNECIDO E INSTALADO EM RAMAL DE DESCARGA OU EM RAMAL DE ESGOTO SANITÁRIO. AF_08/2022</t>
  </si>
  <si>
    <t>PAPELEIRA DE PAREDE EM METAL CROMADO SEM TAMPA, INCLUSO FIXAÇÃO. AF_01/2020</t>
  </si>
  <si>
    <t>SABONETEIRA PLASTICA TIPO DISPENSER PARA SABONETE LIQUIDO COM RESERVATORIO 800 A 1500 ML, INCLUSO FIXAÇÃO. AF_01/2020</t>
  </si>
  <si>
    <t>C4825</t>
  </si>
  <si>
    <t>PORTA PAPEL TOALHA (DISPENSER)EM ABS</t>
  </si>
  <si>
    <t xml:space="preserve">AUXILIAR DE ELETRICISTA COM ENCARGOS COMPLEMENTARES </t>
  </si>
  <si>
    <t xml:space="preserve">88264 </t>
  </si>
  <si>
    <t xml:space="preserve">*FONTE DA COMPOSIÇÃO SINAPI 103782 </t>
  </si>
  <si>
    <t>LUMINARIA LED PLAFON QUADRADA DE EMBUTIR 12/13 W</t>
  </si>
  <si>
    <t>LUMINÁRIA TIPO PLAFON QUADRADA, DE EMBUTIR, COM LED DE 12/13 W - FORNECIMENTO E INSTALAÇÃO.</t>
  </si>
  <si>
    <t>C1479</t>
  </si>
  <si>
    <t>INTERRUPTOR DUAS TECLAS SIMPLES 10A 250V</t>
  </si>
  <si>
    <t>TOMADA BAIXA DE EMBUTIR (2 MÓDULOS), 2P+T 10 A, INCLUINDO SUPORTE E PLACA - FORNECIMENTO E INSTALAÇÃO. AF_12/2015</t>
  </si>
  <si>
    <t>TOMADA MÉDIA DE EMBUTIR (2 MÓDULOS), 2P+T 10 A, INCLUINDO SUPORTE E PLACA - FORNECIMENTO E INSTALAÇÃO. AF_12/2015</t>
  </si>
  <si>
    <t>ARMAÇÃO DE BLOCO, VIGA BALDRAME OU SAPATA UTILIZANDO AÇO CA-50 DE 10 MM - MONTAGEM. AF_06/2017</t>
  </si>
  <si>
    <t>Kg/m</t>
  </si>
  <si>
    <t>ARMAÇÃO DE BLOCO, VIGA BALDRAME OU SAPATA UTILIZANDO AÇO CA-50 DE 8 MM - MONTAGEM. AF_06/2017</t>
  </si>
  <si>
    <t>Comp. Por unidade (m)</t>
  </si>
  <si>
    <t>ARMAÇÃO DE BLOCO, VIGA BALDRAME OU SAPATA UTILIZANDO AÇO CA-50 DE 6,3 MM - MONTAGEM. AF_06/2017</t>
  </si>
  <si>
    <t>FABRICAÇÃO, MONTAGEM E DESMONTAGEM DE FÔRMA PARA VIGA BALDRAME, EM MADEIRA SERRADA, E=25 MM, 4 UTILIZAÇÕES. AF_06/2017</t>
  </si>
  <si>
    <t>ARMAÇÃO DE PILAR OU VIGA DE ESTRUTURA DE CONCRETO ARMADO EMBUTIDA EM ALVENARIA DE VEDAÇÃO UTILIZANDO AÇO CA-50 DE 10,0 MM - MONTAGEM. AF_06/ 2022</t>
  </si>
  <si>
    <t>ARMAÇÃO DE PILAR OU VIGA DE ESTRUTURA DE CONCRETO ARMADO EMBUTIDA EM ALVENARIA DE VEDAÇÃO UTILIZANDO AÇO CA-50 DE 6,3 MM - MONTAGEM. AF_06/2 022</t>
  </si>
  <si>
    <t>Quant. Por peça</t>
  </si>
  <si>
    <t>Quant. De peças</t>
  </si>
  <si>
    <t>Comp. Por peça (m)</t>
  </si>
  <si>
    <t>kg/m</t>
  </si>
  <si>
    <t>Quant. De Peças</t>
  </si>
  <si>
    <t>Quant. Kg total</t>
  </si>
  <si>
    <t>FABRICAÇÃO DE FÔRMA PARA VIGAS, COM MADEIRA SERRADA, E = 25 MM. AF_09/2020</t>
  </si>
  <si>
    <t>MONTAGEM E DESMONTAGEM DE FÔRMA DE PILARES RETANGULARES E ESTRUTURAS SIMILARES, PÉ-DIREITO SIMPLES, EM MADEIRA SERRADA, 4 UTILIZAÇÕES. AF_09
 /2020</t>
  </si>
  <si>
    <t>*FONTE DA COMPOSIÇÃO SINAPI 92448</t>
  </si>
  <si>
    <t xml:space="preserve">2692 </t>
  </si>
  <si>
    <t>DESMOLDANTE PROTETOR PARA FORMAS DE MADEIRA, DE BASE OLEOSA EMULSIONADA EM ÁGUA</t>
  </si>
  <si>
    <t>TABUA NAO APARELHADA *2,5 X 20* CM, EM MACARANDUBA, ANGELIM OU EQUIVALENTE DA REGIAO - BRUTA</t>
  </si>
  <si>
    <t>6193</t>
  </si>
  <si>
    <t>PREGO DE ACO POLIDO COM CABECA DUPLA 17 X 27 (2 1/2 X 11)</t>
  </si>
  <si>
    <t xml:space="preserve">88239 </t>
  </si>
  <si>
    <t>MONTAGEM E DESMONTAGEM DE FÔRMA DE VIGA, PÉ-DIREITO SIMPLES, EM MADEIRA SERRADA, 4 UTILIZAÇÕES</t>
  </si>
  <si>
    <t xml:space="preserve">40304 </t>
  </si>
  <si>
    <t>88262</t>
  </si>
  <si>
    <t xml:space="preserve"> CARPINTEIRO DE FORMAS COM ENCARGOS COMPLEMENTARES</t>
  </si>
  <si>
    <t>92270</t>
  </si>
  <si>
    <t>M²</t>
  </si>
  <si>
    <t>VERGA PRÉ-MOLDADA PARA JANELAS COM ATÉ 1,5 M DE VÃO. AF_03/2016</t>
  </si>
  <si>
    <t xml:space="preserve">VERGA PRÉ-MOLDADA PARA PORTAS COM ATÉ 1,5 M DE VÃO. AF_03/2016 </t>
  </si>
  <si>
    <t>CONTRAVERGA PRÉ-MOLDADA PARA VÃOS DE ATÉ 1,5 M DE COMPRIMENTO. 016</t>
  </si>
  <si>
    <t>quant.</t>
  </si>
  <si>
    <t>LASTRO DE CONCRETO MAGRO, APLICADO EM BLOCOS DE COROAMENTO OU SAPATAS, ESPESSURA DE 5 CM. AF_08/2017</t>
  </si>
  <si>
    <t>1.2</t>
  </si>
  <si>
    <t>1.3</t>
  </si>
  <si>
    <t>1º mês</t>
  </si>
  <si>
    <t>2º mês</t>
  </si>
  <si>
    <t>3º mês</t>
  </si>
  <si>
    <t>4º mês</t>
  </si>
  <si>
    <t>5º mês</t>
  </si>
  <si>
    <t>6º mês</t>
  </si>
  <si>
    <t>Locação</t>
  </si>
  <si>
    <t>ALVENARIA DE VEDAÇÃO COM ELEMENTO VAZADO DE CONCRETO (COBOGÓ) DE 7X50X50CM E ARGAMASSA DE ASSENTAMENTO COM PREPARO EM BETONEIRA. AF_05/2020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</si>
  <si>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</si>
  <si>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RUFO/ALGEIROZ EM CONCRETO PRÉ-MOLDADO L=30CM </t>
  </si>
  <si>
    <t xml:space="preserve">C3652 </t>
  </si>
  <si>
    <t>CONTRAPISO EM ARGAMASSA TRAÇO 1:4 (CIMENTO E AREIA), PREPARO MECÂNICO COM BETONEIRA 400 L, APLICADO EM ÁREAS SECAS SOBRE LAJE, ADERIDO, ACABAMENTO NÃO REFORÇADO, ESPESSURA 2CM. AF_07/2021</t>
  </si>
  <si>
    <t>C0330</t>
  </si>
  <si>
    <t>ATERRO C/COMPACTAÇÃO MANUAL S/CONTROLE, MAT. C/AQUISIÇÃO</t>
  </si>
  <si>
    <t>C1043</t>
  </si>
  <si>
    <t>DEMOLIÇÃO DE ALVENARIA DE TIJOLOS S/ REAPROVEITAMENTO</t>
  </si>
  <si>
    <t>Área de ampliação</t>
  </si>
  <si>
    <t>Consultório 1</t>
  </si>
  <si>
    <t>Consultório 2</t>
  </si>
  <si>
    <t>Parede entre consultorio 1 e 2</t>
  </si>
  <si>
    <t>Parede entre WC feminino e WC masculino</t>
  </si>
  <si>
    <t>WC acessível</t>
  </si>
  <si>
    <t>DML</t>
  </si>
  <si>
    <t>Hall + sala de curativo</t>
  </si>
  <si>
    <t>Alvenaria de embasamento</t>
  </si>
  <si>
    <t>Cinta</t>
  </si>
  <si>
    <t>REFORMA</t>
  </si>
  <si>
    <t>AMPLIAÇÃO</t>
  </si>
  <si>
    <t>1.1.2</t>
  </si>
  <si>
    <t>1.1.3</t>
  </si>
  <si>
    <t>1.2.1</t>
  </si>
  <si>
    <t>1.2.2</t>
  </si>
  <si>
    <t>1.2.3</t>
  </si>
  <si>
    <t>1.3.1</t>
  </si>
  <si>
    <t>1.3.2</t>
  </si>
  <si>
    <t>1.3.3</t>
  </si>
  <si>
    <t>1.3.4</t>
  </si>
  <si>
    <t>1.3.5</t>
  </si>
  <si>
    <t>1.3.6</t>
  </si>
  <si>
    <t>1.4</t>
  </si>
  <si>
    <t>1.4.2</t>
  </si>
  <si>
    <t>1.4.3</t>
  </si>
  <si>
    <t>1.4.4</t>
  </si>
  <si>
    <t>1.4.5</t>
  </si>
  <si>
    <t>1.4.6</t>
  </si>
  <si>
    <t>1.5</t>
  </si>
  <si>
    <t>1.5.1</t>
  </si>
  <si>
    <t>1.5.2</t>
  </si>
  <si>
    <t>1.5.3</t>
  </si>
  <si>
    <t>1.5.4</t>
  </si>
  <si>
    <t>1.5.5</t>
  </si>
  <si>
    <t>1.6</t>
  </si>
  <si>
    <t>1.6.1</t>
  </si>
  <si>
    <t>1.7</t>
  </si>
  <si>
    <t>1.7.1</t>
  </si>
  <si>
    <t>1.7.2</t>
  </si>
  <si>
    <t>1.7.4</t>
  </si>
  <si>
    <t>1.7.5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</si>
  <si>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</si>
  <si>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</si>
  <si>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</si>
  <si>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</si>
  <si>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</si>
  <si>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</si>
  <si>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</si>
  <si>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</si>
  <si>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</si>
  <si>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1.9</t>
  </si>
  <si>
    <t>1.9.1</t>
  </si>
  <si>
    <t>1.9.2</t>
  </si>
  <si>
    <t>1.9.3</t>
  </si>
  <si>
    <t>1.9.4</t>
  </si>
  <si>
    <t>1.10</t>
  </si>
  <si>
    <t>1.10.1</t>
  </si>
  <si>
    <t>1.11</t>
  </si>
  <si>
    <t>1.11.1</t>
  </si>
  <si>
    <t>1.11.2</t>
  </si>
  <si>
    <t>1.11.3</t>
  </si>
  <si>
    <t>1.11.4</t>
  </si>
  <si>
    <t>1.11.5</t>
  </si>
  <si>
    <t>1.12</t>
  </si>
  <si>
    <t>1.12.1</t>
  </si>
  <si>
    <t>1.12.3</t>
  </si>
  <si>
    <t>1.12.4</t>
  </si>
  <si>
    <t>1.12.5</t>
  </si>
  <si>
    <t>1.12.6</t>
  </si>
  <si>
    <t>1.12.7</t>
  </si>
  <si>
    <t>1.12.8</t>
  </si>
  <si>
    <t>1.13</t>
  </si>
  <si>
    <t>1.13.1</t>
  </si>
  <si>
    <t>1.13.2</t>
  </si>
  <si>
    <t>1.13.4</t>
  </si>
  <si>
    <t>1.13.5</t>
  </si>
  <si>
    <t>1.13.6</t>
  </si>
  <si>
    <t>1.13.7</t>
  </si>
  <si>
    <t>1.13.8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</si>
  <si>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</si>
  <si>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</si>
  <si>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</si>
  <si>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</si>
  <si>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</si>
  <si>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</si>
  <si>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</si>
  <si>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</si>
  <si>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1.15</t>
  </si>
  <si>
    <t>1.15.1</t>
  </si>
  <si>
    <t>1.16</t>
  </si>
  <si>
    <t>1.16.1</t>
  </si>
  <si>
    <t>2.5</t>
  </si>
  <si>
    <t>2.5.1</t>
  </si>
  <si>
    <t>2.6</t>
  </si>
  <si>
    <t>2.6.1</t>
  </si>
  <si>
    <t>2.7</t>
  </si>
  <si>
    <t>2.7.1</t>
  </si>
  <si>
    <t>Vigas</t>
  </si>
  <si>
    <t>1.5.6</t>
  </si>
  <si>
    <t>WC feminino</t>
  </si>
  <si>
    <t>WC masculino</t>
  </si>
  <si>
    <t>Janelas de 0,80x0,50</t>
  </si>
  <si>
    <t>Portas de 0,90x2,10</t>
  </si>
  <si>
    <t>Portas 0,80x2,10</t>
  </si>
  <si>
    <t>Janelas de 1,20x1,00</t>
  </si>
  <si>
    <t>Sala de curativos</t>
  </si>
  <si>
    <t>Área de desconto janela/cobogó</t>
  </si>
  <si>
    <t>Área de desconto de portas</t>
  </si>
  <si>
    <t>Desconto</t>
  </si>
  <si>
    <t>Perímetro da área externa</t>
  </si>
  <si>
    <t>Perímetro</t>
  </si>
  <si>
    <t>Desconto janelas e cobogós</t>
  </si>
  <si>
    <t>Desconto (considerando a faixa vermelha)</t>
  </si>
  <si>
    <t>EMBOÇO, PARA RECEBIMENTO DE CERÂMICA, EM ARGAMASSA TRAÇO 1:2:8, PREPARO MANUAL, APLICADO MANUALMENTE EM FACES INTERNAS DE PAREDES, PARA AMBIENTE COM ÁREA MENOR QUE 5M2, ESPESSURA DE 20MM, COM EXECUÇÃO DE TALISCAS. AF_06/2014</t>
  </si>
  <si>
    <t>EMBOÇO OU MASSA ÚNICA EM ARGAMASSA TRAÇO 1:2:8, PREPARO MECÂNICO COM BETONEIRA 400 L, APLICADA MANUALMENTE EM PANOS DE FACHADA COM PRESENÇA DE VÃOS, ESPESSURA DE 25 MM. AF_08/2022</t>
  </si>
  <si>
    <t>1.9.5</t>
  </si>
  <si>
    <t>Banheiro acessível, WC feminino, WC masculino, hall, sala de curativos e DML</t>
  </si>
  <si>
    <t>Consultórios 1 e 2</t>
  </si>
  <si>
    <t>De acordo com o projeto de coberta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</si>
  <si>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</si>
  <si>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LASTRO DE CONCRETO MAGRO, APLICADO EM PISOS, LAJES SOBRE SOLO OU RADIERS, ESPESSURA DE 5 CM. AF_07/2016</t>
  </si>
  <si>
    <t>1.9.6</t>
  </si>
  <si>
    <t>CONTRAPISO EM ARGAMASSA TRAÇO 1:4 (CIMENTO E AREIA), PREPARO MECÂNICO COM BETONEIRA 400 L, APLICADO EM ÁREAS MOLHADAS SOBRE LAJE, ADERIDO, ACABAMENTO NÃO REFORÇADO, ESPESSURA 2CM. AF_07/2021</t>
  </si>
  <si>
    <t>C1494</t>
  </si>
  <si>
    <t>INTERRUPTOR UMA TECLA SIMPLES 10A 250V</t>
  </si>
  <si>
    <t>1.14.8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</si>
  <si>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</si>
  <si>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Rampa de entrada</t>
  </si>
  <si>
    <t>TOMADA ALTA DE EMBUTIR (1 MÓDULO), 2P+T 20 A, INCLUINDO SUPORTE E PLACA - FORNECIMENTO E INSTALAÇÃO. AF_12/2015</t>
  </si>
  <si>
    <t>Área frontal</t>
  </si>
  <si>
    <t>Capiaço</t>
  </si>
  <si>
    <t>Abertura de porta da parte antiga para a parte nova</t>
  </si>
  <si>
    <t>Janela consultório 1</t>
  </si>
  <si>
    <t>Janela consultório 2</t>
  </si>
  <si>
    <t>Janela WC feminino</t>
  </si>
  <si>
    <t>Janela WC masculino</t>
  </si>
  <si>
    <t>Janelas WC acessível</t>
  </si>
  <si>
    <t>Pilares 12x25 - Estribos Ø6,3 mm c/12 - L=80 cm</t>
  </si>
  <si>
    <t>Acesso à parte nova</t>
  </si>
  <si>
    <t>Recepção e antiga sala de curativos (corredor até o banheiro)</t>
  </si>
  <si>
    <t>Sala de remédios</t>
  </si>
  <si>
    <t>Sala de vacinação</t>
  </si>
  <si>
    <t>Consultório odontológico</t>
  </si>
  <si>
    <t>Consultório médico</t>
  </si>
  <si>
    <t>Paredes externas (fachada)</t>
  </si>
  <si>
    <t>Paredes internas</t>
  </si>
  <si>
    <t>Descontos</t>
  </si>
  <si>
    <t>Abertura de portas para padrão de largura 0,90m</t>
  </si>
  <si>
    <t>WC existente</t>
  </si>
  <si>
    <t>Portão frontal</t>
  </si>
  <si>
    <t>TOTAL AMPLIAÇÃO</t>
  </si>
  <si>
    <t xml:space="preserve">TOTAL REFORMA </t>
  </si>
  <si>
    <t>FORRO EM PLACAS DE GESSO, PARA AMBIENTES COMERCIAIS. AF_05/2017_PS</t>
  </si>
  <si>
    <t>1</t>
  </si>
  <si>
    <t>CHP</t>
  </si>
  <si>
    <t>95620</t>
  </si>
  <si>
    <t xml:space="preserve">88316 </t>
  </si>
  <si>
    <t>COMP-009</t>
  </si>
  <si>
    <t xml:space="preserve"> APICOAMENTO EM PAREDE DE ALVENARIA DE TIJOLO CERÂMICO COM PREPARO DA SUPERFÍCIE - M2</t>
  </si>
  <si>
    <t>1.11.6</t>
  </si>
  <si>
    <t>APLICAÇÃO DE FUNDO SELADOR ACRÍLICO EM TETO, UMA DEMÃO. AF_06/2014</t>
  </si>
  <si>
    <t>APLICAÇÃO E LIXAMENTO DE MASSA LÁTEX EM TETO, UMA DEMÃO. AF_06/2014</t>
  </si>
  <si>
    <t>1.11.7</t>
  </si>
  <si>
    <t>1.11.8</t>
  </si>
  <si>
    <t>und</t>
  </si>
  <si>
    <t>TUBO, PVC, SOLDÁVEL, DN 20MM, INSTALADO EM RAMAL OU SUB-RAMAL DE ÁGUA - FORNECIMENTO E INSTALAÇÃO. AF_06/2022</t>
  </si>
  <si>
    <t>JOELHO 90 GRAUS COM BUCHA DE LATÃO, PVC, SOLDÁVEL, DN 25MM, X 1/2 INSTALADO EM RAMAL OU SUB-RAMAL DE ÁGUA - FORNECIMENTO E INSTALAÇÃO. AF_06/2022</t>
  </si>
  <si>
    <t>INSTALAÇÃO DE DRENO PARA CONDICIONADOR DE AR COM ALTURA DE 3M</t>
  </si>
  <si>
    <t>TANQUE SÉPTICO RETANGULAR, EM ALVENARIA COM TIJOLOS CERÂMICOS MACIÇOS, DIMENSÕES INTERNAS: 1,2 X 2,4 X H=1,6 M, VOLUME ÚTIL: 3456 L (PARA 13CONTRIBUINTES). AF_12/2020</t>
  </si>
  <si>
    <t>1.12.9</t>
  </si>
  <si>
    <t>Sumidouros</t>
  </si>
  <si>
    <t>2.6.2</t>
  </si>
  <si>
    <t>C3681</t>
  </si>
  <si>
    <t>GRADE DE FERRO TUBULAR C/MOLDURA EM BARRA CHATA DE FERRO</t>
  </si>
  <si>
    <t>Perímetro da unidade</t>
  </si>
  <si>
    <t>2.2.6</t>
  </si>
  <si>
    <t>2.2.7</t>
  </si>
  <si>
    <t>2.7.2</t>
  </si>
  <si>
    <t>2.8</t>
  </si>
  <si>
    <t>2.8.1</t>
  </si>
  <si>
    <t>Muro</t>
  </si>
  <si>
    <t>Muro - SAPATAS - 60X60X20</t>
  </si>
  <si>
    <t>Muro - Alvenaria de embasamento</t>
  </si>
  <si>
    <t>Muro - Cinta</t>
  </si>
  <si>
    <t>Muro - Arranque dos pilares</t>
  </si>
  <si>
    <t>Muro - Sapatas - 60X60X20 - 6Ø10 mm - L=73 cm</t>
  </si>
  <si>
    <t>Muro - Cinta 20x30 - armação inferior - 2Ø10 mm</t>
  </si>
  <si>
    <t>Muro - Cinta 20x30 - armação superior - 2Ø10 mm</t>
  </si>
  <si>
    <t>Muro - Cinta 20x30 - estribos - Ø6,3 mm c/ 15cm</t>
  </si>
  <si>
    <t>Muro - Sapatas 60x60x20</t>
  </si>
  <si>
    <t>2.3.3</t>
  </si>
  <si>
    <t>2.3.4</t>
  </si>
  <si>
    <t>2.3.5</t>
  </si>
  <si>
    <t>2.6.3</t>
  </si>
  <si>
    <t>2.6.4</t>
  </si>
  <si>
    <t>2.6.5</t>
  </si>
  <si>
    <t>2.6.6</t>
  </si>
  <si>
    <t>2.8.2</t>
  </si>
  <si>
    <t>2.9</t>
  </si>
  <si>
    <t>2.9.1</t>
  </si>
  <si>
    <t>Muro - cinta</t>
  </si>
  <si>
    <t>2.6.7</t>
  </si>
  <si>
    <t>Desconto pilares</t>
  </si>
  <si>
    <t>Grade do muro</t>
  </si>
  <si>
    <t>Rampa de acesso frontal</t>
  </si>
  <si>
    <t>C4601</t>
  </si>
  <si>
    <t xml:space="preserve">PISO CIMENTADO COM ARGAMASSA DE CIMENTO E AREIA S/ PENEIRAR ESP. 2,0 cm </t>
  </si>
  <si>
    <t>PORTA EM ALUMÍNIO ANODIZADO NATURAL/FOSCO, DE CORRER, SEM BANDEIROLA E/OU PEITORIL, SEM VIDRO - FORNECIMENTO E MONTAGEM</t>
  </si>
  <si>
    <t>C4514</t>
  </si>
  <si>
    <t>WC feminino (porta de acesso ao consultório 01)</t>
  </si>
  <si>
    <t>4720</t>
  </si>
  <si>
    <t>PEDRA BRITADA N. 0, OU PEDRISCO (4,8 A 9,5 MM) POSTO PEDREIRA/FORNECEDOR, SEM FRETE</t>
  </si>
  <si>
    <t>5678</t>
  </si>
  <si>
    <t xml:space="preserve">RETROESCAVADEIRA SOBRE RODAS COM CARREGADEIRA, TRAÇÃO 4X4, POTÊNCIA LÍQ. 88 HP, CAÇAMBA CARREG. CAP. MÍN. 1 M3, CAÇAMBA RETRO CAP. 0,26 M3, PESO OPERACIONAL MÍN. 6.674 KG, PROFUNDIDADE ESCAVAÇÃO MÁX. 4,37 M - CHP DIURNO. AF_06/2014
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</si>
  <si>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</si>
  <si>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</si>
  <si>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7258</t>
  </si>
  <si>
    <t xml:space="preserve">TIJOLO CERAMICO MACICO COMUM *5 X 10 X 20* CM (L X A X C) </t>
  </si>
  <si>
    <t xml:space="preserve">88309 </t>
  </si>
  <si>
    <t>PEDREIRO COM ENCARGOS COMPLEMENTARES</t>
  </si>
  <si>
    <t xml:space="preserve"> SERVENTE COM ENCARGOS COMPLEMENTARES</t>
  </si>
  <si>
    <t>89995</t>
  </si>
  <si>
    <t>GRAUTEAMENTO DE CINTA SUPERIOR OU DE VERGA EM ALVENARIA ESTRUTURAL. AF_09/2021</t>
  </si>
  <si>
    <t>89998</t>
  </si>
  <si>
    <t>ARMAÇÃO DE CINTA DE ALVENARIA ESTRUTURAL; DIÂMETRO DE 10,0 MM. AF_09/2021</t>
  </si>
  <si>
    <t>96536</t>
  </si>
  <si>
    <t>100475</t>
  </si>
  <si>
    <t>ARGAMASSA TRAÇO 1:3 (EM VOLUME DE CIMENTO E AREIA MÉDIA ÚMIDA) COM ADIÇÃO DE IMPERMEABILIZANTE, PREPARO MECÂNICO COM BETONEIRA 400 L. AF_08/2019</t>
  </si>
  <si>
    <t>101625</t>
  </si>
  <si>
    <t xml:space="preserve"> PREPARO DE FUNDO DE VALA COM LARGURA MAIOR OU IGUAL A 1,5 M E MENOR QUE 2,5 M, COM CAMADA DE AREIA, LANÇAMENTO MECANIZADO. AF_08/2020</t>
  </si>
  <si>
    <t xml:space="preserve"> CHI</t>
  </si>
  <si>
    <t>M³</t>
  </si>
  <si>
    <t>SUMIDOURO CIRCULAR, EM ALVENARIA COM TIJOLOS CERÂMICOS MACIÇOS, DIAMETRO: 1,0 M, H=2,25 M.</t>
  </si>
  <si>
    <t>1.12.10</t>
  </si>
  <si>
    <t>89707</t>
  </si>
  <si>
    <t>CAIXA SIFONADA, PVC, DN 100 X 100 X 50 MM, JUNTA ELÁSTICA, FORNECIDA E INSTALADA EM RAMAL DE DESCARGA OU EM RAMAL DE ESGOTO SANITÁRIO. AF_08/2022</t>
  </si>
  <si>
    <t>1.4.1</t>
  </si>
  <si>
    <t>1.7.3</t>
  </si>
  <si>
    <t>1.12.2</t>
  </si>
  <si>
    <t>1.13.3</t>
  </si>
  <si>
    <t>2.8.3</t>
  </si>
  <si>
    <t>1.12.11</t>
  </si>
  <si>
    <t>1.12.12</t>
  </si>
  <si>
    <t>1.12.13</t>
  </si>
  <si>
    <t>Instalação da estrutura de caixa d'água</t>
  </si>
  <si>
    <t>Instalação da estrutura da caixa d'água</t>
  </si>
  <si>
    <t>Desconto do pilar</t>
  </si>
  <si>
    <t>COMP-007</t>
  </si>
  <si>
    <t>INSTALACAO DE ESTRUTURA DE ESGOTO</t>
  </si>
  <si>
    <t>2.8.4</t>
  </si>
  <si>
    <t>97739</t>
  </si>
  <si>
    <t>PEÇA CIRCULAR PRÉ-MOLDADA, VOLUME DE CONCRETO DE 30 A 100 LITROS, TAXA DE AÇO APROXIMADA DE 30KG/M³. AF_01/2018</t>
  </si>
  <si>
    <t>REFORMA E AMPLIAÇÃO DA UNIDADE BÁSICA DE SAÚDE JENÉSIO DE QUEIROZ SANTOS</t>
  </si>
  <si>
    <t>(**) A alíquota de ISS no Município de Limoeiro/PE é de 5% sobre os custos de mão de obra. 
Considerou-se para todos os serviços uma proporção de 70% de mão de obra, de modo que a taxa de ISS a incidir sobre os custos unitários dos itens será de 5% x 70% = 3,50%.</t>
  </si>
  <si>
    <t>C3121</t>
  </si>
  <si>
    <t>REBOCO C/ ARGAMASSA DE CIMENTO E AREIA PENEIRADA, TRAÇO 1:6</t>
  </si>
  <si>
    <t>Platibandas</t>
  </si>
  <si>
    <t>Volume</t>
  </si>
  <si>
    <t>ARMAÇÃO DE PILAR OU VIGA DE ESTRUTURA DE CONCRETO ARMADO EMBUTIDA EM ALVENARIA DE VEDAÇÃO UTILIZANDO AÇO CA-60 DE 5,0 MM - MONTAGEM. AF_06/2022</t>
  </si>
  <si>
    <t>P13</t>
  </si>
  <si>
    <t>Sapatas 75x75x30</t>
  </si>
  <si>
    <t>Sapatas 50x85x30</t>
  </si>
  <si>
    <t>Sapatas 80x80x30</t>
  </si>
  <si>
    <t>Vol.</t>
  </si>
  <si>
    <t>SAPATAS</t>
  </si>
  <si>
    <t>C0480</t>
  </si>
  <si>
    <t>BUCHA E ARRUELA DE AÇO GALV. D= 25mm (1")</t>
  </si>
  <si>
    <t>C0478</t>
  </si>
  <si>
    <t>BUCHA E ARRUELA DE AÇO GALV. D= 15mm (1/2")</t>
  </si>
  <si>
    <t>C0512</t>
  </si>
  <si>
    <t>BUJÃO EM AÇO GALV. D=65mm (2 1/2") À 80mm (3")</t>
  </si>
  <si>
    <t>C4762</t>
  </si>
  <si>
    <t>CAIXA DE LIGAÇÃO PVC 4" X 2"</t>
  </si>
  <si>
    <t>C1021</t>
  </si>
  <si>
    <t>CURVA P/ELETRODUTO PVC ROSC. D= 32mm (1")</t>
  </si>
  <si>
    <t>C1019</t>
  </si>
  <si>
    <t>CURVA P/ELETRODUTO PVC ROSC. D= 20mm (1/2")</t>
  </si>
  <si>
    <t>C1710</t>
  </si>
  <si>
    <t>LUVA P/ELETRODUTO PVC ROSC. D= 32mm (1")</t>
  </si>
  <si>
    <t>C1708</t>
  </si>
  <si>
    <t>LUVA P/ELETRODUTO PVC ROSC. D= 20mm (1/2")</t>
  </si>
  <si>
    <t>C1709</t>
  </si>
  <si>
    <t>LUVA P/ELETRODUTO PVC ROSC. D= 25mm (3/4")</t>
  </si>
  <si>
    <t>C1705</t>
  </si>
  <si>
    <t>LUVA AÇO GALV. D=15mm (1/2") À 25mm (1")</t>
  </si>
  <si>
    <t>C1706</t>
  </si>
  <si>
    <t>LUVA AÇO GALV. D=32mm (1 1/4") À 50mm (2")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</si>
  <si>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</si>
  <si>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</si>
  <si>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6 MM², ANTI-CHAMA 0,6/1,0 KV, PARA CIRCUITOS TERMINAIS - FORNECIMENTO E INSTALAÇÃO. AF_12/2015</t>
  </si>
  <si>
    <t>C1489</t>
  </si>
  <si>
    <t>INTERRUPTOR TRES TECLAS SIMPLES 10A 250V</t>
  </si>
  <si>
    <t>C1092</t>
  </si>
  <si>
    <t>DISJUNTOR MONOPOLAR EM QUADRO DE DISTRIBUIÇÃO 10A</t>
  </si>
  <si>
    <t>C1093</t>
  </si>
  <si>
    <t>DISJUNTOR MONOPOLAR EM QUADRO DE DISTRIBUIÇÃO 16A</t>
  </si>
  <si>
    <t>C1095</t>
  </si>
  <si>
    <t>DISJUNTOR MONOPOLAR EM QUADRO DE DISTRIBUIÇÃO 20A</t>
  </si>
  <si>
    <t>C1098</t>
  </si>
  <si>
    <t>DISJUNTOR MONOPOLAR EM QUADRO DE DISTRIBUIÇÃO 32A</t>
  </si>
  <si>
    <t>C4562</t>
  </si>
  <si>
    <t>DISPOSITIVO DE PROTEÇÃO CONTRA SURTOS DE TENSÃO - DPS's - 40 KA/440V</t>
  </si>
  <si>
    <t>C0466</t>
  </si>
  <si>
    <t xml:space="preserve">BRAÇADEIRA TIPO "D", METÁLICA ATE 1" </t>
  </si>
  <si>
    <t>C1187</t>
  </si>
  <si>
    <t>ELETRODUTO PVC ROSC. D= 32mm (1")</t>
  </si>
  <si>
    <t>C1186</t>
  </si>
  <si>
    <t>ELETRODUTO PVC ROSC. D= 25mm (3/4")</t>
  </si>
  <si>
    <t>C1185</t>
  </si>
  <si>
    <t>ELETRODUTO PVC ROSC. D= 20mm (1/2")</t>
  </si>
  <si>
    <t>C2068</t>
  </si>
  <si>
    <t>QUADRO DE DISTRIBUIÇÃO DE LUZ EMBUTIR ATÉ 24 DIVISÕES 332X332X95mm, C/BARRAMENTO</t>
  </si>
  <si>
    <t>Conforme projeto</t>
  </si>
  <si>
    <t>1"</t>
  </si>
  <si>
    <t>3/4"</t>
  </si>
  <si>
    <t>C4530</t>
  </si>
  <si>
    <t>DISJUNTOR DIFERENCIAL DR-16A - 40A, 30mA</t>
  </si>
  <si>
    <t>INSTALAÇÕES HIDRÁULICAS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</si>
  <si>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</si>
  <si>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VASO SANITÁRIO SIFONADO COM CAIXA ACOPLADA LOUÇA BRANCA, INCLUSO ENGATE FLEXÍVEL EM PLÁSTICO BRANCO, 1/2 X 40CM - FORNECIMENTO E INSTALAÇÃO. AF_01/2020</t>
  </si>
  <si>
    <t>ADAPTADOR COM FLANGE E ANEL DE VEDAÇÃO, PVC, SOLDÁVEL, DN 25 MM X 3/4, INSTALADO EM RESERVAÇÃO DE ÁGUA DE EDIFICAÇÃO QUE POSSUA RESERVATÓRIO DE FIBRA/FIBROCIMENTO FORNECIMENTO E INSTALAÇÃO. AF_06/2016</t>
  </si>
  <si>
    <t>REGISTRO DE GAVETA BRUTO, LATÃO, ROSCÁVEL, 3/4" - FORNECIMENTO E INSTALAÇÃO. AF_08/2021</t>
  </si>
  <si>
    <t>C1738</t>
  </si>
  <si>
    <t>LUVA PVC SOLD./ROSCA. D=25mmX1/2"</t>
  </si>
  <si>
    <t>JOELHO 90 GRAUS, PVC, SOLDÁVEL, DN 25MM, INSTALADO EM RAMAL OU SUB-RAMAL DE ÁGUA - FORNECIMENTO E INSTALAÇÃO. AF_06/2022</t>
  </si>
  <si>
    <t>C0691</t>
  </si>
  <si>
    <t xml:space="preserve">CAP PVC SOLD. MARROM D= 25mm (3/4") </t>
  </si>
  <si>
    <t>C0693</t>
  </si>
  <si>
    <t>CAP PVC SOLD. MARROM D= 40mm (1 1/4")</t>
  </si>
  <si>
    <t>89355</t>
  </si>
  <si>
    <t>89356</t>
  </si>
  <si>
    <t>TUBO, PVC, SOLDÁVEL, DN 25MM, INSTALADO EM RAMAL OU SUB-RAMAL DE ÁGUA - FORNECIMENTO E INSTALAÇÃO. AF_06/2022</t>
  </si>
  <si>
    <t xml:space="preserve">89395 </t>
  </si>
  <si>
    <t>TE, PVC, SOLDÁVEL, DN 25MM, INSTALADO EM RAMAL OU SUB-RAMAL DE ÁGUA - FORNECIMENTO E INSTALAÇÃO. AF_06/2022</t>
  </si>
  <si>
    <t>1.15.2</t>
  </si>
  <si>
    <t>1.15.3</t>
  </si>
  <si>
    <t>1.15.4</t>
  </si>
  <si>
    <t>1.15.5</t>
  </si>
  <si>
    <t>1.15.6</t>
  </si>
  <si>
    <t>1.15.7</t>
  </si>
  <si>
    <t>1.15.8</t>
  </si>
  <si>
    <t>1.15.9</t>
  </si>
  <si>
    <t>1.15.10</t>
  </si>
  <si>
    <t>1.15.11</t>
  </si>
  <si>
    <t>1.15.12</t>
  </si>
  <si>
    <t>1.15.13</t>
  </si>
  <si>
    <t>1.15.14</t>
  </si>
  <si>
    <t>1.15.15</t>
  </si>
  <si>
    <t>1.15.16</t>
  </si>
  <si>
    <t>1.15.17</t>
  </si>
  <si>
    <t>1.15.18</t>
  </si>
  <si>
    <t>1.15.19</t>
  </si>
  <si>
    <t>1.15.20</t>
  </si>
  <si>
    <t>1.15.21</t>
  </si>
  <si>
    <t>1.15.22</t>
  </si>
  <si>
    <t>1.15.23</t>
  </si>
  <si>
    <t>1.15.24</t>
  </si>
  <si>
    <t>1.15.25</t>
  </si>
  <si>
    <t>1.15.26</t>
  </si>
  <si>
    <t>1.15.27</t>
  </si>
  <si>
    <t>1.15.28</t>
  </si>
  <si>
    <t>1.15.29</t>
  </si>
  <si>
    <t>1.15.30</t>
  </si>
  <si>
    <t>1.15.31</t>
  </si>
  <si>
    <t>1.15.32</t>
  </si>
  <si>
    <t>1.15.33</t>
  </si>
  <si>
    <t>1.15.34</t>
  </si>
  <si>
    <t>1.17</t>
  </si>
  <si>
    <t>1.17.1</t>
  </si>
  <si>
    <t>1.17.2</t>
  </si>
  <si>
    <t>1.17.3</t>
  </si>
  <si>
    <t>1.17.4</t>
  </si>
  <si>
    <t>1.17.5</t>
  </si>
  <si>
    <t>INSTALAÇÕES SANITÁRIAS</t>
  </si>
  <si>
    <t>VASO SANITARIO SIFONADO CONVENCIONAL PARA PCD SEM FURO FRONTAL COM LOUÇA BRANCA SEM ASSENTO - FORNECIMENTO E INSTALAÇÃO. AF_01/2020</t>
  </si>
  <si>
    <t>Arranque - Armadura longitudinal</t>
  </si>
  <si>
    <t>Arranque - Estribos</t>
  </si>
  <si>
    <t>Referências: P1, P2, P4, P5, P6, P7, P8, P10, P11, P12 e P14</t>
  </si>
  <si>
    <t>Malha inferior - Armadura X - 3Ø10c/26</t>
  </si>
  <si>
    <t>Malha inferior - Armadura Y - 3Ø10c/26</t>
  </si>
  <si>
    <t>Referências: P3, P9 e P15</t>
  </si>
  <si>
    <t>Malha inferior - Armadura Y - 2Ø10c/26</t>
  </si>
  <si>
    <t>Referência: P13</t>
  </si>
  <si>
    <t xml:space="preserve">Arranque - Armadura longitudinal </t>
  </si>
  <si>
    <t>CINTA</t>
  </si>
  <si>
    <t>P1, P2, P3, P4, P5, P6, P7, P8, P9, P10, P11, P12, P14 e P15</t>
  </si>
  <si>
    <t>Arranque</t>
  </si>
  <si>
    <t>Arranque dos pilares</t>
  </si>
  <si>
    <t>Pilares platibanda</t>
  </si>
  <si>
    <t>Pilares da platibanda</t>
  </si>
  <si>
    <t>C0609</t>
  </si>
  <si>
    <t>CAIXA EM ALVENARIA (60X60X60cm) DE 1/2 TIJOLO COMUM, LASTRO DE CONCRETO E TAMPA DE CONCRETO</t>
  </si>
  <si>
    <t>SIFÃO DO TIPO FLEXÍVEL EM PVC 1 X 1.1/2 - FORNECIMENTO E INSTALAÇÃO. AF_01/2020</t>
  </si>
  <si>
    <t>VÁLVULA EM PLÁSTICO 1 PARA PIA, TANQUE OU LAVATÓRIO, COM OU SEM LADRÃO - FORNECIMENTO E INSTALAÇÃO. AF_01/2020</t>
  </si>
  <si>
    <t>CURVA CURTA 90 GRAUS, PVC, SERIE NORMAL, ESGOTO PREDIAL, DN 40 MM, JUNTA SOLDÁVEL,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</si>
  <si>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</si>
  <si>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90 GRAUS, PVC, SERIE NORMAL, ESGOTO PREDIAL, DN 100 MM, JUNTA ELÁSTICA, FORNECIDO E INSTALADO EM PRUMADA DE ESGOTO SANITÁRIO OU VENTILAÇÃO. AF_08/2022</t>
  </si>
  <si>
    <t>JOELHO 90 GRAUS COM VISITA - FORNECIMENTO E INSTALAÇÃO</t>
  </si>
  <si>
    <t>Joelho 90° PVC Branco 100 mm x 50 mm</t>
  </si>
  <si>
    <t xml:space="preserve"> ANEL BORRACHA PARA TUBO ESGOTO PREDIAL, DN 100 MM (NBR 5688)</t>
  </si>
  <si>
    <t>296</t>
  </si>
  <si>
    <t>ANEL BORRACHA PARA TUBO ESGOTO PREDIAL, DN 50 MM (NBR 5688)</t>
  </si>
  <si>
    <t>*FONTE DA COMPOSIÇÃO SINAPI 89809</t>
  </si>
  <si>
    <t>PASTA LUBRIFICANTE PARA TUBOS E CONEXOES COM JUNTA ELASTICA, EMBALAGEM DE *400* GR (USO EM PVC, ACO, POLIETILENO E OUTROS)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</si>
  <si>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</si>
  <si>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</si>
  <si>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</si>
  <si>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</si>
  <si>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TUBO PVC, SERIE NORMAL, ESGOTO PREDIAL, DN 100 MM, FORNECIDO E INSTALADO EM RAMAL DE DESCARGA OU RAMAL DE ESGOTO SANITÁRIO. AF_08/2022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</si>
  <si>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</si>
  <si>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</si>
  <si>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TE, PVC, SERIE NORMAL, ESGOTO PREDIAL, DN 100 X 100 MM, JUNTA ELÁSTICA, FORNECIDO E INSTALADO EM RAMAL DE DESCARGA OU RAMAL DE ESGOTO SANITÁRIO. AF_08/2022</t>
  </si>
  <si>
    <t>TE, PVC, SÉRIE NORMAL, ESGOTO PREDIAL, DN 100 X 50 MM, JUNTA ELÁSTICA, FORNECIDO E INSTALADO EM RAMAL DE DESCARGA OU RAMAL DE ESGOTO SANITÁRIO. AF_08/2022</t>
  </si>
  <si>
    <t>1.13.9</t>
  </si>
  <si>
    <t>1.13.10</t>
  </si>
  <si>
    <t>1.13.11</t>
  </si>
  <si>
    <t>1.13.12</t>
  </si>
  <si>
    <t>1.13.13</t>
  </si>
  <si>
    <t>1.13.14</t>
  </si>
  <si>
    <t>1.13.15</t>
  </si>
  <si>
    <t>1.13.16</t>
  </si>
  <si>
    <t>1.13.17</t>
  </si>
  <si>
    <t>Projeto</t>
  </si>
  <si>
    <t>Instalação de estrutura de caixa d'água</t>
  </si>
  <si>
    <t>C1551</t>
  </si>
  <si>
    <t>JOELHO PVC BRANCO P/ESGOTO D=40mm (1 1/2")</t>
  </si>
  <si>
    <t>COMP-09</t>
  </si>
  <si>
    <t>89732</t>
  </si>
  <si>
    <t>JOELHO 45 GRAUS, PVC, SERIE NORMAL, ESGOTO PREDIAL, DN 50 MM, JUNTA ELÁSTICA, FORNECIDO E INSTALADO EM RAMAL DE DESCARGA OU RAMAL DE ESGOTO SANITÁRIO. AF_08/2022</t>
  </si>
  <si>
    <t>1.13.18</t>
  </si>
  <si>
    <t>1.13.19</t>
  </si>
  <si>
    <t>1.13.20</t>
  </si>
  <si>
    <t>1.13.21</t>
  </si>
  <si>
    <t>89801</t>
  </si>
  <si>
    <t>JOELHO 90 GRAUS, PVC, SERIE NORMAL, ESGOTO PREDIAL, DN 50 MM, JUNTA ELÁSTICA, FORNECIDO E INSTALADO EM PRUMADA DE ESGOTO SANITÁRIO OU VENTILAÇÃO. AF_08/2022</t>
  </si>
  <si>
    <t xml:space="preserve">C1576 </t>
  </si>
  <si>
    <t xml:space="preserve">JUNÇÃO SIMPLES DE REDUÇÃO PVC P/ESGOTO 100X50mm (4"X2")-C/ANÉIS </t>
  </si>
  <si>
    <t>LUVA SIMPLES, PVC, SERIE NORMAL, ESGOTO PREDIAL, DN 75 MM, JUNTA ELÁSTICA, FORNECIDO E INSTALADO EM RAMAL DE DESCARGA OU RAMAL DE ESGOTO SANITÁRIO. AF_08/2022</t>
  </si>
  <si>
    <t xml:space="preserve">89713 </t>
  </si>
  <si>
    <t>TUBO PVC, SERIE NORMAL, ESGOTO PREDIAL, DN 75 MM, FORNECIDO E INSTALADO EM RAMAL DE DESCARGA OU RAMAL DE ESGOTO SANITÁRIO. AF_08/2022</t>
  </si>
  <si>
    <t>Ventilação</t>
  </si>
  <si>
    <t>10836</t>
  </si>
  <si>
    <t>DATA: ABRIL/2023</t>
  </si>
  <si>
    <t>FONTES DE PREÇOS: SINAPI MARÇO-2023 -  SEINFRA 027 MARÇO/2021</t>
  </si>
  <si>
    <t>2.6.8</t>
  </si>
  <si>
    <t>REVESTIMENTO EM CERAMICA ESMALTADA TIPO A, PEI MAIOR OU IGUAL A 4, 46X46 CM2</t>
  </si>
  <si>
    <t>2</t>
  </si>
  <si>
    <t>REVESTIMENTO CERÂMICO COM PLACAS TIPO ESMALTADA TIPO A DE DIMENSÕES 46X46 CM APLICADAS EM PAREDE INTERNA.</t>
  </si>
  <si>
    <t>C1064</t>
  </si>
  <si>
    <t>DEMOLIÇÃO DE PISO CERÂMICO</t>
  </si>
  <si>
    <t>2.6.9</t>
  </si>
  <si>
    <t>2.6.10</t>
  </si>
  <si>
    <t>PISO CIMENTADO, TRAÇO 1:3 (CIMENTO E AREIA), ACABAMENTO LISO, ESPESSURA 3,0 CM, PREPARO MECÂNICO DA ARGAMASSA. AF_09/2020</t>
  </si>
  <si>
    <t>Consultório Odontológico</t>
  </si>
  <si>
    <t>Consultório Médico</t>
  </si>
  <si>
    <t>Recepção e corredor</t>
  </si>
  <si>
    <t>REVESTIMENTO CERÂMICO COM PLACAS TIPO ESMALTADA TIPO A DE DIMENSÕES 46X46 CM APLICADAS EM PISO.</t>
  </si>
  <si>
    <t>COMP-010</t>
  </si>
  <si>
    <t>COMP. 10</t>
  </si>
  <si>
    <t>PERFURATRIZ PNEUMATICA MANUAL DE PESO MEDIO, MARTELETE, 18KG, COMPRIMENTO MÁXIMO DE CURSO DE 6 M, DIAMETRO DO PISTAO DE 5,5 CM - CHP DIURNO. AF_11/2016</t>
  </si>
  <si>
    <t>FONTES DE PREÇOS: SINAPI MARÇO-2023 -  SEINFRA 027 MARÇO/2021 - COM DESONERAÇÃO (BDI = 30,53%)</t>
  </si>
  <si>
    <t>FONTES DE PREÇOS: SINAPI MARÇO-2023 / SEINFRA 027 MARÇO-2021</t>
  </si>
  <si>
    <t>COTAÇÃO 1</t>
  </si>
  <si>
    <t>CNPJ</t>
  </si>
  <si>
    <t xml:space="preserve">ESTABELECIMENTO </t>
  </si>
  <si>
    <t>31.082.759/0001-94</t>
  </si>
  <si>
    <t>LEDMAX INDUSTRIA E COMERCIO DE EQUIPAMENTOS ELETROELETRONICOS LTDA</t>
  </si>
  <si>
    <t>15.436.940/0001-03</t>
  </si>
  <si>
    <t>Amazon Serviços de Varejo do Brasil Ltda</t>
  </si>
  <si>
    <t>47.031.967/0001-02</t>
  </si>
  <si>
    <t>Home Vale Shop Ltda</t>
  </si>
  <si>
    <t>COTAÇÃO 2</t>
  </si>
  <si>
    <t>07.201.916/0001-59</t>
  </si>
  <si>
    <t>ARAUJO CABRAL E ALVES LTDA</t>
  </si>
  <si>
    <t>10.230.480/0019-60</t>
  </si>
  <si>
    <t>Ferreira Costa &amp; Cia LTDA</t>
  </si>
  <si>
    <t>13.850.516/0161-70</t>
  </si>
  <si>
    <t>Ramiro Campelo Comércio de
Utilidades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</si>
</sst>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_ &quot;R$&quot;\ * #,##0.00_ ;_ &quot;R$&quot;\ * \-#,##0.00_ ;_ &quot;R$&quot;\ * &quot;-&quot;??_ ;_ @_ "/>
    <numFmt numFmtId="168" formatCode="_ * #,##0.00_ ;_ * \-#,##0.00_ ;_ * &quot;-&quot;??_ ;_ @_ "/>
    <numFmt numFmtId="169" formatCode="#,##0.00_ ;[Red]\-#,##0.00\ "/>
    <numFmt numFmtId="170" formatCode="0000"/>
    <numFmt numFmtId="171" formatCode="0.000"/>
    <numFmt numFmtId="172" formatCode="_(* #,##0.0000_);_(* \(#,##0.0000\);_(* &quot;-&quot;??_);_(@_)"/>
    <numFmt numFmtId="173" formatCode="0.0%"/>
    <numFmt numFmtId="174" formatCode="0.0"/>
    <numFmt numFmtId="175" formatCode="#,##0.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5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166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0" borderId="0"/>
    <xf numFmtId="165" fontId="2" fillId="0" borderId="0" applyFill="0" applyBorder="0" applyAlignment="0" applyProtection="0"/>
  </cellStyleXfs>
  <cellXfs count="391">
    <xf numFmtId="0" fontId="0" fillId="0" borderId="0" xfId="0"/>
    <xf numFmtId="0" fontId="4" fillId="0" borderId="1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2" fillId="0" borderId="0" xfId="0" applyFont="1"/>
    <xf numFmtId="0" fontId="16" fillId="0" borderId="0" xfId="0" applyFont="1"/>
    <xf numFmtId="0" fontId="5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5" xfId="0" applyFont="1" applyBorder="1" applyAlignment="1">
      <alignment horizontal="left"/>
    </xf>
    <xf numFmtId="0" fontId="29" fillId="0" borderId="13" xfId="0" applyFont="1" applyBorder="1"/>
    <xf numFmtId="0" fontId="29" fillId="0" borderId="13" xfId="0" applyFont="1" applyBorder="1" applyAlignment="1">
      <alignment horizontal="center"/>
    </xf>
    <xf numFmtId="0" fontId="29" fillId="0" borderId="5" xfId="0" applyFont="1" applyBorder="1"/>
    <xf numFmtId="0" fontId="29" fillId="0" borderId="5" xfId="0" applyFont="1" applyBorder="1" applyAlignment="1">
      <alignment horizontal="center"/>
    </xf>
    <xf numFmtId="10" fontId="15" fillId="3" borderId="5" xfId="1" applyNumberFormat="1" applyFont="1" applyFill="1" applyBorder="1" applyAlignment="1">
      <alignment horizontal="center"/>
    </xf>
    <xf numFmtId="0" fontId="23" fillId="0" borderId="5" xfId="0" applyFont="1" applyBorder="1"/>
    <xf numFmtId="2" fontId="19" fillId="0" borderId="5" xfId="0" applyNumberFormat="1" applyFont="1" applyBorder="1" applyAlignment="1">
      <alignment horizontal="center"/>
    </xf>
    <xf numFmtId="10" fontId="19" fillId="0" borderId="5" xfId="1" applyNumberFormat="1" applyFont="1" applyBorder="1" applyAlignment="1">
      <alignment horizontal="center"/>
    </xf>
    <xf numFmtId="0" fontId="29" fillId="0" borderId="5" xfId="19" applyFont="1" applyBorder="1"/>
    <xf numFmtId="0" fontId="29" fillId="0" borderId="5" xfId="19" applyFont="1" applyBorder="1" applyAlignment="1">
      <alignment horizontal="center"/>
    </xf>
    <xf numFmtId="10" fontId="15" fillId="3" borderId="5" xfId="36" applyNumberFormat="1" applyFont="1" applyFill="1" applyBorder="1" applyAlignment="1">
      <alignment horizontal="center"/>
    </xf>
    <xf numFmtId="10" fontId="15" fillId="0" borderId="5" xfId="1" applyNumberFormat="1" applyFont="1" applyBorder="1" applyAlignment="1">
      <alignment horizontal="center"/>
    </xf>
    <xf numFmtId="171" fontId="30" fillId="0" borderId="0" xfId="0" applyNumberFormat="1" applyFont="1" applyAlignment="1">
      <alignment horizontal="left"/>
    </xf>
    <xf numFmtId="10" fontId="15" fillId="0" borderId="13" xfId="1" applyNumberFormat="1" applyFont="1" applyFill="1" applyBorder="1" applyAlignment="1">
      <alignment horizontal="center"/>
    </xf>
    <xf numFmtId="0" fontId="29" fillId="6" borderId="11" xfId="0" applyFont="1" applyFill="1" applyBorder="1"/>
    <xf numFmtId="0" fontId="31" fillId="6" borderId="12" xfId="0" applyFont="1" applyFill="1" applyBorder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center"/>
    </xf>
    <xf numFmtId="0" fontId="32" fillId="0" borderId="0" xfId="0" applyFont="1"/>
    <xf numFmtId="0" fontId="31" fillId="0" borderId="34" xfId="0" applyFont="1" applyBorder="1"/>
    <xf numFmtId="0" fontId="31" fillId="0" borderId="35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0" xfId="0" applyFont="1"/>
    <xf numFmtId="0" fontId="31" fillId="0" borderId="37" xfId="0" applyFont="1" applyBorder="1"/>
    <xf numFmtId="0" fontId="31" fillId="0" borderId="0" xfId="0" applyFont="1" applyAlignment="1">
      <alignment horizontal="center"/>
    </xf>
    <xf numFmtId="0" fontId="31" fillId="0" borderId="38" xfId="0" applyFont="1" applyBorder="1" applyAlignment="1">
      <alignment horizontal="center"/>
    </xf>
    <xf numFmtId="0" fontId="31" fillId="0" borderId="39" xfId="0" applyFont="1" applyBorder="1"/>
    <xf numFmtId="0" fontId="31" fillId="0" borderId="40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29" fillId="0" borderId="0" xfId="0" applyFont="1"/>
    <xf numFmtId="0" fontId="31" fillId="0" borderId="0" xfId="6" applyFont="1"/>
    <xf numFmtId="0" fontId="12" fillId="0" borderId="0" xfId="0" applyFont="1"/>
    <xf numFmtId="0" fontId="5" fillId="0" borderId="1" xfId="0" applyFont="1" applyBorder="1"/>
    <xf numFmtId="0" fontId="4" fillId="3" borderId="1" xfId="0" applyFont="1" applyFill="1" applyBorder="1" applyAlignment="1">
      <alignment horizontal="center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9" borderId="1" xfId="0" applyFont="1" applyFill="1" applyBorder="1"/>
    <xf numFmtId="0" fontId="12" fillId="0" borderId="1" xfId="0" applyFont="1" applyBorder="1"/>
    <xf numFmtId="0" fontId="12" fillId="0" borderId="0" xfId="0" applyFont="1" applyAlignment="1">
      <alignment horizontal="left"/>
    </xf>
    <xf numFmtId="0" fontId="13" fillId="2" borderId="1" xfId="2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165" fontId="12" fillId="0" borderId="0" xfId="0" applyNumberFormat="1" applyFont="1"/>
    <xf numFmtId="0" fontId="13" fillId="11" borderId="1" xfId="2" applyFont="1" applyFill="1" applyBorder="1" applyAlignment="1">
      <alignment horizontal="justify" vertical="justify"/>
    </xf>
    <xf numFmtId="0" fontId="2" fillId="7" borderId="1" xfId="0" applyFont="1" applyFill="1" applyBorder="1"/>
    <xf numFmtId="0" fontId="18" fillId="5" borderId="0" xfId="0" applyFont="1" applyFill="1"/>
    <xf numFmtId="4" fontId="5" fillId="0" borderId="22" xfId="2" applyNumberFormat="1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17" fillId="2" borderId="1" xfId="0" applyFont="1" applyFill="1" applyBorder="1"/>
    <xf numFmtId="0" fontId="4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5" fillId="0" borderId="1" xfId="2" applyFont="1" applyBorder="1" applyAlignment="1">
      <alignment horizontal="center"/>
    </xf>
    <xf numFmtId="0" fontId="5" fillId="7" borderId="1" xfId="0" applyFont="1" applyFill="1" applyBorder="1"/>
    <xf numFmtId="4" fontId="5" fillId="0" borderId="1" xfId="2" applyNumberFormat="1" applyFont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4" fillId="0" borderId="1" xfId="2" applyFont="1" applyBorder="1" applyAlignment="1">
      <alignment horizontal="center" vertical="top"/>
    </xf>
    <xf numFmtId="4" fontId="4" fillId="0" borderId="1" xfId="2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/>
    <xf numFmtId="43" fontId="8" fillId="0" borderId="1" xfId="55" applyFont="1" applyFill="1" applyBorder="1"/>
    <xf numFmtId="0" fontId="8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justify"/>
    </xf>
    <xf numFmtId="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12" fillId="7" borderId="1" xfId="0" applyFont="1" applyFill="1" applyBorder="1"/>
    <xf numFmtId="0" fontId="12" fillId="0" borderId="1" xfId="0" applyFont="1" applyBorder="1" applyAlignment="1">
      <alignment horizontal="left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169" fontId="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justify"/>
    </xf>
    <xf numFmtId="9" fontId="12" fillId="0" borderId="1" xfId="1" applyFont="1" applyFill="1" applyBorder="1" applyAlignment="1">
      <alignment horizontal="left"/>
    </xf>
    <xf numFmtId="0" fontId="4" fillId="0" borderId="1" xfId="2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/>
    </xf>
    <xf numFmtId="0" fontId="6" fillId="0" borderId="1" xfId="2" applyFont="1" applyBorder="1"/>
    <xf numFmtId="0" fontId="9" fillId="2" borderId="1" xfId="0" applyFont="1" applyFill="1" applyBorder="1"/>
    <xf numFmtId="0" fontId="9" fillId="0" borderId="1" xfId="0" applyFont="1" applyBorder="1"/>
    <xf numFmtId="0" fontId="9" fillId="8" borderId="1" xfId="0" applyFont="1" applyFill="1" applyBorder="1"/>
    <xf numFmtId="43" fontId="8" fillId="0" borderId="1" xfId="55" applyFont="1" applyFill="1" applyBorder="1" applyAlignment="1">
      <alignment horizontal="right"/>
    </xf>
    <xf numFmtId="43" fontId="8" fillId="0" borderId="1" xfId="55" applyFont="1" applyFill="1" applyBorder="1" applyAlignment="1">
      <alignment horizontal="center"/>
    </xf>
    <xf numFmtId="173" fontId="8" fillId="0" borderId="1" xfId="1" applyNumberFormat="1" applyFont="1" applyFill="1" applyBorder="1"/>
    <xf numFmtId="0" fontId="3" fillId="0" borderId="1" xfId="2" applyFont="1" applyBorder="1" applyAlignment="1">
      <alignment horizontal="justify" vertical="justify" wrapText="1"/>
    </xf>
    <xf numFmtId="0" fontId="12" fillId="7" borderId="1" xfId="0" applyFont="1" applyFill="1" applyBorder="1" applyAlignment="1">
      <alignment horizontal="left"/>
    </xf>
    <xf numFmtId="0" fontId="5" fillId="0" borderId="0" xfId="0" applyFont="1" applyAlignment="1">
      <alignment horizontal="center" vertical="justify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justify" vertical="justify"/>
    </xf>
    <xf numFmtId="0" fontId="12" fillId="0" borderId="3" xfId="0" applyFont="1" applyBorder="1"/>
    <xf numFmtId="0" fontId="12" fillId="0" borderId="22" xfId="0" applyFont="1" applyBorder="1" applyAlignment="1">
      <alignment horizontal="left"/>
    </xf>
    <xf numFmtId="0" fontId="12" fillId="0" borderId="42" xfId="0" applyFont="1" applyBorder="1" applyAlignment="1">
      <alignment horizontal="left"/>
    </xf>
    <xf numFmtId="0" fontId="12" fillId="0" borderId="44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" fillId="0" borderId="1" xfId="0" applyFont="1" applyBorder="1"/>
    <xf numFmtId="0" fontId="6" fillId="0" borderId="1" xfId="2" applyFont="1" applyBorder="1" applyAlignment="1">
      <alignment horizontal="left" vertical="center"/>
    </xf>
    <xf numFmtId="9" fontId="18" fillId="0" borderId="1" xfId="1" applyFont="1" applyFill="1" applyBorder="1" applyAlignment="1">
      <alignment horizontal="left"/>
    </xf>
    <xf numFmtId="4" fontId="3" fillId="0" borderId="1" xfId="2" applyNumberFormat="1" applyFont="1" applyBorder="1" applyAlignment="1">
      <alignment horizontal="center" vertical="center"/>
    </xf>
    <xf numFmtId="173" fontId="3" fillId="0" borderId="1" xfId="1" applyNumberFormat="1" applyFont="1" applyFill="1" applyBorder="1" applyAlignment="1">
      <alignment horizontal="center" vertical="center"/>
    </xf>
    <xf numFmtId="43" fontId="5" fillId="0" borderId="1" xfId="55" applyFont="1" applyFill="1" applyBorder="1" applyAlignment="1">
      <alignment horizontal="center" vertical="center"/>
    </xf>
    <xf numFmtId="9" fontId="13" fillId="2" borderId="1" xfId="1" applyFont="1" applyFill="1" applyBorder="1" applyAlignment="1">
      <alignment horizontal="left"/>
    </xf>
    <xf numFmtId="0" fontId="6" fillId="0" borderId="1" xfId="2" applyFont="1" applyBorder="1" applyAlignment="1">
      <alignment horizontal="center" vertical="center"/>
    </xf>
    <xf numFmtId="4" fontId="5" fillId="0" borderId="1" xfId="0" applyNumberFormat="1" applyFont="1" applyBorder="1"/>
    <xf numFmtId="4" fontId="4" fillId="12" borderId="1" xfId="2" applyNumberFormat="1" applyFont="1" applyFill="1" applyBorder="1" applyAlignment="1">
      <alignment horizontal="center"/>
    </xf>
    <xf numFmtId="0" fontId="4" fillId="12" borderId="1" xfId="2" applyFont="1" applyFill="1" applyBorder="1" applyAlignment="1">
      <alignment horizontal="center" vertical="top"/>
    </xf>
    <xf numFmtId="0" fontId="4" fillId="12" borderId="1" xfId="2" applyFont="1" applyFill="1" applyBorder="1" applyAlignment="1">
      <alignment horizontal="left" vertical="top"/>
    </xf>
    <xf numFmtId="174" fontId="4" fillId="12" borderId="1" xfId="2" applyNumberFormat="1" applyFont="1" applyFill="1" applyBorder="1" applyAlignment="1">
      <alignment horizontal="center" vertical="top"/>
    </xf>
    <xf numFmtId="44" fontId="4" fillId="12" borderId="1" xfId="49" applyFont="1" applyFill="1" applyBorder="1" applyAlignment="1">
      <alignment horizontal="center"/>
    </xf>
    <xf numFmtId="10" fontId="38" fillId="12" borderId="1" xfId="1" applyNumberFormat="1" applyFont="1" applyFill="1" applyBorder="1" applyAlignment="1">
      <alignment horizontal="center"/>
    </xf>
    <xf numFmtId="9" fontId="39" fillId="13" borderId="42" xfId="1" applyFont="1" applyFill="1" applyBorder="1" applyAlignment="1">
      <alignment horizontal="center" vertical="center"/>
    </xf>
    <xf numFmtId="4" fontId="39" fillId="13" borderId="42" xfId="2" applyNumberFormat="1" applyFont="1" applyFill="1" applyBorder="1" applyAlignment="1">
      <alignment horizontal="center" vertical="center"/>
    </xf>
    <xf numFmtId="0" fontId="40" fillId="13" borderId="1" xfId="2" applyFont="1" applyFill="1" applyBorder="1" applyAlignment="1">
      <alignment horizontal="center" vertical="center"/>
    </xf>
    <xf numFmtId="4" fontId="40" fillId="13" borderId="1" xfId="2" applyNumberFormat="1" applyFont="1" applyFill="1" applyBorder="1" applyAlignment="1">
      <alignment horizontal="center" vertical="center" wrapText="1"/>
    </xf>
    <xf numFmtId="9" fontId="40" fillId="13" borderId="1" xfId="1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left" vertical="justify"/>
    </xf>
    <xf numFmtId="4" fontId="3" fillId="12" borderId="1" xfId="2" applyNumberFormat="1" applyFont="1" applyFill="1" applyBorder="1" applyAlignment="1">
      <alignment horizontal="center" vertical="center"/>
    </xf>
    <xf numFmtId="173" fontId="3" fillId="12" borderId="1" xfId="1" applyNumberFormat="1" applyFont="1" applyFill="1" applyBorder="1" applyAlignment="1">
      <alignment horizontal="center" vertical="center"/>
    </xf>
    <xf numFmtId="43" fontId="40" fillId="13" borderId="1" xfId="55" applyFont="1" applyFill="1" applyBorder="1" applyAlignment="1">
      <alignment horizontal="center" vertical="center"/>
    </xf>
    <xf numFmtId="174" fontId="3" fillId="12" borderId="1" xfId="2" applyNumberFormat="1" applyFont="1" applyFill="1" applyBorder="1" applyAlignment="1">
      <alignment horizontal="center" vertical="center"/>
    </xf>
    <xf numFmtId="0" fontId="41" fillId="13" borderId="5" xfId="0" applyFont="1" applyFill="1" applyBorder="1" applyAlignment="1">
      <alignment horizontal="center" vertical="center"/>
    </xf>
    <xf numFmtId="9" fontId="40" fillId="13" borderId="1" xfId="1" applyFont="1" applyFill="1" applyBorder="1" applyAlignment="1">
      <alignment horizontal="center" vertical="center"/>
    </xf>
    <xf numFmtId="9" fontId="4" fillId="12" borderId="1" xfId="1" applyFont="1" applyFill="1" applyBorder="1" applyAlignment="1">
      <alignment horizontal="center"/>
    </xf>
    <xf numFmtId="0" fontId="6" fillId="0" borderId="4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49" fontId="5" fillId="4" borderId="5" xfId="9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distributed"/>
    </xf>
    <xf numFmtId="172" fontId="5" fillId="0" borderId="5" xfId="12" applyNumberFormat="1" applyFont="1" applyFill="1" applyBorder="1" applyAlignment="1">
      <alignment horizontal="justify" vertical="distributed" wrapText="1"/>
    </xf>
    <xf numFmtId="169" fontId="5" fillId="4" borderId="5" xfId="12" applyNumberFormat="1" applyFont="1" applyFill="1" applyBorder="1" applyAlignment="1">
      <alignment horizontal="right" vertical="center"/>
    </xf>
    <xf numFmtId="165" fontId="5" fillId="4" borderId="5" xfId="9" applyFont="1" applyFill="1" applyBorder="1" applyAlignment="1">
      <alignment horizontal="justify" vertical="distributed" wrapText="1"/>
    </xf>
    <xf numFmtId="165" fontId="4" fillId="4" borderId="5" xfId="9" applyFont="1" applyFill="1" applyBorder="1" applyAlignment="1">
      <alignment horizontal="right" vertical="distributed" wrapText="1"/>
    </xf>
    <xf numFmtId="165" fontId="4" fillId="4" borderId="5" xfId="9" applyFont="1" applyFill="1" applyBorder="1" applyAlignment="1">
      <alignment horizontal="center" vertical="distributed" wrapText="1"/>
    </xf>
    <xf numFmtId="170" fontId="5" fillId="4" borderId="5" xfId="9" applyNumberFormat="1" applyFont="1" applyFill="1" applyBorder="1" applyAlignment="1">
      <alignment horizontal="justify" vertical="distributed" wrapText="1"/>
    </xf>
    <xf numFmtId="165" fontId="4" fillId="4" borderId="5" xfId="9" applyFont="1" applyFill="1" applyBorder="1" applyAlignment="1">
      <alignment horizontal="justify" vertical="distributed" wrapText="1"/>
    </xf>
    <xf numFmtId="170" fontId="4" fillId="10" borderId="5" xfId="9" applyNumberFormat="1" applyFont="1" applyFill="1" applyBorder="1" applyAlignment="1">
      <alignment horizontal="center" vertical="distributed" wrapText="1"/>
    </xf>
    <xf numFmtId="165" fontId="4" fillId="10" borderId="5" xfId="9" applyFont="1" applyFill="1" applyBorder="1" applyAlignment="1">
      <alignment horizontal="justify" vertical="distributed" wrapText="1"/>
    </xf>
    <xf numFmtId="165" fontId="4" fillId="10" borderId="5" xfId="9" applyFont="1" applyFill="1" applyBorder="1" applyAlignment="1">
      <alignment horizontal="center" vertical="distributed" wrapText="1"/>
    </xf>
    <xf numFmtId="0" fontId="5" fillId="0" borderId="5" xfId="0" applyFont="1" applyBorder="1"/>
    <xf numFmtId="0" fontId="5" fillId="4" borderId="5" xfId="9" applyNumberFormat="1" applyFont="1" applyFill="1" applyBorder="1" applyAlignment="1">
      <alignment horizontal="justify" vertical="center" wrapText="1"/>
    </xf>
    <xf numFmtId="165" fontId="4" fillId="10" borderId="5" xfId="9" applyFont="1" applyFill="1" applyBorder="1" applyAlignment="1">
      <alignment horizontal="right" vertical="distributed" wrapText="1"/>
    </xf>
    <xf numFmtId="172" fontId="5" fillId="0" borderId="5" xfId="12" applyNumberFormat="1" applyFont="1" applyFill="1" applyBorder="1" applyAlignment="1">
      <alignment horizontal="center" vertical="center" wrapText="1"/>
    </xf>
    <xf numFmtId="169" fontId="5" fillId="4" borderId="5" xfId="12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169" fontId="5" fillId="0" borderId="5" xfId="12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/>
    </xf>
    <xf numFmtId="9" fontId="5" fillId="0" borderId="3" xfId="1" applyFont="1" applyFill="1" applyBorder="1" applyAlignment="1">
      <alignment horizontal="left"/>
    </xf>
    <xf numFmtId="0" fontId="12" fillId="9" borderId="3" xfId="0" applyFont="1" applyFill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7" borderId="3" xfId="0" applyFont="1" applyFill="1" applyBorder="1" applyAlignment="1">
      <alignment horizontal="left"/>
    </xf>
    <xf numFmtId="0" fontId="4" fillId="0" borderId="22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top" wrapText="1"/>
    </xf>
    <xf numFmtId="0" fontId="13" fillId="0" borderId="22" xfId="2" applyFont="1" applyBorder="1" applyAlignment="1">
      <alignment horizontal="center" vertical="center" wrapText="1"/>
    </xf>
    <xf numFmtId="0" fontId="39" fillId="13" borderId="5" xfId="2" applyFont="1" applyFill="1" applyBorder="1" applyAlignment="1">
      <alignment horizontal="center" vertical="center"/>
    </xf>
    <xf numFmtId="0" fontId="39" fillId="13" borderId="5" xfId="2" applyFont="1" applyFill="1" applyBorder="1" applyAlignment="1">
      <alignment horizontal="center" vertical="center" wrapText="1"/>
    </xf>
    <xf numFmtId="4" fontId="39" fillId="13" borderId="5" xfId="2" applyNumberFormat="1" applyFont="1" applyFill="1" applyBorder="1" applyAlignment="1">
      <alignment horizontal="center" vertical="center"/>
    </xf>
    <xf numFmtId="4" fontId="39" fillId="13" borderId="5" xfId="2" applyNumberFormat="1" applyFont="1" applyFill="1" applyBorder="1" applyAlignment="1">
      <alignment horizontal="center" vertical="center" wrapText="1"/>
    </xf>
    <xf numFmtId="174" fontId="4" fillId="12" borderId="5" xfId="2" applyNumberFormat="1" applyFont="1" applyFill="1" applyBorder="1" applyAlignment="1">
      <alignment horizontal="center" vertical="center"/>
    </xf>
    <xf numFmtId="0" fontId="4" fillId="12" borderId="5" xfId="2" applyFont="1" applyFill="1" applyBorder="1" applyAlignment="1">
      <alignment horizontal="center" vertical="center"/>
    </xf>
    <xf numFmtId="0" fontId="4" fillId="12" borderId="5" xfId="2" applyFont="1" applyFill="1" applyBorder="1" applyAlignment="1">
      <alignment horizontal="center" vertical="center" wrapText="1"/>
    </xf>
    <xf numFmtId="0" fontId="4" fillId="12" borderId="5" xfId="2" applyFont="1" applyFill="1" applyBorder="1" applyAlignment="1">
      <alignment horizontal="justify" vertical="justify"/>
    </xf>
    <xf numFmtId="4" fontId="12" fillId="12" borderId="5" xfId="2" applyNumberFormat="1" applyFont="1" applyFill="1" applyBorder="1" applyAlignment="1">
      <alignment horizontal="center" vertical="center"/>
    </xf>
    <xf numFmtId="4" fontId="5" fillId="12" borderId="5" xfId="2" applyNumberFormat="1" applyFont="1" applyFill="1" applyBorder="1" applyAlignment="1">
      <alignment horizontal="center" vertical="center"/>
    </xf>
    <xf numFmtId="4" fontId="4" fillId="12" borderId="5" xfId="2" applyNumberFormat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4" fontId="5" fillId="0" borderId="5" xfId="9" applyNumberFormat="1" applyFont="1" applyFill="1" applyBorder="1" applyAlignment="1">
      <alignment horizontal="center" vertical="distributed" wrapText="1"/>
    </xf>
    <xf numFmtId="17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justify" vertical="justify"/>
    </xf>
    <xf numFmtId="0" fontId="12" fillId="12" borderId="5" xfId="0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justify" vertical="justify"/>
    </xf>
    <xf numFmtId="0" fontId="4" fillId="12" borderId="5" xfId="0" applyFont="1" applyFill="1" applyBorder="1" applyAlignment="1">
      <alignment horizontal="center" vertical="center"/>
    </xf>
    <xf numFmtId="4" fontId="4" fillId="12" borderId="5" xfId="0" applyNumberFormat="1" applyFont="1" applyFill="1" applyBorder="1" applyAlignment="1">
      <alignment horizontal="center" vertical="center"/>
    </xf>
    <xf numFmtId="0" fontId="5" fillId="0" borderId="3" xfId="0" applyFont="1" applyBorder="1"/>
    <xf numFmtId="0" fontId="22" fillId="0" borderId="4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7" borderId="3" xfId="0" applyFont="1" applyFill="1" applyBorder="1"/>
    <xf numFmtId="0" fontId="5" fillId="9" borderId="3" xfId="0" applyFont="1" applyFill="1" applyBorder="1"/>
    <xf numFmtId="4" fontId="5" fillId="0" borderId="3" xfId="0" applyNumberFormat="1" applyFont="1" applyBorder="1"/>
    <xf numFmtId="0" fontId="4" fillId="0" borderId="22" xfId="2" applyFont="1" applyBorder="1" applyAlignment="1">
      <alignment horizontal="center"/>
    </xf>
    <xf numFmtId="2" fontId="39" fillId="13" borderId="5" xfId="2" applyNumberFormat="1" applyFont="1" applyFill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justify" vertical="justify"/>
    </xf>
    <xf numFmtId="4" fontId="4" fillId="0" borderId="5" xfId="2" applyNumberFormat="1" applyFont="1" applyBorder="1" applyAlignment="1">
      <alignment horizontal="right" vertical="center"/>
    </xf>
    <xf numFmtId="2" fontId="4" fillId="0" borderId="5" xfId="2" applyNumberFormat="1" applyFont="1" applyBorder="1" applyAlignment="1">
      <alignment horizontal="right" vertical="center"/>
    </xf>
    <xf numFmtId="0" fontId="4" fillId="12" borderId="5" xfId="2" applyFont="1" applyFill="1" applyBorder="1" applyAlignment="1">
      <alignment horizontal="left" vertical="justify"/>
    </xf>
    <xf numFmtId="4" fontId="4" fillId="12" borderId="5" xfId="2" applyNumberFormat="1" applyFont="1" applyFill="1" applyBorder="1" applyAlignment="1">
      <alignment horizontal="right" vertical="center"/>
    </xf>
    <xf numFmtId="2" fontId="4" fillId="12" borderId="5" xfId="2" applyNumberFormat="1" applyFont="1" applyFill="1" applyBorder="1" applyAlignment="1">
      <alignment horizontal="right" vertical="center"/>
    </xf>
    <xf numFmtId="0" fontId="4" fillId="10" borderId="5" xfId="2" applyFont="1" applyFill="1" applyBorder="1" applyAlignment="1">
      <alignment horizontal="center" vertical="center"/>
    </xf>
    <xf numFmtId="0" fontId="4" fillId="10" borderId="5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justify" vertical="justify"/>
    </xf>
    <xf numFmtId="4" fontId="4" fillId="10" borderId="5" xfId="2" applyNumberFormat="1" applyFont="1" applyFill="1" applyBorder="1" applyAlignment="1">
      <alignment horizontal="right" vertical="center"/>
    </xf>
    <xf numFmtId="2" fontId="4" fillId="10" borderId="5" xfId="2" applyNumberFormat="1" applyFont="1" applyFill="1" applyBorder="1" applyAlignment="1">
      <alignment horizontal="right" vertical="center"/>
    </xf>
    <xf numFmtId="0" fontId="5" fillId="0" borderId="5" xfId="2" applyFont="1" applyBorder="1" applyAlignment="1">
      <alignment horizontal="right" vertical="justify"/>
    </xf>
    <xf numFmtId="4" fontId="5" fillId="0" borderId="5" xfId="2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justify"/>
    </xf>
    <xf numFmtId="2" fontId="5" fillId="0" borderId="5" xfId="2" applyNumberFormat="1" applyFont="1" applyBorder="1" applyAlignment="1">
      <alignment horizontal="right" vertical="center"/>
    </xf>
    <xf numFmtId="2" fontId="5" fillId="0" borderId="5" xfId="2" applyNumberFormat="1" applyFont="1" applyBorder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 wrapText="1"/>
    </xf>
    <xf numFmtId="175" fontId="5" fillId="0" borderId="5" xfId="2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1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justify" vertical="justify" wrapText="1"/>
    </xf>
    <xf numFmtId="0" fontId="4" fillId="0" borderId="5" xfId="2" applyFont="1" applyBorder="1" applyAlignment="1">
      <alignment horizontal="right" vertical="justify"/>
    </xf>
    <xf numFmtId="4" fontId="12" fillId="0" borderId="5" xfId="2" applyNumberFormat="1" applyFont="1" applyBorder="1" applyAlignment="1">
      <alignment horizontal="center" vertical="center"/>
    </xf>
    <xf numFmtId="0" fontId="4" fillId="13" borderId="5" xfId="2" applyFont="1" applyFill="1" applyBorder="1" applyAlignment="1">
      <alignment horizontal="center" vertical="center"/>
    </xf>
    <xf numFmtId="0" fontId="4" fillId="13" borderId="5" xfId="2" applyFont="1" applyFill="1" applyBorder="1" applyAlignment="1">
      <alignment horizontal="center" vertical="center" wrapText="1"/>
    </xf>
    <xf numFmtId="0" fontId="4" fillId="13" borderId="5" xfId="2" applyFont="1" applyFill="1" applyBorder="1" applyAlignment="1">
      <alignment horizontal="justify" vertical="justify"/>
    </xf>
    <xf numFmtId="4" fontId="4" fillId="13" borderId="5" xfId="2" applyNumberFormat="1" applyFont="1" applyFill="1" applyBorder="1" applyAlignment="1">
      <alignment horizontal="right" vertical="center"/>
    </xf>
    <xf numFmtId="2" fontId="4" fillId="13" borderId="5" xfId="2" applyNumberFormat="1" applyFont="1" applyFill="1" applyBorder="1" applyAlignment="1">
      <alignment horizontal="right" vertical="center"/>
    </xf>
    <xf numFmtId="4" fontId="5" fillId="0" borderId="5" xfId="0" applyNumberFormat="1" applyFont="1" applyBorder="1" applyAlignment="1">
      <alignment horizontal="center" wrapText="1"/>
    </xf>
    <xf numFmtId="0" fontId="4" fillId="0" borderId="11" xfId="2" applyFont="1" applyBorder="1" applyAlignment="1">
      <alignment horizontal="center" vertical="center" wrapText="1"/>
    </xf>
    <xf numFmtId="2" fontId="5" fillId="0" borderId="5" xfId="2" applyNumberFormat="1" applyFont="1" applyBorder="1" applyAlignment="1">
      <alignment horizontal="right" vertical="justify"/>
    </xf>
    <xf numFmtId="171" fontId="5" fillId="0" borderId="5" xfId="2" applyNumberFormat="1" applyFont="1" applyBorder="1" applyAlignment="1">
      <alignment horizontal="center" vertical="center"/>
    </xf>
    <xf numFmtId="2" fontId="5" fillId="0" borderId="1" xfId="0" applyNumberFormat="1" applyFont="1" applyBorder="1"/>
    <xf numFmtId="2" fontId="5" fillId="0" borderId="5" xfId="0" applyNumberFormat="1" applyFont="1" applyBorder="1" applyAlignment="1">
      <alignment horizontal="center"/>
    </xf>
    <xf numFmtId="4" fontId="4" fillId="10" borderId="5" xfId="2" applyNumberFormat="1" applyFont="1" applyFill="1" applyBorder="1" applyAlignment="1">
      <alignment horizontal="center" vertical="center"/>
    </xf>
    <xf numFmtId="4" fontId="5" fillId="0" borderId="5" xfId="0" applyNumberFormat="1" applyFont="1" applyBorder="1"/>
    <xf numFmtId="49" fontId="5" fillId="0" borderId="5" xfId="9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/>
    </xf>
    <xf numFmtId="175" fontId="5" fillId="0" borderId="5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justify"/>
    </xf>
    <xf numFmtId="175" fontId="4" fillId="10" borderId="5" xfId="2" applyNumberFormat="1" applyFont="1" applyFill="1" applyBorder="1" applyAlignment="1">
      <alignment horizontal="right" vertical="center"/>
    </xf>
    <xf numFmtId="0" fontId="15" fillId="0" borderId="5" xfId="0" applyFont="1" applyBorder="1"/>
    <xf numFmtId="0" fontId="15" fillId="0" borderId="5" xfId="0" applyFont="1" applyBorder="1" applyAlignment="1">
      <alignment horizontal="center"/>
    </xf>
    <xf numFmtId="10" fontId="15" fillId="0" borderId="5" xfId="1" applyNumberFormat="1" applyFont="1" applyFill="1" applyBorder="1" applyAlignment="1">
      <alignment horizontal="center"/>
    </xf>
    <xf numFmtId="165" fontId="4" fillId="4" borderId="50" xfId="58" applyFont="1" applyFill="1" applyBorder="1" applyAlignment="1">
      <alignment horizontal="center" vertical="distributed" wrapText="1"/>
    </xf>
    <xf numFmtId="170" fontId="5" fillId="4" borderId="50" xfId="58" applyNumberFormat="1" applyFont="1" applyFill="1" applyBorder="1" applyAlignment="1">
      <alignment horizontal="justify" vertical="distributed" wrapText="1"/>
    </xf>
    <xf numFmtId="165" fontId="4" fillId="4" borderId="50" xfId="58" applyFont="1" applyFill="1" applyBorder="1" applyAlignment="1">
      <alignment horizontal="justify" vertical="distributed" wrapText="1"/>
    </xf>
    <xf numFmtId="165" fontId="5" fillId="4" borderId="50" xfId="58" applyFont="1" applyFill="1" applyBorder="1" applyAlignment="1">
      <alignment horizontal="justify" vertical="distributed" wrapText="1"/>
    </xf>
    <xf numFmtId="170" fontId="4" fillId="2" borderId="50" xfId="58" applyNumberFormat="1" applyFont="1" applyFill="1" applyBorder="1" applyAlignment="1">
      <alignment horizontal="center" vertical="distributed" wrapText="1"/>
    </xf>
    <xf numFmtId="165" fontId="4" fillId="2" borderId="50" xfId="58" applyFont="1" applyFill="1" applyBorder="1" applyAlignment="1">
      <alignment horizontal="justify" vertical="distributed" wrapText="1"/>
    </xf>
    <xf numFmtId="165" fontId="4" fillId="2" borderId="50" xfId="58" applyFont="1" applyFill="1" applyBorder="1" applyAlignment="1">
      <alignment horizontal="center" vertical="distributed" wrapText="1"/>
    </xf>
    <xf numFmtId="49" fontId="5" fillId="4" borderId="50" xfId="58" applyNumberFormat="1" applyFont="1" applyFill="1" applyBorder="1" applyAlignment="1">
      <alignment horizontal="center" vertical="center" wrapText="1"/>
    </xf>
    <xf numFmtId="170" fontId="5" fillId="4" borderId="50" xfId="50" applyNumberFormat="1" applyFont="1" applyFill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distributed"/>
    </xf>
    <xf numFmtId="172" fontId="5" fillId="0" borderId="50" xfId="50" applyNumberFormat="1" applyFont="1" applyFill="1" applyBorder="1" applyAlignment="1">
      <alignment horizontal="justify" vertical="distributed" wrapText="1"/>
    </xf>
    <xf numFmtId="169" fontId="5" fillId="0" borderId="50" xfId="0" applyNumberFormat="1" applyFont="1" applyBorder="1" applyAlignment="1">
      <alignment horizontal="right" vertical="center"/>
    </xf>
    <xf numFmtId="169" fontId="5" fillId="4" borderId="50" xfId="50" applyNumberFormat="1" applyFont="1" applyFill="1" applyBorder="1" applyAlignment="1">
      <alignment horizontal="right" vertical="center"/>
    </xf>
    <xf numFmtId="0" fontId="5" fillId="0" borderId="50" xfId="0" applyFont="1" applyBorder="1"/>
    <xf numFmtId="165" fontId="4" fillId="2" borderId="50" xfId="58" applyFont="1" applyFill="1" applyBorder="1" applyAlignment="1">
      <alignment horizontal="right" vertical="distributed" wrapText="1"/>
    </xf>
    <xf numFmtId="165" fontId="4" fillId="15" borderId="50" xfId="58" applyFont="1" applyFill="1" applyBorder="1" applyAlignment="1">
      <alignment horizontal="justify" vertical="distributed" wrapText="1"/>
    </xf>
    <xf numFmtId="0" fontId="22" fillId="0" borderId="1" xfId="2" applyFont="1" applyBorder="1" applyAlignment="1">
      <alignment horizontal="center"/>
    </xf>
    <xf numFmtId="0" fontId="40" fillId="13" borderId="1" xfId="0" applyFont="1" applyFill="1" applyBorder="1" applyAlignment="1">
      <alignment horizontal="center" vertical="center"/>
    </xf>
    <xf numFmtId="0" fontId="6" fillId="0" borderId="4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22" fillId="0" borderId="4" xfId="2" applyFont="1" applyBorder="1" applyAlignment="1">
      <alignment horizontal="center"/>
    </xf>
    <xf numFmtId="0" fontId="22" fillId="0" borderId="2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21" xfId="0" applyFont="1" applyBorder="1" applyAlignment="1">
      <alignment horizontal="center" vertical="justify"/>
    </xf>
    <xf numFmtId="0" fontId="12" fillId="0" borderId="0" xfId="0" applyFont="1" applyAlignment="1">
      <alignment horizontal="center" vertical="justify"/>
    </xf>
    <xf numFmtId="0" fontId="12" fillId="0" borderId="0" xfId="0" applyFont="1" applyAlignment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165" fontId="4" fillId="4" borderId="5" xfId="9" applyFont="1" applyFill="1" applyBorder="1" applyAlignment="1">
      <alignment horizontal="justify" vertical="distributed" wrapText="1"/>
    </xf>
    <xf numFmtId="170" fontId="4" fillId="4" borderId="5" xfId="9" applyNumberFormat="1" applyFont="1" applyFill="1" applyBorder="1" applyAlignment="1">
      <alignment horizontal="center" vertical="distributed" wrapText="1"/>
    </xf>
    <xf numFmtId="165" fontId="4" fillId="4" borderId="11" xfId="9" applyFont="1" applyFill="1" applyBorder="1" applyAlignment="1">
      <alignment horizontal="left" vertical="distributed" wrapText="1"/>
    </xf>
    <xf numFmtId="165" fontId="4" fillId="4" borderId="13" xfId="9" applyFont="1" applyFill="1" applyBorder="1" applyAlignment="1">
      <alignment horizontal="left" vertical="distributed" wrapText="1"/>
    </xf>
    <xf numFmtId="165" fontId="4" fillId="4" borderId="12" xfId="9" applyFont="1" applyFill="1" applyBorder="1" applyAlignment="1">
      <alignment horizontal="left" vertical="distributed" wrapText="1"/>
    </xf>
    <xf numFmtId="0" fontId="4" fillId="12" borderId="5" xfId="9" applyNumberFormat="1" applyFont="1" applyFill="1" applyBorder="1" applyAlignment="1">
      <alignment horizontal="center" vertical="center" wrapText="1"/>
    </xf>
    <xf numFmtId="165" fontId="4" fillId="4" borderId="5" xfId="9" applyFont="1" applyFill="1" applyBorder="1" applyAlignment="1">
      <alignment horizontal="center" vertical="distributed" wrapText="1"/>
    </xf>
    <xf numFmtId="165" fontId="4" fillId="10" borderId="5" xfId="9" applyFont="1" applyFill="1" applyBorder="1" applyAlignment="1">
      <alignment horizontal="center" vertical="distributed" wrapText="1"/>
    </xf>
    <xf numFmtId="165" fontId="4" fillId="4" borderId="11" xfId="9" applyFont="1" applyFill="1" applyBorder="1" applyAlignment="1">
      <alignment horizontal="justify" vertical="distributed" wrapText="1"/>
    </xf>
    <xf numFmtId="165" fontId="4" fillId="4" borderId="12" xfId="9" applyFont="1" applyFill="1" applyBorder="1" applyAlignment="1">
      <alignment horizontal="justify" vertical="distributed" wrapText="1"/>
    </xf>
    <xf numFmtId="170" fontId="4" fillId="4" borderId="28" xfId="9" applyNumberFormat="1" applyFont="1" applyFill="1" applyBorder="1" applyAlignment="1">
      <alignment horizontal="center" vertical="distributed" wrapText="1"/>
    </xf>
    <xf numFmtId="165" fontId="4" fillId="4" borderId="28" xfId="9" applyFont="1" applyFill="1" applyBorder="1" applyAlignment="1">
      <alignment horizontal="center" vertical="distributed" wrapText="1"/>
    </xf>
    <xf numFmtId="165" fontId="4" fillId="10" borderId="10" xfId="9" applyFont="1" applyFill="1" applyBorder="1" applyAlignment="1">
      <alignment horizontal="center" vertical="distributed" wrapText="1"/>
    </xf>
    <xf numFmtId="0" fontId="20" fillId="12" borderId="5" xfId="0" applyFont="1" applyFill="1" applyBorder="1" applyAlignment="1">
      <alignment horizontal="center"/>
    </xf>
    <xf numFmtId="0" fontId="42" fillId="4" borderId="18" xfId="0" applyFont="1" applyFill="1" applyBorder="1" applyAlignment="1">
      <alignment horizontal="left" vertical="top" wrapText="1"/>
    </xf>
    <xf numFmtId="0" fontId="42" fillId="4" borderId="19" xfId="0" applyFont="1" applyFill="1" applyBorder="1" applyAlignment="1">
      <alignment horizontal="left" vertical="top" wrapText="1"/>
    </xf>
    <xf numFmtId="0" fontId="42" fillId="4" borderId="20" xfId="0" applyFont="1" applyFill="1" applyBorder="1" applyAlignment="1">
      <alignment horizontal="left" vertical="top" wrapText="1"/>
    </xf>
    <xf numFmtId="0" fontId="35" fillId="12" borderId="6" xfId="0" applyFont="1" applyFill="1" applyBorder="1" applyAlignment="1">
      <alignment horizontal="center"/>
    </xf>
    <xf numFmtId="0" fontId="35" fillId="12" borderId="7" xfId="0" applyFont="1" applyFill="1" applyBorder="1" applyAlignment="1">
      <alignment horizontal="center"/>
    </xf>
    <xf numFmtId="0" fontId="35" fillId="12" borderId="8" xfId="0" applyFont="1" applyFill="1" applyBorder="1" applyAlignment="1">
      <alignment horizontal="center"/>
    </xf>
    <xf numFmtId="4" fontId="36" fillId="0" borderId="14" xfId="0" applyNumberFormat="1" applyFont="1" applyBorder="1" applyAlignment="1">
      <alignment horizontal="left" vertical="top" wrapText="1"/>
    </xf>
    <xf numFmtId="4" fontId="36" fillId="0" borderId="9" xfId="0" applyNumberFormat="1" applyFont="1" applyBorder="1" applyAlignment="1">
      <alignment horizontal="left" vertical="top" wrapText="1"/>
    </xf>
    <xf numFmtId="0" fontId="36" fillId="0" borderId="9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4" fontId="36" fillId="0" borderId="16" xfId="0" applyNumberFormat="1" applyFont="1" applyBorder="1" applyAlignment="1">
      <alignment horizontal="left" vertical="top" wrapText="1"/>
    </xf>
    <xf numFmtId="4" fontId="36" fillId="0" borderId="0" xfId="0" applyNumberFormat="1" applyFont="1" applyAlignment="1">
      <alignment horizontal="left" vertical="top" wrapText="1"/>
    </xf>
    <xf numFmtId="4" fontId="36" fillId="0" borderId="17" xfId="0" applyNumberFormat="1" applyFont="1" applyBorder="1" applyAlignment="1">
      <alignment horizontal="left" vertical="top" wrapText="1"/>
    </xf>
    <xf numFmtId="170" fontId="4" fillId="4" borderId="29" xfId="9" applyNumberFormat="1" applyFont="1" applyFill="1" applyBorder="1" applyAlignment="1">
      <alignment horizontal="center" vertical="distributed" wrapText="1"/>
    </xf>
    <xf numFmtId="170" fontId="4" fillId="4" borderId="30" xfId="9" applyNumberFormat="1" applyFont="1" applyFill="1" applyBorder="1" applyAlignment="1">
      <alignment horizontal="center" vertical="distributed" wrapText="1"/>
    </xf>
    <xf numFmtId="170" fontId="4" fillId="4" borderId="31" xfId="9" applyNumberFormat="1" applyFont="1" applyFill="1" applyBorder="1" applyAlignment="1">
      <alignment horizontal="center" vertical="distributed" wrapText="1"/>
    </xf>
    <xf numFmtId="170" fontId="4" fillId="4" borderId="24" xfId="9" applyNumberFormat="1" applyFont="1" applyFill="1" applyBorder="1" applyAlignment="1">
      <alignment horizontal="center" vertical="distributed" wrapText="1"/>
    </xf>
    <xf numFmtId="170" fontId="4" fillId="4" borderId="25" xfId="9" applyNumberFormat="1" applyFont="1" applyFill="1" applyBorder="1" applyAlignment="1">
      <alignment horizontal="center" vertical="distributed" wrapText="1"/>
    </xf>
    <xf numFmtId="0" fontId="4" fillId="12" borderId="11" xfId="9" applyNumberFormat="1" applyFont="1" applyFill="1" applyBorder="1" applyAlignment="1">
      <alignment horizontal="center" vertical="center" wrapText="1"/>
    </xf>
    <xf numFmtId="0" fontId="4" fillId="12" borderId="13" xfId="9" applyNumberFormat="1" applyFont="1" applyFill="1" applyBorder="1" applyAlignment="1">
      <alignment horizontal="center" vertical="center" wrapText="1"/>
    </xf>
    <xf numFmtId="0" fontId="4" fillId="12" borderId="12" xfId="9" applyNumberFormat="1" applyFont="1" applyFill="1" applyBorder="1" applyAlignment="1">
      <alignment horizontal="center" vertical="center" wrapText="1"/>
    </xf>
    <xf numFmtId="165" fontId="4" fillId="4" borderId="29" xfId="9" applyFont="1" applyFill="1" applyBorder="1" applyAlignment="1">
      <alignment horizontal="center" vertical="distributed" wrapText="1"/>
    </xf>
    <xf numFmtId="165" fontId="4" fillId="4" borderId="24" xfId="9" applyFont="1" applyFill="1" applyBorder="1" applyAlignment="1">
      <alignment horizontal="center" vertical="distributed" wrapText="1"/>
    </xf>
    <xf numFmtId="165" fontId="4" fillId="4" borderId="25" xfId="9" applyFont="1" applyFill="1" applyBorder="1" applyAlignment="1">
      <alignment horizontal="center" vertical="distributed" wrapText="1"/>
    </xf>
    <xf numFmtId="165" fontId="4" fillId="10" borderId="49" xfId="9" applyFont="1" applyFill="1" applyBorder="1" applyAlignment="1">
      <alignment horizontal="center" vertical="distributed" wrapText="1"/>
    </xf>
    <xf numFmtId="0" fontId="11" fillId="0" borderId="1" xfId="2" applyFont="1" applyBorder="1" applyAlignment="1">
      <alignment horizontal="left" wrapText="1"/>
    </xf>
    <xf numFmtId="0" fontId="22" fillId="0" borderId="1" xfId="2" applyFont="1" applyBorder="1" applyAlignment="1">
      <alignment horizontal="center" wrapText="1"/>
    </xf>
    <xf numFmtId="0" fontId="3" fillId="0" borderId="23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43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4" fillId="12" borderId="1" xfId="2" applyFont="1" applyFill="1" applyBorder="1" applyAlignment="1">
      <alignment horizontal="center" vertical="top"/>
    </xf>
    <xf numFmtId="0" fontId="11" fillId="0" borderId="4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4" fontId="39" fillId="13" borderId="23" xfId="2" applyNumberFormat="1" applyFont="1" applyFill="1" applyBorder="1" applyAlignment="1">
      <alignment horizontal="center" vertical="center"/>
    </xf>
    <xf numFmtId="4" fontId="39" fillId="13" borderId="26" xfId="2" applyNumberFormat="1" applyFont="1" applyFill="1" applyBorder="1" applyAlignment="1">
      <alignment horizontal="center" vertical="center"/>
    </xf>
    <xf numFmtId="0" fontId="15" fillId="12" borderId="4" xfId="2" applyFont="1" applyFill="1" applyBorder="1" applyAlignment="1">
      <alignment horizontal="center" vertical="center"/>
    </xf>
    <xf numFmtId="0" fontId="15" fillId="12" borderId="2" xfId="2" applyFont="1" applyFill="1" applyBorder="1" applyAlignment="1">
      <alignment horizontal="center" vertical="center"/>
    </xf>
    <xf numFmtId="4" fontId="15" fillId="12" borderId="2" xfId="2" applyNumberFormat="1" applyFont="1" applyFill="1" applyBorder="1" applyAlignment="1">
      <alignment horizontal="center" vertical="center"/>
    </xf>
    <xf numFmtId="0" fontId="15" fillId="12" borderId="3" xfId="2" applyFont="1" applyFill="1" applyBorder="1" applyAlignment="1">
      <alignment horizontal="center" vertical="center"/>
    </xf>
    <xf numFmtId="0" fontId="39" fillId="13" borderId="1" xfId="2" applyFont="1" applyFill="1" applyBorder="1" applyAlignment="1">
      <alignment horizontal="center" vertical="center"/>
    </xf>
    <xf numFmtId="0" fontId="39" fillId="13" borderId="1" xfId="2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31" fillId="0" borderId="0" xfId="6" applyFont="1" applyAlignment="1">
      <alignment horizontal="justify" wrapText="1"/>
    </xf>
    <xf numFmtId="0" fontId="17" fillId="0" borderId="0" xfId="6" applyFont="1" applyAlignment="1">
      <alignment horizontal="justify" wrapText="1"/>
    </xf>
    <xf numFmtId="0" fontId="33" fillId="0" borderId="11" xfId="0" applyFont="1" applyBorder="1" applyAlignment="1">
      <alignment horizontal="left" vertical="justify" wrapText="1"/>
    </xf>
    <xf numFmtId="0" fontId="33" fillId="0" borderId="13" xfId="0" applyFont="1" applyBorder="1" applyAlignment="1">
      <alignment horizontal="left" vertical="justify" wrapText="1"/>
    </xf>
    <xf numFmtId="0" fontId="33" fillId="0" borderId="12" xfId="0" applyFont="1" applyBorder="1" applyAlignment="1">
      <alignment horizontal="left" vertical="justify" wrapText="1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4" fontId="28" fillId="0" borderId="0" xfId="0" applyNumberFormat="1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0" fontId="4" fillId="0" borderId="46" xfId="2" applyFont="1" applyBorder="1" applyAlignment="1">
      <alignment horizontal="left"/>
    </xf>
    <xf numFmtId="0" fontId="4" fillId="0" borderId="47" xfId="2" applyFont="1" applyBorder="1" applyAlignment="1">
      <alignment horizontal="left"/>
    </xf>
    <xf numFmtId="0" fontId="4" fillId="0" borderId="48" xfId="2" applyFont="1" applyBorder="1" applyAlignment="1">
      <alignment horizontal="left"/>
    </xf>
    <xf numFmtId="0" fontId="4" fillId="0" borderId="4" xfId="2" applyFont="1" applyBorder="1" applyAlignment="1">
      <alignment horizontal="left"/>
    </xf>
    <xf numFmtId="0" fontId="4" fillId="0" borderId="2" xfId="2" applyFont="1" applyBorder="1" applyAlignment="1">
      <alignment horizontal="left"/>
    </xf>
    <xf numFmtId="0" fontId="4" fillId="0" borderId="3" xfId="2" applyFont="1" applyBorder="1" applyAlignment="1">
      <alignment horizontal="left"/>
    </xf>
    <xf numFmtId="165" fontId="4" fillId="4" borderId="50" xfId="58" applyFont="1" applyFill="1" applyBorder="1" applyAlignment="1">
      <alignment horizontal="justify" vertical="distributed" wrapText="1"/>
    </xf>
    <xf numFmtId="0" fontId="20" fillId="10" borderId="50" xfId="0" applyFont="1" applyFill="1" applyBorder="1" applyAlignment="1">
      <alignment horizontal="center" wrapText="1"/>
    </xf>
    <xf numFmtId="170" fontId="4" fillId="4" borderId="51" xfId="58" applyNumberFormat="1" applyFont="1" applyFill="1" applyBorder="1" applyAlignment="1">
      <alignment horizontal="center" vertical="distributed" wrapText="1"/>
    </xf>
    <xf numFmtId="170" fontId="4" fillId="4" borderId="52" xfId="58" applyNumberFormat="1" applyFont="1" applyFill="1" applyBorder="1" applyAlignment="1">
      <alignment horizontal="center" vertical="distributed" wrapText="1"/>
    </xf>
    <xf numFmtId="170" fontId="4" fillId="4" borderId="30" xfId="58" applyNumberFormat="1" applyFont="1" applyFill="1" applyBorder="1" applyAlignment="1">
      <alignment horizontal="center" vertical="distributed" wrapText="1"/>
    </xf>
    <xf numFmtId="170" fontId="4" fillId="4" borderId="31" xfId="58" applyNumberFormat="1" applyFont="1" applyFill="1" applyBorder="1" applyAlignment="1">
      <alignment horizontal="center" vertical="distributed" wrapText="1"/>
    </xf>
    <xf numFmtId="170" fontId="4" fillId="4" borderId="56" xfId="58" applyNumberFormat="1" applyFont="1" applyFill="1" applyBorder="1" applyAlignment="1">
      <alignment horizontal="center" vertical="distributed" wrapText="1"/>
    </xf>
    <xf numFmtId="170" fontId="4" fillId="4" borderId="57" xfId="58" applyNumberFormat="1" applyFont="1" applyFill="1" applyBorder="1" applyAlignment="1">
      <alignment horizontal="center" vertical="distributed" wrapText="1"/>
    </xf>
    <xf numFmtId="165" fontId="4" fillId="4" borderId="53" xfId="58" applyFont="1" applyFill="1" applyBorder="1" applyAlignment="1">
      <alignment horizontal="left" vertical="distributed" wrapText="1"/>
    </xf>
    <xf numFmtId="165" fontId="4" fillId="4" borderId="2" xfId="58" applyFont="1" applyFill="1" applyBorder="1" applyAlignment="1">
      <alignment horizontal="left" vertical="distributed" wrapText="1"/>
    </xf>
    <xf numFmtId="165" fontId="4" fillId="4" borderId="54" xfId="58" applyFont="1" applyFill="1" applyBorder="1" applyAlignment="1">
      <alignment horizontal="left" vertical="distributed" wrapText="1"/>
    </xf>
    <xf numFmtId="0" fontId="4" fillId="14" borderId="50" xfId="58" applyNumberFormat="1" applyFont="1" applyFill="1" applyBorder="1" applyAlignment="1">
      <alignment horizontal="justify" vertical="distributed" wrapText="1"/>
    </xf>
    <xf numFmtId="165" fontId="4" fillId="4" borderId="51" xfId="58" applyFont="1" applyFill="1" applyBorder="1" applyAlignment="1">
      <alignment horizontal="center" vertical="distributed" wrapText="1"/>
    </xf>
    <xf numFmtId="165" fontId="4" fillId="4" borderId="52" xfId="58" applyFont="1" applyFill="1" applyBorder="1" applyAlignment="1">
      <alignment horizontal="center" vertical="distributed" wrapText="1"/>
    </xf>
    <xf numFmtId="165" fontId="4" fillId="4" borderId="56" xfId="58" applyFont="1" applyFill="1" applyBorder="1" applyAlignment="1">
      <alignment horizontal="center" vertical="distributed" wrapText="1"/>
    </xf>
    <xf numFmtId="165" fontId="4" fillId="4" borderId="57" xfId="58" applyFont="1" applyFill="1" applyBorder="1" applyAlignment="1">
      <alignment horizontal="center" vertical="distributed" wrapText="1"/>
    </xf>
    <xf numFmtId="165" fontId="4" fillId="9" borderId="55" xfId="58" applyFont="1" applyFill="1" applyBorder="1" applyAlignment="1">
      <alignment horizontal="center" vertical="distributed" wrapText="1"/>
    </xf>
    <xf numFmtId="165" fontId="4" fillId="9" borderId="58" xfId="58" applyFont="1" applyFill="1" applyBorder="1" applyAlignment="1">
      <alignment horizontal="center" vertical="distributed" wrapText="1"/>
    </xf>
    <xf numFmtId="0" fontId="35" fillId="2" borderId="6" xfId="0" applyFont="1" applyFill="1" applyBorder="1" applyAlignment="1">
      <alignment horizontal="center"/>
    </xf>
    <xf numFmtId="0" fontId="35" fillId="2" borderId="7" xfId="0" applyFont="1" applyFill="1" applyBorder="1" applyAlignment="1">
      <alignment horizontal="center"/>
    </xf>
    <xf numFmtId="0" fontId="35" fillId="2" borderId="8" xfId="0" applyFont="1" applyFill="1" applyBorder="1" applyAlignment="1">
      <alignment horizontal="center"/>
    </xf>
    <xf numFmtId="0" fontId="20" fillId="10" borderId="50" xfId="0" applyFont="1" applyFill="1" applyBorder="1" applyAlignment="1">
      <alignment horizontal="center"/>
    </xf>
  </cellXfs>
  <cellStyles count="59">
    <cellStyle name="Moeda" xfId="49" builtinId="4"/>
    <cellStyle name="Moeda 2" xfId="10" xr:uid="{00000000-0005-0000-0000-000001000000}"/>
    <cellStyle name="Moeda 3" xfId="14" xr:uid="{00000000-0005-0000-0000-000002000000}"/>
    <cellStyle name="Moeda 4" xfId="15" xr:uid="{00000000-0005-0000-0000-000003000000}"/>
    <cellStyle name="Moeda 5" xfId="16" xr:uid="{00000000-0005-0000-0000-000004000000}"/>
    <cellStyle name="Normal" xfId="0" builtinId="0"/>
    <cellStyle name="Normal 19" xfId="52" xr:uid="{00000000-0005-0000-0000-000006000000}"/>
    <cellStyle name="Normal 2" xfId="3" xr:uid="{00000000-0005-0000-0000-000007000000}"/>
    <cellStyle name="Normal 2 2" xfId="5" xr:uid="{00000000-0005-0000-0000-000008000000}"/>
    <cellStyle name="Normal 2 3" xfId="17" xr:uid="{00000000-0005-0000-0000-000009000000}"/>
    <cellStyle name="Normal 2 3 2" xfId="13" xr:uid="{00000000-0005-0000-0000-00000A000000}"/>
    <cellStyle name="Normal 2 4" xfId="18" xr:uid="{00000000-0005-0000-0000-00000B000000}"/>
    <cellStyle name="Normal 2 5" xfId="51" xr:uid="{00000000-0005-0000-0000-00000C000000}"/>
    <cellStyle name="Normal 3" xfId="6" xr:uid="{00000000-0005-0000-0000-00000D000000}"/>
    <cellStyle name="Normal 3 2" xfId="19" xr:uid="{00000000-0005-0000-0000-00000E000000}"/>
    <cellStyle name="Normal 3 2 2" xfId="20" xr:uid="{00000000-0005-0000-0000-00000F000000}"/>
    <cellStyle name="Normal 3 2 3" xfId="21" xr:uid="{00000000-0005-0000-0000-000010000000}"/>
    <cellStyle name="Normal 3 3" xfId="22" xr:uid="{00000000-0005-0000-0000-000011000000}"/>
    <cellStyle name="Normal 4" xfId="11" xr:uid="{00000000-0005-0000-0000-000012000000}"/>
    <cellStyle name="Normal 4 2" xfId="23" xr:uid="{00000000-0005-0000-0000-000013000000}"/>
    <cellStyle name="Normal 4 2 2" xfId="24" xr:uid="{00000000-0005-0000-0000-000014000000}"/>
    <cellStyle name="Normal 4 3" xfId="25" xr:uid="{00000000-0005-0000-0000-000015000000}"/>
    <cellStyle name="Normal 5" xfId="26" xr:uid="{00000000-0005-0000-0000-000016000000}"/>
    <cellStyle name="Normal 5 2" xfId="27" xr:uid="{00000000-0005-0000-0000-000017000000}"/>
    <cellStyle name="Normal 5 3" xfId="28" xr:uid="{00000000-0005-0000-0000-000018000000}"/>
    <cellStyle name="Normal 6" xfId="29" xr:uid="{00000000-0005-0000-0000-000019000000}"/>
    <cellStyle name="Normal 6 2" xfId="30" xr:uid="{00000000-0005-0000-0000-00001A000000}"/>
    <cellStyle name="Normal 7" xfId="31" xr:uid="{00000000-0005-0000-0000-00001B000000}"/>
    <cellStyle name="Normal 7 2" xfId="32" xr:uid="{00000000-0005-0000-0000-00001C000000}"/>
    <cellStyle name="Normal 7 4" xfId="57" xr:uid="{00000000-0005-0000-0000-00001D000000}"/>
    <cellStyle name="Normal 8" xfId="33" xr:uid="{00000000-0005-0000-0000-00001E000000}"/>
    <cellStyle name="Normal_cronograma 6 meses 2" xfId="2" xr:uid="{00000000-0005-0000-0000-00001F000000}"/>
    <cellStyle name="Porcentagem" xfId="1" builtinId="5"/>
    <cellStyle name="Porcentagem 2" xfId="7" xr:uid="{00000000-0005-0000-0000-000021000000}"/>
    <cellStyle name="Porcentagem 2 2" xfId="34" xr:uid="{00000000-0005-0000-0000-000022000000}"/>
    <cellStyle name="Porcentagem 2 2 2" xfId="35" xr:uid="{00000000-0005-0000-0000-000023000000}"/>
    <cellStyle name="Porcentagem 3" xfId="36" xr:uid="{00000000-0005-0000-0000-000024000000}"/>
    <cellStyle name="Porcentagem 7" xfId="53" xr:uid="{00000000-0005-0000-0000-000025000000}"/>
    <cellStyle name="Separador de milhares 2" xfId="8" xr:uid="{00000000-0005-0000-0000-000026000000}"/>
    <cellStyle name="Separador de milhares 2 2" xfId="37" xr:uid="{00000000-0005-0000-0000-000027000000}"/>
    <cellStyle name="Separador de milhares 2 2 2" xfId="38" xr:uid="{00000000-0005-0000-0000-000028000000}"/>
    <cellStyle name="Separador de milhares 2 2 2 2" xfId="39" xr:uid="{00000000-0005-0000-0000-000029000000}"/>
    <cellStyle name="Separador de milhares 3" xfId="4" xr:uid="{00000000-0005-0000-0000-00002A000000}"/>
    <cellStyle name="Separador de milhares 3 2" xfId="40" xr:uid="{00000000-0005-0000-0000-00002B000000}"/>
    <cellStyle name="Separador de milhares 3 3" xfId="41" xr:uid="{00000000-0005-0000-0000-00002C000000}"/>
    <cellStyle name="Separador de milhares 4" xfId="42" xr:uid="{00000000-0005-0000-0000-00002D000000}"/>
    <cellStyle name="Separador de milhares 4 2" xfId="43" xr:uid="{00000000-0005-0000-0000-00002E000000}"/>
    <cellStyle name="Separador de milhares 4 3" xfId="44" xr:uid="{00000000-0005-0000-0000-00002F000000}"/>
    <cellStyle name="Separador de milhares 4 4" xfId="54" xr:uid="{00000000-0005-0000-0000-000030000000}"/>
    <cellStyle name="Separador de milhares 5" xfId="45" xr:uid="{00000000-0005-0000-0000-000031000000}"/>
    <cellStyle name="Vírgula" xfId="55" builtinId="3"/>
    <cellStyle name="Vírgula 2" xfId="9" xr:uid="{00000000-0005-0000-0000-000033000000}"/>
    <cellStyle name="Vírgula 2 2" xfId="12" xr:uid="{00000000-0005-0000-0000-000034000000}"/>
    <cellStyle name="Vírgula 2 2 2" xfId="50" xr:uid="{00000000-0005-0000-0000-000035000000}"/>
    <cellStyle name="Vírgula 2 3" xfId="46" xr:uid="{00000000-0005-0000-0000-000036000000}"/>
    <cellStyle name="Vírgula 2 5" xfId="58" xr:uid="{0D60A89A-6D19-4E95-B7C0-DEA1E04B4852}"/>
    <cellStyle name="Vírgula 3" xfId="47" xr:uid="{00000000-0005-0000-0000-000037000000}"/>
    <cellStyle name="Vírgula 4" xfId="48" xr:uid="{00000000-0005-0000-0000-000038000000}"/>
    <cellStyle name="Vírgula 4 2" xfId="56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61</xdr:row>
      <xdr:rowOff>11301</xdr:rowOff>
    </xdr:from>
    <xdr:to>
      <xdr:col>1</xdr:col>
      <xdr:colOff>4000501</xdr:colOff>
      <xdr:row>64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3351" y="14698851"/>
          <a:ext cx="3943350" cy="68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61</xdr:row>
      <xdr:rowOff>19050</xdr:rowOff>
    </xdr:from>
    <xdr:to>
      <xdr:col>1</xdr:col>
      <xdr:colOff>3190875</xdr:colOff>
      <xdr:row>64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57225" y="14706600"/>
          <a:ext cx="2609850" cy="6191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61</xdr:row>
      <xdr:rowOff>0</xdr:rowOff>
    </xdr:from>
    <xdr:to>
      <xdr:col>1</xdr:col>
      <xdr:colOff>3415393</xdr:colOff>
      <xdr:row>64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33400" y="14687550"/>
          <a:ext cx="2958193" cy="685799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62</xdr:row>
      <xdr:rowOff>95250</xdr:rowOff>
    </xdr:from>
    <xdr:to>
      <xdr:col>1</xdr:col>
      <xdr:colOff>2333625</xdr:colOff>
      <xdr:row>64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952625" y="14963775"/>
          <a:ext cx="457200" cy="32384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62</xdr:row>
      <xdr:rowOff>57150</xdr:rowOff>
    </xdr:from>
    <xdr:to>
      <xdr:col>1</xdr:col>
      <xdr:colOff>2419349</xdr:colOff>
      <xdr:row>64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647824" y="14925675"/>
          <a:ext cx="847725" cy="44767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34</xdr:row>
          <xdr:rowOff>0</xdr:rowOff>
        </xdr:from>
        <xdr:to>
          <xdr:col>1</xdr:col>
          <xdr:colOff>4671060</xdr:colOff>
          <xdr:row>38</xdr:row>
          <xdr:rowOff>7620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4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&#233;Carlos/Desktop/aux%20fossa/_____FOSSA+SUMIDOURO-OROBO/_MODELO_CODIGOS_SINAPI_CLUBE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ADM. LOCAL - NAO DESONERADO)"/>
      <sheetName val="ADM. LOCAL - DESONERADO"/>
      <sheetName val="GERAL - ORIGINAL"/>
      <sheetName val="__MEMORIA DE CALCULO__"/>
      <sheetName val="(GERAL - SINAPI COM DESON)"/>
      <sheetName val="ORÇAMENTO COM DESON"/>
      <sheetName val="COMPOSICOES - SINAPI COM DESON"/>
      <sheetName val="COMP_BDI_EDIF_SECID COM DESON"/>
      <sheetName val="BDI EDIFIC SECID COM DESON"/>
      <sheetName val="COMP_ENCARGOS_SOCIAIS_COM_DESON"/>
      <sheetName val="_RESUMO COMPARATIVO_"/>
      <sheetName val="COTACOES"/>
      <sheetName val="(GERAL - SINAPI SEM DESON)"/>
      <sheetName val="ORÇAMENTO SEM DESON"/>
      <sheetName val="COMPOSICOES - SINAPI SEM DESON"/>
      <sheetName val="RESUMO_SEM_DESON"/>
      <sheetName val="CRONOGRAMA_SEM_DESON"/>
      <sheetName val="COMP_BDI_EDIF_SECID SEM DESON"/>
      <sheetName val="BDI EDIFIC SECID SEM DESON"/>
      <sheetName val="COMP_ENCARGOS_SOCIAIS_SEM_DESON"/>
      <sheetName val="_QCI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6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1:G71"/>
  <sheetViews>
    <sheetView tabSelected="1" view="pageBreakPreview" zoomScaleNormal="100" zoomScaleSheetLayoutView="100" workbookViewId="0">
      <pane ySplit="744" activePane="bottomLeft"/>
      <selection activeCell="A7" sqref="A1:XFD1048576"/>
      <selection pane="bottomLeft" activeCell="C57" sqref="C57"/>
    </sheetView>
  </sheetViews>
  <sheetFormatPr defaultColWidth="9.109375" defaultRowHeight="10.199999999999999" x14ac:dyDescent="0.2"/>
  <cols>
    <col min="1" max="1" width="7.88671875" style="87" customWidth="1"/>
    <col min="2" max="2" width="80.88671875" style="89" customWidth="1"/>
    <col min="3" max="3" width="15.6640625" style="87" customWidth="1"/>
    <col min="4" max="4" width="14.6640625" style="90" customWidth="1"/>
    <col min="5" max="16384" width="9.109375" style="52"/>
  </cols>
  <sheetData>
    <row r="1" spans="1:7" s="47" customFormat="1" ht="17.399999999999999" x14ac:dyDescent="0.3">
      <c r="A1" s="272" t="str">
        <f>'CRONOGRAMA COM DESON'!A1</f>
        <v>REFORMA E AMPLIAÇÃO DA UNIDADE BÁSICA DE SAÚDE JENÉSIO DE QUEIROZ SANTOS</v>
      </c>
      <c r="B1" s="272"/>
      <c r="C1" s="272"/>
      <c r="D1" s="272"/>
    </row>
    <row r="2" spans="1:7" s="47" customFormat="1" ht="17.399999999999999" x14ac:dyDescent="0.3">
      <c r="A2" s="277" t="s">
        <v>39</v>
      </c>
      <c r="B2" s="278"/>
      <c r="C2" s="278"/>
      <c r="D2" s="279"/>
    </row>
    <row r="3" spans="1:7" s="47" customFormat="1" ht="17.399999999999999" x14ac:dyDescent="0.3">
      <c r="A3" s="272"/>
      <c r="B3" s="272"/>
      <c r="C3" s="112"/>
      <c r="D3" s="90"/>
    </row>
    <row r="4" spans="1:7" s="113" customFormat="1" ht="27.75" customHeight="1" x14ac:dyDescent="0.25">
      <c r="A4" s="274" t="str">
        <f>'ORÇAMENTO COM DESON'!A4</f>
        <v>LOCALIZAÇÃO: LIMOEIRO - PE</v>
      </c>
      <c r="B4" s="275"/>
      <c r="C4" s="275"/>
      <c r="D4" s="276"/>
    </row>
    <row r="5" spans="1:7" s="113" customFormat="1" ht="13.2" x14ac:dyDescent="0.25">
      <c r="A5" s="114" t="str">
        <f>'ORÇAMENTO COM DESON'!A5</f>
        <v>FONTES DE PREÇOS: SINAPI MARÇO-2023 -  SEINFRA 027 MARÇO/2021 - COM DESONERAÇÃO (BDI = 30,53%)</v>
      </c>
      <c r="B5" s="114"/>
      <c r="C5" s="120"/>
      <c r="D5" s="115"/>
    </row>
    <row r="6" spans="1:7" s="113" customFormat="1" ht="15" customHeight="1" x14ac:dyDescent="0.25">
      <c r="A6" s="141" t="str">
        <f>'ORÇAMENTO COM DESON'!A6</f>
        <v>DATA: ABRIL/2023</v>
      </c>
      <c r="B6" s="142"/>
      <c r="C6" s="120"/>
      <c r="D6" s="115"/>
    </row>
    <row r="7" spans="1:7" s="47" customFormat="1" x14ac:dyDescent="0.2">
      <c r="A7" s="1"/>
      <c r="B7" s="66"/>
      <c r="C7" s="49"/>
      <c r="D7" s="90"/>
    </row>
    <row r="8" spans="1:7" s="48" customFormat="1" ht="34.200000000000003" customHeight="1" x14ac:dyDescent="0.2">
      <c r="A8" s="130" t="s">
        <v>0</v>
      </c>
      <c r="B8" s="130" t="s">
        <v>36</v>
      </c>
      <c r="C8" s="131" t="s">
        <v>86</v>
      </c>
      <c r="D8" s="132" t="s">
        <v>134</v>
      </c>
    </row>
    <row r="9" spans="1:7" s="47" customFormat="1" ht="15.6" x14ac:dyDescent="0.2">
      <c r="A9" s="93"/>
      <c r="B9" s="102"/>
      <c r="C9" s="116"/>
      <c r="D9" s="117"/>
    </row>
    <row r="10" spans="1:7" s="59" customFormat="1" ht="15.6" x14ac:dyDescent="0.25">
      <c r="A10" s="137" t="str">
        <f>'ORÇAMENTO COM DESON'!A10</f>
        <v>1.1</v>
      </c>
      <c r="B10" s="133" t="str">
        <f>'ORÇAMENTO COM DESON'!D10</f>
        <v>SERVIÇOS PRELIMINARES</v>
      </c>
      <c r="C10" s="134">
        <f>'ORÇAMENTO COM DESON'!I10</f>
        <v>5752.83</v>
      </c>
      <c r="D10" s="135">
        <f>C10/$C$62</f>
        <v>1.6351017055925031E-2</v>
      </c>
    </row>
    <row r="11" spans="1:7" s="47" customFormat="1" ht="15.6" x14ac:dyDescent="0.2">
      <c r="A11" s="93"/>
      <c r="B11" s="102"/>
      <c r="C11" s="116"/>
      <c r="D11" s="117"/>
      <c r="G11" s="121" t="e">
        <f>C10+#REF!+#REF!+#REF!+#REF!+#REF!</f>
        <v>#REF!</v>
      </c>
    </row>
    <row r="12" spans="1:7" s="59" customFormat="1" ht="15.6" x14ac:dyDescent="0.25">
      <c r="A12" s="137" t="str">
        <f>'ORÇAMENTO COM DESON'!A14</f>
        <v>1.2</v>
      </c>
      <c r="B12" s="133" t="str">
        <f>'ORÇAMENTO COM DESON'!D14</f>
        <v>MOVIMENTAÇÃO DE TERRA</v>
      </c>
      <c r="C12" s="134">
        <f>'ORÇAMENTO COM DESON'!I14</f>
        <v>6926.93</v>
      </c>
      <c r="D12" s="135">
        <f>C12/$C$62</f>
        <v>1.9688110125833509E-2</v>
      </c>
    </row>
    <row r="13" spans="1:7" s="47" customFormat="1" ht="15.6" x14ac:dyDescent="0.2">
      <c r="A13" s="93"/>
      <c r="B13" s="102"/>
      <c r="C13" s="116"/>
      <c r="D13" s="117"/>
      <c r="G13" s="121" t="e">
        <f>C12+#REF!+#REF!+#REF!+#REF!+C62</f>
        <v>#REF!</v>
      </c>
    </row>
    <row r="14" spans="1:7" s="59" customFormat="1" ht="15.6" x14ac:dyDescent="0.25">
      <c r="A14" s="137" t="str">
        <f>'ORÇAMENTO COM DESON'!A18</f>
        <v>1.3</v>
      </c>
      <c r="B14" s="133" t="str">
        <f>'ORÇAMENTO COM DESON'!D18</f>
        <v>INFRAESTRUTURA</v>
      </c>
      <c r="C14" s="134">
        <f>'ORÇAMENTO COM DESON'!I18</f>
        <v>22230.230000000003</v>
      </c>
      <c r="D14" s="135">
        <f>C14/$C$62</f>
        <v>6.3184010284874817E-2</v>
      </c>
    </row>
    <row r="15" spans="1:7" s="47" customFormat="1" ht="15.6" x14ac:dyDescent="0.2">
      <c r="A15" s="93"/>
      <c r="B15" s="102"/>
      <c r="C15" s="116"/>
      <c r="D15" s="117"/>
      <c r="G15" s="121" t="e">
        <f>C14+#REF!+#REF!+#REF!+#REF!+#REF!</f>
        <v>#REF!</v>
      </c>
    </row>
    <row r="16" spans="1:7" s="59" customFormat="1" ht="15.6" x14ac:dyDescent="0.25">
      <c r="A16" s="137" t="str">
        <f>'ORÇAMENTO COM DESON'!A25</f>
        <v>1.4</v>
      </c>
      <c r="B16" s="133" t="str">
        <f>'ORÇAMENTO COM DESON'!D25</f>
        <v>SUPERESTRUTURA</v>
      </c>
      <c r="C16" s="134">
        <f>'ORÇAMENTO COM DESON'!I25</f>
        <v>31361.129999999997</v>
      </c>
      <c r="D16" s="135">
        <f>C16/$C$62</f>
        <v>8.9136367930754454E-2</v>
      </c>
    </row>
    <row r="17" spans="1:7" s="47" customFormat="1" ht="15.6" x14ac:dyDescent="0.2">
      <c r="A17" s="93"/>
      <c r="B17" s="102"/>
      <c r="C17" s="116"/>
      <c r="D17" s="117"/>
      <c r="G17" s="121" t="e">
        <f>C16+#REF!+#REF!+#REF!+#REF!+#REF!</f>
        <v>#REF!</v>
      </c>
    </row>
    <row r="18" spans="1:7" s="59" customFormat="1" ht="15.6" x14ac:dyDescent="0.25">
      <c r="A18" s="137" t="str">
        <f>'ORÇAMENTO COM DESON'!A32</f>
        <v>1.5</v>
      </c>
      <c r="B18" s="133" t="str">
        <f>'ORÇAMENTO COM DESON'!D32</f>
        <v>COBERTURA</v>
      </c>
      <c r="C18" s="134">
        <f>'ORÇAMENTO COM DESON'!I32</f>
        <v>18926.66</v>
      </c>
      <c r="D18" s="135">
        <f>C18/$C$62</f>
        <v>5.3794417785975608E-2</v>
      </c>
    </row>
    <row r="19" spans="1:7" s="47" customFormat="1" ht="15.6" x14ac:dyDescent="0.2">
      <c r="A19" s="93"/>
      <c r="B19" s="102"/>
      <c r="C19" s="116"/>
      <c r="D19" s="117"/>
      <c r="G19" s="121" t="e">
        <f>C18+#REF!+#REF!+#REF!+#REF!+C68</f>
        <v>#REF!</v>
      </c>
    </row>
    <row r="20" spans="1:7" s="59" customFormat="1" ht="15.6" x14ac:dyDescent="0.25">
      <c r="A20" s="137" t="str">
        <f>'ORÇAMENTO COM DESON'!A39</f>
        <v>1.6</v>
      </c>
      <c r="B20" s="133" t="str">
        <f>'ORÇAMENTO COM DESON'!D39</f>
        <v>IMPERMEABILIZAÇÃO</v>
      </c>
      <c r="C20" s="134">
        <f>'ORÇAMENTO COM DESON'!I39</f>
        <v>1947.38</v>
      </c>
      <c r="D20" s="135">
        <f>C20/$C$62</f>
        <v>5.5349529873761766E-3</v>
      </c>
    </row>
    <row r="21" spans="1:7" s="47" customFormat="1" ht="15.6" x14ac:dyDescent="0.2">
      <c r="A21" s="93"/>
      <c r="B21" s="102"/>
      <c r="C21" s="116"/>
      <c r="D21" s="117"/>
      <c r="G21" s="121" t="e">
        <f>C20+#REF!+#REF!+#REF!+#REF!+#REF!</f>
        <v>#REF!</v>
      </c>
    </row>
    <row r="22" spans="1:7" s="59" customFormat="1" ht="15.6" x14ac:dyDescent="0.25">
      <c r="A22" s="137" t="str">
        <f>'ORÇAMENTO COM DESON'!A41</f>
        <v>1.7</v>
      </c>
      <c r="B22" s="133" t="str">
        <f>'ORÇAMENTO COM DESON'!D41</f>
        <v>ALVENARIA DE VEDAÇÃO</v>
      </c>
      <c r="C22" s="134">
        <f>'ORÇAMENTO COM DESON'!I41</f>
        <v>11827.42</v>
      </c>
      <c r="D22" s="135">
        <f>C22/$C$62</f>
        <v>3.3616558484709062E-2</v>
      </c>
    </row>
    <row r="23" spans="1:7" s="47" customFormat="1" ht="15.6" x14ac:dyDescent="0.2">
      <c r="A23" s="93"/>
      <c r="B23" s="102"/>
      <c r="C23" s="116"/>
      <c r="D23" s="117"/>
      <c r="G23" s="121" t="e">
        <f>C22+#REF!+#REF!+#REF!+#REF!+#REF!</f>
        <v>#REF!</v>
      </c>
    </row>
    <row r="24" spans="1:7" s="59" customFormat="1" ht="15.6" x14ac:dyDescent="0.25">
      <c r="A24" s="137" t="str">
        <f>'ORÇAMENTO COM DESON'!A47</f>
        <v>1.8</v>
      </c>
      <c r="B24" s="133" t="str">
        <f>'ORÇAMENTO COM DESON'!D47</f>
        <v>REVESTIMENTOS</v>
      </c>
      <c r="C24" s="134">
        <f>'ORÇAMENTO COM DESON'!I47</f>
        <v>21351.64</v>
      </c>
      <c r="D24" s="135">
        <f>C24/$C$62</f>
        <v>6.0686832361111158E-2</v>
      </c>
    </row>
    <row r="25" spans="1:7" s="47" customFormat="1" ht="15.6" x14ac:dyDescent="0.2">
      <c r="A25" s="93"/>
      <c r="B25" s="102"/>
      <c r="C25" s="116"/>
      <c r="D25" s="117"/>
      <c r="G25" s="121" t="e">
        <f>C24+#REF!+#REF!+#REF!+#REF!+C74</f>
        <v>#REF!</v>
      </c>
    </row>
    <row r="26" spans="1:7" s="59" customFormat="1" ht="15.6" x14ac:dyDescent="0.25">
      <c r="A26" s="137" t="str">
        <f>'ORÇAMENTO COM DESON'!A56</f>
        <v>1.9</v>
      </c>
      <c r="B26" s="133" t="str">
        <f>'ORÇAMENTO COM DESON'!D56</f>
        <v>PISO/ PASSEIO</v>
      </c>
      <c r="C26" s="134">
        <f>'ORÇAMENTO COM DESON'!I56</f>
        <v>9045.19</v>
      </c>
      <c r="D26" s="135">
        <f>C26/$C$62</f>
        <v>2.570874786219696E-2</v>
      </c>
    </row>
    <row r="27" spans="1:7" s="47" customFormat="1" ht="15.6" x14ac:dyDescent="0.2">
      <c r="A27" s="93"/>
      <c r="B27" s="102"/>
      <c r="C27" s="116"/>
      <c r="D27" s="117"/>
      <c r="G27" s="121" t="e">
        <f>C26+#REF!+#REF!+#REF!+#REF!+#REF!</f>
        <v>#REF!</v>
      </c>
    </row>
    <row r="28" spans="1:7" s="59" customFormat="1" ht="15.6" x14ac:dyDescent="0.25">
      <c r="A28" s="137" t="str">
        <f>'ORÇAMENTO COM DESON'!A63</f>
        <v>1.10</v>
      </c>
      <c r="B28" s="133" t="str">
        <f>'ORÇAMENTO COM DESON'!D63</f>
        <v>FORRO</v>
      </c>
      <c r="C28" s="134">
        <f>'ORÇAMENTO COM DESON'!I63</f>
        <v>2017.75</v>
      </c>
      <c r="D28" s="135">
        <f>C28/$C$62</f>
        <v>5.7349625600952459E-3</v>
      </c>
    </row>
    <row r="29" spans="1:7" s="47" customFormat="1" ht="15.6" x14ac:dyDescent="0.2">
      <c r="A29" s="93"/>
      <c r="B29" s="102"/>
      <c r="C29" s="116"/>
      <c r="D29" s="117"/>
      <c r="G29" s="121" t="e">
        <f>C28+#REF!+#REF!+#REF!+#REF!+#REF!</f>
        <v>#REF!</v>
      </c>
    </row>
    <row r="30" spans="1:7" s="59" customFormat="1" ht="15.6" x14ac:dyDescent="0.25">
      <c r="A30" s="137" t="str">
        <f>'ORÇAMENTO COM DESON'!A65</f>
        <v>1.11</v>
      </c>
      <c r="B30" s="133" t="str">
        <f>'ORÇAMENTO COM DESON'!D65</f>
        <v>PINTURA</v>
      </c>
      <c r="C30" s="134">
        <f>'ORÇAMENTO COM DESON'!I65</f>
        <v>5369.61</v>
      </c>
      <c r="D30" s="135">
        <f>C30/$C$62</f>
        <v>1.5261807613585939E-2</v>
      </c>
    </row>
    <row r="31" spans="1:7" s="47" customFormat="1" ht="15.6" x14ac:dyDescent="0.2">
      <c r="A31" s="93"/>
      <c r="B31" s="102"/>
      <c r="C31" s="116"/>
      <c r="D31" s="117"/>
      <c r="G31" s="121" t="e">
        <f>C30+#REF!+#REF!+#REF!+#REF!+C80</f>
        <v>#REF!</v>
      </c>
    </row>
    <row r="32" spans="1:7" s="59" customFormat="1" ht="15.6" x14ac:dyDescent="0.25">
      <c r="A32" s="137" t="str">
        <f>'ORÇAMENTO COM DESON'!A74</f>
        <v>1.12</v>
      </c>
      <c r="B32" s="133" t="str">
        <f>'ORÇAMENTO COM DESON'!D74</f>
        <v>INSTALAÇÕES HIDRÁULICAS</v>
      </c>
      <c r="C32" s="134">
        <f>'ORÇAMENTO COM DESON'!I74</f>
        <v>5268.8899999999994</v>
      </c>
      <c r="D32" s="135">
        <f>C32/$C$62</f>
        <v>1.4975535563504019E-2</v>
      </c>
    </row>
    <row r="33" spans="1:7" s="47" customFormat="1" ht="15.6" x14ac:dyDescent="0.2">
      <c r="A33" s="93"/>
      <c r="B33" s="102"/>
      <c r="C33" s="116"/>
      <c r="D33" s="117"/>
      <c r="G33" s="121" t="e">
        <f>C32+#REF!+#REF!+#REF!+#REF!+#REF!</f>
        <v>#REF!</v>
      </c>
    </row>
    <row r="34" spans="1:7" s="59" customFormat="1" ht="15.6" x14ac:dyDescent="0.25">
      <c r="A34" s="137" t="str">
        <f>'ORÇAMENTO COM DESON'!A88</f>
        <v>1.13</v>
      </c>
      <c r="B34" s="133" t="str">
        <f>'ORÇAMENTO COM DESON'!D88</f>
        <v>INSTALAÇÕES SANITÁRIAS</v>
      </c>
      <c r="C34" s="134">
        <f>'ORÇAMENTO COM DESON'!I88</f>
        <v>24724.279999999995</v>
      </c>
      <c r="D34" s="135">
        <f>C34/$C$62</f>
        <v>7.0272739499596906E-2</v>
      </c>
    </row>
    <row r="35" spans="1:7" s="47" customFormat="1" ht="15.6" x14ac:dyDescent="0.2">
      <c r="A35" s="93"/>
      <c r="B35" s="102"/>
      <c r="C35" s="116"/>
      <c r="D35" s="117"/>
      <c r="G35" s="121" t="e">
        <f>C34+#REF!+#REF!+#REF!+#REF!+#REF!</f>
        <v>#REF!</v>
      </c>
    </row>
    <row r="36" spans="1:7" s="59" customFormat="1" ht="15.6" x14ac:dyDescent="0.25">
      <c r="A36" s="137" t="str">
        <f>'ORÇAMENTO COM DESON'!A110</f>
        <v>1.14</v>
      </c>
      <c r="B36" s="133" t="str">
        <f>'ORÇAMENTO COM DESON'!D110</f>
        <v>LOUÇAS, METAIS E MARMOARIA</v>
      </c>
      <c r="C36" s="134">
        <f>'ORÇAMENTO COM DESON'!I110</f>
        <v>3914.34</v>
      </c>
      <c r="D36" s="135">
        <f>C36/$C$62</f>
        <v>1.1125557352240478E-2</v>
      </c>
    </row>
    <row r="37" spans="1:7" s="47" customFormat="1" ht="15.6" x14ac:dyDescent="0.2">
      <c r="A37" s="93"/>
      <c r="B37" s="102"/>
      <c r="C37" s="116"/>
      <c r="D37" s="117"/>
      <c r="G37" s="121" t="e">
        <f>C36+#REF!+#REF!+#REF!+#REF!+#REF!</f>
        <v>#REF!</v>
      </c>
    </row>
    <row r="38" spans="1:7" s="59" customFormat="1" ht="15.6" x14ac:dyDescent="0.25">
      <c r="A38" s="137" t="str">
        <f>'ORÇAMENTO COM DESON'!A119</f>
        <v>1.15</v>
      </c>
      <c r="B38" s="133" t="str">
        <f>'ORÇAMENTO COM DESON'!D119</f>
        <v>INSTALAÇÕES ELÉTRICAS</v>
      </c>
      <c r="C38" s="134">
        <f>'ORÇAMENTO COM DESON'!I119</f>
        <v>8975.4499999999989</v>
      </c>
      <c r="D38" s="135">
        <f>C38/$C$62</f>
        <v>2.5510528910919025E-2</v>
      </c>
    </row>
    <row r="39" spans="1:7" s="47" customFormat="1" ht="15.6" x14ac:dyDescent="0.2">
      <c r="A39" s="93"/>
      <c r="B39" s="102"/>
      <c r="C39" s="116"/>
      <c r="D39" s="117"/>
      <c r="G39" s="121" t="e">
        <f>C38+#REF!+#REF!+#REF!+#REF!+C86</f>
        <v>#REF!</v>
      </c>
    </row>
    <row r="40" spans="1:7" s="59" customFormat="1" ht="15.6" x14ac:dyDescent="0.25">
      <c r="A40" s="137" t="str">
        <f>'ORÇAMENTO COM DESON'!A154</f>
        <v>1.16</v>
      </c>
      <c r="B40" s="133" t="str">
        <f>'ORÇAMENTO COM DESON'!D154</f>
        <v>PAISAGISMO</v>
      </c>
      <c r="C40" s="134">
        <f>'ORÇAMENTO COM DESON'!I154</f>
        <v>1874.22</v>
      </c>
      <c r="D40" s="135">
        <f>C40/$C$62</f>
        <v>5.3270135197034871E-3</v>
      </c>
    </row>
    <row r="41" spans="1:7" s="47" customFormat="1" ht="15.6" x14ac:dyDescent="0.2">
      <c r="A41" s="93"/>
      <c r="B41" s="102"/>
      <c r="C41" s="116"/>
      <c r="D41" s="117"/>
      <c r="G41" s="121" t="e">
        <f>C40+#REF!+#REF!+#REF!+#REF!+#REF!</f>
        <v>#REF!</v>
      </c>
    </row>
    <row r="42" spans="1:7" s="59" customFormat="1" ht="15.6" x14ac:dyDescent="0.25">
      <c r="A42" s="137" t="str">
        <f>'ORÇAMENTO COM DESON'!A156</f>
        <v>1.17</v>
      </c>
      <c r="B42" s="133" t="str">
        <f>'ORÇAMENTO COM DESON'!D156</f>
        <v>ESQUADRIAS</v>
      </c>
      <c r="C42" s="134">
        <f>'ORÇAMENTO COM DESON'!I156</f>
        <v>10342.870000000001</v>
      </c>
      <c r="D42" s="135">
        <f>C42/$C$62</f>
        <v>2.9397086960194434E-2</v>
      </c>
    </row>
    <row r="43" spans="1:7" s="47" customFormat="1" ht="15.6" x14ac:dyDescent="0.2">
      <c r="A43" s="93"/>
      <c r="B43" s="102"/>
      <c r="C43" s="116"/>
      <c r="D43" s="117"/>
      <c r="G43" s="121" t="e">
        <f>C42+#REF!+#REF!+#REF!+#REF!+#REF!</f>
        <v>#REF!</v>
      </c>
    </row>
    <row r="44" spans="1:7" s="59" customFormat="1" ht="15.6" x14ac:dyDescent="0.25">
      <c r="A44" s="137" t="str">
        <f>'ORÇAMENTO COM DESON'!A164</f>
        <v>2.1</v>
      </c>
      <c r="B44" s="133" t="str">
        <f>'ORÇAMENTO COM DESON'!D164</f>
        <v>MOVIMENTAÇÃO DE TERRA</v>
      </c>
      <c r="C44" s="134">
        <f>'ORÇAMENTO COM DESON'!I164</f>
        <v>1140.6600000000001</v>
      </c>
      <c r="D44" s="135">
        <f>C44/$C$62</f>
        <v>3.2420480207152737E-3</v>
      </c>
    </row>
    <row r="45" spans="1:7" s="47" customFormat="1" ht="15.6" x14ac:dyDescent="0.2">
      <c r="A45" s="93"/>
      <c r="B45" s="102"/>
      <c r="C45" s="116"/>
      <c r="D45" s="117"/>
      <c r="G45" s="121" t="e">
        <f>C44+#REF!+#REF!+#REF!+#REF!+#REF!</f>
        <v>#REF!</v>
      </c>
    </row>
    <row r="46" spans="1:7" s="59" customFormat="1" ht="15.6" x14ac:dyDescent="0.25">
      <c r="A46" s="137" t="str">
        <f>'ORÇAMENTO COM DESON'!A168</f>
        <v>2.2</v>
      </c>
      <c r="B46" s="133" t="str">
        <f>'ORÇAMENTO COM DESON'!D168</f>
        <v>INFRAESTRUTURA</v>
      </c>
      <c r="C46" s="134">
        <f>'ORÇAMENTO COM DESON'!I168</f>
        <v>29111.430000000004</v>
      </c>
      <c r="D46" s="135">
        <f>C46/$C$62</f>
        <v>8.2742144032131607E-2</v>
      </c>
    </row>
    <row r="47" spans="1:7" s="47" customFormat="1" ht="15.6" x14ac:dyDescent="0.2">
      <c r="A47" s="93"/>
      <c r="B47" s="102"/>
      <c r="C47" s="116"/>
      <c r="D47" s="117"/>
      <c r="G47" s="121" t="e">
        <f>C46+#REF!+#REF!+#REF!+#REF!+C94</f>
        <v>#REF!</v>
      </c>
    </row>
    <row r="48" spans="1:7" s="59" customFormat="1" ht="15.6" x14ac:dyDescent="0.25">
      <c r="A48" s="137" t="str">
        <f>'ORÇAMENTO COM DESON'!A176</f>
        <v>2.3</v>
      </c>
      <c r="B48" s="133" t="str">
        <f>'ORÇAMENTO COM DESON'!D176</f>
        <v>SUPERESTRUTURA</v>
      </c>
      <c r="C48" s="134">
        <f>'ORÇAMENTO COM DESON'!I176</f>
        <v>14023.77</v>
      </c>
      <c r="D48" s="135">
        <f>C48/$C$62</f>
        <v>3.985914801208619E-2</v>
      </c>
    </row>
    <row r="49" spans="1:7" s="47" customFormat="1" ht="15.6" x14ac:dyDescent="0.2">
      <c r="A49" s="93"/>
      <c r="B49" s="102"/>
      <c r="C49" s="116"/>
      <c r="D49" s="117"/>
      <c r="G49" s="121" t="e">
        <f>C48+#REF!+#REF!+#REF!+#REF!+#REF!</f>
        <v>#REF!</v>
      </c>
    </row>
    <row r="50" spans="1:7" s="59" customFormat="1" ht="15.6" x14ac:dyDescent="0.25">
      <c r="A50" s="137" t="str">
        <f>'ORÇAMENTO COM DESON'!A182</f>
        <v>2.4</v>
      </c>
      <c r="B50" s="133" t="str">
        <f>'ORÇAMENTO COM DESON'!D182</f>
        <v>ALVENARIA DE VEDAÇÃO</v>
      </c>
      <c r="C50" s="134">
        <f>'ORÇAMENTO COM DESON'!I182</f>
        <v>2538.14</v>
      </c>
      <c r="D50" s="135">
        <f>C50/$C$62</f>
        <v>7.214044293039349E-3</v>
      </c>
    </row>
    <row r="51" spans="1:7" s="47" customFormat="1" ht="15.6" x14ac:dyDescent="0.2">
      <c r="A51" s="93"/>
      <c r="B51" s="102"/>
      <c r="C51" s="116"/>
      <c r="D51" s="117"/>
      <c r="G51" s="121" t="e">
        <f>C50+#REF!+#REF!+#REF!+#REF!+#REF!</f>
        <v>#REF!</v>
      </c>
    </row>
    <row r="52" spans="1:7" s="59" customFormat="1" ht="15.6" x14ac:dyDescent="0.25">
      <c r="A52" s="137" t="str">
        <f>'ORÇAMENTO COM DESON'!A185</f>
        <v>2.5</v>
      </c>
      <c r="B52" s="133" t="str">
        <f>'ORÇAMENTO COM DESON'!D185</f>
        <v>IMPERMEABILIZAÇÃO</v>
      </c>
      <c r="C52" s="134">
        <f>'ORÇAMENTO COM DESON'!I185</f>
        <v>3662.56</v>
      </c>
      <c r="D52" s="135">
        <f>C52/$C$62</f>
        <v>1.0409934072160794E-2</v>
      </c>
    </row>
    <row r="53" spans="1:7" s="47" customFormat="1" ht="15.6" x14ac:dyDescent="0.2">
      <c r="A53" s="93"/>
      <c r="B53" s="102"/>
      <c r="C53" s="116"/>
      <c r="D53" s="117"/>
      <c r="G53" s="121" t="e">
        <f>C52+#REF!+#REF!+#REF!+#REF!+C100</f>
        <v>#REF!</v>
      </c>
    </row>
    <row r="54" spans="1:7" s="59" customFormat="1" ht="15.6" x14ac:dyDescent="0.25">
      <c r="A54" s="137" t="str">
        <f>'ORÇAMENTO COM DESON'!A187</f>
        <v>2.6</v>
      </c>
      <c r="B54" s="133" t="str">
        <f>'ORÇAMENTO COM DESON'!D187</f>
        <v>REVESTIMENTOS</v>
      </c>
      <c r="C54" s="134">
        <f>'ORÇAMENTO COM DESON'!I187</f>
        <v>41198.469999999994</v>
      </c>
      <c r="D54" s="135">
        <f>C54/$C$62</f>
        <v>0.11709660908596563</v>
      </c>
    </row>
    <row r="55" spans="1:7" s="47" customFormat="1" ht="15.6" x14ac:dyDescent="0.2">
      <c r="A55" s="93"/>
      <c r="B55" s="102"/>
      <c r="C55" s="116"/>
      <c r="D55" s="117"/>
      <c r="G55" s="121" t="e">
        <f>C54+#REF!+#REF!+#REF!+#REF!+#REF!</f>
        <v>#REF!</v>
      </c>
    </row>
    <row r="56" spans="1:7" s="59" customFormat="1" ht="15.6" x14ac:dyDescent="0.25">
      <c r="A56" s="137" t="str">
        <f>'ORÇAMENTO COM DESON'!A198</f>
        <v>2.7</v>
      </c>
      <c r="B56" s="133" t="str">
        <f>'ORÇAMENTO COM DESON'!D198</f>
        <v>PINTURA</v>
      </c>
      <c r="C56" s="134">
        <f>'ORÇAMENTO COM DESON'!I198</f>
        <v>5488.22</v>
      </c>
      <c r="D56" s="135">
        <f>C56/$C$62</f>
        <v>1.5598927628083722E-2</v>
      </c>
    </row>
    <row r="57" spans="1:7" s="47" customFormat="1" ht="15.6" x14ac:dyDescent="0.2">
      <c r="A57" s="93"/>
      <c r="B57" s="102"/>
      <c r="C57" s="116"/>
      <c r="D57" s="117"/>
      <c r="G57" s="121" t="e">
        <f>C56+#REF!+#REF!+#REF!+#REF!+#REF!</f>
        <v>#REF!</v>
      </c>
    </row>
    <row r="58" spans="1:7" s="59" customFormat="1" ht="15.6" x14ac:dyDescent="0.25">
      <c r="A58" s="137" t="str">
        <f>'ORÇAMENTO COM DESON'!A201</f>
        <v>2.8</v>
      </c>
      <c r="B58" s="133" t="str">
        <f>'ORÇAMENTO COM DESON'!D201</f>
        <v>ESQUADRIAS</v>
      </c>
      <c r="C58" s="134">
        <f>'ORÇAMENTO COM DESON'!I201</f>
        <v>61407.94</v>
      </c>
      <c r="D58" s="135">
        <f>C58/$C$62</f>
        <v>0.17453710161941532</v>
      </c>
    </row>
    <row r="59" spans="1:7" s="47" customFormat="1" ht="15.6" x14ac:dyDescent="0.2">
      <c r="A59" s="93"/>
      <c r="B59" s="102"/>
      <c r="C59" s="116"/>
      <c r="D59" s="117"/>
      <c r="G59" s="121" t="e">
        <f>C58+#REF!+#REF!+#REF!+#REF!+C106</f>
        <v>#REF!</v>
      </c>
    </row>
    <row r="60" spans="1:7" s="59" customFormat="1" ht="15.6" x14ac:dyDescent="0.25">
      <c r="A60" s="137" t="str">
        <f>'ORÇAMENTO COM DESON'!A206</f>
        <v>2.9</v>
      </c>
      <c r="B60" s="133" t="str">
        <f>'ORÇAMENTO COM DESON'!D206</f>
        <v>PAISAGISMO</v>
      </c>
      <c r="C60" s="134">
        <f>'ORÇAMENTO COM DESON'!I206</f>
        <v>1405.15</v>
      </c>
      <c r="D60" s="135">
        <f>C60/$C$62</f>
        <v>3.9937963778058898E-3</v>
      </c>
    </row>
    <row r="61" spans="1:7" s="47" customFormat="1" ht="15.6" x14ac:dyDescent="0.2">
      <c r="A61" s="93"/>
      <c r="B61" s="102"/>
      <c r="C61" s="116"/>
      <c r="D61" s="117"/>
      <c r="G61" s="121" t="e">
        <f>C60+#REF!+#REF!+#REF!+#REF!+#REF!</f>
        <v>#REF!</v>
      </c>
    </row>
    <row r="62" spans="1:7" s="63" customFormat="1" ht="21.75" customHeight="1" x14ac:dyDescent="0.25">
      <c r="A62" s="273" t="s">
        <v>133</v>
      </c>
      <c r="B62" s="273"/>
      <c r="C62" s="136">
        <f>SUM(C10:C61)</f>
        <v>351833.16</v>
      </c>
      <c r="D62" s="139">
        <f>SUM(D10:D61)</f>
        <v>1</v>
      </c>
    </row>
    <row r="63" spans="1:7" x14ac:dyDescent="0.2">
      <c r="C63" s="118"/>
    </row>
    <row r="71" spans="1:4" s="56" customFormat="1" ht="20.399999999999999" hidden="1" x14ac:dyDescent="0.2">
      <c r="A71" s="54" t="s">
        <v>121</v>
      </c>
      <c r="B71" s="58" t="s">
        <v>123</v>
      </c>
      <c r="C71" s="55" t="e">
        <f>TRUNC(#REF!*#REF!,2)</f>
        <v>#REF!</v>
      </c>
      <c r="D71" s="119"/>
    </row>
  </sheetData>
  <mergeCells count="5">
    <mergeCell ref="A3:B3"/>
    <mergeCell ref="A62:B62"/>
    <mergeCell ref="A1:D1"/>
    <mergeCell ref="A4:D4"/>
    <mergeCell ref="A2:D2"/>
  </mergeCells>
  <printOptions horizontalCentered="1"/>
  <pageMargins left="0.59055118110236227" right="0.39370078740157483" top="1.5748031496062993" bottom="1.2598425196850394" header="0.39370078740157483" footer="0.39370078740157483"/>
  <pageSetup paperSize="9" scale="63" orientation="portrait" r:id="rId1"/>
  <headerFooter>
    <oddHeader>&amp;C
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  <pageSetUpPr fitToPage="1"/>
  </sheetPr>
  <dimension ref="A1:M215"/>
  <sheetViews>
    <sheetView view="pageBreakPreview" zoomScale="130" zoomScaleNormal="100" zoomScaleSheetLayoutView="130" workbookViewId="0">
      <selection activeCell="D13" sqref="D13"/>
    </sheetView>
  </sheetViews>
  <sheetFormatPr defaultColWidth="9.109375" defaultRowHeight="10.199999999999999" x14ac:dyDescent="0.2"/>
  <cols>
    <col min="1" max="1" width="6.44140625" style="87" customWidth="1"/>
    <col min="2" max="2" width="12" style="87" customWidth="1"/>
    <col min="3" max="3" width="10.109375" style="88" bestFit="1" customWidth="1"/>
    <col min="4" max="4" width="47.5546875" style="89" customWidth="1"/>
    <col min="5" max="5" width="4.88671875" style="87" bestFit="1" customWidth="1"/>
    <col min="6" max="6" width="7.5546875" style="87" customWidth="1"/>
    <col min="7" max="7" width="9.6640625" style="87" customWidth="1"/>
    <col min="8" max="8" width="15.21875" style="87" bestFit="1" customWidth="1"/>
    <col min="9" max="9" width="19.33203125" style="87" bestFit="1" customWidth="1"/>
    <col min="10" max="10" width="11.6640625" style="84" bestFit="1" customWidth="1"/>
    <col min="11" max="11" width="10.6640625" style="52" bestFit="1" customWidth="1"/>
    <col min="12" max="12" width="12.6640625" style="84" bestFit="1" customWidth="1"/>
    <col min="13" max="13" width="13.33203125" style="52" bestFit="1" customWidth="1"/>
    <col min="14" max="16384" width="9.109375" style="52"/>
  </cols>
  <sheetData>
    <row r="1" spans="1:13" ht="27" customHeight="1" x14ac:dyDescent="0.2">
      <c r="A1" s="283" t="s">
        <v>548</v>
      </c>
      <c r="B1" s="284"/>
      <c r="C1" s="284"/>
      <c r="D1" s="284"/>
      <c r="E1" s="284"/>
      <c r="F1" s="284"/>
      <c r="G1" s="284"/>
      <c r="H1" s="284"/>
      <c r="I1" s="285"/>
    </row>
    <row r="2" spans="1:13" s="47" customFormat="1" ht="19.95" customHeight="1" x14ac:dyDescent="0.2">
      <c r="A2" s="280" t="s">
        <v>13</v>
      </c>
      <c r="B2" s="281"/>
      <c r="C2" s="281"/>
      <c r="D2" s="281"/>
      <c r="E2" s="281"/>
      <c r="F2" s="281"/>
      <c r="G2" s="281"/>
      <c r="H2" s="281"/>
      <c r="I2" s="282"/>
      <c r="J2" s="84"/>
      <c r="L2" s="85"/>
    </row>
    <row r="3" spans="1:13" s="47" customFormat="1" ht="16.2" customHeight="1" x14ac:dyDescent="0.2">
      <c r="A3" s="290"/>
      <c r="B3" s="291"/>
      <c r="C3" s="291"/>
      <c r="D3" s="291"/>
      <c r="E3" s="291"/>
      <c r="F3" s="291"/>
      <c r="G3" s="291"/>
      <c r="H3" s="291"/>
      <c r="I3" s="292"/>
      <c r="J3" s="84"/>
      <c r="L3" s="86"/>
      <c r="M3" s="86" t="s">
        <v>130</v>
      </c>
    </row>
    <row r="4" spans="1:13" s="67" customFormat="1" ht="14.4" customHeight="1" x14ac:dyDescent="0.2">
      <c r="A4" s="91" t="s">
        <v>138</v>
      </c>
      <c r="B4" s="91"/>
      <c r="C4" s="91"/>
      <c r="D4" s="91"/>
      <c r="E4" s="1"/>
      <c r="F4" s="91"/>
      <c r="G4" s="91"/>
      <c r="H4" s="91"/>
      <c r="I4" s="91"/>
      <c r="L4" s="85"/>
      <c r="M4" s="85">
        <f>'COMP_BDI_EDIFICACOES_20,84%_COM'!D29</f>
        <v>0.30530000000000002</v>
      </c>
    </row>
    <row r="5" spans="1:13" s="67" customFormat="1" ht="14.4" customHeight="1" x14ac:dyDescent="0.2">
      <c r="A5" s="91" t="s">
        <v>756</v>
      </c>
      <c r="B5" s="91"/>
      <c r="C5" s="91"/>
      <c r="D5" s="91"/>
      <c r="E5" s="1"/>
      <c r="F5" s="91"/>
      <c r="G5" s="91"/>
      <c r="H5" s="91"/>
      <c r="I5" s="91"/>
    </row>
    <row r="6" spans="1:13" s="67" customFormat="1" ht="15" customHeight="1" x14ac:dyDescent="0.2">
      <c r="A6" s="91" t="s">
        <v>738</v>
      </c>
      <c r="B6" s="91"/>
      <c r="C6" s="91"/>
      <c r="D6" s="91"/>
      <c r="E6" s="1"/>
      <c r="F6" s="91"/>
      <c r="G6" s="91"/>
      <c r="H6" s="91"/>
      <c r="I6" s="91"/>
    </row>
    <row r="7" spans="1:13" s="47" customFormat="1" ht="14.4" customHeight="1" x14ac:dyDescent="0.2">
      <c r="A7" s="62"/>
      <c r="B7" s="62"/>
      <c r="C7" s="168"/>
      <c r="D7" s="169"/>
      <c r="E7" s="168"/>
      <c r="F7" s="170"/>
      <c r="G7" s="61"/>
      <c r="H7" s="61"/>
      <c r="I7" s="61"/>
      <c r="J7" s="84"/>
    </row>
    <row r="8" spans="1:13" s="92" customFormat="1" ht="21.6" customHeight="1" x14ac:dyDescent="0.3">
      <c r="A8" s="171" t="s">
        <v>0</v>
      </c>
      <c r="B8" s="171" t="s">
        <v>35</v>
      </c>
      <c r="C8" s="172" t="s">
        <v>12</v>
      </c>
      <c r="D8" s="171" t="s">
        <v>36</v>
      </c>
      <c r="E8" s="171" t="s">
        <v>1</v>
      </c>
      <c r="F8" s="173" t="s">
        <v>129</v>
      </c>
      <c r="G8" s="174" t="s">
        <v>91</v>
      </c>
      <c r="H8" s="174" t="s">
        <v>92</v>
      </c>
      <c r="I8" s="174" t="s">
        <v>86</v>
      </c>
      <c r="J8" s="163"/>
    </row>
    <row r="9" spans="1:13" s="92" customFormat="1" ht="21.6" customHeight="1" x14ac:dyDescent="0.3">
      <c r="A9" s="171" t="s">
        <v>5</v>
      </c>
      <c r="B9" s="171"/>
      <c r="C9" s="172"/>
      <c r="D9" s="171" t="s">
        <v>306</v>
      </c>
      <c r="E9" s="171"/>
      <c r="F9" s="173"/>
      <c r="G9" s="174"/>
      <c r="H9" s="174"/>
      <c r="I9" s="174"/>
      <c r="J9" s="163"/>
    </row>
    <row r="10" spans="1:13" s="51" customFormat="1" x14ac:dyDescent="0.2">
      <c r="A10" s="175" t="s">
        <v>7</v>
      </c>
      <c r="B10" s="176"/>
      <c r="C10" s="177"/>
      <c r="D10" s="178" t="s">
        <v>6</v>
      </c>
      <c r="E10" s="176"/>
      <c r="F10" s="179"/>
      <c r="G10" s="179"/>
      <c r="H10" s="180"/>
      <c r="I10" s="181">
        <f>SUM(I11:I13)</f>
        <v>5752.83</v>
      </c>
      <c r="J10" s="164">
        <f>I10/I$162</f>
        <v>2.9985016951703882E-2</v>
      </c>
    </row>
    <row r="11" spans="1:13" s="51" customFormat="1" ht="30.6" x14ac:dyDescent="0.2">
      <c r="A11" s="182" t="s">
        <v>24</v>
      </c>
      <c r="B11" s="182" t="s">
        <v>166</v>
      </c>
      <c r="C11" s="183">
        <v>4813</v>
      </c>
      <c r="D11" s="184" t="s">
        <v>167</v>
      </c>
      <c r="E11" s="182" t="s">
        <v>8</v>
      </c>
      <c r="F11" s="185">
        <f>'MEMORIA DE CALCULO'!J16</f>
        <v>4.5</v>
      </c>
      <c r="G11" s="185">
        <v>275</v>
      </c>
      <c r="H11" s="185">
        <f>ROUND(G11*(1+$M$4),2)</f>
        <v>358.96</v>
      </c>
      <c r="I11" s="185">
        <f>TRUNC(F11*H11,2)</f>
        <v>1615.32</v>
      </c>
      <c r="J11" s="165"/>
    </row>
    <row r="12" spans="1:13" s="51" customFormat="1" x14ac:dyDescent="0.2">
      <c r="A12" s="182" t="s">
        <v>307</v>
      </c>
      <c r="B12" s="182" t="s">
        <v>122</v>
      </c>
      <c r="C12" s="183" t="s">
        <v>168</v>
      </c>
      <c r="D12" s="184" t="s">
        <v>169</v>
      </c>
      <c r="E12" s="182" t="s">
        <v>8</v>
      </c>
      <c r="F12" s="185">
        <f>'MEMORIA DE CALCULO'!J21</f>
        <v>53.66</v>
      </c>
      <c r="G12" s="185">
        <v>6.09</v>
      </c>
      <c r="H12" s="185">
        <f>ROUND(G12*(1+$M$4),2)</f>
        <v>7.95</v>
      </c>
      <c r="I12" s="185">
        <f t="shared" ref="I12:I13" si="0">TRUNC(F12*H12,2)</f>
        <v>426.59</v>
      </c>
      <c r="J12" s="165"/>
    </row>
    <row r="13" spans="1:13" s="51" customFormat="1" ht="20.399999999999999" x14ac:dyDescent="0.2">
      <c r="A13" s="182" t="s">
        <v>308</v>
      </c>
      <c r="B13" s="182" t="s">
        <v>122</v>
      </c>
      <c r="C13" s="183" t="s">
        <v>170</v>
      </c>
      <c r="D13" s="184" t="s">
        <v>171</v>
      </c>
      <c r="E13" s="182" t="s">
        <v>8</v>
      </c>
      <c r="F13" s="185">
        <f>'MEMORIA DE CALCULO'!J26</f>
        <v>31.02</v>
      </c>
      <c r="G13" s="185">
        <v>91.65</v>
      </c>
      <c r="H13" s="185">
        <f>ROUND(G13*(1+$M$4),2)</f>
        <v>119.63</v>
      </c>
      <c r="I13" s="185">
        <f t="shared" si="0"/>
        <v>3710.92</v>
      </c>
      <c r="J13" s="165"/>
    </row>
    <row r="14" spans="1:13" s="51" customFormat="1" x14ac:dyDescent="0.2">
      <c r="A14" s="175" t="s">
        <v>277</v>
      </c>
      <c r="B14" s="176"/>
      <c r="C14" s="177"/>
      <c r="D14" s="178" t="s">
        <v>153</v>
      </c>
      <c r="E14" s="176"/>
      <c r="F14" s="179"/>
      <c r="G14" s="179"/>
      <c r="H14" s="180"/>
      <c r="I14" s="181">
        <f>SUM(I15:I17)</f>
        <v>6926.93</v>
      </c>
      <c r="J14" s="164">
        <f>I14/I$162</f>
        <v>3.6104684733125468E-2</v>
      </c>
    </row>
    <row r="15" spans="1:13" s="51" customFormat="1" ht="22.5" customHeight="1" x14ac:dyDescent="0.2">
      <c r="A15" s="182" t="s">
        <v>309</v>
      </c>
      <c r="B15" s="182" t="s">
        <v>122</v>
      </c>
      <c r="C15" s="183" t="s">
        <v>291</v>
      </c>
      <c r="D15" s="184" t="s">
        <v>292</v>
      </c>
      <c r="E15" s="182" t="s">
        <v>20</v>
      </c>
      <c r="F15" s="185">
        <f>'MEMORIA DE CALCULO'!J33</f>
        <v>37.56</v>
      </c>
      <c r="G15" s="185">
        <v>93.4</v>
      </c>
      <c r="H15" s="185">
        <f>ROUND(G15*(1+$M$4),2)</f>
        <v>121.92</v>
      </c>
      <c r="I15" s="185">
        <f>TRUNC(F15*H15,2)</f>
        <v>4579.3100000000004</v>
      </c>
      <c r="J15" s="165"/>
    </row>
    <row r="16" spans="1:13" s="51" customFormat="1" x14ac:dyDescent="0.2">
      <c r="A16" s="182" t="s">
        <v>310</v>
      </c>
      <c r="B16" s="182" t="s">
        <v>122</v>
      </c>
      <c r="C16" s="183" t="s">
        <v>163</v>
      </c>
      <c r="D16" s="184" t="s">
        <v>164</v>
      </c>
      <c r="E16" s="182" t="s">
        <v>20</v>
      </c>
      <c r="F16" s="185">
        <f>'MEMORIA DE CALCULO'!J52</f>
        <v>41.85</v>
      </c>
      <c r="G16" s="185">
        <v>17.71</v>
      </c>
      <c r="H16" s="185">
        <f>ROUND(G16*(1+$M$4),2)</f>
        <v>23.12</v>
      </c>
      <c r="I16" s="185">
        <f t="shared" ref="I16:I17" si="1">TRUNC(F16*H16,2)</f>
        <v>967.57</v>
      </c>
      <c r="J16" s="165"/>
    </row>
    <row r="17" spans="1:10" s="51" customFormat="1" x14ac:dyDescent="0.2">
      <c r="A17" s="182" t="s">
        <v>311</v>
      </c>
      <c r="B17" s="182" t="s">
        <v>37</v>
      </c>
      <c r="C17" s="183">
        <v>96995</v>
      </c>
      <c r="D17" s="184" t="s">
        <v>165</v>
      </c>
      <c r="E17" s="182" t="s">
        <v>20</v>
      </c>
      <c r="F17" s="185">
        <f>'MEMORIA DE CALCULO'!J70</f>
        <v>23.79</v>
      </c>
      <c r="G17" s="185">
        <v>44.44</v>
      </c>
      <c r="H17" s="185">
        <f>ROUND(G17*(1+$M$4),2)</f>
        <v>58.01</v>
      </c>
      <c r="I17" s="185">
        <f t="shared" si="1"/>
        <v>1380.05</v>
      </c>
      <c r="J17" s="165"/>
    </row>
    <row r="18" spans="1:10" s="51" customFormat="1" x14ac:dyDescent="0.2">
      <c r="A18" s="175" t="s">
        <v>278</v>
      </c>
      <c r="B18" s="176"/>
      <c r="C18" s="177"/>
      <c r="D18" s="178" t="s">
        <v>151</v>
      </c>
      <c r="E18" s="176"/>
      <c r="F18" s="179"/>
      <c r="G18" s="179"/>
      <c r="H18" s="180"/>
      <c r="I18" s="181">
        <f>SUM(I19:I24)</f>
        <v>22230.230000000003</v>
      </c>
      <c r="J18" s="164">
        <f>I18/I$162</f>
        <v>0.11586885470112558</v>
      </c>
    </row>
    <row r="19" spans="1:10" s="51" customFormat="1" ht="30.6" x14ac:dyDescent="0.2">
      <c r="A19" s="182" t="s">
        <v>312</v>
      </c>
      <c r="B19" s="182" t="s">
        <v>37</v>
      </c>
      <c r="C19" s="183">
        <v>101166</v>
      </c>
      <c r="D19" s="184" t="s">
        <v>157</v>
      </c>
      <c r="E19" s="182" t="s">
        <v>20</v>
      </c>
      <c r="F19" s="185">
        <f>'MEMORIA DE CALCULO'!J85</f>
        <v>13.350000000000001</v>
      </c>
      <c r="G19" s="185">
        <v>529.46</v>
      </c>
      <c r="H19" s="185">
        <f t="shared" ref="H19:H24" si="2">ROUND(G19*(1+$M$4),2)</f>
        <v>691.1</v>
      </c>
      <c r="I19" s="185">
        <f>TRUNC(F19*H19,2)</f>
        <v>9226.18</v>
      </c>
      <c r="J19" s="165"/>
    </row>
    <row r="20" spans="1:10" s="51" customFormat="1" ht="30.6" x14ac:dyDescent="0.2">
      <c r="A20" s="182" t="s">
        <v>313</v>
      </c>
      <c r="B20" s="182" t="s">
        <v>37</v>
      </c>
      <c r="C20" s="183">
        <v>94965</v>
      </c>
      <c r="D20" s="184" t="s">
        <v>160</v>
      </c>
      <c r="E20" s="182" t="s">
        <v>20</v>
      </c>
      <c r="F20" s="185">
        <f>'MEMORIA DE CALCULO'!J97</f>
        <v>5.1020000000000003</v>
      </c>
      <c r="G20" s="185">
        <v>482.63</v>
      </c>
      <c r="H20" s="185">
        <f t="shared" si="2"/>
        <v>629.98</v>
      </c>
      <c r="I20" s="185">
        <f t="shared" ref="I20:I24" si="3">TRUNC(F20*H20,2)</f>
        <v>3214.15</v>
      </c>
      <c r="J20" s="165"/>
    </row>
    <row r="21" spans="1:10" s="51" customFormat="1" ht="20.399999999999999" x14ac:dyDescent="0.2">
      <c r="A21" s="182" t="s">
        <v>314</v>
      </c>
      <c r="B21" s="182" t="s">
        <v>37</v>
      </c>
      <c r="C21" s="183">
        <v>96546</v>
      </c>
      <c r="D21" s="184" t="s">
        <v>243</v>
      </c>
      <c r="E21" s="182" t="s">
        <v>189</v>
      </c>
      <c r="F21" s="185">
        <f>'MEMORIA DE CALCULO'!J116</f>
        <v>229.13</v>
      </c>
      <c r="G21" s="185">
        <v>16.510000000000002</v>
      </c>
      <c r="H21" s="185">
        <f t="shared" si="2"/>
        <v>21.55</v>
      </c>
      <c r="I21" s="185">
        <f t="shared" si="3"/>
        <v>4937.75</v>
      </c>
      <c r="J21" s="165"/>
    </row>
    <row r="22" spans="1:10" s="51" customFormat="1" ht="30.6" x14ac:dyDescent="0.2">
      <c r="A22" s="182" t="s">
        <v>315</v>
      </c>
      <c r="B22" s="182" t="s">
        <v>37</v>
      </c>
      <c r="C22" s="183">
        <v>104111</v>
      </c>
      <c r="D22" s="184" t="s">
        <v>554</v>
      </c>
      <c r="E22" s="182" t="s">
        <v>189</v>
      </c>
      <c r="F22" s="185">
        <f>'MEMORIA DE CALCULO'!J125</f>
        <v>54.9</v>
      </c>
      <c r="G22" s="185">
        <v>22.54</v>
      </c>
      <c r="H22" s="185">
        <f t="shared" si="2"/>
        <v>29.42</v>
      </c>
      <c r="I22" s="185">
        <f t="shared" si="3"/>
        <v>1615.15</v>
      </c>
      <c r="J22" s="165"/>
    </row>
    <row r="23" spans="1:10" s="51" customFormat="1" ht="30.6" x14ac:dyDescent="0.2">
      <c r="A23" s="182" t="s">
        <v>316</v>
      </c>
      <c r="B23" s="182" t="s">
        <v>37</v>
      </c>
      <c r="C23" s="183">
        <v>96536</v>
      </c>
      <c r="D23" s="184" t="s">
        <v>248</v>
      </c>
      <c r="E23" s="182" t="s">
        <v>8</v>
      </c>
      <c r="F23" s="185">
        <f>'MEMORIA DE CALCULO'!J130</f>
        <v>29.76</v>
      </c>
      <c r="G23" s="185">
        <v>75.05</v>
      </c>
      <c r="H23" s="185">
        <f t="shared" si="2"/>
        <v>97.96</v>
      </c>
      <c r="I23" s="185">
        <f t="shared" si="3"/>
        <v>2915.28</v>
      </c>
      <c r="J23" s="165"/>
    </row>
    <row r="24" spans="1:10" s="51" customFormat="1" ht="22.5" customHeight="1" x14ac:dyDescent="0.2">
      <c r="A24" s="182" t="s">
        <v>317</v>
      </c>
      <c r="B24" s="182" t="s">
        <v>37</v>
      </c>
      <c r="C24" s="183">
        <v>96619</v>
      </c>
      <c r="D24" s="184" t="s">
        <v>276</v>
      </c>
      <c r="E24" s="182" t="s">
        <v>8</v>
      </c>
      <c r="F24" s="185">
        <f>'MEMORIA DE CALCULO'!J137</f>
        <v>8.1100000000000012</v>
      </c>
      <c r="G24" s="185">
        <v>30.39</v>
      </c>
      <c r="H24" s="185">
        <f t="shared" si="2"/>
        <v>39.67</v>
      </c>
      <c r="I24" s="185">
        <f t="shared" si="3"/>
        <v>321.72000000000003</v>
      </c>
      <c r="J24" s="165"/>
    </row>
    <row r="25" spans="1:10" s="51" customFormat="1" x14ac:dyDescent="0.2">
      <c r="A25" s="175" t="s">
        <v>318</v>
      </c>
      <c r="B25" s="176"/>
      <c r="C25" s="177"/>
      <c r="D25" s="178" t="s">
        <v>152</v>
      </c>
      <c r="E25" s="176"/>
      <c r="F25" s="179"/>
      <c r="G25" s="179"/>
      <c r="H25" s="180"/>
      <c r="I25" s="181">
        <f>SUM(I26:I31)</f>
        <v>31361.129999999997</v>
      </c>
      <c r="J25" s="164">
        <f>I25/I$162</f>
        <v>0.16346111647216921</v>
      </c>
    </row>
    <row r="26" spans="1:10" s="51" customFormat="1" ht="30.6" x14ac:dyDescent="0.2">
      <c r="A26" s="182" t="s">
        <v>532</v>
      </c>
      <c r="B26" s="182" t="s">
        <v>37</v>
      </c>
      <c r="C26" s="183">
        <v>103669</v>
      </c>
      <c r="D26" s="184" t="s">
        <v>161</v>
      </c>
      <c r="E26" s="182" t="s">
        <v>20</v>
      </c>
      <c r="F26" s="185">
        <f>'MEMORIA DE CALCULO'!J148</f>
        <v>1.4600000000000002</v>
      </c>
      <c r="G26" s="185">
        <v>886.13</v>
      </c>
      <c r="H26" s="185">
        <f t="shared" ref="H26:H31" si="4">ROUND(G26*(1+$M$4),2)</f>
        <v>1156.67</v>
      </c>
      <c r="I26" s="185">
        <f>TRUNC(F26*H26,2)</f>
        <v>1688.73</v>
      </c>
      <c r="J26" s="165"/>
    </row>
    <row r="27" spans="1:10" s="51" customFormat="1" ht="30.6" x14ac:dyDescent="0.2">
      <c r="A27" s="182" t="s">
        <v>319</v>
      </c>
      <c r="B27" s="182" t="s">
        <v>37</v>
      </c>
      <c r="C27" s="183">
        <v>103674</v>
      </c>
      <c r="D27" s="184" t="s">
        <v>162</v>
      </c>
      <c r="E27" s="182" t="s">
        <v>20</v>
      </c>
      <c r="F27" s="185">
        <f>'MEMORIA DE CALCULO'!J155</f>
        <v>1.992</v>
      </c>
      <c r="G27" s="185">
        <v>643.92999999999995</v>
      </c>
      <c r="H27" s="185">
        <f t="shared" si="4"/>
        <v>840.52</v>
      </c>
      <c r="I27" s="185">
        <f t="shared" ref="I27:I31" si="5">TRUNC(F27*H27,2)</f>
        <v>1674.31</v>
      </c>
      <c r="J27" s="165"/>
    </row>
    <row r="28" spans="1:10" s="51" customFormat="1" ht="30.6" x14ac:dyDescent="0.2">
      <c r="A28" s="182" t="s">
        <v>320</v>
      </c>
      <c r="B28" s="182" t="s">
        <v>37</v>
      </c>
      <c r="C28" s="183">
        <v>104108</v>
      </c>
      <c r="D28" s="184" t="s">
        <v>249</v>
      </c>
      <c r="E28" s="182" t="s">
        <v>189</v>
      </c>
      <c r="F28" s="185">
        <f>'MEMORIA DE CALCULO'!J163</f>
        <v>613.70000000000005</v>
      </c>
      <c r="G28" s="185">
        <v>16.440000000000001</v>
      </c>
      <c r="H28" s="185">
        <f t="shared" si="4"/>
        <v>21.46</v>
      </c>
      <c r="I28" s="185">
        <f t="shared" si="5"/>
        <v>13170</v>
      </c>
      <c r="J28" s="165"/>
    </row>
    <row r="29" spans="1:10" s="51" customFormat="1" ht="30.6" x14ac:dyDescent="0.2">
      <c r="A29" s="182" t="s">
        <v>321</v>
      </c>
      <c r="B29" s="182" t="s">
        <v>37</v>
      </c>
      <c r="C29" s="183">
        <v>104111</v>
      </c>
      <c r="D29" s="184" t="s">
        <v>554</v>
      </c>
      <c r="E29" s="182" t="s">
        <v>189</v>
      </c>
      <c r="F29" s="185">
        <f>'MEMORIA DE CALCULO'!J170</f>
        <v>113.8</v>
      </c>
      <c r="G29" s="185">
        <v>22.54</v>
      </c>
      <c r="H29" s="185">
        <f t="shared" si="4"/>
        <v>29.42</v>
      </c>
      <c r="I29" s="185">
        <f t="shared" si="5"/>
        <v>3347.99</v>
      </c>
      <c r="J29" s="165"/>
    </row>
    <row r="30" spans="1:10" s="51" customFormat="1" ht="20.399999999999999" x14ac:dyDescent="0.2">
      <c r="A30" s="182" t="s">
        <v>322</v>
      </c>
      <c r="B30" s="182" t="s">
        <v>87</v>
      </c>
      <c r="C30" s="183" t="s">
        <v>110</v>
      </c>
      <c r="D30" s="184" t="str">
        <f>'COMPOSICOES COM DESON'!D67</f>
        <v>MONTAGEM E DESMONTAGEM DE FÔRMA DE VIGA, PÉ-DIREITO SIMPLES, EM MADEIRA SERRADA, 4 UTILIZAÇÕES</v>
      </c>
      <c r="E30" s="182" t="str">
        <f>'COMPOSICOES COM DESON'!D68</f>
        <v>m²</v>
      </c>
      <c r="F30" s="185">
        <f>'MEMORIA DE CALCULO'!J175</f>
        <v>29.76</v>
      </c>
      <c r="G30" s="185">
        <f>'COMPOSICOES COM DESON'!G68</f>
        <v>126.16</v>
      </c>
      <c r="H30" s="185">
        <f t="shared" si="4"/>
        <v>164.68</v>
      </c>
      <c r="I30" s="185">
        <f t="shared" si="5"/>
        <v>4900.87</v>
      </c>
      <c r="J30" s="165"/>
    </row>
    <row r="31" spans="1:10" s="51" customFormat="1" ht="40.799999999999997" x14ac:dyDescent="0.2">
      <c r="A31" s="182" t="s">
        <v>323</v>
      </c>
      <c r="B31" s="182" t="s">
        <v>37</v>
      </c>
      <c r="C31" s="183">
        <v>92413</v>
      </c>
      <c r="D31" s="184" t="s">
        <v>258</v>
      </c>
      <c r="E31" s="182" t="s">
        <v>8</v>
      </c>
      <c r="F31" s="185">
        <f>'MEMORIA DE CALCULO'!J182</f>
        <v>42.18</v>
      </c>
      <c r="G31" s="185">
        <v>119.5</v>
      </c>
      <c r="H31" s="185">
        <f t="shared" si="4"/>
        <v>155.97999999999999</v>
      </c>
      <c r="I31" s="185">
        <f t="shared" si="5"/>
        <v>6579.23</v>
      </c>
      <c r="J31" s="165"/>
    </row>
    <row r="32" spans="1:10" s="51" customFormat="1" x14ac:dyDescent="0.2">
      <c r="A32" s="175" t="s">
        <v>324</v>
      </c>
      <c r="B32" s="176"/>
      <c r="C32" s="177"/>
      <c r="D32" s="178" t="s">
        <v>32</v>
      </c>
      <c r="E32" s="176"/>
      <c r="F32" s="179"/>
      <c r="G32" s="179"/>
      <c r="H32" s="180"/>
      <c r="I32" s="181">
        <f>SUM(I33:I38)</f>
        <v>18926.66</v>
      </c>
      <c r="J32" s="164">
        <f>I32/I$162</f>
        <v>9.8649920289515913E-2</v>
      </c>
    </row>
    <row r="33" spans="1:10" s="51" customFormat="1" ht="40.799999999999997" x14ac:dyDescent="0.2">
      <c r="A33" s="182" t="s">
        <v>325</v>
      </c>
      <c r="B33" s="182" t="s">
        <v>37</v>
      </c>
      <c r="C33" s="183">
        <v>92543</v>
      </c>
      <c r="D33" s="184" t="s">
        <v>174</v>
      </c>
      <c r="E33" s="182" t="s">
        <v>8</v>
      </c>
      <c r="F33" s="185">
        <f>'MEMORIA DE CALCULO'!J190</f>
        <v>46.11</v>
      </c>
      <c r="G33" s="185">
        <v>22.54</v>
      </c>
      <c r="H33" s="185">
        <f t="shared" ref="H33:H38" si="6">ROUND(G33*(1+$M$4),2)</f>
        <v>29.42</v>
      </c>
      <c r="I33" s="185">
        <f>TRUNC(F33*H33,2)</f>
        <v>1356.55</v>
      </c>
      <c r="J33" s="165"/>
    </row>
    <row r="34" spans="1:10" s="51" customFormat="1" ht="51" x14ac:dyDescent="0.2">
      <c r="A34" s="182" t="s">
        <v>326</v>
      </c>
      <c r="B34" s="182" t="s">
        <v>37</v>
      </c>
      <c r="C34" s="183">
        <v>92566</v>
      </c>
      <c r="D34" s="184" t="s">
        <v>415</v>
      </c>
      <c r="E34" s="182" t="s">
        <v>8</v>
      </c>
      <c r="F34" s="185">
        <f>'MEMORIA DE CALCULO'!J196</f>
        <v>46.11</v>
      </c>
      <c r="G34" s="185">
        <v>23.28</v>
      </c>
      <c r="H34" s="185">
        <f t="shared" si="6"/>
        <v>30.39</v>
      </c>
      <c r="I34" s="185">
        <f t="shared" ref="I34:I38" si="7">TRUNC(F34*H34,2)</f>
        <v>1401.28</v>
      </c>
      <c r="J34" s="165"/>
    </row>
    <row r="35" spans="1:10" s="51" customFormat="1" ht="20.399999999999999" x14ac:dyDescent="0.2">
      <c r="A35" s="182" t="s">
        <v>327</v>
      </c>
      <c r="B35" s="182" t="s">
        <v>37</v>
      </c>
      <c r="C35" s="183">
        <v>94218</v>
      </c>
      <c r="D35" s="184" t="s">
        <v>175</v>
      </c>
      <c r="E35" s="182" t="s">
        <v>8</v>
      </c>
      <c r="F35" s="185">
        <f>'MEMORIA DE CALCULO'!J202</f>
        <v>46.11</v>
      </c>
      <c r="G35" s="185">
        <v>125.43</v>
      </c>
      <c r="H35" s="185">
        <f t="shared" si="6"/>
        <v>163.72</v>
      </c>
      <c r="I35" s="185">
        <f t="shared" si="7"/>
        <v>7549.12</v>
      </c>
      <c r="J35" s="165"/>
    </row>
    <row r="36" spans="1:10" s="51" customFormat="1" ht="30.6" x14ac:dyDescent="0.2">
      <c r="A36" s="182" t="s">
        <v>328</v>
      </c>
      <c r="B36" s="182" t="s">
        <v>37</v>
      </c>
      <c r="C36" s="183">
        <v>94228</v>
      </c>
      <c r="D36" s="184" t="s">
        <v>178</v>
      </c>
      <c r="E36" s="182" t="s">
        <v>21</v>
      </c>
      <c r="F36" s="185">
        <f>'MEMORIA DE CALCULO'!J207</f>
        <v>6.45</v>
      </c>
      <c r="G36" s="185">
        <v>107.79</v>
      </c>
      <c r="H36" s="185">
        <f t="shared" si="6"/>
        <v>140.69999999999999</v>
      </c>
      <c r="I36" s="185">
        <f t="shared" si="7"/>
        <v>907.51</v>
      </c>
      <c r="J36" s="165"/>
    </row>
    <row r="37" spans="1:10" s="51" customFormat="1" x14ac:dyDescent="0.2">
      <c r="A37" s="182" t="s">
        <v>329</v>
      </c>
      <c r="B37" s="182" t="s">
        <v>122</v>
      </c>
      <c r="C37" s="183" t="s">
        <v>289</v>
      </c>
      <c r="D37" s="184" t="s">
        <v>288</v>
      </c>
      <c r="E37" s="182" t="s">
        <v>21</v>
      </c>
      <c r="F37" s="185">
        <f>'MEMORIA DE CALCULO'!J212</f>
        <v>34.9</v>
      </c>
      <c r="G37" s="185">
        <v>147.84</v>
      </c>
      <c r="H37" s="185">
        <f t="shared" si="6"/>
        <v>192.98</v>
      </c>
      <c r="I37" s="185">
        <f t="shared" si="7"/>
        <v>6735</v>
      </c>
      <c r="J37" s="165"/>
    </row>
    <row r="38" spans="1:10" s="51" customFormat="1" x14ac:dyDescent="0.2">
      <c r="A38" s="182" t="s">
        <v>394</v>
      </c>
      <c r="B38" s="182" t="s">
        <v>122</v>
      </c>
      <c r="C38" s="183" t="s">
        <v>176</v>
      </c>
      <c r="D38" s="184" t="s">
        <v>177</v>
      </c>
      <c r="E38" s="182" t="s">
        <v>21</v>
      </c>
      <c r="F38" s="185">
        <f>'MEMORIA DE CALCULO'!J217</f>
        <v>34.9</v>
      </c>
      <c r="G38" s="185">
        <v>21.45</v>
      </c>
      <c r="H38" s="185">
        <f t="shared" si="6"/>
        <v>28</v>
      </c>
      <c r="I38" s="185">
        <f t="shared" si="7"/>
        <v>977.2</v>
      </c>
      <c r="J38" s="165"/>
    </row>
    <row r="39" spans="1:10" s="51" customFormat="1" x14ac:dyDescent="0.2">
      <c r="A39" s="175" t="s">
        <v>330</v>
      </c>
      <c r="B39" s="176"/>
      <c r="C39" s="177"/>
      <c r="D39" s="178" t="s">
        <v>179</v>
      </c>
      <c r="E39" s="176"/>
      <c r="F39" s="179"/>
      <c r="G39" s="179"/>
      <c r="H39" s="180"/>
      <c r="I39" s="181">
        <f>SUM(I40:I40)</f>
        <v>1947.38</v>
      </c>
      <c r="J39" s="164">
        <f>I39/I$162</f>
        <v>1.0150173447052862E-2</v>
      </c>
    </row>
    <row r="40" spans="1:10" s="51" customFormat="1" ht="20.399999999999999" x14ac:dyDescent="0.2">
      <c r="A40" s="182" t="s">
        <v>331</v>
      </c>
      <c r="B40" s="182" t="s">
        <v>37</v>
      </c>
      <c r="C40" s="183">
        <v>98557</v>
      </c>
      <c r="D40" s="184" t="s">
        <v>180</v>
      </c>
      <c r="E40" s="182" t="s">
        <v>8</v>
      </c>
      <c r="F40" s="185">
        <f>'MEMORIA DE CALCULO'!J233</f>
        <v>38.409999999999997</v>
      </c>
      <c r="G40" s="185">
        <v>38.840000000000003</v>
      </c>
      <c r="H40" s="185">
        <f>ROUND(G40*(1+$M$4),2)</f>
        <v>50.7</v>
      </c>
      <c r="I40" s="185">
        <f>TRUNC(F40*H40,2)</f>
        <v>1947.38</v>
      </c>
      <c r="J40" s="165"/>
    </row>
    <row r="41" spans="1:10" s="51" customFormat="1" x14ac:dyDescent="0.2">
      <c r="A41" s="175" t="s">
        <v>332</v>
      </c>
      <c r="B41" s="176"/>
      <c r="C41" s="177"/>
      <c r="D41" s="178" t="s">
        <v>150</v>
      </c>
      <c r="E41" s="176"/>
      <c r="F41" s="179"/>
      <c r="G41" s="179"/>
      <c r="H41" s="180"/>
      <c r="I41" s="181">
        <f>SUM(I42:I46)</f>
        <v>11827.42</v>
      </c>
      <c r="J41" s="164">
        <f>I41/I$162</f>
        <v>6.1647117887182752E-2</v>
      </c>
    </row>
    <row r="42" spans="1:10" s="51" customFormat="1" ht="38.25" customHeight="1" x14ac:dyDescent="0.2">
      <c r="A42" s="182" t="s">
        <v>333</v>
      </c>
      <c r="B42" s="182" t="s">
        <v>37</v>
      </c>
      <c r="C42" s="183">
        <v>103356</v>
      </c>
      <c r="D42" s="184" t="s">
        <v>154</v>
      </c>
      <c r="E42" s="182" t="s">
        <v>8</v>
      </c>
      <c r="F42" s="185">
        <f>'MEMORIA DE CALCULO'!J250</f>
        <v>149.31</v>
      </c>
      <c r="G42" s="185">
        <v>45.42</v>
      </c>
      <c r="H42" s="185">
        <f t="shared" ref="H42:H46" si="8">ROUND(G42*(1+$M$4),2)</f>
        <v>59.29</v>
      </c>
      <c r="I42" s="185">
        <f>TRUNC(F42*H42,2)</f>
        <v>8852.58</v>
      </c>
      <c r="J42" s="165"/>
    </row>
    <row r="43" spans="1:10" s="51" customFormat="1" ht="20.399999999999999" x14ac:dyDescent="0.2">
      <c r="A43" s="182" t="s">
        <v>334</v>
      </c>
      <c r="B43" s="182" t="s">
        <v>37</v>
      </c>
      <c r="C43" s="183">
        <v>93182</v>
      </c>
      <c r="D43" s="184" t="s">
        <v>272</v>
      </c>
      <c r="E43" s="182" t="s">
        <v>21</v>
      </c>
      <c r="F43" s="185">
        <f>'MEMORIA DE CALCULO'!J260</f>
        <v>9.1999999999999993</v>
      </c>
      <c r="G43" s="185">
        <v>48.99</v>
      </c>
      <c r="H43" s="185">
        <f t="shared" si="8"/>
        <v>63.95</v>
      </c>
      <c r="I43" s="185">
        <f t="shared" ref="I43:I46" si="9">TRUNC(F43*H43,2)</f>
        <v>588.34</v>
      </c>
      <c r="J43" s="165"/>
    </row>
    <row r="44" spans="1:10" s="51" customFormat="1" ht="20.399999999999999" x14ac:dyDescent="0.2">
      <c r="A44" s="182" t="s">
        <v>533</v>
      </c>
      <c r="B44" s="182" t="s">
        <v>37</v>
      </c>
      <c r="C44" s="183">
        <v>93184</v>
      </c>
      <c r="D44" s="184" t="s">
        <v>273</v>
      </c>
      <c r="E44" s="182" t="s">
        <v>21</v>
      </c>
      <c r="F44" s="185">
        <f>'MEMORIA DE CALCULO'!J272</f>
        <v>8.7000000000000011</v>
      </c>
      <c r="G44" s="185">
        <v>36.03</v>
      </c>
      <c r="H44" s="185">
        <f t="shared" si="8"/>
        <v>47.03</v>
      </c>
      <c r="I44" s="185">
        <f t="shared" si="9"/>
        <v>409.16</v>
      </c>
      <c r="J44" s="165"/>
    </row>
    <row r="45" spans="1:10" s="51" customFormat="1" ht="20.399999999999999" x14ac:dyDescent="0.2">
      <c r="A45" s="182" t="s">
        <v>335</v>
      </c>
      <c r="B45" s="182" t="s">
        <v>37</v>
      </c>
      <c r="C45" s="183">
        <v>93194</v>
      </c>
      <c r="D45" s="184" t="s">
        <v>274</v>
      </c>
      <c r="E45" s="182" t="s">
        <v>21</v>
      </c>
      <c r="F45" s="185">
        <f>'MEMORIA DE CALCULO'!J283</f>
        <v>9.1999999999999993</v>
      </c>
      <c r="G45" s="185">
        <v>48.01</v>
      </c>
      <c r="H45" s="185">
        <f t="shared" si="8"/>
        <v>62.67</v>
      </c>
      <c r="I45" s="185">
        <f t="shared" si="9"/>
        <v>576.55999999999995</v>
      </c>
      <c r="J45" s="165"/>
    </row>
    <row r="46" spans="1:10" s="51" customFormat="1" ht="30.6" x14ac:dyDescent="0.2">
      <c r="A46" s="182" t="s">
        <v>336</v>
      </c>
      <c r="B46" s="182" t="s">
        <v>37</v>
      </c>
      <c r="C46" s="183">
        <v>101161</v>
      </c>
      <c r="D46" s="184" t="s">
        <v>286</v>
      </c>
      <c r="E46" s="182" t="s">
        <v>8</v>
      </c>
      <c r="F46" s="185">
        <f>'MEMORIA DE CALCULO'!J289</f>
        <v>5.2799999999999994</v>
      </c>
      <c r="G46" s="185">
        <v>203.25</v>
      </c>
      <c r="H46" s="185">
        <f t="shared" si="8"/>
        <v>265.3</v>
      </c>
      <c r="I46" s="185">
        <f t="shared" si="9"/>
        <v>1400.78</v>
      </c>
      <c r="J46" s="165"/>
    </row>
    <row r="47" spans="1:10" s="51" customFormat="1" x14ac:dyDescent="0.2">
      <c r="A47" s="175" t="s">
        <v>337</v>
      </c>
      <c r="B47" s="176"/>
      <c r="C47" s="177"/>
      <c r="D47" s="178" t="s">
        <v>90</v>
      </c>
      <c r="E47" s="176"/>
      <c r="F47" s="179"/>
      <c r="G47" s="179"/>
      <c r="H47" s="180"/>
      <c r="I47" s="181">
        <f>SUM(I48:I55)</f>
        <v>21351.64</v>
      </c>
      <c r="J47" s="164">
        <f>I47/I$162</f>
        <v>0.11128945012223179</v>
      </c>
    </row>
    <row r="48" spans="1:10" s="51" customFormat="1" ht="40.799999999999997" x14ac:dyDescent="0.2">
      <c r="A48" s="182" t="s">
        <v>338</v>
      </c>
      <c r="B48" s="182" t="s">
        <v>37</v>
      </c>
      <c r="C48" s="183">
        <v>87879</v>
      </c>
      <c r="D48" s="184" t="s">
        <v>182</v>
      </c>
      <c r="E48" s="182" t="s">
        <v>8</v>
      </c>
      <c r="F48" s="185">
        <f>'MEMORIA DE CALCULO'!J303</f>
        <v>189.81</v>
      </c>
      <c r="G48" s="185">
        <v>3.93</v>
      </c>
      <c r="H48" s="185">
        <f t="shared" ref="H48:H55" si="10">ROUND(G48*(1+$M$4),2)</f>
        <v>5.13</v>
      </c>
      <c r="I48" s="185">
        <f>TRUNC(F48*H48,2)</f>
        <v>973.72</v>
      </c>
      <c r="J48" s="165"/>
    </row>
    <row r="49" spans="1:10" s="51" customFormat="1" ht="40.799999999999997" x14ac:dyDescent="0.2">
      <c r="A49" s="182" t="s">
        <v>339</v>
      </c>
      <c r="B49" s="182" t="s">
        <v>37</v>
      </c>
      <c r="C49" s="183">
        <v>87905</v>
      </c>
      <c r="D49" s="184" t="s">
        <v>183</v>
      </c>
      <c r="E49" s="182" t="s">
        <v>8</v>
      </c>
      <c r="F49" s="185">
        <f>'MEMORIA DE CALCULO'!J308</f>
        <v>80.13</v>
      </c>
      <c r="G49" s="185">
        <v>7.04</v>
      </c>
      <c r="H49" s="185">
        <f t="shared" si="10"/>
        <v>9.19</v>
      </c>
      <c r="I49" s="185">
        <f t="shared" ref="I49:I55" si="11">TRUNC(F49*H49,2)</f>
        <v>736.39</v>
      </c>
      <c r="J49" s="165"/>
    </row>
    <row r="50" spans="1:10" s="51" customFormat="1" ht="20.399999999999999" x14ac:dyDescent="0.2">
      <c r="A50" s="182" t="s">
        <v>340</v>
      </c>
      <c r="B50" s="182" t="s">
        <v>122</v>
      </c>
      <c r="C50" s="183" t="s">
        <v>550</v>
      </c>
      <c r="D50" s="184" t="s">
        <v>551</v>
      </c>
      <c r="E50" s="182" t="s">
        <v>8</v>
      </c>
      <c r="F50" s="185">
        <f>'MEMORIA DE CALCULO'!J324</f>
        <v>83.3</v>
      </c>
      <c r="G50" s="185">
        <v>39.86</v>
      </c>
      <c r="H50" s="185">
        <f t="shared" ref="H50" si="12">ROUND(G50*(1+$M$4),2)</f>
        <v>52.03</v>
      </c>
      <c r="I50" s="185">
        <f t="shared" si="11"/>
        <v>4334.09</v>
      </c>
      <c r="J50" s="165"/>
    </row>
    <row r="51" spans="1:10" s="51" customFormat="1" ht="40.799999999999997" x14ac:dyDescent="0.2">
      <c r="A51" s="182" t="s">
        <v>341</v>
      </c>
      <c r="B51" s="182" t="s">
        <v>37</v>
      </c>
      <c r="C51" s="183">
        <v>87561</v>
      </c>
      <c r="D51" s="184" t="s">
        <v>410</v>
      </c>
      <c r="E51" s="182" t="s">
        <v>8</v>
      </c>
      <c r="F51" s="185">
        <f>'MEMORIA DE CALCULO'!J329</f>
        <v>44.87</v>
      </c>
      <c r="G51" s="185">
        <v>39.69</v>
      </c>
      <c r="H51" s="185">
        <f t="shared" si="10"/>
        <v>51.81</v>
      </c>
      <c r="I51" s="185">
        <f t="shared" si="11"/>
        <v>2324.71</v>
      </c>
      <c r="J51" s="165"/>
    </row>
    <row r="52" spans="1:10" s="51" customFormat="1" ht="51" x14ac:dyDescent="0.2">
      <c r="A52" s="182" t="s">
        <v>342</v>
      </c>
      <c r="B52" s="182" t="s">
        <v>37</v>
      </c>
      <c r="C52" s="183">
        <v>87531</v>
      </c>
      <c r="D52" s="184" t="s">
        <v>184</v>
      </c>
      <c r="E52" s="182" t="s">
        <v>8</v>
      </c>
      <c r="F52" s="185">
        <f>'MEMORIA DE CALCULO'!J336</f>
        <v>41.11</v>
      </c>
      <c r="G52" s="185">
        <v>33.29</v>
      </c>
      <c r="H52" s="185">
        <f t="shared" si="10"/>
        <v>43.45</v>
      </c>
      <c r="I52" s="185">
        <f t="shared" si="11"/>
        <v>1786.22</v>
      </c>
      <c r="J52" s="165"/>
    </row>
    <row r="53" spans="1:10" s="51" customFormat="1" ht="51" x14ac:dyDescent="0.2">
      <c r="A53" s="182" t="s">
        <v>343</v>
      </c>
      <c r="B53" s="182" t="s">
        <v>37</v>
      </c>
      <c r="C53" s="183">
        <v>87528</v>
      </c>
      <c r="D53" s="184" t="s">
        <v>409</v>
      </c>
      <c r="E53" s="182" t="s">
        <v>8</v>
      </c>
      <c r="F53" s="185">
        <f>'MEMORIA DE CALCULO'!J344</f>
        <v>26.23</v>
      </c>
      <c r="G53" s="185">
        <v>41.51</v>
      </c>
      <c r="H53" s="185">
        <f t="shared" ref="H53" si="13">ROUND(G53*(1+$M$4),2)</f>
        <v>54.18</v>
      </c>
      <c r="I53" s="185">
        <f t="shared" si="11"/>
        <v>1421.14</v>
      </c>
      <c r="J53" s="165"/>
    </row>
    <row r="54" spans="1:10" s="51" customFormat="1" ht="30.6" x14ac:dyDescent="0.2">
      <c r="A54" s="182" t="s">
        <v>344</v>
      </c>
      <c r="B54" s="182" t="s">
        <v>87</v>
      </c>
      <c r="C54" s="183" t="str">
        <f>'COMPOSICOES COM DESON'!A12</f>
        <v>COMP-001</v>
      </c>
      <c r="D54" s="184" t="str">
        <f>'COMPOSICOES COM DESON'!D13</f>
        <v>REVESTIMENTO CERÂMICO COM PLACAS TIPO ESMALTADA TIPO A DE DIMENSÕES 46X46 CM APLICADAS EM PAREDE INTERNA.</v>
      </c>
      <c r="E54" s="182" t="str">
        <f>'COMPOSICOES COM DESON'!D14</f>
        <v>m²</v>
      </c>
      <c r="F54" s="185">
        <f>'MEMORIA DE CALCULO'!J355</f>
        <v>52.800000000000004</v>
      </c>
      <c r="G54" s="185">
        <f>'COMPOSICOES COM DESON'!G14</f>
        <v>54.4</v>
      </c>
      <c r="H54" s="185">
        <f t="shared" si="10"/>
        <v>71.010000000000005</v>
      </c>
      <c r="I54" s="185">
        <f t="shared" si="11"/>
        <v>3749.32</v>
      </c>
      <c r="J54" s="165"/>
    </row>
    <row r="55" spans="1:10" s="51" customFormat="1" ht="20.399999999999999" x14ac:dyDescent="0.2">
      <c r="A55" s="182" t="s">
        <v>345</v>
      </c>
      <c r="B55" s="182" t="s">
        <v>87</v>
      </c>
      <c r="C55" s="183" t="str">
        <f>'COMPOSICOES COM DESON'!A26</f>
        <v>COMP-002</v>
      </c>
      <c r="D55" s="184" t="str">
        <f>'COMPOSICOES COM DESON'!D27</f>
        <v>REVESTIMENTO CERÂMICO COM PLACAS TIPO ESMALTADA EXTRA DE DIMENSÕES 10X10</v>
      </c>
      <c r="E55" s="182" t="str">
        <f>'COMPOSICOES COM DESON'!D28</f>
        <v>m²</v>
      </c>
      <c r="F55" s="185">
        <f>'MEMORIA DE CALCULO'!J367</f>
        <v>47.749999999999993</v>
      </c>
      <c r="G55" s="185">
        <f>'COMPOSICOES COM DESON'!G28</f>
        <v>96.68</v>
      </c>
      <c r="H55" s="185">
        <f t="shared" si="10"/>
        <v>126.2</v>
      </c>
      <c r="I55" s="185">
        <f t="shared" si="11"/>
        <v>6026.05</v>
      </c>
      <c r="J55" s="165"/>
    </row>
    <row r="56" spans="1:10" s="51" customFormat="1" x14ac:dyDescent="0.2">
      <c r="A56" s="175" t="s">
        <v>346</v>
      </c>
      <c r="B56" s="176"/>
      <c r="C56" s="177"/>
      <c r="D56" s="178" t="s">
        <v>148</v>
      </c>
      <c r="E56" s="176"/>
      <c r="F56" s="179"/>
      <c r="G56" s="179"/>
      <c r="H56" s="180"/>
      <c r="I56" s="181">
        <f>SUM(I57:I62)</f>
        <v>9045.19</v>
      </c>
      <c r="J56" s="164">
        <f>I56/I$162</f>
        <v>4.7145522374445699E-2</v>
      </c>
    </row>
    <row r="57" spans="1:10" s="51" customFormat="1" ht="20.399999999999999" x14ac:dyDescent="0.2">
      <c r="A57" s="182" t="s">
        <v>347</v>
      </c>
      <c r="B57" s="182" t="s">
        <v>37</v>
      </c>
      <c r="C57" s="183">
        <v>95241</v>
      </c>
      <c r="D57" s="184" t="s">
        <v>416</v>
      </c>
      <c r="E57" s="182" t="s">
        <v>8</v>
      </c>
      <c r="F57" s="187">
        <f>'MEMORIA DE CALCULO'!J381</f>
        <v>57.3</v>
      </c>
      <c r="G57" s="185">
        <v>29.26</v>
      </c>
      <c r="H57" s="185">
        <f t="shared" ref="H57:H62" si="14">ROUND(G57*(1+$M$4),2)</f>
        <v>38.19</v>
      </c>
      <c r="I57" s="185">
        <f>TRUNC(F57*H57,2)</f>
        <v>2188.2800000000002</v>
      </c>
      <c r="J57" s="164"/>
    </row>
    <row r="58" spans="1:10" s="47" customFormat="1" ht="40.799999999999997" x14ac:dyDescent="0.2">
      <c r="A58" s="182" t="s">
        <v>348</v>
      </c>
      <c r="B58" s="182" t="s">
        <v>37</v>
      </c>
      <c r="C58" s="183">
        <v>87620</v>
      </c>
      <c r="D58" s="184" t="s">
        <v>290</v>
      </c>
      <c r="E58" s="182" t="s">
        <v>8</v>
      </c>
      <c r="F58" s="187">
        <f>'MEMORIA DE CALCULO'!J389</f>
        <v>38.83</v>
      </c>
      <c r="G58" s="185">
        <v>27.95</v>
      </c>
      <c r="H58" s="185">
        <f t="shared" si="14"/>
        <v>36.479999999999997</v>
      </c>
      <c r="I58" s="185">
        <f t="shared" ref="I58:I62" si="15">TRUNC(F58*H58,2)</f>
        <v>1416.51</v>
      </c>
      <c r="J58" s="166"/>
    </row>
    <row r="59" spans="1:10" s="47" customFormat="1" ht="40.799999999999997" x14ac:dyDescent="0.2">
      <c r="A59" s="182" t="s">
        <v>349</v>
      </c>
      <c r="B59" s="182" t="s">
        <v>37</v>
      </c>
      <c r="C59" s="183">
        <v>87735</v>
      </c>
      <c r="D59" s="184" t="s">
        <v>418</v>
      </c>
      <c r="E59" s="182" t="s">
        <v>8</v>
      </c>
      <c r="F59" s="187">
        <f>'MEMORIA DE CALCULO'!J397</f>
        <v>18.47</v>
      </c>
      <c r="G59" s="185">
        <v>38.51</v>
      </c>
      <c r="H59" s="185">
        <f t="shared" si="14"/>
        <v>50.27</v>
      </c>
      <c r="I59" s="185">
        <f t="shared" si="15"/>
        <v>928.48</v>
      </c>
      <c r="J59" s="166"/>
    </row>
    <row r="60" spans="1:10" s="47" customFormat="1" ht="20.399999999999999" x14ac:dyDescent="0.2">
      <c r="A60" s="182" t="s">
        <v>350</v>
      </c>
      <c r="B60" s="182" t="s">
        <v>87</v>
      </c>
      <c r="C60" s="183" t="s">
        <v>754</v>
      </c>
      <c r="D60" s="184" t="s">
        <v>752</v>
      </c>
      <c r="E60" s="182" t="s">
        <v>8</v>
      </c>
      <c r="F60" s="187">
        <f>'MEMORIA DE CALCULO'!J408</f>
        <v>46.3</v>
      </c>
      <c r="G60" s="185">
        <f>'COMPOSICOES COM DESON'!G148</f>
        <v>54.4</v>
      </c>
      <c r="H60" s="185">
        <f t="shared" si="14"/>
        <v>71.010000000000005</v>
      </c>
      <c r="I60" s="185">
        <f t="shared" si="15"/>
        <v>3287.76</v>
      </c>
      <c r="J60" s="166"/>
    </row>
    <row r="61" spans="1:10" s="47" customFormat="1" ht="20.399999999999999" x14ac:dyDescent="0.2">
      <c r="A61" s="182" t="s">
        <v>411</v>
      </c>
      <c r="B61" s="182" t="s">
        <v>37</v>
      </c>
      <c r="C61" s="183">
        <v>98689</v>
      </c>
      <c r="D61" s="184" t="s">
        <v>181</v>
      </c>
      <c r="E61" s="182" t="s">
        <v>21</v>
      </c>
      <c r="F61" s="187">
        <f>'MEMORIA DE CALCULO'!J419</f>
        <v>6.1</v>
      </c>
      <c r="G61" s="185">
        <v>73.7</v>
      </c>
      <c r="H61" s="185">
        <f t="shared" si="14"/>
        <v>96.2</v>
      </c>
      <c r="I61" s="185">
        <f t="shared" si="15"/>
        <v>586.82000000000005</v>
      </c>
      <c r="J61" s="166"/>
    </row>
    <row r="62" spans="1:10" s="47" customFormat="1" ht="20.399999999999999" x14ac:dyDescent="0.2">
      <c r="A62" s="182" t="s">
        <v>417</v>
      </c>
      <c r="B62" s="182" t="s">
        <v>122</v>
      </c>
      <c r="C62" s="183" t="s">
        <v>501</v>
      </c>
      <c r="D62" s="184" t="s">
        <v>502</v>
      </c>
      <c r="E62" s="182" t="s">
        <v>8</v>
      </c>
      <c r="F62" s="187">
        <f>'MEMORIA DE CALCULO'!J424</f>
        <v>11</v>
      </c>
      <c r="G62" s="185">
        <v>44.39</v>
      </c>
      <c r="H62" s="185">
        <f t="shared" si="14"/>
        <v>57.94</v>
      </c>
      <c r="I62" s="185">
        <f t="shared" si="15"/>
        <v>637.34</v>
      </c>
      <c r="J62" s="166"/>
    </row>
    <row r="63" spans="1:10" s="51" customFormat="1" x14ac:dyDescent="0.2">
      <c r="A63" s="175" t="s">
        <v>351</v>
      </c>
      <c r="B63" s="176"/>
      <c r="C63" s="177"/>
      <c r="D63" s="178" t="s">
        <v>205</v>
      </c>
      <c r="E63" s="176"/>
      <c r="F63" s="179"/>
      <c r="G63" s="179"/>
      <c r="H63" s="180"/>
      <c r="I63" s="181">
        <f>SUM(I64:I64)</f>
        <v>2017.75</v>
      </c>
      <c r="J63" s="164">
        <f>I63/I$162</f>
        <v>1.0516957385200068E-2</v>
      </c>
    </row>
    <row r="64" spans="1:10" s="47" customFormat="1" ht="20.399999999999999" x14ac:dyDescent="0.2">
      <c r="A64" s="182" t="s">
        <v>352</v>
      </c>
      <c r="B64" s="182" t="s">
        <v>37</v>
      </c>
      <c r="C64" s="183">
        <v>96113</v>
      </c>
      <c r="D64" s="184" t="s">
        <v>448</v>
      </c>
      <c r="E64" s="182" t="s">
        <v>8</v>
      </c>
      <c r="F64" s="187">
        <f>'MEMORIA DE CALCULO'!J437</f>
        <v>46.3</v>
      </c>
      <c r="G64" s="185">
        <v>33.39</v>
      </c>
      <c r="H64" s="185">
        <f>ROUND(G64*(1+$M$4),2)</f>
        <v>43.58</v>
      </c>
      <c r="I64" s="185">
        <f>TRUNC(F64*H64,2)</f>
        <v>2017.75</v>
      </c>
      <c r="J64" s="166"/>
    </row>
    <row r="65" spans="1:10" s="51" customFormat="1" x14ac:dyDescent="0.2">
      <c r="A65" s="175" t="s">
        <v>353</v>
      </c>
      <c r="B65" s="176"/>
      <c r="C65" s="177"/>
      <c r="D65" s="178" t="s">
        <v>15</v>
      </c>
      <c r="E65" s="176"/>
      <c r="F65" s="179"/>
      <c r="G65" s="179"/>
      <c r="H65" s="180"/>
      <c r="I65" s="181">
        <f>SUM(I66:I73)</f>
        <v>5369.61</v>
      </c>
      <c r="J65" s="164">
        <f>I65/I$162</f>
        <v>2.7987589912102161E-2</v>
      </c>
    </row>
    <row r="66" spans="1:10" s="47" customFormat="1" ht="20.399999999999999" x14ac:dyDescent="0.2">
      <c r="A66" s="182" t="s">
        <v>354</v>
      </c>
      <c r="B66" s="182" t="s">
        <v>122</v>
      </c>
      <c r="C66" s="183" t="s">
        <v>212</v>
      </c>
      <c r="D66" s="184" t="s">
        <v>214</v>
      </c>
      <c r="E66" s="182" t="s">
        <v>8</v>
      </c>
      <c r="F66" s="187">
        <f>'MEMORIA DE CALCULO'!J443</f>
        <v>35.26</v>
      </c>
      <c r="G66" s="185">
        <v>15.08</v>
      </c>
      <c r="H66" s="185">
        <f t="shared" ref="H66:H73" si="16">ROUND(G66*(1+$M$4),2)</f>
        <v>19.68</v>
      </c>
      <c r="I66" s="185">
        <f>TRUNC(F66*H66,2)</f>
        <v>693.91</v>
      </c>
      <c r="J66" s="166"/>
    </row>
    <row r="67" spans="1:10" s="47" customFormat="1" ht="20.399999999999999" x14ac:dyDescent="0.2">
      <c r="A67" s="182" t="s">
        <v>355</v>
      </c>
      <c r="B67" s="182" t="s">
        <v>37</v>
      </c>
      <c r="C67" s="183">
        <v>88415</v>
      </c>
      <c r="D67" s="184" t="s">
        <v>213</v>
      </c>
      <c r="E67" s="182" t="s">
        <v>8</v>
      </c>
      <c r="F67" s="187">
        <f>'MEMORIA DE CALCULO'!J448</f>
        <v>35.26</v>
      </c>
      <c r="G67" s="185">
        <v>3.64</v>
      </c>
      <c r="H67" s="185">
        <f t="shared" si="16"/>
        <v>4.75</v>
      </c>
      <c r="I67" s="185">
        <f t="shared" ref="I67:I73" si="17">TRUNC(F67*H67,2)</f>
        <v>167.48</v>
      </c>
      <c r="J67" s="166"/>
    </row>
    <row r="68" spans="1:10" s="47" customFormat="1" ht="20.399999999999999" x14ac:dyDescent="0.2">
      <c r="A68" s="182" t="s">
        <v>356</v>
      </c>
      <c r="B68" s="182" t="s">
        <v>37</v>
      </c>
      <c r="C68" s="183">
        <v>88489</v>
      </c>
      <c r="D68" s="184" t="s">
        <v>135</v>
      </c>
      <c r="E68" s="182" t="s">
        <v>8</v>
      </c>
      <c r="F68" s="187">
        <f>'MEMORIA DE CALCULO'!J453</f>
        <v>35.26</v>
      </c>
      <c r="G68" s="185">
        <v>14.94</v>
      </c>
      <c r="H68" s="185">
        <f t="shared" si="16"/>
        <v>19.5</v>
      </c>
      <c r="I68" s="185">
        <f t="shared" si="17"/>
        <v>687.57</v>
      </c>
      <c r="J68" s="166"/>
    </row>
    <row r="69" spans="1:10" s="47" customFormat="1" ht="20.399999999999999" x14ac:dyDescent="0.2">
      <c r="A69" s="182" t="s">
        <v>357</v>
      </c>
      <c r="B69" s="182" t="s">
        <v>37</v>
      </c>
      <c r="C69" s="183">
        <v>102201</v>
      </c>
      <c r="D69" s="184" t="s">
        <v>215</v>
      </c>
      <c r="E69" s="182" t="s">
        <v>8</v>
      </c>
      <c r="F69" s="187">
        <f>'MEMORIA DE CALCULO'!J463</f>
        <v>32.130000000000003</v>
      </c>
      <c r="G69" s="185">
        <v>20.8</v>
      </c>
      <c r="H69" s="185">
        <f t="shared" si="16"/>
        <v>27.15</v>
      </c>
      <c r="I69" s="185">
        <f t="shared" si="17"/>
        <v>872.32</v>
      </c>
      <c r="J69" s="166"/>
    </row>
    <row r="70" spans="1:10" s="47" customFormat="1" ht="20.399999999999999" x14ac:dyDescent="0.2">
      <c r="A70" s="182" t="s">
        <v>358</v>
      </c>
      <c r="B70" s="182" t="s">
        <v>37</v>
      </c>
      <c r="C70" s="183">
        <v>102207</v>
      </c>
      <c r="D70" s="184" t="s">
        <v>216</v>
      </c>
      <c r="E70" s="182" t="s">
        <v>8</v>
      </c>
      <c r="F70" s="187">
        <f>'MEMORIA DE CALCULO'!J468</f>
        <v>32.130000000000003</v>
      </c>
      <c r="G70" s="185">
        <v>8.49</v>
      </c>
      <c r="H70" s="185">
        <f t="shared" si="16"/>
        <v>11.08</v>
      </c>
      <c r="I70" s="185">
        <f t="shared" si="17"/>
        <v>356</v>
      </c>
      <c r="J70" s="166"/>
    </row>
    <row r="71" spans="1:10" s="47" customFormat="1" ht="20.399999999999999" x14ac:dyDescent="0.2">
      <c r="A71" s="182" t="s">
        <v>455</v>
      </c>
      <c r="B71" s="182" t="s">
        <v>37</v>
      </c>
      <c r="C71" s="183">
        <v>88484</v>
      </c>
      <c r="D71" s="184" t="s">
        <v>456</v>
      </c>
      <c r="E71" s="182" t="s">
        <v>8</v>
      </c>
      <c r="F71" s="187">
        <f>'MEMORIA DE CALCULO'!J479</f>
        <v>46.3</v>
      </c>
      <c r="G71" s="185">
        <v>3.66</v>
      </c>
      <c r="H71" s="185">
        <f t="shared" si="16"/>
        <v>4.78</v>
      </c>
      <c r="I71" s="185">
        <f t="shared" si="17"/>
        <v>221.31</v>
      </c>
      <c r="J71" s="166"/>
    </row>
    <row r="72" spans="1:10" s="47" customFormat="1" ht="20.399999999999999" x14ac:dyDescent="0.2">
      <c r="A72" s="182" t="s">
        <v>458</v>
      </c>
      <c r="B72" s="182" t="s">
        <v>37</v>
      </c>
      <c r="C72" s="183">
        <v>88494</v>
      </c>
      <c r="D72" s="184" t="s">
        <v>457</v>
      </c>
      <c r="E72" s="182" t="s">
        <v>8</v>
      </c>
      <c r="F72" s="187">
        <f>'MEMORIA DE CALCULO'!J490</f>
        <v>46.3</v>
      </c>
      <c r="G72" s="185">
        <v>22.4</v>
      </c>
      <c r="H72" s="185">
        <f t="shared" si="16"/>
        <v>29.24</v>
      </c>
      <c r="I72" s="185">
        <f t="shared" si="17"/>
        <v>1353.81</v>
      </c>
      <c r="J72" s="166"/>
    </row>
    <row r="73" spans="1:10" s="47" customFormat="1" ht="20.399999999999999" x14ac:dyDescent="0.2">
      <c r="A73" s="182" t="s">
        <v>459</v>
      </c>
      <c r="B73" s="182" t="s">
        <v>37</v>
      </c>
      <c r="C73" s="183">
        <v>88488</v>
      </c>
      <c r="D73" s="184" t="s">
        <v>136</v>
      </c>
      <c r="E73" s="182" t="s">
        <v>8</v>
      </c>
      <c r="F73" s="187">
        <f>'MEMORIA DE CALCULO'!J501</f>
        <v>46.3</v>
      </c>
      <c r="G73" s="185">
        <v>16.829999999999998</v>
      </c>
      <c r="H73" s="185">
        <f t="shared" si="16"/>
        <v>21.97</v>
      </c>
      <c r="I73" s="185">
        <f t="shared" si="17"/>
        <v>1017.21</v>
      </c>
      <c r="J73" s="166"/>
    </row>
    <row r="74" spans="1:10" s="51" customFormat="1" x14ac:dyDescent="0.2">
      <c r="A74" s="175" t="s">
        <v>359</v>
      </c>
      <c r="B74" s="176"/>
      <c r="C74" s="177"/>
      <c r="D74" s="178" t="s">
        <v>613</v>
      </c>
      <c r="E74" s="176"/>
      <c r="F74" s="179"/>
      <c r="G74" s="179"/>
      <c r="H74" s="180"/>
      <c r="I74" s="181">
        <f>SUM(I75:I87)</f>
        <v>5268.8899999999994</v>
      </c>
      <c r="J74" s="164">
        <f>I74/I$162</f>
        <v>2.746261508973202E-2</v>
      </c>
    </row>
    <row r="75" spans="1:10" s="47" customFormat="1" ht="51" x14ac:dyDescent="0.2">
      <c r="A75" s="182" t="s">
        <v>360</v>
      </c>
      <c r="B75" s="182" t="s">
        <v>37</v>
      </c>
      <c r="C75" s="183">
        <v>86943</v>
      </c>
      <c r="D75" s="184" t="s">
        <v>614</v>
      </c>
      <c r="E75" s="182" t="s">
        <v>17</v>
      </c>
      <c r="F75" s="187">
        <f>'MEMORIA DE CALCULO'!J508</f>
        <v>3</v>
      </c>
      <c r="G75" s="185">
        <v>224.23</v>
      </c>
      <c r="H75" s="185">
        <f t="shared" ref="H75:H84" si="18">ROUND(G75*(1+$M$4),2)</f>
        <v>292.69</v>
      </c>
      <c r="I75" s="185">
        <f>TRUNC(F75*H75,2)</f>
        <v>878.07</v>
      </c>
      <c r="J75" s="166"/>
    </row>
    <row r="76" spans="1:10" s="47" customFormat="1" ht="30.6" x14ac:dyDescent="0.2">
      <c r="A76" s="182" t="s">
        <v>534</v>
      </c>
      <c r="B76" s="182" t="s">
        <v>37</v>
      </c>
      <c r="C76" s="183">
        <v>86931</v>
      </c>
      <c r="D76" s="184" t="s">
        <v>615</v>
      </c>
      <c r="E76" s="182" t="s">
        <v>17</v>
      </c>
      <c r="F76" s="187">
        <f>'MEMORIA DE CALCULO'!J513</f>
        <v>2</v>
      </c>
      <c r="G76" s="185">
        <v>467.75</v>
      </c>
      <c r="H76" s="185">
        <f t="shared" si="18"/>
        <v>610.54999999999995</v>
      </c>
      <c r="I76" s="185">
        <f t="shared" ref="I76:I87" si="19">TRUNC(F76*H76,2)</f>
        <v>1221.0999999999999</v>
      </c>
      <c r="J76" s="166"/>
    </row>
    <row r="77" spans="1:10" s="47" customFormat="1" ht="30.6" x14ac:dyDescent="0.2">
      <c r="A77" s="182" t="s">
        <v>361</v>
      </c>
      <c r="B77" s="182" t="s">
        <v>37</v>
      </c>
      <c r="C77" s="183">
        <v>95471</v>
      </c>
      <c r="D77" s="184" t="s">
        <v>670</v>
      </c>
      <c r="E77" s="182" t="s">
        <v>17</v>
      </c>
      <c r="F77" s="187">
        <f>'MEMORIA DE CALCULO'!J518</f>
        <v>1</v>
      </c>
      <c r="G77" s="185">
        <v>716.95</v>
      </c>
      <c r="H77" s="185">
        <f t="shared" si="18"/>
        <v>935.83</v>
      </c>
      <c r="I77" s="185">
        <f t="shared" si="19"/>
        <v>935.83</v>
      </c>
      <c r="J77" s="166"/>
    </row>
    <row r="78" spans="1:10" s="47" customFormat="1" ht="20.399999999999999" x14ac:dyDescent="0.2">
      <c r="A78" s="182" t="s">
        <v>362</v>
      </c>
      <c r="B78" s="182" t="s">
        <v>37</v>
      </c>
      <c r="C78" s="183">
        <v>100849</v>
      </c>
      <c r="D78" s="184" t="s">
        <v>225</v>
      </c>
      <c r="E78" s="182" t="s">
        <v>17</v>
      </c>
      <c r="F78" s="187">
        <f>'MEMORIA DE CALCULO'!J523</f>
        <v>3</v>
      </c>
      <c r="G78" s="185">
        <v>45.03</v>
      </c>
      <c r="H78" s="185">
        <f t="shared" si="18"/>
        <v>58.78</v>
      </c>
      <c r="I78" s="185">
        <f t="shared" si="19"/>
        <v>176.34</v>
      </c>
      <c r="J78" s="166"/>
    </row>
    <row r="79" spans="1:10" s="47" customFormat="1" ht="51" x14ac:dyDescent="0.2">
      <c r="A79" s="182" t="s">
        <v>363</v>
      </c>
      <c r="B79" s="182" t="s">
        <v>37</v>
      </c>
      <c r="C79" s="183">
        <v>94703</v>
      </c>
      <c r="D79" s="184" t="s">
        <v>616</v>
      </c>
      <c r="E79" s="182" t="s">
        <v>17</v>
      </c>
      <c r="F79" s="187">
        <f>'MEMORIA DE CALCULO'!J528</f>
        <v>1</v>
      </c>
      <c r="G79" s="185">
        <v>25.18</v>
      </c>
      <c r="H79" s="185">
        <f t="shared" si="18"/>
        <v>32.869999999999997</v>
      </c>
      <c r="I79" s="185">
        <f t="shared" si="19"/>
        <v>32.869999999999997</v>
      </c>
      <c r="J79" s="166"/>
    </row>
    <row r="80" spans="1:10" s="47" customFormat="1" ht="20.399999999999999" x14ac:dyDescent="0.2">
      <c r="A80" s="182" t="s">
        <v>364</v>
      </c>
      <c r="B80" s="182" t="s">
        <v>37</v>
      </c>
      <c r="C80" s="183">
        <v>89353</v>
      </c>
      <c r="D80" s="184" t="s">
        <v>617</v>
      </c>
      <c r="E80" s="182" t="s">
        <v>17</v>
      </c>
      <c r="F80" s="187">
        <f>'MEMORIA DE CALCULO'!J533</f>
        <v>3</v>
      </c>
      <c r="G80" s="185">
        <v>45.3</v>
      </c>
      <c r="H80" s="185">
        <f t="shared" si="18"/>
        <v>59.13</v>
      </c>
      <c r="I80" s="185">
        <f t="shared" si="19"/>
        <v>177.39</v>
      </c>
      <c r="J80" s="166"/>
    </row>
    <row r="81" spans="1:10" s="47" customFormat="1" ht="30.6" x14ac:dyDescent="0.2">
      <c r="A81" s="182" t="s">
        <v>365</v>
      </c>
      <c r="B81" s="182" t="s">
        <v>37</v>
      </c>
      <c r="C81" s="183">
        <v>89362</v>
      </c>
      <c r="D81" s="184" t="s">
        <v>620</v>
      </c>
      <c r="E81" s="182" t="s">
        <v>17</v>
      </c>
      <c r="F81" s="187">
        <f>'MEMORIA DE CALCULO'!J540</f>
        <v>12</v>
      </c>
      <c r="G81" s="185">
        <v>8.32</v>
      </c>
      <c r="H81" s="185">
        <f t="shared" si="18"/>
        <v>10.86</v>
      </c>
      <c r="I81" s="185">
        <f t="shared" si="19"/>
        <v>130.32</v>
      </c>
      <c r="J81" s="166"/>
    </row>
    <row r="82" spans="1:10" s="47" customFormat="1" x14ac:dyDescent="0.2">
      <c r="A82" s="182" t="s">
        <v>366</v>
      </c>
      <c r="B82" s="182" t="s">
        <v>122</v>
      </c>
      <c r="C82" s="183" t="s">
        <v>618</v>
      </c>
      <c r="D82" s="184" t="s">
        <v>619</v>
      </c>
      <c r="E82" s="182" t="s">
        <v>17</v>
      </c>
      <c r="F82" s="187">
        <f>'MEMORIA DE CALCULO'!J546</f>
        <v>6</v>
      </c>
      <c r="G82" s="185">
        <v>7.31</v>
      </c>
      <c r="H82" s="185">
        <f t="shared" si="18"/>
        <v>9.5399999999999991</v>
      </c>
      <c r="I82" s="185">
        <f t="shared" si="19"/>
        <v>57.24</v>
      </c>
      <c r="J82" s="166"/>
    </row>
    <row r="83" spans="1:10" s="47" customFormat="1" x14ac:dyDescent="0.2">
      <c r="A83" s="182" t="s">
        <v>465</v>
      </c>
      <c r="B83" s="182" t="s">
        <v>122</v>
      </c>
      <c r="C83" s="183" t="s">
        <v>621</v>
      </c>
      <c r="D83" s="184" t="s">
        <v>622</v>
      </c>
      <c r="E83" s="182" t="s">
        <v>17</v>
      </c>
      <c r="F83" s="187">
        <f>'MEMORIA DE CALCULO'!J551</f>
        <v>2</v>
      </c>
      <c r="G83" s="185">
        <v>2.93</v>
      </c>
      <c r="H83" s="185">
        <f t="shared" si="18"/>
        <v>3.82</v>
      </c>
      <c r="I83" s="185">
        <f t="shared" si="19"/>
        <v>7.64</v>
      </c>
      <c r="J83" s="166"/>
    </row>
    <row r="84" spans="1:10" s="47" customFormat="1" x14ac:dyDescent="0.2">
      <c r="A84" s="182" t="s">
        <v>529</v>
      </c>
      <c r="B84" s="182" t="s">
        <v>122</v>
      </c>
      <c r="C84" s="183" t="s">
        <v>623</v>
      </c>
      <c r="D84" s="184" t="s">
        <v>624</v>
      </c>
      <c r="E84" s="182" t="s">
        <v>17</v>
      </c>
      <c r="F84" s="187">
        <f>'MEMORIA DE CALCULO'!J556</f>
        <v>2</v>
      </c>
      <c r="G84" s="185">
        <v>6.42</v>
      </c>
      <c r="H84" s="185">
        <f t="shared" si="18"/>
        <v>8.3800000000000008</v>
      </c>
      <c r="I84" s="185">
        <f t="shared" si="19"/>
        <v>16.760000000000002</v>
      </c>
      <c r="J84" s="166"/>
    </row>
    <row r="85" spans="1:10" s="47" customFormat="1" ht="30.6" x14ac:dyDescent="0.2">
      <c r="A85" s="182" t="s">
        <v>537</v>
      </c>
      <c r="B85" s="182" t="s">
        <v>37</v>
      </c>
      <c r="C85" s="248" t="s">
        <v>625</v>
      </c>
      <c r="D85" s="161" t="s">
        <v>461</v>
      </c>
      <c r="E85" s="145" t="s">
        <v>21</v>
      </c>
      <c r="F85" s="159">
        <f>'MEMORIA DE CALCULO'!J562</f>
        <v>29</v>
      </c>
      <c r="G85" s="160">
        <v>18.82</v>
      </c>
      <c r="H85" s="185">
        <f t="shared" ref="H85:H87" si="20">ROUND(G85*(1+$M$4),2)</f>
        <v>24.57</v>
      </c>
      <c r="I85" s="185">
        <f t="shared" si="19"/>
        <v>712.53</v>
      </c>
      <c r="J85" s="166"/>
    </row>
    <row r="86" spans="1:10" s="47" customFormat="1" ht="30.6" x14ac:dyDescent="0.2">
      <c r="A86" s="182" t="s">
        <v>538</v>
      </c>
      <c r="B86" s="182" t="s">
        <v>37</v>
      </c>
      <c r="C86" s="248" t="s">
        <v>626</v>
      </c>
      <c r="D86" s="161" t="s">
        <v>627</v>
      </c>
      <c r="E86" s="145" t="s">
        <v>21</v>
      </c>
      <c r="F86" s="159">
        <f>'MEMORIA DE CALCULO'!J568</f>
        <v>30</v>
      </c>
      <c r="G86" s="160">
        <v>21.63</v>
      </c>
      <c r="H86" s="185">
        <f t="shared" si="20"/>
        <v>28.23</v>
      </c>
      <c r="I86" s="185">
        <f t="shared" si="19"/>
        <v>846.9</v>
      </c>
      <c r="J86" s="166"/>
    </row>
    <row r="87" spans="1:10" s="47" customFormat="1" ht="20.399999999999999" x14ac:dyDescent="0.2">
      <c r="A87" s="182" t="s">
        <v>539</v>
      </c>
      <c r="B87" s="182" t="s">
        <v>37</v>
      </c>
      <c r="C87" s="248" t="s">
        <v>628</v>
      </c>
      <c r="D87" s="161" t="s">
        <v>629</v>
      </c>
      <c r="E87" s="145" t="s">
        <v>17</v>
      </c>
      <c r="F87" s="159">
        <f>'MEMORIA DE CALCULO'!J574</f>
        <v>5</v>
      </c>
      <c r="G87" s="160">
        <v>11.63</v>
      </c>
      <c r="H87" s="185">
        <f t="shared" si="20"/>
        <v>15.18</v>
      </c>
      <c r="I87" s="185">
        <f t="shared" si="19"/>
        <v>75.900000000000006</v>
      </c>
      <c r="J87" s="166"/>
    </row>
    <row r="88" spans="1:10" s="51" customFormat="1" x14ac:dyDescent="0.2">
      <c r="A88" s="175" t="s">
        <v>367</v>
      </c>
      <c r="B88" s="176"/>
      <c r="C88" s="177"/>
      <c r="D88" s="178" t="s">
        <v>669</v>
      </c>
      <c r="E88" s="176"/>
      <c r="F88" s="179"/>
      <c r="G88" s="179"/>
      <c r="H88" s="180"/>
      <c r="I88" s="181">
        <f>SUM(I89:I109)</f>
        <v>24724.279999999995</v>
      </c>
      <c r="J88" s="164">
        <f>I88/I$162</f>
        <v>0.12886839258567925</v>
      </c>
    </row>
    <row r="89" spans="1:10" s="51" customFormat="1" ht="20.399999999999999" x14ac:dyDescent="0.2">
      <c r="A89" s="182" t="s">
        <v>368</v>
      </c>
      <c r="B89" s="182" t="s">
        <v>122</v>
      </c>
      <c r="C89" s="183" t="s">
        <v>686</v>
      </c>
      <c r="D89" s="184" t="s">
        <v>687</v>
      </c>
      <c r="E89" s="145" t="s">
        <v>17</v>
      </c>
      <c r="F89" s="187">
        <f>'MEMORIA DE CALCULO'!J580</f>
        <v>2</v>
      </c>
      <c r="G89" s="185">
        <v>425.25</v>
      </c>
      <c r="H89" s="185">
        <f>ROUND(G89*(1+$M$4),2)</f>
        <v>555.08000000000004</v>
      </c>
      <c r="I89" s="185">
        <f>TRUNC(F89*H89,2)</f>
        <v>1110.1600000000001</v>
      </c>
      <c r="J89" s="164"/>
    </row>
    <row r="90" spans="1:10" s="51" customFormat="1" ht="20.399999999999999" x14ac:dyDescent="0.2">
      <c r="A90" s="182" t="s">
        <v>369</v>
      </c>
      <c r="B90" s="182" t="s">
        <v>37</v>
      </c>
      <c r="C90" s="183">
        <v>86883</v>
      </c>
      <c r="D90" s="184" t="s">
        <v>688</v>
      </c>
      <c r="E90" s="145" t="s">
        <v>17</v>
      </c>
      <c r="F90" s="187">
        <f>'MEMORIA DE CALCULO'!J585</f>
        <v>3</v>
      </c>
      <c r="G90" s="185">
        <v>10.039999999999999</v>
      </c>
      <c r="H90" s="185">
        <f t="shared" ref="H90:H100" si="21">ROUND(G90*(1+$M$4),2)</f>
        <v>13.11</v>
      </c>
      <c r="I90" s="185">
        <f t="shared" ref="I90:I109" si="22">TRUNC(F90*H90,2)</f>
        <v>39.33</v>
      </c>
      <c r="J90" s="164"/>
    </row>
    <row r="91" spans="1:10" s="51" customFormat="1" ht="30.6" x14ac:dyDescent="0.2">
      <c r="A91" s="182" t="s">
        <v>535</v>
      </c>
      <c r="B91" s="182" t="s">
        <v>37</v>
      </c>
      <c r="C91" s="183">
        <v>86879</v>
      </c>
      <c r="D91" s="184" t="s">
        <v>689</v>
      </c>
      <c r="E91" s="145" t="s">
        <v>17</v>
      </c>
      <c r="F91" s="187">
        <f>'MEMORIA DE CALCULO'!J590</f>
        <v>3</v>
      </c>
      <c r="G91" s="185">
        <v>7.98</v>
      </c>
      <c r="H91" s="185">
        <f t="shared" si="21"/>
        <v>10.42</v>
      </c>
      <c r="I91" s="185">
        <f t="shared" si="22"/>
        <v>31.26</v>
      </c>
      <c r="J91" s="164"/>
    </row>
    <row r="92" spans="1:10" s="51" customFormat="1" ht="40.799999999999997" x14ac:dyDescent="0.2">
      <c r="A92" s="182" t="s">
        <v>370</v>
      </c>
      <c r="B92" s="182" t="s">
        <v>37</v>
      </c>
      <c r="C92" s="183">
        <v>89728</v>
      </c>
      <c r="D92" s="184" t="s">
        <v>690</v>
      </c>
      <c r="E92" s="145" t="s">
        <v>17</v>
      </c>
      <c r="F92" s="187">
        <f>'MEMORIA DE CALCULO'!J595</f>
        <v>3</v>
      </c>
      <c r="G92" s="185">
        <v>14.76</v>
      </c>
      <c r="H92" s="185">
        <f t="shared" si="21"/>
        <v>19.27</v>
      </c>
      <c r="I92" s="185">
        <f t="shared" si="22"/>
        <v>57.81</v>
      </c>
      <c r="J92" s="164"/>
    </row>
    <row r="93" spans="1:10" s="51" customFormat="1" ht="30.6" x14ac:dyDescent="0.2">
      <c r="A93" s="182" t="s">
        <v>371</v>
      </c>
      <c r="B93" s="182" t="s">
        <v>37</v>
      </c>
      <c r="C93" s="183">
        <v>89746</v>
      </c>
      <c r="D93" s="184" t="s">
        <v>691</v>
      </c>
      <c r="E93" s="145" t="s">
        <v>17</v>
      </c>
      <c r="F93" s="187">
        <f>'MEMORIA DE CALCULO'!J600</f>
        <v>3</v>
      </c>
      <c r="G93" s="185">
        <v>32.03</v>
      </c>
      <c r="H93" s="185">
        <f t="shared" si="21"/>
        <v>41.81</v>
      </c>
      <c r="I93" s="185">
        <f t="shared" si="22"/>
        <v>125.43</v>
      </c>
      <c r="J93" s="164"/>
    </row>
    <row r="94" spans="1:10" s="51" customFormat="1" ht="30.6" x14ac:dyDescent="0.2">
      <c r="A94" s="182" t="s">
        <v>372</v>
      </c>
      <c r="B94" s="182" t="s">
        <v>37</v>
      </c>
      <c r="C94" s="183">
        <v>89809</v>
      </c>
      <c r="D94" s="184" t="s">
        <v>692</v>
      </c>
      <c r="E94" s="145" t="s">
        <v>17</v>
      </c>
      <c r="F94" s="187">
        <f>'MEMORIA DE CALCULO'!J605</f>
        <v>10</v>
      </c>
      <c r="G94" s="185">
        <v>31.71</v>
      </c>
      <c r="H94" s="185">
        <f t="shared" si="21"/>
        <v>41.39</v>
      </c>
      <c r="I94" s="185">
        <f t="shared" si="22"/>
        <v>413.9</v>
      </c>
      <c r="J94" s="164"/>
    </row>
    <row r="95" spans="1:10" s="51" customFormat="1" x14ac:dyDescent="0.2">
      <c r="A95" s="182" t="s">
        <v>373</v>
      </c>
      <c r="B95" s="182" t="s">
        <v>87</v>
      </c>
      <c r="C95" s="183" t="s">
        <v>722</v>
      </c>
      <c r="D95" s="184" t="s">
        <v>693</v>
      </c>
      <c r="E95" s="145" t="s">
        <v>17</v>
      </c>
      <c r="F95" s="187">
        <f>'MEMORIA DE CALCULO'!J610</f>
        <v>1</v>
      </c>
      <c r="G95" s="185">
        <f>'COMPOSICOES COM DESON'!G133</f>
        <v>48.82</v>
      </c>
      <c r="H95" s="185">
        <f t="shared" si="21"/>
        <v>63.72</v>
      </c>
      <c r="I95" s="185">
        <f t="shared" si="22"/>
        <v>63.72</v>
      </c>
      <c r="J95" s="164"/>
    </row>
    <row r="96" spans="1:10" s="51" customFormat="1" ht="30.6" x14ac:dyDescent="0.2">
      <c r="A96" s="182" t="s">
        <v>374</v>
      </c>
      <c r="B96" s="182" t="s">
        <v>37</v>
      </c>
      <c r="C96" s="183">
        <v>89714</v>
      </c>
      <c r="D96" s="184" t="s">
        <v>704</v>
      </c>
      <c r="E96" s="182" t="s">
        <v>21</v>
      </c>
      <c r="F96" s="187">
        <f>'MEMORIA DE CALCULO'!J615</f>
        <v>24.29</v>
      </c>
      <c r="G96" s="185">
        <v>42.11</v>
      </c>
      <c r="H96" s="185">
        <f t="shared" si="21"/>
        <v>54.97</v>
      </c>
      <c r="I96" s="185">
        <f t="shared" si="22"/>
        <v>1335.22</v>
      </c>
      <c r="J96" s="164"/>
    </row>
    <row r="97" spans="1:10" s="51" customFormat="1" ht="30.6" x14ac:dyDescent="0.2">
      <c r="A97" s="182" t="s">
        <v>709</v>
      </c>
      <c r="B97" s="182" t="s">
        <v>37</v>
      </c>
      <c r="C97" s="183">
        <v>89711</v>
      </c>
      <c r="D97" s="184" t="s">
        <v>705</v>
      </c>
      <c r="E97" s="182" t="s">
        <v>21</v>
      </c>
      <c r="F97" s="187">
        <f>'MEMORIA DE CALCULO'!J620</f>
        <v>5.22</v>
      </c>
      <c r="G97" s="185">
        <v>22.35</v>
      </c>
      <c r="H97" s="185">
        <f t="shared" si="21"/>
        <v>29.17</v>
      </c>
      <c r="I97" s="185">
        <f t="shared" si="22"/>
        <v>152.26</v>
      </c>
      <c r="J97" s="164"/>
    </row>
    <row r="98" spans="1:10" s="51" customFormat="1" ht="30.6" x14ac:dyDescent="0.2">
      <c r="A98" s="182" t="s">
        <v>710</v>
      </c>
      <c r="B98" s="182" t="s">
        <v>37</v>
      </c>
      <c r="C98" s="183">
        <v>89712</v>
      </c>
      <c r="D98" s="184" t="s">
        <v>706</v>
      </c>
      <c r="E98" s="182" t="s">
        <v>21</v>
      </c>
      <c r="F98" s="187">
        <f>'MEMORIA DE CALCULO'!J626</f>
        <v>1.98</v>
      </c>
      <c r="G98" s="185">
        <v>30.29</v>
      </c>
      <c r="H98" s="185">
        <f t="shared" si="21"/>
        <v>39.54</v>
      </c>
      <c r="I98" s="185">
        <f t="shared" si="22"/>
        <v>78.28</v>
      </c>
      <c r="J98" s="164"/>
    </row>
    <row r="99" spans="1:10" s="51" customFormat="1" ht="30.6" x14ac:dyDescent="0.2">
      <c r="A99" s="182" t="s">
        <v>711</v>
      </c>
      <c r="B99" s="182" t="s">
        <v>37</v>
      </c>
      <c r="C99" s="183">
        <v>89796</v>
      </c>
      <c r="D99" s="184" t="s">
        <v>707</v>
      </c>
      <c r="E99" s="182" t="s">
        <v>17</v>
      </c>
      <c r="F99" s="187">
        <f>'MEMORIA DE CALCULO'!J631</f>
        <v>1</v>
      </c>
      <c r="G99" s="185">
        <v>50.31</v>
      </c>
      <c r="H99" s="185">
        <f t="shared" si="21"/>
        <v>65.67</v>
      </c>
      <c r="I99" s="185">
        <f t="shared" si="22"/>
        <v>65.67</v>
      </c>
      <c r="J99" s="164"/>
    </row>
    <row r="100" spans="1:10" s="51" customFormat="1" ht="30.6" x14ac:dyDescent="0.2">
      <c r="A100" s="182" t="s">
        <v>712</v>
      </c>
      <c r="B100" s="182" t="s">
        <v>37</v>
      </c>
      <c r="C100" s="183">
        <v>104344</v>
      </c>
      <c r="D100" s="184" t="s">
        <v>708</v>
      </c>
      <c r="E100" s="182" t="s">
        <v>17</v>
      </c>
      <c r="F100" s="187">
        <f>'MEMORIA DE CALCULO'!J636</f>
        <v>3</v>
      </c>
      <c r="G100" s="185">
        <v>48.45</v>
      </c>
      <c r="H100" s="185">
        <f t="shared" si="21"/>
        <v>63.24</v>
      </c>
      <c r="I100" s="185">
        <f t="shared" si="22"/>
        <v>189.72</v>
      </c>
      <c r="J100" s="164"/>
    </row>
    <row r="101" spans="1:10" s="47" customFormat="1" ht="30.6" x14ac:dyDescent="0.2">
      <c r="A101" s="182" t="s">
        <v>713</v>
      </c>
      <c r="B101" s="182" t="s">
        <v>37</v>
      </c>
      <c r="C101" s="183">
        <v>98067</v>
      </c>
      <c r="D101" s="184" t="s">
        <v>464</v>
      </c>
      <c r="E101" s="182" t="s">
        <v>17</v>
      </c>
      <c r="F101" s="187">
        <f>'MEMORIA DE CALCULO'!J641</f>
        <v>1</v>
      </c>
      <c r="G101" s="185">
        <v>5481.46</v>
      </c>
      <c r="H101" s="185">
        <f>ROUND(G101*(1+$M$4),2)</f>
        <v>7154.95</v>
      </c>
      <c r="I101" s="185">
        <f t="shared" si="22"/>
        <v>7154.95</v>
      </c>
      <c r="J101" s="166"/>
    </row>
    <row r="102" spans="1:10" s="47" customFormat="1" ht="20.399999999999999" x14ac:dyDescent="0.2">
      <c r="A102" s="182" t="s">
        <v>714</v>
      </c>
      <c r="B102" s="182" t="s">
        <v>87</v>
      </c>
      <c r="C102" s="183" t="str">
        <f>'COMPOSICOES COM DESON'!A102</f>
        <v>COMP-008</v>
      </c>
      <c r="D102" s="184" t="str">
        <f>'COMPOSICOES COM DESON'!D103</f>
        <v>SUMIDOURO CIRCULAR, EM ALVENARIA COM TIJOLOS CERÂMICOS MACIÇOS, DIAMETRO: 1,0 M, H=2,25 M.</v>
      </c>
      <c r="E102" s="182" t="s">
        <v>17</v>
      </c>
      <c r="F102" s="187">
        <f>'MEMORIA DE CALCULO'!J646</f>
        <v>2</v>
      </c>
      <c r="G102" s="185">
        <f>'COMPOSICOES COM DESON'!G120</f>
        <v>5134.25</v>
      </c>
      <c r="H102" s="185">
        <f t="shared" ref="H102" si="23">ROUND(G102*(1+$M$4),2)</f>
        <v>6701.74</v>
      </c>
      <c r="I102" s="185">
        <f t="shared" si="22"/>
        <v>13403.48</v>
      </c>
      <c r="J102" s="166"/>
    </row>
    <row r="103" spans="1:10" s="47" customFormat="1" ht="30.6" x14ac:dyDescent="0.2">
      <c r="A103" s="182" t="s">
        <v>715</v>
      </c>
      <c r="B103" s="182" t="s">
        <v>37</v>
      </c>
      <c r="C103" s="248" t="s">
        <v>530</v>
      </c>
      <c r="D103" s="161" t="s">
        <v>531</v>
      </c>
      <c r="E103" s="145" t="s">
        <v>17</v>
      </c>
      <c r="F103" s="159">
        <f>'MEMORIA DE CALCULO'!J652</f>
        <v>4</v>
      </c>
      <c r="G103" s="160">
        <v>47.57</v>
      </c>
      <c r="H103" s="185">
        <f t="shared" ref="H103:H109" si="24">ROUND(G103*(1+$M$4),2)</f>
        <v>62.09</v>
      </c>
      <c r="I103" s="185">
        <f t="shared" si="22"/>
        <v>248.36</v>
      </c>
      <c r="J103" s="166"/>
    </row>
    <row r="104" spans="1:10" s="47" customFormat="1" x14ac:dyDescent="0.2">
      <c r="A104" s="182" t="s">
        <v>716</v>
      </c>
      <c r="B104" s="182" t="s">
        <v>122</v>
      </c>
      <c r="C104" s="248" t="s">
        <v>720</v>
      </c>
      <c r="D104" s="161" t="s">
        <v>721</v>
      </c>
      <c r="E104" s="145" t="s">
        <v>17</v>
      </c>
      <c r="F104" s="159">
        <f>'MEMORIA DE CALCULO'!J657</f>
        <v>3</v>
      </c>
      <c r="G104" s="160">
        <v>12.82</v>
      </c>
      <c r="H104" s="185">
        <f t="shared" si="24"/>
        <v>16.73</v>
      </c>
      <c r="I104" s="185">
        <f t="shared" si="22"/>
        <v>50.19</v>
      </c>
      <c r="J104" s="166"/>
    </row>
    <row r="105" spans="1:10" s="47" customFormat="1" ht="30.6" x14ac:dyDescent="0.2">
      <c r="A105" s="182" t="s">
        <v>717</v>
      </c>
      <c r="B105" s="182" t="s">
        <v>37</v>
      </c>
      <c r="C105" s="248" t="s">
        <v>723</v>
      </c>
      <c r="D105" s="161" t="s">
        <v>724</v>
      </c>
      <c r="E105" s="145" t="s">
        <v>17</v>
      </c>
      <c r="F105" s="159">
        <f>'MEMORIA DE CALCULO'!J662</f>
        <v>1</v>
      </c>
      <c r="G105" s="160">
        <v>16.670000000000002</v>
      </c>
      <c r="H105" s="185">
        <f t="shared" si="24"/>
        <v>21.76</v>
      </c>
      <c r="I105" s="185">
        <f t="shared" si="22"/>
        <v>21.76</v>
      </c>
      <c r="J105" s="166"/>
    </row>
    <row r="106" spans="1:10" s="47" customFormat="1" ht="30.6" x14ac:dyDescent="0.2">
      <c r="A106" s="182" t="s">
        <v>725</v>
      </c>
      <c r="B106" s="182" t="s">
        <v>37</v>
      </c>
      <c r="C106" s="248" t="s">
        <v>729</v>
      </c>
      <c r="D106" s="161" t="s">
        <v>730</v>
      </c>
      <c r="E106" s="145" t="s">
        <v>17</v>
      </c>
      <c r="F106" s="159">
        <f>'MEMORIA DE CALCULO'!J667</f>
        <v>1</v>
      </c>
      <c r="G106" s="160">
        <v>11.4</v>
      </c>
      <c r="H106" s="185">
        <f t="shared" si="24"/>
        <v>14.88</v>
      </c>
      <c r="I106" s="185">
        <f t="shared" si="22"/>
        <v>14.88</v>
      </c>
      <c r="J106" s="166"/>
    </row>
    <row r="107" spans="1:10" s="47" customFormat="1" ht="20.399999999999999" x14ac:dyDescent="0.2">
      <c r="A107" s="182" t="s">
        <v>726</v>
      </c>
      <c r="B107" s="182" t="s">
        <v>122</v>
      </c>
      <c r="C107" s="248" t="s">
        <v>731</v>
      </c>
      <c r="D107" s="161" t="s">
        <v>732</v>
      </c>
      <c r="E107" s="145" t="s">
        <v>17</v>
      </c>
      <c r="F107" s="159">
        <f>'MEMORIA DE CALCULO'!J672</f>
        <v>1</v>
      </c>
      <c r="G107" s="160">
        <v>39.25</v>
      </c>
      <c r="H107" s="185">
        <f t="shared" si="24"/>
        <v>51.23</v>
      </c>
      <c r="I107" s="185">
        <f t="shared" si="22"/>
        <v>51.23</v>
      </c>
      <c r="J107" s="166"/>
    </row>
    <row r="108" spans="1:10" s="47" customFormat="1" ht="30.6" x14ac:dyDescent="0.2">
      <c r="A108" s="182" t="s">
        <v>727</v>
      </c>
      <c r="B108" s="182" t="s">
        <v>37</v>
      </c>
      <c r="C108" s="248">
        <v>89774</v>
      </c>
      <c r="D108" s="161" t="s">
        <v>733</v>
      </c>
      <c r="E108" s="145" t="s">
        <v>17</v>
      </c>
      <c r="F108" s="159">
        <f>'MEMORIA DE CALCULO'!J677</f>
        <v>1</v>
      </c>
      <c r="G108" s="160">
        <v>18.149999999999999</v>
      </c>
      <c r="H108" s="185">
        <f t="shared" si="24"/>
        <v>23.69</v>
      </c>
      <c r="I108" s="185">
        <f t="shared" si="22"/>
        <v>23.69</v>
      </c>
      <c r="J108" s="166"/>
    </row>
    <row r="109" spans="1:10" s="47" customFormat="1" ht="30.6" x14ac:dyDescent="0.2">
      <c r="A109" s="182" t="s">
        <v>728</v>
      </c>
      <c r="B109" s="182" t="s">
        <v>37</v>
      </c>
      <c r="C109" s="248" t="s">
        <v>734</v>
      </c>
      <c r="D109" s="161" t="s">
        <v>735</v>
      </c>
      <c r="E109" s="145" t="s">
        <v>21</v>
      </c>
      <c r="F109" s="159">
        <f>'MEMORIA DE CALCULO'!J682</f>
        <v>1.86</v>
      </c>
      <c r="G109" s="160">
        <v>38.299999999999997</v>
      </c>
      <c r="H109" s="185">
        <f t="shared" si="24"/>
        <v>49.99</v>
      </c>
      <c r="I109" s="185">
        <f t="shared" si="22"/>
        <v>92.98</v>
      </c>
      <c r="J109" s="166"/>
    </row>
    <row r="110" spans="1:10" s="51" customFormat="1" x14ac:dyDescent="0.2">
      <c r="A110" s="175" t="s">
        <v>375</v>
      </c>
      <c r="B110" s="176"/>
      <c r="C110" s="177"/>
      <c r="D110" s="178" t="s">
        <v>218</v>
      </c>
      <c r="E110" s="176"/>
      <c r="F110" s="179"/>
      <c r="G110" s="179"/>
      <c r="H110" s="180"/>
      <c r="I110" s="181">
        <f>SUM(I111:I118)</f>
        <v>3914.34</v>
      </c>
      <c r="J110" s="164">
        <f>I110/I$162</f>
        <v>2.0402402166365526E-2</v>
      </c>
    </row>
    <row r="111" spans="1:10" s="47" customFormat="1" ht="20.399999999999999" x14ac:dyDescent="0.2">
      <c r="A111" s="182" t="s">
        <v>376</v>
      </c>
      <c r="B111" s="182" t="s">
        <v>37</v>
      </c>
      <c r="C111" s="183">
        <v>95469</v>
      </c>
      <c r="D111" s="184" t="s">
        <v>224</v>
      </c>
      <c r="E111" s="182" t="s">
        <v>17</v>
      </c>
      <c r="F111" s="187">
        <f>'MEMORIA DE CALCULO'!J691</f>
        <v>3</v>
      </c>
      <c r="G111" s="185">
        <v>280.36</v>
      </c>
      <c r="H111" s="185">
        <f t="shared" ref="H111:H118" si="25">ROUND(G111*(1+$M$4),2)</f>
        <v>365.95</v>
      </c>
      <c r="I111" s="185">
        <f>TRUNC(F111*H111,2)</f>
        <v>1097.8499999999999</v>
      </c>
      <c r="J111" s="166"/>
    </row>
    <row r="112" spans="1:10" s="47" customFormat="1" ht="20.399999999999999" x14ac:dyDescent="0.2">
      <c r="A112" s="182" t="s">
        <v>377</v>
      </c>
      <c r="B112" s="182" t="s">
        <v>37</v>
      </c>
      <c r="C112" s="183">
        <v>100849</v>
      </c>
      <c r="D112" s="184" t="s">
        <v>225</v>
      </c>
      <c r="E112" s="182" t="s">
        <v>17</v>
      </c>
      <c r="F112" s="187">
        <f>'MEMORIA DE CALCULO'!J698</f>
        <v>3</v>
      </c>
      <c r="G112" s="185">
        <v>45.03</v>
      </c>
      <c r="H112" s="185">
        <f t="shared" si="25"/>
        <v>58.78</v>
      </c>
      <c r="I112" s="185">
        <f t="shared" ref="I112:I118" si="26">TRUNC(F112*H112,2)</f>
        <v>176.34</v>
      </c>
      <c r="J112" s="166"/>
    </row>
    <row r="113" spans="1:10" s="47" customFormat="1" ht="20.399999999999999" x14ac:dyDescent="0.2">
      <c r="A113" s="182" t="s">
        <v>378</v>
      </c>
      <c r="B113" s="182" t="s">
        <v>37</v>
      </c>
      <c r="C113" s="183">
        <v>100856</v>
      </c>
      <c r="D113" s="184" t="s">
        <v>226</v>
      </c>
      <c r="E113" s="182" t="s">
        <v>17</v>
      </c>
      <c r="F113" s="187">
        <f>'MEMORIA DE CALCULO'!J705</f>
        <v>3</v>
      </c>
      <c r="G113" s="185">
        <v>29.98</v>
      </c>
      <c r="H113" s="185">
        <f t="shared" si="25"/>
        <v>39.130000000000003</v>
      </c>
      <c r="I113" s="185">
        <f t="shared" si="26"/>
        <v>117.39</v>
      </c>
      <c r="J113" s="166"/>
    </row>
    <row r="114" spans="1:10" s="47" customFormat="1" ht="20.399999999999999" x14ac:dyDescent="0.2">
      <c r="A114" s="182" t="s">
        <v>379</v>
      </c>
      <c r="B114" s="182" t="s">
        <v>122</v>
      </c>
      <c r="C114" s="183" t="s">
        <v>227</v>
      </c>
      <c r="D114" s="184" t="s">
        <v>228</v>
      </c>
      <c r="E114" s="182" t="s">
        <v>17</v>
      </c>
      <c r="F114" s="187">
        <f>'MEMORIA DE CALCULO'!J712</f>
        <v>3</v>
      </c>
      <c r="G114" s="185">
        <v>453.17</v>
      </c>
      <c r="H114" s="185">
        <f t="shared" si="25"/>
        <v>591.52</v>
      </c>
      <c r="I114" s="185">
        <f t="shared" si="26"/>
        <v>1774.56</v>
      </c>
      <c r="J114" s="166"/>
    </row>
    <row r="115" spans="1:10" s="47" customFormat="1" ht="30.6" x14ac:dyDescent="0.2">
      <c r="A115" s="182" t="s">
        <v>380</v>
      </c>
      <c r="B115" s="182" t="s">
        <v>37</v>
      </c>
      <c r="C115" s="183">
        <v>89709</v>
      </c>
      <c r="D115" s="184" t="s">
        <v>229</v>
      </c>
      <c r="E115" s="182" t="s">
        <v>17</v>
      </c>
      <c r="F115" s="187">
        <f>'MEMORIA DE CALCULO'!J719</f>
        <v>3</v>
      </c>
      <c r="G115" s="185">
        <v>20.65</v>
      </c>
      <c r="H115" s="185">
        <f t="shared" si="25"/>
        <v>26.95</v>
      </c>
      <c r="I115" s="185">
        <f t="shared" si="26"/>
        <v>80.849999999999994</v>
      </c>
      <c r="J115" s="166"/>
    </row>
    <row r="116" spans="1:10" s="47" customFormat="1" ht="30.6" x14ac:dyDescent="0.2">
      <c r="A116" s="182" t="s">
        <v>381</v>
      </c>
      <c r="B116" s="182" t="s">
        <v>37</v>
      </c>
      <c r="C116" s="183">
        <v>95547</v>
      </c>
      <c r="D116" s="184" t="s">
        <v>231</v>
      </c>
      <c r="E116" s="182" t="s">
        <v>17</v>
      </c>
      <c r="F116" s="187">
        <f>'MEMORIA DE CALCULO'!J726</f>
        <v>3</v>
      </c>
      <c r="G116" s="185">
        <v>78.709999999999994</v>
      </c>
      <c r="H116" s="185">
        <f t="shared" si="25"/>
        <v>102.74</v>
      </c>
      <c r="I116" s="185">
        <f t="shared" si="26"/>
        <v>308.22000000000003</v>
      </c>
      <c r="J116" s="166"/>
    </row>
    <row r="117" spans="1:10" s="47" customFormat="1" x14ac:dyDescent="0.2">
      <c r="A117" s="182" t="s">
        <v>382</v>
      </c>
      <c r="B117" s="182" t="s">
        <v>122</v>
      </c>
      <c r="C117" s="183" t="s">
        <v>232</v>
      </c>
      <c r="D117" s="184" t="s">
        <v>233</v>
      </c>
      <c r="E117" s="182" t="s">
        <v>17</v>
      </c>
      <c r="F117" s="187">
        <f>'MEMORIA DE CALCULO'!J733</f>
        <v>3</v>
      </c>
      <c r="G117" s="185">
        <v>52.74</v>
      </c>
      <c r="H117" s="185">
        <f t="shared" si="25"/>
        <v>68.84</v>
      </c>
      <c r="I117" s="185">
        <f t="shared" si="26"/>
        <v>206.52</v>
      </c>
      <c r="J117" s="166"/>
    </row>
    <row r="118" spans="1:10" s="47" customFormat="1" ht="20.399999999999999" x14ac:dyDescent="0.2">
      <c r="A118" s="182" t="s">
        <v>421</v>
      </c>
      <c r="B118" s="182" t="s">
        <v>37</v>
      </c>
      <c r="C118" s="183">
        <v>95544</v>
      </c>
      <c r="D118" s="184" t="s">
        <v>230</v>
      </c>
      <c r="E118" s="182" t="s">
        <v>17</v>
      </c>
      <c r="F118" s="187">
        <f>'MEMORIA DE CALCULO'!J740</f>
        <v>3</v>
      </c>
      <c r="G118" s="185">
        <v>38.97</v>
      </c>
      <c r="H118" s="185">
        <f t="shared" si="25"/>
        <v>50.87</v>
      </c>
      <c r="I118" s="185">
        <f t="shared" si="26"/>
        <v>152.61000000000001</v>
      </c>
      <c r="J118" s="166"/>
    </row>
    <row r="119" spans="1:10" s="51" customFormat="1" x14ac:dyDescent="0.2">
      <c r="A119" s="175" t="s">
        <v>383</v>
      </c>
      <c r="B119" s="176"/>
      <c r="C119" s="177"/>
      <c r="D119" s="178" t="s">
        <v>16</v>
      </c>
      <c r="E119" s="176"/>
      <c r="F119" s="179"/>
      <c r="G119" s="179"/>
      <c r="H119" s="180"/>
      <c r="I119" s="181">
        <f>SUM(I120:I153)</f>
        <v>8975.4499999999989</v>
      </c>
      <c r="J119" s="164">
        <f>I119/I$162</f>
        <v>4.6782022135048416E-2</v>
      </c>
    </row>
    <row r="120" spans="1:10" s="51" customFormat="1" x14ac:dyDescent="0.2">
      <c r="A120" s="188" t="s">
        <v>384</v>
      </c>
      <c r="B120" s="182" t="s">
        <v>122</v>
      </c>
      <c r="C120" s="183" t="s">
        <v>561</v>
      </c>
      <c r="D120" s="189" t="s">
        <v>562</v>
      </c>
      <c r="E120" s="182" t="s">
        <v>93</v>
      </c>
      <c r="F120" s="185">
        <f>'MEMORIA DE CALCULO'!J746</f>
        <v>4</v>
      </c>
      <c r="G120" s="185">
        <v>1.61</v>
      </c>
      <c r="H120" s="185">
        <f t="shared" ref="H120:H153" si="27">ROUND(G120*(1+$M$4),2)</f>
        <v>2.1</v>
      </c>
      <c r="I120" s="185">
        <f>TRUNC(F120*H120,2)</f>
        <v>8.4</v>
      </c>
      <c r="J120" s="164"/>
    </row>
    <row r="121" spans="1:10" s="51" customFormat="1" x14ac:dyDescent="0.2">
      <c r="A121" s="188" t="s">
        <v>630</v>
      </c>
      <c r="B121" s="182" t="s">
        <v>122</v>
      </c>
      <c r="C121" s="183" t="s">
        <v>563</v>
      </c>
      <c r="D121" s="189" t="s">
        <v>564</v>
      </c>
      <c r="E121" s="182"/>
      <c r="F121" s="185">
        <f>'MEMORIA DE CALCULO'!J750</f>
        <v>1</v>
      </c>
      <c r="G121" s="185">
        <v>1.27</v>
      </c>
      <c r="H121" s="185">
        <f t="shared" si="27"/>
        <v>1.66</v>
      </c>
      <c r="I121" s="185">
        <f t="shared" ref="I121:I153" si="28">TRUNC(F121*H121,2)</f>
        <v>1.66</v>
      </c>
      <c r="J121" s="164"/>
    </row>
    <row r="122" spans="1:10" s="51" customFormat="1" x14ac:dyDescent="0.2">
      <c r="A122" s="188" t="s">
        <v>631</v>
      </c>
      <c r="B122" s="182" t="s">
        <v>122</v>
      </c>
      <c r="C122" s="183" t="s">
        <v>565</v>
      </c>
      <c r="D122" s="189" t="s">
        <v>566</v>
      </c>
      <c r="E122" s="182"/>
      <c r="F122" s="185">
        <f>'MEMORIA DE CALCULO'!J754</f>
        <v>1</v>
      </c>
      <c r="G122" s="185">
        <v>38.869999999999997</v>
      </c>
      <c r="H122" s="185">
        <f t="shared" si="27"/>
        <v>50.74</v>
      </c>
      <c r="I122" s="185">
        <f t="shared" si="28"/>
        <v>50.74</v>
      </c>
      <c r="J122" s="164"/>
    </row>
    <row r="123" spans="1:10" s="51" customFormat="1" x14ac:dyDescent="0.2">
      <c r="A123" s="188" t="s">
        <v>632</v>
      </c>
      <c r="B123" s="182" t="s">
        <v>122</v>
      </c>
      <c r="C123" s="183" t="s">
        <v>567</v>
      </c>
      <c r="D123" s="189" t="s">
        <v>568</v>
      </c>
      <c r="E123" s="182" t="s">
        <v>93</v>
      </c>
      <c r="F123" s="185">
        <f>'MEMORIA DE CALCULO'!J758</f>
        <v>24</v>
      </c>
      <c r="G123" s="185">
        <v>7.38</v>
      </c>
      <c r="H123" s="185">
        <f t="shared" si="27"/>
        <v>9.6300000000000008</v>
      </c>
      <c r="I123" s="185">
        <f t="shared" si="28"/>
        <v>231.12</v>
      </c>
      <c r="J123" s="164"/>
    </row>
    <row r="124" spans="1:10" s="51" customFormat="1" ht="20.399999999999999" x14ac:dyDescent="0.2">
      <c r="A124" s="188" t="s">
        <v>633</v>
      </c>
      <c r="B124" s="182" t="s">
        <v>37</v>
      </c>
      <c r="C124" s="183">
        <v>91937</v>
      </c>
      <c r="D124" s="189" t="s">
        <v>107</v>
      </c>
      <c r="E124" s="182" t="s">
        <v>93</v>
      </c>
      <c r="F124" s="185">
        <f>'MEMORIA DE CALCULO'!J762</f>
        <v>12</v>
      </c>
      <c r="G124" s="185">
        <v>15.75</v>
      </c>
      <c r="H124" s="185">
        <f t="shared" si="27"/>
        <v>20.56</v>
      </c>
      <c r="I124" s="185">
        <f t="shared" si="28"/>
        <v>246.72</v>
      </c>
      <c r="J124" s="164"/>
    </row>
    <row r="125" spans="1:10" s="51" customFormat="1" x14ac:dyDescent="0.2">
      <c r="A125" s="188" t="s">
        <v>634</v>
      </c>
      <c r="B125" s="182" t="s">
        <v>122</v>
      </c>
      <c r="C125" s="183" t="s">
        <v>569</v>
      </c>
      <c r="D125" s="189" t="s">
        <v>570</v>
      </c>
      <c r="E125" s="182"/>
      <c r="F125" s="185">
        <f>'MEMORIA DE CALCULO'!J766</f>
        <v>4</v>
      </c>
      <c r="G125" s="185">
        <v>7.95</v>
      </c>
      <c r="H125" s="185">
        <f t="shared" si="27"/>
        <v>10.38</v>
      </c>
      <c r="I125" s="185">
        <f t="shared" si="28"/>
        <v>41.52</v>
      </c>
      <c r="J125" s="164"/>
    </row>
    <row r="126" spans="1:10" s="51" customFormat="1" x14ac:dyDescent="0.2">
      <c r="A126" s="188" t="s">
        <v>635</v>
      </c>
      <c r="B126" s="182" t="s">
        <v>122</v>
      </c>
      <c r="C126" s="183" t="s">
        <v>571</v>
      </c>
      <c r="D126" s="189" t="s">
        <v>572</v>
      </c>
      <c r="E126" s="182"/>
      <c r="F126" s="185">
        <f>'MEMORIA DE CALCULO'!J770</f>
        <v>2</v>
      </c>
      <c r="G126" s="185">
        <v>4.63</v>
      </c>
      <c r="H126" s="185">
        <f t="shared" si="27"/>
        <v>6.04</v>
      </c>
      <c r="I126" s="185">
        <f t="shared" si="28"/>
        <v>12.08</v>
      </c>
      <c r="J126" s="164"/>
    </row>
    <row r="127" spans="1:10" s="51" customFormat="1" x14ac:dyDescent="0.2">
      <c r="A127" s="188" t="s">
        <v>636</v>
      </c>
      <c r="B127" s="182" t="s">
        <v>122</v>
      </c>
      <c r="C127" s="183" t="s">
        <v>573</v>
      </c>
      <c r="D127" s="189" t="s">
        <v>574</v>
      </c>
      <c r="E127" s="182"/>
      <c r="F127" s="185">
        <f>'MEMORIA DE CALCULO'!J774</f>
        <v>7</v>
      </c>
      <c r="G127" s="185">
        <v>3.1</v>
      </c>
      <c r="H127" s="185">
        <f t="shared" si="27"/>
        <v>4.05</v>
      </c>
      <c r="I127" s="185">
        <f t="shared" si="28"/>
        <v>28.35</v>
      </c>
      <c r="J127" s="164"/>
    </row>
    <row r="128" spans="1:10" s="51" customFormat="1" x14ac:dyDescent="0.2">
      <c r="A128" s="188" t="s">
        <v>637</v>
      </c>
      <c r="B128" s="182" t="s">
        <v>122</v>
      </c>
      <c r="C128" s="183" t="s">
        <v>575</v>
      </c>
      <c r="D128" s="189" t="s">
        <v>576</v>
      </c>
      <c r="E128" s="182"/>
      <c r="F128" s="185">
        <f>'MEMORIA DE CALCULO'!J778</f>
        <v>2</v>
      </c>
      <c r="G128" s="185">
        <v>1.34</v>
      </c>
      <c r="H128" s="185">
        <f t="shared" si="27"/>
        <v>1.75</v>
      </c>
      <c r="I128" s="185">
        <f t="shared" si="28"/>
        <v>3.5</v>
      </c>
      <c r="J128" s="164"/>
    </row>
    <row r="129" spans="1:10" s="51" customFormat="1" x14ac:dyDescent="0.2">
      <c r="A129" s="188" t="s">
        <v>638</v>
      </c>
      <c r="B129" s="182" t="s">
        <v>122</v>
      </c>
      <c r="C129" s="183" t="s">
        <v>577</v>
      </c>
      <c r="D129" s="189" t="s">
        <v>578</v>
      </c>
      <c r="E129" s="182"/>
      <c r="F129" s="185">
        <f>'MEMORIA DE CALCULO'!J782</f>
        <v>3</v>
      </c>
      <c r="G129" s="185">
        <v>2.0099999999999998</v>
      </c>
      <c r="H129" s="185">
        <f t="shared" si="27"/>
        <v>2.62</v>
      </c>
      <c r="I129" s="185">
        <f t="shared" si="28"/>
        <v>7.86</v>
      </c>
      <c r="J129" s="164"/>
    </row>
    <row r="130" spans="1:10" s="51" customFormat="1" x14ac:dyDescent="0.2">
      <c r="A130" s="188" t="s">
        <v>639</v>
      </c>
      <c r="B130" s="182" t="s">
        <v>122</v>
      </c>
      <c r="C130" s="183" t="s">
        <v>579</v>
      </c>
      <c r="D130" s="189" t="s">
        <v>580</v>
      </c>
      <c r="E130" s="182"/>
      <c r="F130" s="185">
        <f>'MEMORIA DE CALCULO'!J786</f>
        <v>10</v>
      </c>
      <c r="G130" s="185">
        <v>33.92</v>
      </c>
      <c r="H130" s="185">
        <f t="shared" si="27"/>
        <v>44.28</v>
      </c>
      <c r="I130" s="185">
        <f t="shared" si="28"/>
        <v>442.8</v>
      </c>
      <c r="J130" s="164"/>
    </row>
    <row r="131" spans="1:10" s="51" customFormat="1" x14ac:dyDescent="0.2">
      <c r="A131" s="188" t="s">
        <v>640</v>
      </c>
      <c r="B131" s="182" t="s">
        <v>122</v>
      </c>
      <c r="C131" s="183" t="s">
        <v>581</v>
      </c>
      <c r="D131" s="189" t="s">
        <v>582</v>
      </c>
      <c r="E131" s="182"/>
      <c r="F131" s="185">
        <f>'MEMORIA DE CALCULO'!J790</f>
        <v>2</v>
      </c>
      <c r="G131" s="185">
        <v>27.12</v>
      </c>
      <c r="H131" s="185">
        <f t="shared" si="27"/>
        <v>35.4</v>
      </c>
      <c r="I131" s="185">
        <f t="shared" si="28"/>
        <v>70.8</v>
      </c>
      <c r="J131" s="164"/>
    </row>
    <row r="132" spans="1:10" s="51" customFormat="1" ht="30.6" x14ac:dyDescent="0.2">
      <c r="A132" s="188" t="s">
        <v>641</v>
      </c>
      <c r="B132" s="182" t="s">
        <v>37</v>
      </c>
      <c r="C132" s="183">
        <v>91927</v>
      </c>
      <c r="D132" s="189" t="s">
        <v>583</v>
      </c>
      <c r="E132" s="182" t="s">
        <v>102</v>
      </c>
      <c r="F132" s="185">
        <f>'MEMORIA DE CALCULO'!J794</f>
        <v>294.8</v>
      </c>
      <c r="G132" s="185">
        <v>4.45</v>
      </c>
      <c r="H132" s="185">
        <f t="shared" si="27"/>
        <v>5.81</v>
      </c>
      <c r="I132" s="185">
        <f t="shared" si="28"/>
        <v>1712.78</v>
      </c>
      <c r="J132" s="164"/>
    </row>
    <row r="133" spans="1:10" s="51" customFormat="1" ht="30.6" x14ac:dyDescent="0.2">
      <c r="A133" s="188" t="s">
        <v>642</v>
      </c>
      <c r="B133" s="182" t="s">
        <v>37</v>
      </c>
      <c r="C133" s="183">
        <v>91929</v>
      </c>
      <c r="D133" s="189" t="s">
        <v>584</v>
      </c>
      <c r="E133" s="182" t="s">
        <v>102</v>
      </c>
      <c r="F133" s="185">
        <f>'MEMORIA DE CALCULO'!J798</f>
        <v>47.5</v>
      </c>
      <c r="G133" s="185">
        <v>6.57</v>
      </c>
      <c r="H133" s="185">
        <f t="shared" si="27"/>
        <v>8.58</v>
      </c>
      <c r="I133" s="185">
        <f t="shared" si="28"/>
        <v>407.55</v>
      </c>
      <c r="J133" s="164"/>
    </row>
    <row r="134" spans="1:10" s="51" customFormat="1" ht="30.6" x14ac:dyDescent="0.2">
      <c r="A134" s="188" t="s">
        <v>643</v>
      </c>
      <c r="B134" s="182" t="s">
        <v>37</v>
      </c>
      <c r="C134" s="183">
        <v>91931</v>
      </c>
      <c r="D134" s="189" t="s">
        <v>585</v>
      </c>
      <c r="E134" s="182" t="s">
        <v>102</v>
      </c>
      <c r="F134" s="185">
        <f>'MEMORIA DE CALCULO'!J802</f>
        <v>10</v>
      </c>
      <c r="G134" s="185">
        <v>9.24</v>
      </c>
      <c r="H134" s="185">
        <f t="shared" si="27"/>
        <v>12.06</v>
      </c>
      <c r="I134" s="185">
        <f t="shared" si="28"/>
        <v>120.6</v>
      </c>
      <c r="J134" s="164"/>
    </row>
    <row r="135" spans="1:10" s="47" customFormat="1" ht="20.399999999999999" x14ac:dyDescent="0.2">
      <c r="A135" s="188" t="s">
        <v>644</v>
      </c>
      <c r="B135" s="182" t="s">
        <v>87</v>
      </c>
      <c r="C135" s="183" t="str">
        <f>'COMPOSICOES COM DESON'!A54</f>
        <v>COMP-004</v>
      </c>
      <c r="D135" s="184" t="str">
        <f>'COMPOSICOES COM DESON'!D55</f>
        <v>LUMINÁRIA TIPO PLAFON QUADRADA, DE EMBUTIR, COM LED DE 12/13 W - FORNECIMENTO E INSTALAÇÃO.</v>
      </c>
      <c r="E135" s="182" t="str">
        <f>'COMPOSICOES COM DESON'!D56</f>
        <v>un</v>
      </c>
      <c r="F135" s="187">
        <f>'MEMORIA DE CALCULO'!J806</f>
        <v>12</v>
      </c>
      <c r="G135" s="185">
        <f>'COMPOSICOES COM DESON'!G56</f>
        <v>44.12</v>
      </c>
      <c r="H135" s="185">
        <f t="shared" si="27"/>
        <v>57.59</v>
      </c>
      <c r="I135" s="185">
        <f t="shared" si="28"/>
        <v>691.08</v>
      </c>
      <c r="J135" s="166"/>
    </row>
    <row r="136" spans="1:10" s="47" customFormat="1" x14ac:dyDescent="0.2">
      <c r="A136" s="188" t="s">
        <v>645</v>
      </c>
      <c r="B136" s="182" t="s">
        <v>122</v>
      </c>
      <c r="C136" s="183" t="s">
        <v>419</v>
      </c>
      <c r="D136" s="184" t="s">
        <v>420</v>
      </c>
      <c r="E136" s="182" t="s">
        <v>17</v>
      </c>
      <c r="F136" s="187">
        <f>'MEMORIA DE CALCULO'!J810</f>
        <v>5</v>
      </c>
      <c r="G136" s="185">
        <v>15.48</v>
      </c>
      <c r="H136" s="185">
        <f t="shared" si="27"/>
        <v>20.21</v>
      </c>
      <c r="I136" s="185">
        <f t="shared" si="28"/>
        <v>101.05</v>
      </c>
      <c r="J136" s="166"/>
    </row>
    <row r="137" spans="1:10" s="47" customFormat="1" x14ac:dyDescent="0.2">
      <c r="A137" s="188" t="s">
        <v>646</v>
      </c>
      <c r="B137" s="182" t="s">
        <v>122</v>
      </c>
      <c r="C137" s="183" t="s">
        <v>239</v>
      </c>
      <c r="D137" s="184" t="s">
        <v>240</v>
      </c>
      <c r="E137" s="182" t="s">
        <v>17</v>
      </c>
      <c r="F137" s="187">
        <f>'MEMORIA DE CALCULO'!J814</f>
        <v>2</v>
      </c>
      <c r="G137" s="185">
        <v>27.31</v>
      </c>
      <c r="H137" s="185">
        <f t="shared" si="27"/>
        <v>35.65</v>
      </c>
      <c r="I137" s="185">
        <f t="shared" si="28"/>
        <v>71.3</v>
      </c>
      <c r="J137" s="166"/>
    </row>
    <row r="138" spans="1:10" s="47" customFormat="1" x14ac:dyDescent="0.2">
      <c r="A138" s="188" t="s">
        <v>647</v>
      </c>
      <c r="B138" s="182" t="s">
        <v>122</v>
      </c>
      <c r="C138" s="183" t="s">
        <v>586</v>
      </c>
      <c r="D138" s="184" t="s">
        <v>587</v>
      </c>
      <c r="E138" s="182" t="s">
        <v>17</v>
      </c>
      <c r="F138" s="187">
        <f>'MEMORIA DE CALCULO'!J818</f>
        <v>1</v>
      </c>
      <c r="G138" s="185">
        <v>38.549999999999997</v>
      </c>
      <c r="H138" s="185">
        <f t="shared" si="27"/>
        <v>50.32</v>
      </c>
      <c r="I138" s="185">
        <f t="shared" si="28"/>
        <v>50.32</v>
      </c>
      <c r="J138" s="166"/>
    </row>
    <row r="139" spans="1:10" s="47" customFormat="1" ht="24" customHeight="1" x14ac:dyDescent="0.2">
      <c r="A139" s="188" t="s">
        <v>648</v>
      </c>
      <c r="B139" s="182" t="s">
        <v>37</v>
      </c>
      <c r="C139" s="183">
        <v>92008</v>
      </c>
      <c r="D139" s="184" t="s">
        <v>241</v>
      </c>
      <c r="E139" s="182" t="s">
        <v>17</v>
      </c>
      <c r="F139" s="187">
        <f>'MEMORIA DE CALCULO'!J822</f>
        <v>5</v>
      </c>
      <c r="G139" s="185">
        <v>50.09</v>
      </c>
      <c r="H139" s="185">
        <f t="shared" si="27"/>
        <v>65.38</v>
      </c>
      <c r="I139" s="185">
        <f t="shared" si="28"/>
        <v>326.89999999999998</v>
      </c>
      <c r="J139" s="166"/>
    </row>
    <row r="140" spans="1:10" s="47" customFormat="1" ht="30.6" x14ac:dyDescent="0.2">
      <c r="A140" s="188" t="s">
        <v>649</v>
      </c>
      <c r="B140" s="182" t="s">
        <v>37</v>
      </c>
      <c r="C140" s="183">
        <v>92004</v>
      </c>
      <c r="D140" s="184" t="s">
        <v>242</v>
      </c>
      <c r="E140" s="182" t="s">
        <v>17</v>
      </c>
      <c r="F140" s="187">
        <f>'MEMORIA DE CALCULO'!J826</f>
        <v>9</v>
      </c>
      <c r="G140" s="185">
        <v>57.61</v>
      </c>
      <c r="H140" s="185">
        <f t="shared" si="27"/>
        <v>75.2</v>
      </c>
      <c r="I140" s="185">
        <f t="shared" si="28"/>
        <v>676.8</v>
      </c>
      <c r="J140" s="166"/>
    </row>
    <row r="141" spans="1:10" s="47" customFormat="1" ht="30.6" x14ac:dyDescent="0.2">
      <c r="A141" s="188" t="s">
        <v>650</v>
      </c>
      <c r="B141" s="182" t="s">
        <v>37</v>
      </c>
      <c r="C141" s="183">
        <v>91993</v>
      </c>
      <c r="D141" s="184" t="s">
        <v>424</v>
      </c>
      <c r="E141" s="182" t="s">
        <v>17</v>
      </c>
      <c r="F141" s="187">
        <f>'MEMORIA DE CALCULO'!J830</f>
        <v>2</v>
      </c>
      <c r="G141" s="185">
        <v>48.18</v>
      </c>
      <c r="H141" s="185">
        <f t="shared" si="27"/>
        <v>62.89</v>
      </c>
      <c r="I141" s="185">
        <f t="shared" si="28"/>
        <v>125.78</v>
      </c>
      <c r="J141" s="166"/>
    </row>
    <row r="142" spans="1:10" s="47" customFormat="1" ht="20.399999999999999" x14ac:dyDescent="0.2">
      <c r="A142" s="188" t="s">
        <v>651</v>
      </c>
      <c r="B142" s="182" t="s">
        <v>87</v>
      </c>
      <c r="C142" s="183" t="str">
        <f>'COMPOSICOES COM DESON'!A92</f>
        <v>COMP-007</v>
      </c>
      <c r="D142" s="184" t="str">
        <f>'COMPOSICOES COM DESON'!D93</f>
        <v>INSTALAÇÃO DE DRENO PARA CONDICIONADOR DE AR COM ALTURA DE 3M</v>
      </c>
      <c r="E142" s="182" t="str">
        <f>'COMPOSICOES COM DESON'!D94</f>
        <v>un</v>
      </c>
      <c r="F142" s="187">
        <f>'MEMORIA DE CALCULO'!J835</f>
        <v>2</v>
      </c>
      <c r="G142" s="185">
        <f>'COMPOSICOES COM DESON'!G100</f>
        <v>98.49</v>
      </c>
      <c r="H142" s="185">
        <f t="shared" si="27"/>
        <v>128.56</v>
      </c>
      <c r="I142" s="185">
        <f t="shared" si="28"/>
        <v>257.12</v>
      </c>
      <c r="J142" s="166"/>
    </row>
    <row r="143" spans="1:10" s="47" customFormat="1" x14ac:dyDescent="0.2">
      <c r="A143" s="188" t="s">
        <v>652</v>
      </c>
      <c r="B143" s="182" t="s">
        <v>122</v>
      </c>
      <c r="C143" s="183" t="s">
        <v>588</v>
      </c>
      <c r="D143" s="184" t="s">
        <v>589</v>
      </c>
      <c r="E143" s="182"/>
      <c r="F143" s="187">
        <f>'MEMORIA DE CALCULO'!J839</f>
        <v>1</v>
      </c>
      <c r="G143" s="185">
        <v>20.76</v>
      </c>
      <c r="H143" s="185">
        <f t="shared" si="27"/>
        <v>27.1</v>
      </c>
      <c r="I143" s="185">
        <f t="shared" si="28"/>
        <v>27.1</v>
      </c>
      <c r="J143" s="166"/>
    </row>
    <row r="144" spans="1:10" s="47" customFormat="1" x14ac:dyDescent="0.2">
      <c r="A144" s="188" t="s">
        <v>653</v>
      </c>
      <c r="B144" s="182" t="s">
        <v>122</v>
      </c>
      <c r="C144" s="183" t="s">
        <v>590</v>
      </c>
      <c r="D144" s="184" t="s">
        <v>591</v>
      </c>
      <c r="E144" s="182"/>
      <c r="F144" s="187">
        <f>'MEMORIA DE CALCULO'!J843</f>
        <v>5</v>
      </c>
      <c r="G144" s="185">
        <v>20.76</v>
      </c>
      <c r="H144" s="185">
        <f t="shared" si="27"/>
        <v>27.1</v>
      </c>
      <c r="I144" s="185">
        <f t="shared" si="28"/>
        <v>135.5</v>
      </c>
      <c r="J144" s="166"/>
    </row>
    <row r="145" spans="1:10" s="47" customFormat="1" x14ac:dyDescent="0.2">
      <c r="A145" s="188" t="s">
        <v>654</v>
      </c>
      <c r="B145" s="182" t="s">
        <v>122</v>
      </c>
      <c r="C145" s="183" t="s">
        <v>592</v>
      </c>
      <c r="D145" s="184" t="s">
        <v>593</v>
      </c>
      <c r="E145" s="182"/>
      <c r="F145" s="187">
        <f>'MEMORIA DE CALCULO'!J847</f>
        <v>2</v>
      </c>
      <c r="G145" s="185">
        <v>20.76</v>
      </c>
      <c r="H145" s="185">
        <f t="shared" si="27"/>
        <v>27.1</v>
      </c>
      <c r="I145" s="185">
        <f t="shared" si="28"/>
        <v>54.2</v>
      </c>
      <c r="J145" s="166"/>
    </row>
    <row r="146" spans="1:10" s="47" customFormat="1" x14ac:dyDescent="0.2">
      <c r="A146" s="188" t="s">
        <v>655</v>
      </c>
      <c r="B146" s="182" t="s">
        <v>122</v>
      </c>
      <c r="C146" s="183" t="s">
        <v>594</v>
      </c>
      <c r="D146" s="184" t="s">
        <v>595</v>
      </c>
      <c r="E146" s="182"/>
      <c r="F146" s="187">
        <f>'MEMORIA DE CALCULO'!J851</f>
        <v>1</v>
      </c>
      <c r="G146" s="185">
        <v>27.19</v>
      </c>
      <c r="H146" s="185">
        <f t="shared" si="27"/>
        <v>35.49</v>
      </c>
      <c r="I146" s="185">
        <f t="shared" si="28"/>
        <v>35.49</v>
      </c>
      <c r="J146" s="166"/>
    </row>
    <row r="147" spans="1:10" s="47" customFormat="1" ht="20.399999999999999" x14ac:dyDescent="0.2">
      <c r="A147" s="188" t="s">
        <v>656</v>
      </c>
      <c r="B147" s="182" t="s">
        <v>122</v>
      </c>
      <c r="C147" s="183" t="s">
        <v>596</v>
      </c>
      <c r="D147" s="184" t="s">
        <v>597</v>
      </c>
      <c r="E147" s="182" t="s">
        <v>93</v>
      </c>
      <c r="F147" s="187">
        <f>'MEMORIA DE CALCULO'!J855</f>
        <v>2</v>
      </c>
      <c r="G147" s="185">
        <v>119.1</v>
      </c>
      <c r="H147" s="185">
        <f t="shared" si="27"/>
        <v>155.46</v>
      </c>
      <c r="I147" s="185">
        <f t="shared" si="28"/>
        <v>310.92</v>
      </c>
      <c r="J147" s="166"/>
    </row>
    <row r="148" spans="1:10" s="47" customFormat="1" x14ac:dyDescent="0.2">
      <c r="A148" s="188" t="s">
        <v>657</v>
      </c>
      <c r="B148" s="182" t="s">
        <v>122</v>
      </c>
      <c r="C148" s="183" t="s">
        <v>611</v>
      </c>
      <c r="D148" s="184" t="s">
        <v>612</v>
      </c>
      <c r="E148" s="182" t="s">
        <v>93</v>
      </c>
      <c r="F148" s="187">
        <f>'MEMORIA DE CALCULO'!J859</f>
        <v>1</v>
      </c>
      <c r="G148" s="185">
        <v>137.47</v>
      </c>
      <c r="H148" s="185">
        <f t="shared" si="27"/>
        <v>179.44</v>
      </c>
      <c r="I148" s="185">
        <f t="shared" si="28"/>
        <v>179.44</v>
      </c>
      <c r="J148" s="166"/>
    </row>
    <row r="149" spans="1:10" s="47" customFormat="1" x14ac:dyDescent="0.2">
      <c r="A149" s="188" t="s">
        <v>658</v>
      </c>
      <c r="B149" s="182" t="s">
        <v>122</v>
      </c>
      <c r="C149" s="183" t="s">
        <v>598</v>
      </c>
      <c r="D149" s="184" t="s">
        <v>599</v>
      </c>
      <c r="E149" s="182" t="s">
        <v>93</v>
      </c>
      <c r="F149" s="187">
        <f>'MEMORIA DE CALCULO'!J865</f>
        <v>84</v>
      </c>
      <c r="G149" s="185">
        <v>6.11</v>
      </c>
      <c r="H149" s="185">
        <f t="shared" si="27"/>
        <v>7.98</v>
      </c>
      <c r="I149" s="185">
        <f t="shared" si="28"/>
        <v>670.32</v>
      </c>
      <c r="J149" s="166"/>
    </row>
    <row r="150" spans="1:10" s="47" customFormat="1" x14ac:dyDescent="0.2">
      <c r="A150" s="188" t="s">
        <v>659</v>
      </c>
      <c r="B150" s="182" t="s">
        <v>122</v>
      </c>
      <c r="C150" s="183" t="s">
        <v>600</v>
      </c>
      <c r="D150" s="184" t="s">
        <v>601</v>
      </c>
      <c r="E150" s="182" t="s">
        <v>102</v>
      </c>
      <c r="F150" s="187">
        <f>'MEMORIA DE CALCULO'!J869</f>
        <v>27.7</v>
      </c>
      <c r="G150" s="185">
        <v>12.97</v>
      </c>
      <c r="H150" s="185">
        <f t="shared" si="27"/>
        <v>16.93</v>
      </c>
      <c r="I150" s="185">
        <f t="shared" si="28"/>
        <v>468.96</v>
      </c>
      <c r="J150" s="166"/>
    </row>
    <row r="151" spans="1:10" s="47" customFormat="1" x14ac:dyDescent="0.2">
      <c r="A151" s="188" t="s">
        <v>660</v>
      </c>
      <c r="B151" s="182" t="s">
        <v>122</v>
      </c>
      <c r="C151" s="183" t="s">
        <v>604</v>
      </c>
      <c r="D151" s="184" t="s">
        <v>605</v>
      </c>
      <c r="E151" s="182"/>
      <c r="F151" s="187">
        <f>'MEMORIA DE CALCULO'!J873</f>
        <v>1</v>
      </c>
      <c r="G151" s="185">
        <v>9.19</v>
      </c>
      <c r="H151" s="185">
        <f t="shared" si="27"/>
        <v>12</v>
      </c>
      <c r="I151" s="185">
        <f t="shared" si="28"/>
        <v>12</v>
      </c>
      <c r="J151" s="166"/>
    </row>
    <row r="152" spans="1:10" s="47" customFormat="1" x14ac:dyDescent="0.2">
      <c r="A152" s="188" t="s">
        <v>661</v>
      </c>
      <c r="B152" s="182" t="s">
        <v>122</v>
      </c>
      <c r="C152" s="183" t="s">
        <v>602</v>
      </c>
      <c r="D152" s="184" t="s">
        <v>603</v>
      </c>
      <c r="E152" s="182" t="s">
        <v>102</v>
      </c>
      <c r="F152" s="187">
        <f>'MEMORIA DE CALCULO'!J877</f>
        <v>76.7</v>
      </c>
      <c r="G152" s="185">
        <v>9.8800000000000008</v>
      </c>
      <c r="H152" s="185">
        <f t="shared" si="27"/>
        <v>12.9</v>
      </c>
      <c r="I152" s="185">
        <f t="shared" si="28"/>
        <v>989.43</v>
      </c>
      <c r="J152" s="166"/>
    </row>
    <row r="153" spans="1:10" s="47" customFormat="1" ht="20.399999999999999" x14ac:dyDescent="0.2">
      <c r="A153" s="188" t="s">
        <v>662</v>
      </c>
      <c r="B153" s="182" t="s">
        <v>122</v>
      </c>
      <c r="C153" s="183" t="s">
        <v>606</v>
      </c>
      <c r="D153" s="184" t="s">
        <v>607</v>
      </c>
      <c r="E153" s="182" t="s">
        <v>93</v>
      </c>
      <c r="F153" s="187">
        <f>'MEMORIA DE CALCULO'!J881</f>
        <v>1</v>
      </c>
      <c r="G153" s="185">
        <v>310.47000000000003</v>
      </c>
      <c r="H153" s="185">
        <f t="shared" si="27"/>
        <v>405.26</v>
      </c>
      <c r="I153" s="185">
        <f t="shared" si="28"/>
        <v>405.26</v>
      </c>
      <c r="J153" s="166"/>
    </row>
    <row r="154" spans="1:10" s="51" customFormat="1" x14ac:dyDescent="0.2">
      <c r="A154" s="175" t="s">
        <v>385</v>
      </c>
      <c r="B154" s="176"/>
      <c r="C154" s="177"/>
      <c r="D154" s="178" t="s">
        <v>142</v>
      </c>
      <c r="E154" s="176"/>
      <c r="F154" s="179"/>
      <c r="G154" s="179"/>
      <c r="H154" s="180"/>
      <c r="I154" s="181">
        <f>SUM(I155:I155)</f>
        <v>1874.22</v>
      </c>
      <c r="J154" s="164">
        <f>I154/I$162</f>
        <v>9.7688474144416674E-3</v>
      </c>
    </row>
    <row r="155" spans="1:10" s="47" customFormat="1" ht="20.399999999999999" x14ac:dyDescent="0.2">
      <c r="A155" s="182" t="s">
        <v>386</v>
      </c>
      <c r="B155" s="182" t="s">
        <v>37</v>
      </c>
      <c r="C155" s="183">
        <v>103946</v>
      </c>
      <c r="D155" s="186" t="s">
        <v>143</v>
      </c>
      <c r="E155" s="182" t="s">
        <v>8</v>
      </c>
      <c r="F155" s="185">
        <f>'MEMORIA DE CALCULO'!J888</f>
        <v>81.63</v>
      </c>
      <c r="G155" s="185">
        <v>17.59</v>
      </c>
      <c r="H155" s="185">
        <f>ROUND(G155*(1+$M$4),2)</f>
        <v>22.96</v>
      </c>
      <c r="I155" s="185">
        <f>TRUNC(F155*H155,2)</f>
        <v>1874.22</v>
      </c>
      <c r="J155" s="166"/>
    </row>
    <row r="156" spans="1:10" s="51" customFormat="1" x14ac:dyDescent="0.2">
      <c r="A156" s="175" t="s">
        <v>663</v>
      </c>
      <c r="B156" s="176"/>
      <c r="C156" s="177"/>
      <c r="D156" s="178" t="s">
        <v>14</v>
      </c>
      <c r="E156" s="176"/>
      <c r="F156" s="179"/>
      <c r="G156" s="179"/>
      <c r="H156" s="180"/>
      <c r="I156" s="181">
        <f>SUM(I157:I161)</f>
        <v>10342.870000000001</v>
      </c>
      <c r="J156" s="164">
        <f>I156/I$162</f>
        <v>5.3909316332877828E-2</v>
      </c>
    </row>
    <row r="157" spans="1:10" s="47" customFormat="1" ht="51" x14ac:dyDescent="0.2">
      <c r="A157" s="182" t="s">
        <v>664</v>
      </c>
      <c r="B157" s="182" t="s">
        <v>37</v>
      </c>
      <c r="C157" s="183">
        <v>90844</v>
      </c>
      <c r="D157" s="184" t="s">
        <v>207</v>
      </c>
      <c r="E157" s="182" t="s">
        <v>17</v>
      </c>
      <c r="F157" s="187">
        <f>'MEMORIA DE CALCULO'!J897</f>
        <v>3</v>
      </c>
      <c r="G157" s="185">
        <v>1018.83</v>
      </c>
      <c r="H157" s="185">
        <f t="shared" ref="H157:H161" si="29">ROUND(G157*(1+$M$4),2)</f>
        <v>1329.88</v>
      </c>
      <c r="I157" s="185">
        <f>TRUNC(F157*H157,2)</f>
        <v>3989.64</v>
      </c>
      <c r="J157" s="166"/>
    </row>
    <row r="158" spans="1:10" s="47" customFormat="1" ht="51" x14ac:dyDescent="0.2">
      <c r="A158" s="182" t="s">
        <v>665</v>
      </c>
      <c r="B158" s="182" t="s">
        <v>37</v>
      </c>
      <c r="C158" s="183">
        <v>90843</v>
      </c>
      <c r="D158" s="184" t="s">
        <v>422</v>
      </c>
      <c r="E158" s="182" t="s">
        <v>17</v>
      </c>
      <c r="F158" s="187">
        <f>'MEMORIA DE CALCULO'!J904</f>
        <v>3</v>
      </c>
      <c r="G158" s="185">
        <v>945.3</v>
      </c>
      <c r="H158" s="185">
        <f t="shared" ref="H158" si="30">ROUND(G158*(1+$M$4),2)</f>
        <v>1233.9000000000001</v>
      </c>
      <c r="I158" s="185">
        <f t="shared" ref="I158:I161" si="31">TRUNC(F158*H158,2)</f>
        <v>3701.7</v>
      </c>
      <c r="J158" s="166"/>
    </row>
    <row r="159" spans="1:10" s="47" customFormat="1" ht="40.799999999999997" x14ac:dyDescent="0.2">
      <c r="A159" s="182" t="s">
        <v>666</v>
      </c>
      <c r="B159" s="182" t="s">
        <v>37</v>
      </c>
      <c r="C159" s="183">
        <v>94570</v>
      </c>
      <c r="D159" s="184" t="s">
        <v>210</v>
      </c>
      <c r="E159" s="182" t="s">
        <v>8</v>
      </c>
      <c r="F159" s="187">
        <f>'MEMORIA DE CALCULO'!J913</f>
        <v>3.76</v>
      </c>
      <c r="G159" s="185">
        <v>331.25</v>
      </c>
      <c r="H159" s="185">
        <f t="shared" si="29"/>
        <v>432.38</v>
      </c>
      <c r="I159" s="185">
        <f t="shared" si="31"/>
        <v>1625.74</v>
      </c>
      <c r="J159" s="166"/>
    </row>
    <row r="160" spans="1:10" s="47" customFormat="1" ht="20.399999999999999" x14ac:dyDescent="0.2">
      <c r="A160" s="182" t="s">
        <v>667</v>
      </c>
      <c r="B160" s="182" t="s">
        <v>37</v>
      </c>
      <c r="C160" s="183">
        <v>94590</v>
      </c>
      <c r="D160" s="184" t="s">
        <v>211</v>
      </c>
      <c r="E160" s="182" t="s">
        <v>21</v>
      </c>
      <c r="F160" s="187">
        <f>'MEMORIA DE CALCULO'!J922</f>
        <v>19.2</v>
      </c>
      <c r="G160" s="185">
        <v>16.66</v>
      </c>
      <c r="H160" s="185">
        <f t="shared" si="29"/>
        <v>21.75</v>
      </c>
      <c r="I160" s="185">
        <f t="shared" si="31"/>
        <v>417.6</v>
      </c>
      <c r="J160" s="166"/>
    </row>
    <row r="161" spans="1:12" s="47" customFormat="1" ht="30.6" x14ac:dyDescent="0.2">
      <c r="A161" s="182" t="s">
        <v>668</v>
      </c>
      <c r="B161" s="182" t="s">
        <v>122</v>
      </c>
      <c r="C161" s="183" t="s">
        <v>504</v>
      </c>
      <c r="D161" s="184" t="s">
        <v>503</v>
      </c>
      <c r="E161" s="182" t="s">
        <v>8</v>
      </c>
      <c r="F161" s="187">
        <f>'MEMORIA DE CALCULO'!J927</f>
        <v>1.47</v>
      </c>
      <c r="G161" s="185">
        <v>316.97000000000003</v>
      </c>
      <c r="H161" s="185">
        <f t="shared" si="29"/>
        <v>413.74</v>
      </c>
      <c r="I161" s="185">
        <f t="shared" si="31"/>
        <v>608.19000000000005</v>
      </c>
      <c r="J161" s="166"/>
    </row>
    <row r="162" spans="1:12" s="83" customFormat="1" ht="22.2" customHeight="1" x14ac:dyDescent="0.2">
      <c r="A162" s="190"/>
      <c r="B162" s="190"/>
      <c r="C162" s="191"/>
      <c r="D162" s="192"/>
      <c r="E162" s="190"/>
      <c r="F162" s="190"/>
      <c r="G162" s="190"/>
      <c r="H162" s="193" t="s">
        <v>446</v>
      </c>
      <c r="I162" s="194">
        <f>I10+I14+I18+I25+I32+I39+I41+I47+I56+I63+I65+I74+I110+I119+I154+I156+I88</f>
        <v>191856.81999999998</v>
      </c>
      <c r="J162" s="167"/>
      <c r="L162" s="103"/>
    </row>
    <row r="163" spans="1:12" ht="14.4" customHeight="1" x14ac:dyDescent="0.2">
      <c r="A163" s="171" t="s">
        <v>9</v>
      </c>
      <c r="B163" s="171"/>
      <c r="C163" s="172"/>
      <c r="D163" s="171" t="s">
        <v>305</v>
      </c>
      <c r="E163" s="171"/>
      <c r="F163" s="173"/>
      <c r="G163" s="174"/>
      <c r="H163" s="174"/>
      <c r="I163" s="174"/>
      <c r="J163" s="109"/>
    </row>
    <row r="164" spans="1:12" x14ac:dyDescent="0.2">
      <c r="A164" s="175" t="s">
        <v>10</v>
      </c>
      <c r="B164" s="176"/>
      <c r="C164" s="177"/>
      <c r="D164" s="178" t="s">
        <v>153</v>
      </c>
      <c r="E164" s="176"/>
      <c r="F164" s="179"/>
      <c r="G164" s="179"/>
      <c r="H164" s="180"/>
      <c r="I164" s="181">
        <f>SUM(I165:I167)</f>
        <v>1140.6600000000001</v>
      </c>
      <c r="J164" s="53"/>
      <c r="K164" s="108"/>
    </row>
    <row r="165" spans="1:12" ht="20.399999999999999" x14ac:dyDescent="0.2">
      <c r="A165" s="182" t="s">
        <v>114</v>
      </c>
      <c r="B165" s="182" t="s">
        <v>122</v>
      </c>
      <c r="C165" s="183" t="s">
        <v>291</v>
      </c>
      <c r="D165" s="184" t="s">
        <v>292</v>
      </c>
      <c r="E165" s="182" t="s">
        <v>20</v>
      </c>
      <c r="F165" s="185">
        <f>'MEMORIA DE CALCULO'!J935</f>
        <v>2.38</v>
      </c>
      <c r="G165" s="185">
        <v>93.4</v>
      </c>
      <c r="H165" s="185">
        <f>ROUND(G165*(1+$M$4),2)</f>
        <v>121.92</v>
      </c>
      <c r="I165" s="185">
        <f>TRUNC(F165*H165,2)</f>
        <v>290.16000000000003</v>
      </c>
      <c r="J165" s="110"/>
    </row>
    <row r="166" spans="1:12" s="51" customFormat="1" x14ac:dyDescent="0.2">
      <c r="A166" s="182" t="s">
        <v>115</v>
      </c>
      <c r="B166" s="182" t="s">
        <v>122</v>
      </c>
      <c r="C166" s="183" t="s">
        <v>163</v>
      </c>
      <c r="D166" s="184" t="s">
        <v>164</v>
      </c>
      <c r="E166" s="182" t="s">
        <v>20</v>
      </c>
      <c r="F166" s="185">
        <f>'MEMORIA DE CALCULO'!J943</f>
        <v>16.89</v>
      </c>
      <c r="G166" s="185">
        <v>17.71</v>
      </c>
      <c r="H166" s="185">
        <f>ROUND(G166*(1+$M$4),2)</f>
        <v>23.12</v>
      </c>
      <c r="I166" s="185">
        <f t="shared" ref="I166:I167" si="32">TRUNC(F166*H166,2)</f>
        <v>390.49</v>
      </c>
      <c r="J166" s="165"/>
    </row>
    <row r="167" spans="1:12" s="51" customFormat="1" x14ac:dyDescent="0.2">
      <c r="A167" s="182" t="s">
        <v>116</v>
      </c>
      <c r="B167" s="182" t="s">
        <v>37</v>
      </c>
      <c r="C167" s="183">
        <v>96995</v>
      </c>
      <c r="D167" s="184" t="s">
        <v>165</v>
      </c>
      <c r="E167" s="182" t="s">
        <v>20</v>
      </c>
      <c r="F167" s="185">
        <f>'MEMORIA DE CALCULO'!J951</f>
        <v>7.93</v>
      </c>
      <c r="G167" s="185">
        <v>44.44</v>
      </c>
      <c r="H167" s="185">
        <f>ROUND(G167*(1+$M$4),2)</f>
        <v>58.01</v>
      </c>
      <c r="I167" s="185">
        <f t="shared" si="32"/>
        <v>460.01</v>
      </c>
      <c r="J167" s="165"/>
    </row>
    <row r="168" spans="1:12" s="51" customFormat="1" x14ac:dyDescent="0.2">
      <c r="A168" s="175" t="s">
        <v>11</v>
      </c>
      <c r="B168" s="176"/>
      <c r="C168" s="177"/>
      <c r="D168" s="178" t="s">
        <v>151</v>
      </c>
      <c r="E168" s="176"/>
      <c r="F168" s="179"/>
      <c r="G168" s="179"/>
      <c r="H168" s="180"/>
      <c r="I168" s="181">
        <f>SUM(I169:I175)</f>
        <v>29111.430000000004</v>
      </c>
      <c r="J168" s="164">
        <f>I168/I$162</f>
        <v>0.15173518460276789</v>
      </c>
    </row>
    <row r="169" spans="1:12" s="51" customFormat="1" ht="30.6" x14ac:dyDescent="0.2">
      <c r="A169" s="182" t="s">
        <v>114</v>
      </c>
      <c r="B169" s="182" t="s">
        <v>37</v>
      </c>
      <c r="C169" s="183">
        <v>101166</v>
      </c>
      <c r="D169" s="184" t="s">
        <v>157</v>
      </c>
      <c r="E169" s="182" t="s">
        <v>20</v>
      </c>
      <c r="F169" s="185">
        <f>'MEMORIA DE CALCULO'!J958</f>
        <v>18.059999999999999</v>
      </c>
      <c r="G169" s="185">
        <v>529.46</v>
      </c>
      <c r="H169" s="185">
        <f t="shared" ref="H169:H175" si="33">ROUND(G169*(1+$M$4),2)</f>
        <v>691.1</v>
      </c>
      <c r="I169" s="185">
        <f>TRUNC(F169*H169,2)</f>
        <v>12481.26</v>
      </c>
      <c r="J169" s="165"/>
    </row>
    <row r="170" spans="1:12" s="51" customFormat="1" ht="30.6" x14ac:dyDescent="0.2">
      <c r="A170" s="182" t="s">
        <v>115</v>
      </c>
      <c r="B170" s="182" t="s">
        <v>37</v>
      </c>
      <c r="C170" s="183">
        <v>94965</v>
      </c>
      <c r="D170" s="184" t="s">
        <v>160</v>
      </c>
      <c r="E170" s="182" t="s">
        <v>20</v>
      </c>
      <c r="F170" s="185">
        <f>'MEMORIA DE CALCULO'!J968</f>
        <v>6.9600000000000009</v>
      </c>
      <c r="G170" s="185">
        <v>482.63</v>
      </c>
      <c r="H170" s="185">
        <f t="shared" si="33"/>
        <v>629.98</v>
      </c>
      <c r="I170" s="185">
        <f t="shared" ref="I170:I175" si="34">TRUNC(F170*H170,2)</f>
        <v>4384.66</v>
      </c>
      <c r="J170" s="165"/>
    </row>
    <row r="171" spans="1:12" s="51" customFormat="1" ht="20.399999999999999" x14ac:dyDescent="0.2">
      <c r="A171" s="182" t="s">
        <v>116</v>
      </c>
      <c r="B171" s="182" t="s">
        <v>37</v>
      </c>
      <c r="C171" s="183">
        <v>96546</v>
      </c>
      <c r="D171" s="184" t="s">
        <v>243</v>
      </c>
      <c r="E171" s="182" t="s">
        <v>189</v>
      </c>
      <c r="F171" s="185">
        <f>'MEMORIA DE CALCULO'!J974</f>
        <v>154</v>
      </c>
      <c r="G171" s="185">
        <v>16.510000000000002</v>
      </c>
      <c r="H171" s="185">
        <f t="shared" si="33"/>
        <v>21.55</v>
      </c>
      <c r="I171" s="185">
        <f t="shared" si="34"/>
        <v>3318.7</v>
      </c>
      <c r="J171" s="165"/>
    </row>
    <row r="172" spans="1:12" s="51" customFormat="1" ht="20.399999999999999" x14ac:dyDescent="0.2">
      <c r="A172" s="182" t="s">
        <v>117</v>
      </c>
      <c r="B172" s="182" t="s">
        <v>37</v>
      </c>
      <c r="C172" s="183">
        <v>96545</v>
      </c>
      <c r="D172" s="184" t="s">
        <v>245</v>
      </c>
      <c r="E172" s="182" t="s">
        <v>189</v>
      </c>
      <c r="F172" s="185">
        <f>'MEMORIA DE CALCULO'!J979</f>
        <v>57.07</v>
      </c>
      <c r="G172" s="185">
        <v>18.309999999999999</v>
      </c>
      <c r="H172" s="185">
        <f t="shared" si="33"/>
        <v>23.9</v>
      </c>
      <c r="I172" s="185">
        <f t="shared" si="34"/>
        <v>1363.97</v>
      </c>
      <c r="J172" s="165"/>
    </row>
    <row r="173" spans="1:12" s="51" customFormat="1" ht="20.399999999999999" x14ac:dyDescent="0.2">
      <c r="A173" s="182" t="s">
        <v>118</v>
      </c>
      <c r="B173" s="182" t="s">
        <v>37</v>
      </c>
      <c r="C173" s="183">
        <v>96544</v>
      </c>
      <c r="D173" s="184" t="s">
        <v>247</v>
      </c>
      <c r="E173" s="182" t="s">
        <v>189</v>
      </c>
      <c r="F173" s="185">
        <f>'MEMORIA DE CALCULO'!J985</f>
        <v>117.99</v>
      </c>
      <c r="G173" s="185">
        <v>19.309999999999999</v>
      </c>
      <c r="H173" s="185">
        <f t="shared" si="33"/>
        <v>25.21</v>
      </c>
      <c r="I173" s="185">
        <f t="shared" si="34"/>
        <v>2974.52</v>
      </c>
      <c r="J173" s="165"/>
    </row>
    <row r="174" spans="1:12" s="51" customFormat="1" ht="30.6" x14ac:dyDescent="0.2">
      <c r="A174" s="182" t="s">
        <v>471</v>
      </c>
      <c r="B174" s="182" t="s">
        <v>37</v>
      </c>
      <c r="C174" s="183">
        <v>96536</v>
      </c>
      <c r="D174" s="184" t="s">
        <v>248</v>
      </c>
      <c r="E174" s="182" t="s">
        <v>8</v>
      </c>
      <c r="F174" s="185">
        <f>'MEMORIA DE CALCULO'!J990</f>
        <v>43.34</v>
      </c>
      <c r="G174" s="185">
        <v>75.05</v>
      </c>
      <c r="H174" s="185">
        <f t="shared" si="33"/>
        <v>97.96</v>
      </c>
      <c r="I174" s="185">
        <f t="shared" si="34"/>
        <v>4245.58</v>
      </c>
      <c r="J174" s="165"/>
    </row>
    <row r="175" spans="1:12" s="51" customFormat="1" ht="22.5" customHeight="1" x14ac:dyDescent="0.2">
      <c r="A175" s="182" t="s">
        <v>472</v>
      </c>
      <c r="B175" s="182" t="s">
        <v>37</v>
      </c>
      <c r="C175" s="183">
        <v>96619</v>
      </c>
      <c r="D175" s="184" t="s">
        <v>276</v>
      </c>
      <c r="E175" s="182" t="s">
        <v>8</v>
      </c>
      <c r="F175" s="185">
        <f>'MEMORIA DE CALCULO'!J995</f>
        <v>8.64</v>
      </c>
      <c r="G175" s="185">
        <v>30.39</v>
      </c>
      <c r="H175" s="185">
        <f t="shared" si="33"/>
        <v>39.67</v>
      </c>
      <c r="I175" s="185">
        <f t="shared" si="34"/>
        <v>342.74</v>
      </c>
      <c r="J175" s="165"/>
    </row>
    <row r="176" spans="1:12" x14ac:dyDescent="0.2">
      <c r="A176" s="175" t="s">
        <v>23</v>
      </c>
      <c r="B176" s="176"/>
      <c r="C176" s="177"/>
      <c r="D176" s="178" t="s">
        <v>152</v>
      </c>
      <c r="E176" s="176"/>
      <c r="F176" s="179"/>
      <c r="G176" s="179"/>
      <c r="H176" s="180"/>
      <c r="I176" s="181">
        <f>SUM(I177:I181)</f>
        <v>14023.77</v>
      </c>
    </row>
    <row r="177" spans="1:10" ht="20.399999999999999" x14ac:dyDescent="0.2">
      <c r="A177" s="182" t="s">
        <v>119</v>
      </c>
      <c r="B177" s="182" t="s">
        <v>122</v>
      </c>
      <c r="C177" s="183" t="s">
        <v>293</v>
      </c>
      <c r="D177" s="184" t="s">
        <v>294</v>
      </c>
      <c r="E177" s="182" t="s">
        <v>20</v>
      </c>
      <c r="F177" s="185">
        <f>'MEMORIA DE CALCULO'!J1006</f>
        <v>2.94</v>
      </c>
      <c r="G177" s="185">
        <v>52.88</v>
      </c>
      <c r="H177" s="185">
        <f t="shared" ref="H177:H181" si="35">ROUND(G177*(1+$M$4),2)</f>
        <v>69.02</v>
      </c>
      <c r="I177" s="185">
        <f>TRUNC(F177*H177,2)</f>
        <v>202.91</v>
      </c>
    </row>
    <row r="178" spans="1:10" s="51" customFormat="1" ht="30.6" x14ac:dyDescent="0.2">
      <c r="A178" s="182" t="s">
        <v>120</v>
      </c>
      <c r="B178" s="182" t="s">
        <v>37</v>
      </c>
      <c r="C178" s="183">
        <v>103669</v>
      </c>
      <c r="D178" s="184" t="s">
        <v>161</v>
      </c>
      <c r="E178" s="182" t="s">
        <v>20</v>
      </c>
      <c r="F178" s="185">
        <f>'MEMORIA DE CALCULO'!J1011</f>
        <v>1.66</v>
      </c>
      <c r="G178" s="185">
        <v>886.13</v>
      </c>
      <c r="H178" s="185">
        <f t="shared" si="35"/>
        <v>1156.67</v>
      </c>
      <c r="I178" s="185">
        <f t="shared" ref="I178:I181" si="36">TRUNC(F178*H178,2)</f>
        <v>1920.07</v>
      </c>
      <c r="J178" s="165"/>
    </row>
    <row r="179" spans="1:10" s="51" customFormat="1" ht="30.6" x14ac:dyDescent="0.2">
      <c r="A179" s="182" t="s">
        <v>486</v>
      </c>
      <c r="B179" s="182" t="s">
        <v>37</v>
      </c>
      <c r="C179" s="183">
        <v>104108</v>
      </c>
      <c r="D179" s="184" t="s">
        <v>249</v>
      </c>
      <c r="E179" s="182" t="s">
        <v>189</v>
      </c>
      <c r="F179" s="185">
        <f>'MEMORIA DE CALCULO'!J1016</f>
        <v>165.85</v>
      </c>
      <c r="G179" s="185">
        <v>16.440000000000001</v>
      </c>
      <c r="H179" s="185">
        <f t="shared" si="35"/>
        <v>21.46</v>
      </c>
      <c r="I179" s="185">
        <f t="shared" si="36"/>
        <v>3559.14</v>
      </c>
      <c r="J179" s="165"/>
    </row>
    <row r="180" spans="1:10" s="51" customFormat="1" ht="30.6" x14ac:dyDescent="0.2">
      <c r="A180" s="182" t="s">
        <v>487</v>
      </c>
      <c r="B180" s="182" t="s">
        <v>37</v>
      </c>
      <c r="C180" s="183">
        <v>104110</v>
      </c>
      <c r="D180" s="184" t="s">
        <v>250</v>
      </c>
      <c r="E180" s="182" t="s">
        <v>189</v>
      </c>
      <c r="F180" s="185">
        <f>'MEMORIA DE CALCULO'!J1021</f>
        <v>72.13</v>
      </c>
      <c r="G180" s="185">
        <v>20.92</v>
      </c>
      <c r="H180" s="185">
        <f t="shared" si="35"/>
        <v>27.31</v>
      </c>
      <c r="I180" s="185">
        <f t="shared" si="36"/>
        <v>1969.87</v>
      </c>
      <c r="J180" s="165"/>
    </row>
    <row r="181" spans="1:10" s="51" customFormat="1" ht="40.799999999999997" x14ac:dyDescent="0.2">
      <c r="A181" s="182" t="s">
        <v>488</v>
      </c>
      <c r="B181" s="182" t="s">
        <v>37</v>
      </c>
      <c r="C181" s="183">
        <v>92413</v>
      </c>
      <c r="D181" s="184" t="s">
        <v>258</v>
      </c>
      <c r="E181" s="182" t="s">
        <v>8</v>
      </c>
      <c r="F181" s="185">
        <f>'MEMORIA DE CALCULO'!J1026</f>
        <v>40.85</v>
      </c>
      <c r="G181" s="185">
        <v>119.5</v>
      </c>
      <c r="H181" s="185">
        <f t="shared" si="35"/>
        <v>155.97999999999999</v>
      </c>
      <c r="I181" s="185">
        <f t="shared" si="36"/>
        <v>6371.78</v>
      </c>
      <c r="J181" s="165"/>
    </row>
    <row r="182" spans="1:10" x14ac:dyDescent="0.2">
      <c r="A182" s="175" t="s">
        <v>124</v>
      </c>
      <c r="B182" s="176"/>
      <c r="C182" s="177"/>
      <c r="D182" s="178" t="s">
        <v>150</v>
      </c>
      <c r="E182" s="176"/>
      <c r="F182" s="179"/>
      <c r="G182" s="179"/>
      <c r="H182" s="180"/>
      <c r="I182" s="181">
        <f>SUM(I183:I184)</f>
        <v>2538.14</v>
      </c>
    </row>
    <row r="183" spans="1:10" ht="20.399999999999999" x14ac:dyDescent="0.2">
      <c r="A183" s="182" t="s">
        <v>125</v>
      </c>
      <c r="B183" s="182" t="s">
        <v>37</v>
      </c>
      <c r="C183" s="183">
        <v>93184</v>
      </c>
      <c r="D183" s="184" t="s">
        <v>273</v>
      </c>
      <c r="E183" s="182" t="s">
        <v>21</v>
      </c>
      <c r="F183" s="185">
        <f>'MEMORIA DE CALCULO'!J1033</f>
        <v>1.6</v>
      </c>
      <c r="G183" s="185">
        <v>36.03</v>
      </c>
      <c r="H183" s="185">
        <f t="shared" ref="H183:H184" si="37">ROUND(G183*(1+$M$4),2)</f>
        <v>47.03</v>
      </c>
      <c r="I183" s="185">
        <f>TRUNC(F183*H183,2)</f>
        <v>75.239999999999995</v>
      </c>
    </row>
    <row r="184" spans="1:10" s="51" customFormat="1" ht="38.25" customHeight="1" x14ac:dyDescent="0.2">
      <c r="A184" s="182" t="s">
        <v>126</v>
      </c>
      <c r="B184" s="182" t="s">
        <v>37</v>
      </c>
      <c r="C184" s="183">
        <v>103356</v>
      </c>
      <c r="D184" s="184" t="s">
        <v>154</v>
      </c>
      <c r="E184" s="182" t="s">
        <v>8</v>
      </c>
      <c r="F184" s="185">
        <f>'MEMORIA DE CALCULO'!J1038</f>
        <v>41.54</v>
      </c>
      <c r="G184" s="185">
        <v>45.42</v>
      </c>
      <c r="H184" s="185">
        <f t="shared" si="37"/>
        <v>59.29</v>
      </c>
      <c r="I184" s="185">
        <f>TRUNC(F184*H184,2)</f>
        <v>2462.9</v>
      </c>
      <c r="J184" s="165"/>
    </row>
    <row r="185" spans="1:10" s="51" customFormat="1" x14ac:dyDescent="0.2">
      <c r="A185" s="175" t="s">
        <v>387</v>
      </c>
      <c r="B185" s="176"/>
      <c r="C185" s="177"/>
      <c r="D185" s="178" t="s">
        <v>179</v>
      </c>
      <c r="E185" s="176"/>
      <c r="F185" s="179"/>
      <c r="G185" s="179"/>
      <c r="H185" s="180"/>
      <c r="I185" s="181">
        <f>SUM(I186:I186)</f>
        <v>3662.56</v>
      </c>
      <c r="J185" s="164">
        <f>I185/I$162</f>
        <v>1.9090069354844932E-2</v>
      </c>
    </row>
    <row r="186" spans="1:10" s="51" customFormat="1" ht="20.399999999999999" x14ac:dyDescent="0.2">
      <c r="A186" s="182" t="s">
        <v>388</v>
      </c>
      <c r="B186" s="182" t="s">
        <v>37</v>
      </c>
      <c r="C186" s="183">
        <v>98557</v>
      </c>
      <c r="D186" s="184" t="s">
        <v>180</v>
      </c>
      <c r="E186" s="182" t="s">
        <v>8</v>
      </c>
      <c r="F186" s="185">
        <f>'MEMORIA DE CALCULO'!J1046</f>
        <v>72.239999999999995</v>
      </c>
      <c r="G186" s="185">
        <v>38.840000000000003</v>
      </c>
      <c r="H186" s="185">
        <f>ROUND(G186*(1+$M$4),2)</f>
        <v>50.7</v>
      </c>
      <c r="I186" s="185">
        <f>TRUNC(F186*H186,2)</f>
        <v>3662.56</v>
      </c>
      <c r="J186" s="165"/>
    </row>
    <row r="187" spans="1:10" x14ac:dyDescent="0.2">
      <c r="A187" s="175" t="s">
        <v>389</v>
      </c>
      <c r="B187" s="176"/>
      <c r="C187" s="177"/>
      <c r="D187" s="178" t="s">
        <v>90</v>
      </c>
      <c r="E187" s="176"/>
      <c r="F187" s="179"/>
      <c r="G187" s="179"/>
      <c r="H187" s="180"/>
      <c r="I187" s="181">
        <f>SUM(I188:I197)</f>
        <v>41198.469999999994</v>
      </c>
    </row>
    <row r="188" spans="1:10" x14ac:dyDescent="0.2">
      <c r="A188" s="182" t="s">
        <v>390</v>
      </c>
      <c r="B188" s="182" t="s">
        <v>122</v>
      </c>
      <c r="C188" s="183" t="s">
        <v>744</v>
      </c>
      <c r="D188" s="184" t="s">
        <v>745</v>
      </c>
      <c r="E188" s="182" t="s">
        <v>8</v>
      </c>
      <c r="F188" s="185">
        <f>'MEMORIA DE CALCULO'!J1058</f>
        <v>62.81</v>
      </c>
      <c r="G188" s="185">
        <v>12.34</v>
      </c>
      <c r="H188" s="185">
        <f>ROUND(G188*(1+$M$4),2)</f>
        <v>16.11</v>
      </c>
      <c r="I188" s="185">
        <f>TRUNC(F188*H188,2)</f>
        <v>1011.86</v>
      </c>
    </row>
    <row r="189" spans="1:10" ht="30.6" x14ac:dyDescent="0.2">
      <c r="A189" s="182" t="s">
        <v>467</v>
      </c>
      <c r="B189" s="182" t="s">
        <v>37</v>
      </c>
      <c r="C189" s="183">
        <v>98680</v>
      </c>
      <c r="D189" s="184" t="s">
        <v>748</v>
      </c>
      <c r="E189" s="182" t="s">
        <v>8</v>
      </c>
      <c r="F189" s="185">
        <f>'MEMORIA DE CALCULO'!J1068</f>
        <v>62.81</v>
      </c>
      <c r="G189" s="185">
        <v>42.32</v>
      </c>
      <c r="H189" s="185">
        <f>ROUND(G189*(1+$M$4),2)</f>
        <v>55.24</v>
      </c>
      <c r="I189" s="185">
        <f>TRUNC(F189*H189,2)</f>
        <v>3469.62</v>
      </c>
    </row>
    <row r="190" spans="1:10" ht="20.399999999999999" x14ac:dyDescent="0.2">
      <c r="A190" s="182" t="s">
        <v>489</v>
      </c>
      <c r="B190" s="182" t="s">
        <v>87</v>
      </c>
      <c r="C190" s="183" t="str">
        <f>'COMPOSICOES COM DESON'!A82</f>
        <v>COMP-006</v>
      </c>
      <c r="D190" s="184" t="str">
        <f>'COMPOSICOES COM DESON'!D83</f>
        <v xml:space="preserve"> APICOAMENTO EM PAREDE DE ALVENARIA DE TIJOLO CERÂMICO COM PREPARO DA SUPERFÍCIE - M2</v>
      </c>
      <c r="E190" s="182" t="s">
        <v>8</v>
      </c>
      <c r="F190" s="185">
        <f>'MEMORIA DE CALCULO'!J1079</f>
        <v>100.17</v>
      </c>
      <c r="G190" s="185">
        <f>'COMPOSICOES COM DESON'!G90</f>
        <v>4.47</v>
      </c>
      <c r="H190" s="185">
        <f>ROUND(G190*(1+$M$4),2)</f>
        <v>5.83</v>
      </c>
      <c r="I190" s="185">
        <f>TRUNC(F190*H190,2)</f>
        <v>583.99</v>
      </c>
    </row>
    <row r="191" spans="1:10" s="51" customFormat="1" ht="40.799999999999997" x14ac:dyDescent="0.2">
      <c r="A191" s="182" t="s">
        <v>490</v>
      </c>
      <c r="B191" s="182" t="s">
        <v>37</v>
      </c>
      <c r="C191" s="183">
        <v>87905</v>
      </c>
      <c r="D191" s="184" t="s">
        <v>183</v>
      </c>
      <c r="E191" s="182" t="s">
        <v>8</v>
      </c>
      <c r="F191" s="185">
        <f>'MEMORIA DE CALCULO'!J1084</f>
        <v>79.489999999999995</v>
      </c>
      <c r="G191" s="185">
        <v>7.04</v>
      </c>
      <c r="H191" s="185">
        <f t="shared" ref="H191" si="38">ROUND(G191*(1+$M$4),2)</f>
        <v>9.19</v>
      </c>
      <c r="I191" s="185">
        <f t="shared" ref="I191:I197" si="39">TRUNC(F191*H191,2)</f>
        <v>730.51</v>
      </c>
      <c r="J191" s="165"/>
    </row>
    <row r="192" spans="1:10" ht="20.399999999999999" x14ac:dyDescent="0.2">
      <c r="A192" s="182" t="s">
        <v>491</v>
      </c>
      <c r="B192" s="182" t="s">
        <v>122</v>
      </c>
      <c r="C192" s="183" t="s">
        <v>550</v>
      </c>
      <c r="D192" s="184" t="s">
        <v>551</v>
      </c>
      <c r="E192" s="182" t="s">
        <v>8</v>
      </c>
      <c r="F192" s="185">
        <f>'MEMORIA DE CALCULO'!J1095</f>
        <v>81.16</v>
      </c>
      <c r="G192" s="185">
        <v>39.86</v>
      </c>
      <c r="H192" s="185">
        <f>ROUND(G192*(1+$M$4),2)</f>
        <v>52.03</v>
      </c>
      <c r="I192" s="185">
        <f t="shared" si="39"/>
        <v>4222.75</v>
      </c>
    </row>
    <row r="193" spans="1:11" ht="40.799999999999997" x14ac:dyDescent="0.2">
      <c r="A193" s="182" t="s">
        <v>492</v>
      </c>
      <c r="B193" s="182" t="s">
        <v>37</v>
      </c>
      <c r="C193" s="183">
        <v>87775</v>
      </c>
      <c r="D193" s="184" t="s">
        <v>185</v>
      </c>
      <c r="E193" s="182" t="s">
        <v>8</v>
      </c>
      <c r="F193" s="185">
        <f>'MEMORIA DE CALCULO'!J1100</f>
        <v>263.38</v>
      </c>
      <c r="G193" s="185">
        <v>49.55</v>
      </c>
      <c r="H193" s="185">
        <f t="shared" ref="H193:H197" si="40">ROUND(G193*(1+$M$4),2)</f>
        <v>64.680000000000007</v>
      </c>
      <c r="I193" s="185">
        <f t="shared" si="39"/>
        <v>17035.41</v>
      </c>
    </row>
    <row r="194" spans="1:11" ht="51" x14ac:dyDescent="0.2">
      <c r="A194" s="182" t="s">
        <v>497</v>
      </c>
      <c r="B194" s="182" t="s">
        <v>37</v>
      </c>
      <c r="C194" s="183">
        <v>87531</v>
      </c>
      <c r="D194" s="184" t="s">
        <v>184</v>
      </c>
      <c r="E194" s="182" t="s">
        <v>8</v>
      </c>
      <c r="F194" s="185">
        <f>'MEMORIA DE CALCULO'!J1110</f>
        <v>48.510000000000005</v>
      </c>
      <c r="G194" s="185">
        <v>33.29</v>
      </c>
      <c r="H194" s="185">
        <f t="shared" si="40"/>
        <v>43.45</v>
      </c>
      <c r="I194" s="185">
        <f t="shared" si="39"/>
        <v>2107.75</v>
      </c>
    </row>
    <row r="195" spans="1:11" s="51" customFormat="1" ht="30.6" x14ac:dyDescent="0.2">
      <c r="A195" s="182" t="s">
        <v>740</v>
      </c>
      <c r="B195" s="182" t="s">
        <v>87</v>
      </c>
      <c r="C195" s="183" t="str">
        <f>'COMPOSICOES COM DESON'!A12</f>
        <v>COMP-001</v>
      </c>
      <c r="D195" s="184" t="str">
        <f>'COMPOSICOES COM DESON'!D13</f>
        <v>REVESTIMENTO CERÂMICO COM PLACAS TIPO ESMALTADA TIPO A DE DIMENSÕES 46X46 CM APLICADAS EM PAREDE INTERNA.</v>
      </c>
      <c r="E195" s="182" t="str">
        <f>'COMPOSICOES COM DESON'!D14</f>
        <v>m²</v>
      </c>
      <c r="F195" s="185">
        <f>'MEMORIA DE CALCULO'!J1117</f>
        <v>89.19</v>
      </c>
      <c r="G195" s="185">
        <f>'COMPOSICOES COM DESON'!G23</f>
        <v>54.4</v>
      </c>
      <c r="H195" s="185">
        <f t="shared" si="40"/>
        <v>71.010000000000005</v>
      </c>
      <c r="I195" s="185">
        <f t="shared" si="39"/>
        <v>6333.38</v>
      </c>
      <c r="J195" s="165"/>
    </row>
    <row r="196" spans="1:11" s="51" customFormat="1" ht="20.399999999999999" x14ac:dyDescent="0.2">
      <c r="A196" s="182" t="s">
        <v>746</v>
      </c>
      <c r="B196" s="182" t="s">
        <v>87</v>
      </c>
      <c r="C196" s="183" t="str">
        <f>'COMPOSICOES COM DESON'!A26</f>
        <v>COMP-002</v>
      </c>
      <c r="D196" s="184" t="str">
        <f>'COMPOSICOES COM DESON'!D27</f>
        <v>REVESTIMENTO CERÂMICO COM PLACAS TIPO ESMALTADA EXTRA DE DIMENSÕES 10X10</v>
      </c>
      <c r="E196" s="182" t="str">
        <f>'COMPOSICOES COM DESON'!D28</f>
        <v>m²</v>
      </c>
      <c r="F196" s="185">
        <f>'MEMORIA DE CALCULO'!J1128</f>
        <v>9.85</v>
      </c>
      <c r="G196" s="185">
        <f>'COMPOSICOES COM DESON'!G37</f>
        <v>96.68</v>
      </c>
      <c r="H196" s="185">
        <f t="shared" si="40"/>
        <v>126.2</v>
      </c>
      <c r="I196" s="185">
        <f t="shared" si="39"/>
        <v>1243.07</v>
      </c>
      <c r="J196" s="165"/>
    </row>
    <row r="197" spans="1:11" s="47" customFormat="1" ht="20.399999999999999" x14ac:dyDescent="0.2">
      <c r="A197" s="182" t="s">
        <v>747</v>
      </c>
      <c r="B197" s="182" t="s">
        <v>87</v>
      </c>
      <c r="C197" s="183" t="s">
        <v>754</v>
      </c>
      <c r="D197" s="184" t="s">
        <v>752</v>
      </c>
      <c r="E197" s="182" t="s">
        <v>8</v>
      </c>
      <c r="F197" s="187">
        <f>'MEMORIA DE CALCULO'!J1138</f>
        <v>62.81</v>
      </c>
      <c r="G197" s="185">
        <f>'COMPOSICOES COM DESON'!G148</f>
        <v>54.4</v>
      </c>
      <c r="H197" s="185">
        <f t="shared" si="40"/>
        <v>71.010000000000005</v>
      </c>
      <c r="I197" s="185">
        <f t="shared" si="39"/>
        <v>4460.13</v>
      </c>
      <c r="J197" s="166"/>
    </row>
    <row r="198" spans="1:11" x14ac:dyDescent="0.2">
      <c r="A198" s="175" t="s">
        <v>391</v>
      </c>
      <c r="B198" s="176"/>
      <c r="C198" s="177"/>
      <c r="D198" s="178" t="s">
        <v>15</v>
      </c>
      <c r="E198" s="176"/>
      <c r="F198" s="179"/>
      <c r="G198" s="179"/>
      <c r="H198" s="180"/>
      <c r="I198" s="181">
        <f>SUM(I199:I200)</f>
        <v>5488.22</v>
      </c>
    </row>
    <row r="199" spans="1:11" ht="20.399999999999999" x14ac:dyDescent="0.2">
      <c r="A199" s="182" t="s">
        <v>392</v>
      </c>
      <c r="B199" s="182" t="s">
        <v>37</v>
      </c>
      <c r="C199" s="183">
        <v>88489</v>
      </c>
      <c r="D199" s="184" t="s">
        <v>135</v>
      </c>
      <c r="E199" s="182" t="s">
        <v>8</v>
      </c>
      <c r="F199" s="187">
        <f>'MEMORIA DE CALCULO'!J1152</f>
        <v>208.7</v>
      </c>
      <c r="G199" s="185">
        <v>14.94</v>
      </c>
      <c r="H199" s="185">
        <f t="shared" ref="H199:H200" si="41">ROUND(G199*(1+$M$4),2)</f>
        <v>19.5</v>
      </c>
      <c r="I199" s="185">
        <f>TRUNC(F199*H199,2)</f>
        <v>4069.65</v>
      </c>
    </row>
    <row r="200" spans="1:11" ht="40.799999999999997" x14ac:dyDescent="0.2">
      <c r="A200" s="182" t="s">
        <v>473</v>
      </c>
      <c r="B200" s="182" t="s">
        <v>37</v>
      </c>
      <c r="C200" s="183">
        <v>100740</v>
      </c>
      <c r="D200" s="184" t="s">
        <v>217</v>
      </c>
      <c r="E200" s="182" t="s">
        <v>8</v>
      </c>
      <c r="F200" s="187">
        <f>'MEMORIA DE CALCULO'!J1157</f>
        <v>94.320000000000007</v>
      </c>
      <c r="G200" s="185">
        <v>11.52</v>
      </c>
      <c r="H200" s="185">
        <f t="shared" si="41"/>
        <v>15.04</v>
      </c>
      <c r="I200" s="185">
        <f>TRUNC(F200*H200,2)</f>
        <v>1418.57</v>
      </c>
    </row>
    <row r="201" spans="1:11" s="51" customFormat="1" x14ac:dyDescent="0.2">
      <c r="A201" s="175" t="s">
        <v>474</v>
      </c>
      <c r="B201" s="176"/>
      <c r="C201" s="177"/>
      <c r="D201" s="178" t="s">
        <v>14</v>
      </c>
      <c r="E201" s="176"/>
      <c r="F201" s="179"/>
      <c r="G201" s="179"/>
      <c r="H201" s="180"/>
      <c r="I201" s="181">
        <f>SUM(I202:I205)</f>
        <v>61407.94</v>
      </c>
      <c r="J201" s="164">
        <f>I201/I$162</f>
        <v>0.32007170764114617</v>
      </c>
    </row>
    <row r="202" spans="1:11" s="47" customFormat="1" ht="51" x14ac:dyDescent="0.2">
      <c r="A202" s="182" t="s">
        <v>475</v>
      </c>
      <c r="B202" s="182" t="s">
        <v>37</v>
      </c>
      <c r="C202" s="183">
        <v>90844</v>
      </c>
      <c r="D202" s="184" t="s">
        <v>207</v>
      </c>
      <c r="E202" s="182" t="s">
        <v>17</v>
      </c>
      <c r="F202" s="187">
        <f>'MEMORIA DE CALCULO'!J1166</f>
        <v>3</v>
      </c>
      <c r="G202" s="185">
        <v>1018.83</v>
      </c>
      <c r="H202" s="185">
        <f t="shared" ref="H202" si="42">ROUND(G202*(1+$M$4),2)</f>
        <v>1329.88</v>
      </c>
      <c r="I202" s="185">
        <f>TRUNC(F202*H202,2)</f>
        <v>3989.64</v>
      </c>
      <c r="J202" s="166"/>
    </row>
    <row r="203" spans="1:11" s="47" customFormat="1" ht="20.399999999999999" x14ac:dyDescent="0.2">
      <c r="A203" s="182" t="s">
        <v>493</v>
      </c>
      <c r="B203" s="182" t="s">
        <v>122</v>
      </c>
      <c r="C203" s="183" t="s">
        <v>468</v>
      </c>
      <c r="D203" s="184" t="s">
        <v>469</v>
      </c>
      <c r="E203" s="182" t="s">
        <v>8</v>
      </c>
      <c r="F203" s="187">
        <f>'MEMORIA DE CALCULO'!J1171</f>
        <v>88.54</v>
      </c>
      <c r="G203" s="185">
        <v>364.02</v>
      </c>
      <c r="H203" s="185">
        <f t="shared" ref="H203" si="43">ROUND(G203*(1+$M$4),2)</f>
        <v>475.16</v>
      </c>
      <c r="I203" s="185">
        <f t="shared" ref="I203:I205" si="44">TRUNC(F203*H203,2)</f>
        <v>42070.66</v>
      </c>
      <c r="J203" s="166"/>
    </row>
    <row r="204" spans="1:11" s="47" customFormat="1" ht="30.6" x14ac:dyDescent="0.2">
      <c r="A204" s="182" t="s">
        <v>536</v>
      </c>
      <c r="B204" s="182" t="s">
        <v>87</v>
      </c>
      <c r="C204" s="183" t="str">
        <f>'COMPOSICOES COM DESON'!A41</f>
        <v>COMP-003</v>
      </c>
      <c r="D204" s="184" t="str">
        <f>'COMPOSICOES COM DESON'!D42</f>
        <v>PORTAO DE CORRER EM GRADIL FIXO DE BARRA DE FERRO CHATA DE 3 X 1/4" NA VERTICAL, SEM REQUADRO, ACABAMENTO NATURAL, COM TRILHOS E ROLDANAS</v>
      </c>
      <c r="E204" s="182" t="str">
        <f>'COMPOSICOES COM DESON'!D43</f>
        <v>m²</v>
      </c>
      <c r="F204" s="187">
        <f>'MEMORIA DE CALCULO'!J1176</f>
        <v>6</v>
      </c>
      <c r="G204" s="185">
        <f>'COMPOSICOES COM DESON'!G50</f>
        <v>825.6</v>
      </c>
      <c r="H204" s="185">
        <f t="shared" ref="H204" si="45">ROUND(G204*(1+$M$4),2)</f>
        <v>1077.6600000000001</v>
      </c>
      <c r="I204" s="185">
        <f t="shared" si="44"/>
        <v>6465.96</v>
      </c>
      <c r="J204" s="166"/>
    </row>
    <row r="205" spans="1:11" s="47" customFormat="1" ht="51" x14ac:dyDescent="0.2">
      <c r="A205" s="182" t="s">
        <v>545</v>
      </c>
      <c r="B205" s="182" t="s">
        <v>37</v>
      </c>
      <c r="C205" s="183">
        <v>99837</v>
      </c>
      <c r="D205" s="184" t="s">
        <v>287</v>
      </c>
      <c r="E205" s="182" t="s">
        <v>21</v>
      </c>
      <c r="F205" s="187">
        <f>'MEMORIA DE CALCULO'!J1181</f>
        <v>8</v>
      </c>
      <c r="G205" s="185">
        <v>850.54</v>
      </c>
      <c r="H205" s="185">
        <f>ROUND(G205*(1+$M$4),2)</f>
        <v>1110.21</v>
      </c>
      <c r="I205" s="185">
        <f t="shared" si="44"/>
        <v>8881.68</v>
      </c>
      <c r="J205" s="166"/>
    </row>
    <row r="206" spans="1:11" x14ac:dyDescent="0.2">
      <c r="A206" s="175" t="s">
        <v>494</v>
      </c>
      <c r="B206" s="176"/>
      <c r="C206" s="177"/>
      <c r="D206" s="178" t="s">
        <v>142</v>
      </c>
      <c r="E206" s="176"/>
      <c r="F206" s="179"/>
      <c r="G206" s="179"/>
      <c r="H206" s="180"/>
      <c r="I206" s="181">
        <f>SUM(I207:I207)</f>
        <v>1405.15</v>
      </c>
    </row>
    <row r="207" spans="1:11" ht="20.399999999999999" x14ac:dyDescent="0.2">
      <c r="A207" s="182" t="s">
        <v>495</v>
      </c>
      <c r="B207" s="182" t="s">
        <v>37</v>
      </c>
      <c r="C207" s="183">
        <v>103946</v>
      </c>
      <c r="D207" s="186" t="s">
        <v>143</v>
      </c>
      <c r="E207" s="182" t="s">
        <v>8</v>
      </c>
      <c r="F207" s="185">
        <f>'MEMORIA DE CALCULO'!J1188</f>
        <v>61.2</v>
      </c>
      <c r="G207" s="185">
        <v>17.59</v>
      </c>
      <c r="H207" s="185">
        <f>ROUND(G207*(1+$M$4),2)</f>
        <v>22.96</v>
      </c>
      <c r="I207" s="185">
        <f>TRUNC(F207*H207,2)</f>
        <v>1405.15</v>
      </c>
      <c r="K207" s="52">
        <v>348100.91</v>
      </c>
    </row>
    <row r="208" spans="1:11" x14ac:dyDescent="0.2">
      <c r="A208" s="190"/>
      <c r="B208" s="190"/>
      <c r="C208" s="191"/>
      <c r="D208" s="192"/>
      <c r="E208" s="190"/>
      <c r="F208" s="190"/>
      <c r="G208" s="190"/>
      <c r="H208" s="193" t="s">
        <v>447</v>
      </c>
      <c r="I208" s="194">
        <f>I164+I168+I176+I182+I185+I187+I198+I201+I206</f>
        <v>159976.34</v>
      </c>
    </row>
    <row r="209" spans="1:9" x14ac:dyDescent="0.2">
      <c r="A209" s="190"/>
      <c r="B209" s="190"/>
      <c r="C209" s="191"/>
      <c r="D209" s="192"/>
      <c r="E209" s="190"/>
      <c r="F209" s="190"/>
      <c r="G209" s="190"/>
      <c r="H209" s="193" t="s">
        <v>38</v>
      </c>
      <c r="I209" s="194">
        <f>I162+I208</f>
        <v>351833.16</v>
      </c>
    </row>
    <row r="210" spans="1:9" x14ac:dyDescent="0.2">
      <c r="A210" s="286"/>
      <c r="B210" s="286"/>
      <c r="C210" s="286"/>
      <c r="D210" s="287"/>
      <c r="E210" s="289"/>
      <c r="F210" s="289"/>
      <c r="G210" s="289"/>
      <c r="H210" s="289"/>
      <c r="I210" s="289"/>
    </row>
    <row r="211" spans="1:9" x14ac:dyDescent="0.2">
      <c r="A211" s="286"/>
      <c r="B211" s="286"/>
      <c r="C211" s="286"/>
      <c r="D211" s="288"/>
      <c r="E211" s="289"/>
      <c r="F211" s="289"/>
      <c r="G211" s="289"/>
      <c r="H211" s="289"/>
      <c r="I211" s="289"/>
    </row>
    <row r="212" spans="1:9" x14ac:dyDescent="0.2">
      <c r="A212" s="286"/>
      <c r="B212" s="286"/>
      <c r="C212" s="286"/>
      <c r="D212" s="288"/>
      <c r="E212" s="289"/>
      <c r="F212" s="289"/>
      <c r="G212" s="289"/>
      <c r="H212" s="289"/>
      <c r="I212" s="289"/>
    </row>
    <row r="213" spans="1:9" x14ac:dyDescent="0.2">
      <c r="A213" s="286"/>
      <c r="B213" s="286"/>
      <c r="C213" s="286"/>
      <c r="D213" s="104"/>
      <c r="E213" s="289"/>
      <c r="F213" s="289"/>
      <c r="G213" s="289"/>
      <c r="H213" s="289"/>
      <c r="I213" s="289"/>
    </row>
    <row r="214" spans="1:9" x14ac:dyDescent="0.2">
      <c r="A214" s="286"/>
      <c r="B214" s="286"/>
      <c r="C214" s="286"/>
      <c r="D214" s="104"/>
      <c r="E214" s="289"/>
      <c r="F214" s="289"/>
      <c r="G214" s="289"/>
      <c r="H214" s="289"/>
      <c r="I214" s="289"/>
    </row>
    <row r="215" spans="1:9" x14ac:dyDescent="0.2">
      <c r="A215" s="111"/>
      <c r="B215" s="105"/>
      <c r="C215" s="106"/>
      <c r="D215" s="107"/>
      <c r="E215" s="105"/>
      <c r="F215" s="105"/>
      <c r="G215" s="105"/>
      <c r="H215" s="105"/>
      <c r="I215" s="105"/>
    </row>
  </sheetData>
  <autoFilter ref="A8:I209" xr:uid="{00000000-0009-0000-0000-000009000000}"/>
  <mergeCells count="6">
    <mergeCell ref="A2:I2"/>
    <mergeCell ref="A1:I1"/>
    <mergeCell ref="A210:C214"/>
    <mergeCell ref="D210:D212"/>
    <mergeCell ref="E210:I214"/>
    <mergeCell ref="A3:I3"/>
  </mergeCells>
  <phoneticPr fontId="8" type="noConversion"/>
  <dataValidations disablePrompts="1" count="1">
    <dataValidation allowBlank="1" showInputMessage="1" showErrorMessage="1" promptTitle="Atenção!!!" prompt="Inserir o BDI em valor percentual." sqref="L2 L4:M4" xr:uid="{00000000-0002-0000-0900-000000000000}"/>
  </dataValidations>
  <printOptions horizontalCentered="1"/>
  <pageMargins left="0.59055118110236227" right="0.39370078740157483" top="1.2204724409448819" bottom="0.86614173228346458" header="0.39370078740157483" footer="7.874015748031496E-2"/>
  <pageSetup paperSize="9" scale="70" fitToHeight="0" orientation="portrait" r:id="rId1"/>
  <headerFooter>
    <oddHeader>&amp;C&amp;G</oddHeader>
    <oddFooter>&amp;L
&amp;C&amp;G</oddFooter>
  </headerFooter>
  <rowBreaks count="1" manualBreakCount="1">
    <brk id="196" max="8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6C901-5E68-4DA4-81A8-9B63F86B2626}">
  <sheetPr>
    <tabColor theme="5" tint="-0.249977111117893"/>
  </sheetPr>
  <dimension ref="A1:L206"/>
  <sheetViews>
    <sheetView view="pageBreakPreview" zoomScaleNormal="100" zoomScaleSheetLayoutView="100" workbookViewId="0">
      <selection activeCell="C17" sqref="C17"/>
    </sheetView>
  </sheetViews>
  <sheetFormatPr defaultRowHeight="10.199999999999999" x14ac:dyDescent="0.2"/>
  <cols>
    <col min="1" max="1" width="12.44140625" style="46" customWidth="1"/>
    <col min="2" max="2" width="10.88671875" style="46" customWidth="1"/>
    <col min="3" max="3" width="50.44140625" style="46" customWidth="1"/>
    <col min="4" max="4" width="9.109375" style="46"/>
    <col min="5" max="5" width="11.33203125" style="46" customWidth="1"/>
    <col min="6" max="6" width="9.5546875" style="46" customWidth="1"/>
    <col min="7" max="7" width="12.88671875" style="46" bestFit="1" customWidth="1"/>
    <col min="8" max="257" width="9.109375" style="46"/>
    <col min="258" max="258" width="17.5546875" style="46" customWidth="1"/>
    <col min="259" max="259" width="47.5546875" style="46" customWidth="1"/>
    <col min="260" max="260" width="9.109375" style="46"/>
    <col min="261" max="261" width="10.33203125" style="46" customWidth="1"/>
    <col min="262" max="262" width="11.6640625" style="46" customWidth="1"/>
    <col min="263" max="263" width="15.88671875" style="46" customWidth="1"/>
    <col min="264" max="513" width="9.109375" style="46"/>
    <col min="514" max="514" width="17.5546875" style="46" customWidth="1"/>
    <col min="515" max="515" width="47.5546875" style="46" customWidth="1"/>
    <col min="516" max="516" width="9.109375" style="46"/>
    <col min="517" max="517" width="10.33203125" style="46" customWidth="1"/>
    <col min="518" max="518" width="11.6640625" style="46" customWidth="1"/>
    <col min="519" max="519" width="15.88671875" style="46" customWidth="1"/>
    <col min="520" max="769" width="9.109375" style="46"/>
    <col min="770" max="770" width="17.5546875" style="46" customWidth="1"/>
    <col min="771" max="771" width="47.5546875" style="46" customWidth="1"/>
    <col min="772" max="772" width="9.109375" style="46"/>
    <col min="773" max="773" width="10.33203125" style="46" customWidth="1"/>
    <col min="774" max="774" width="11.6640625" style="46" customWidth="1"/>
    <col min="775" max="775" width="15.88671875" style="46" customWidth="1"/>
    <col min="776" max="1025" width="9.109375" style="46"/>
    <col min="1026" max="1026" width="17.5546875" style="46" customWidth="1"/>
    <col min="1027" max="1027" width="47.5546875" style="46" customWidth="1"/>
    <col min="1028" max="1028" width="9.109375" style="46"/>
    <col min="1029" max="1029" width="10.33203125" style="46" customWidth="1"/>
    <col min="1030" max="1030" width="11.6640625" style="46" customWidth="1"/>
    <col min="1031" max="1031" width="15.88671875" style="46" customWidth="1"/>
    <col min="1032" max="1281" width="9.109375" style="46"/>
    <col min="1282" max="1282" width="17.5546875" style="46" customWidth="1"/>
    <col min="1283" max="1283" width="47.5546875" style="46" customWidth="1"/>
    <col min="1284" max="1284" width="9.109375" style="46"/>
    <col min="1285" max="1285" width="10.33203125" style="46" customWidth="1"/>
    <col min="1286" max="1286" width="11.6640625" style="46" customWidth="1"/>
    <col min="1287" max="1287" width="15.88671875" style="46" customWidth="1"/>
    <col min="1288" max="1537" width="9.109375" style="46"/>
    <col min="1538" max="1538" width="17.5546875" style="46" customWidth="1"/>
    <col min="1539" max="1539" width="47.5546875" style="46" customWidth="1"/>
    <col min="1540" max="1540" width="9.109375" style="46"/>
    <col min="1541" max="1541" width="10.33203125" style="46" customWidth="1"/>
    <col min="1542" max="1542" width="11.6640625" style="46" customWidth="1"/>
    <col min="1543" max="1543" width="15.88671875" style="46" customWidth="1"/>
    <col min="1544" max="1793" width="9.109375" style="46"/>
    <col min="1794" max="1794" width="17.5546875" style="46" customWidth="1"/>
    <col min="1795" max="1795" width="47.5546875" style="46" customWidth="1"/>
    <col min="1796" max="1796" width="9.109375" style="46"/>
    <col min="1797" max="1797" width="10.33203125" style="46" customWidth="1"/>
    <col min="1798" max="1798" width="11.6640625" style="46" customWidth="1"/>
    <col min="1799" max="1799" width="15.88671875" style="46" customWidth="1"/>
    <col min="1800" max="2049" width="9.109375" style="46"/>
    <col min="2050" max="2050" width="17.5546875" style="46" customWidth="1"/>
    <col min="2051" max="2051" width="47.5546875" style="46" customWidth="1"/>
    <col min="2052" max="2052" width="9.109375" style="46"/>
    <col min="2053" max="2053" width="10.33203125" style="46" customWidth="1"/>
    <col min="2054" max="2054" width="11.6640625" style="46" customWidth="1"/>
    <col min="2055" max="2055" width="15.88671875" style="46" customWidth="1"/>
    <col min="2056" max="2305" width="9.109375" style="46"/>
    <col min="2306" max="2306" width="17.5546875" style="46" customWidth="1"/>
    <col min="2307" max="2307" width="47.5546875" style="46" customWidth="1"/>
    <col min="2308" max="2308" width="9.109375" style="46"/>
    <col min="2309" max="2309" width="10.33203125" style="46" customWidth="1"/>
    <col min="2310" max="2310" width="11.6640625" style="46" customWidth="1"/>
    <col min="2311" max="2311" width="15.88671875" style="46" customWidth="1"/>
    <col min="2312" max="2561" width="9.109375" style="46"/>
    <col min="2562" max="2562" width="17.5546875" style="46" customWidth="1"/>
    <col min="2563" max="2563" width="47.5546875" style="46" customWidth="1"/>
    <col min="2564" max="2564" width="9.109375" style="46"/>
    <col min="2565" max="2565" width="10.33203125" style="46" customWidth="1"/>
    <col min="2566" max="2566" width="11.6640625" style="46" customWidth="1"/>
    <col min="2567" max="2567" width="15.88671875" style="46" customWidth="1"/>
    <col min="2568" max="2817" width="9.109375" style="46"/>
    <col min="2818" max="2818" width="17.5546875" style="46" customWidth="1"/>
    <col min="2819" max="2819" width="47.5546875" style="46" customWidth="1"/>
    <col min="2820" max="2820" width="9.109375" style="46"/>
    <col min="2821" max="2821" width="10.33203125" style="46" customWidth="1"/>
    <col min="2822" max="2822" width="11.6640625" style="46" customWidth="1"/>
    <col min="2823" max="2823" width="15.88671875" style="46" customWidth="1"/>
    <col min="2824" max="3073" width="9.109375" style="46"/>
    <col min="3074" max="3074" width="17.5546875" style="46" customWidth="1"/>
    <col min="3075" max="3075" width="47.5546875" style="46" customWidth="1"/>
    <col min="3076" max="3076" width="9.109375" style="46"/>
    <col min="3077" max="3077" width="10.33203125" style="46" customWidth="1"/>
    <col min="3078" max="3078" width="11.6640625" style="46" customWidth="1"/>
    <col min="3079" max="3079" width="15.88671875" style="46" customWidth="1"/>
    <col min="3080" max="3329" width="9.109375" style="46"/>
    <col min="3330" max="3330" width="17.5546875" style="46" customWidth="1"/>
    <col min="3331" max="3331" width="47.5546875" style="46" customWidth="1"/>
    <col min="3332" max="3332" width="9.109375" style="46"/>
    <col min="3333" max="3333" width="10.33203125" style="46" customWidth="1"/>
    <col min="3334" max="3334" width="11.6640625" style="46" customWidth="1"/>
    <col min="3335" max="3335" width="15.88671875" style="46" customWidth="1"/>
    <col min="3336" max="3585" width="9.109375" style="46"/>
    <col min="3586" max="3586" width="17.5546875" style="46" customWidth="1"/>
    <col min="3587" max="3587" width="47.5546875" style="46" customWidth="1"/>
    <col min="3588" max="3588" width="9.109375" style="46"/>
    <col min="3589" max="3589" width="10.33203125" style="46" customWidth="1"/>
    <col min="3590" max="3590" width="11.6640625" style="46" customWidth="1"/>
    <col min="3591" max="3591" width="15.88671875" style="46" customWidth="1"/>
    <col min="3592" max="3841" width="9.109375" style="46"/>
    <col min="3842" max="3842" width="17.5546875" style="46" customWidth="1"/>
    <col min="3843" max="3843" width="47.5546875" style="46" customWidth="1"/>
    <col min="3844" max="3844" width="9.109375" style="46"/>
    <col min="3845" max="3845" width="10.33203125" style="46" customWidth="1"/>
    <col min="3846" max="3846" width="11.6640625" style="46" customWidth="1"/>
    <col min="3847" max="3847" width="15.88671875" style="46" customWidth="1"/>
    <col min="3848" max="4097" width="9.109375" style="46"/>
    <col min="4098" max="4098" width="17.5546875" style="46" customWidth="1"/>
    <col min="4099" max="4099" width="47.5546875" style="46" customWidth="1"/>
    <col min="4100" max="4100" width="9.109375" style="46"/>
    <col min="4101" max="4101" width="10.33203125" style="46" customWidth="1"/>
    <col min="4102" max="4102" width="11.6640625" style="46" customWidth="1"/>
    <col min="4103" max="4103" width="15.88671875" style="46" customWidth="1"/>
    <col min="4104" max="4353" width="9.109375" style="46"/>
    <col min="4354" max="4354" width="17.5546875" style="46" customWidth="1"/>
    <col min="4355" max="4355" width="47.5546875" style="46" customWidth="1"/>
    <col min="4356" max="4356" width="9.109375" style="46"/>
    <col min="4357" max="4357" width="10.33203125" style="46" customWidth="1"/>
    <col min="4358" max="4358" width="11.6640625" style="46" customWidth="1"/>
    <col min="4359" max="4359" width="15.88671875" style="46" customWidth="1"/>
    <col min="4360" max="4609" width="9.109375" style="46"/>
    <col min="4610" max="4610" width="17.5546875" style="46" customWidth="1"/>
    <col min="4611" max="4611" width="47.5546875" style="46" customWidth="1"/>
    <col min="4612" max="4612" width="9.109375" style="46"/>
    <col min="4613" max="4613" width="10.33203125" style="46" customWidth="1"/>
    <col min="4614" max="4614" width="11.6640625" style="46" customWidth="1"/>
    <col min="4615" max="4615" width="15.88671875" style="46" customWidth="1"/>
    <col min="4616" max="4865" width="9.109375" style="46"/>
    <col min="4866" max="4866" width="17.5546875" style="46" customWidth="1"/>
    <col min="4867" max="4867" width="47.5546875" style="46" customWidth="1"/>
    <col min="4868" max="4868" width="9.109375" style="46"/>
    <col min="4869" max="4869" width="10.33203125" style="46" customWidth="1"/>
    <col min="4870" max="4870" width="11.6640625" style="46" customWidth="1"/>
    <col min="4871" max="4871" width="15.88671875" style="46" customWidth="1"/>
    <col min="4872" max="5121" width="9.109375" style="46"/>
    <col min="5122" max="5122" width="17.5546875" style="46" customWidth="1"/>
    <col min="5123" max="5123" width="47.5546875" style="46" customWidth="1"/>
    <col min="5124" max="5124" width="9.109375" style="46"/>
    <col min="5125" max="5125" width="10.33203125" style="46" customWidth="1"/>
    <col min="5126" max="5126" width="11.6640625" style="46" customWidth="1"/>
    <col min="5127" max="5127" width="15.88671875" style="46" customWidth="1"/>
    <col min="5128" max="5377" width="9.109375" style="46"/>
    <col min="5378" max="5378" width="17.5546875" style="46" customWidth="1"/>
    <col min="5379" max="5379" width="47.5546875" style="46" customWidth="1"/>
    <col min="5380" max="5380" width="9.109375" style="46"/>
    <col min="5381" max="5381" width="10.33203125" style="46" customWidth="1"/>
    <col min="5382" max="5382" width="11.6640625" style="46" customWidth="1"/>
    <col min="5383" max="5383" width="15.88671875" style="46" customWidth="1"/>
    <col min="5384" max="5633" width="9.109375" style="46"/>
    <col min="5634" max="5634" width="17.5546875" style="46" customWidth="1"/>
    <col min="5635" max="5635" width="47.5546875" style="46" customWidth="1"/>
    <col min="5636" max="5636" width="9.109375" style="46"/>
    <col min="5637" max="5637" width="10.33203125" style="46" customWidth="1"/>
    <col min="5638" max="5638" width="11.6640625" style="46" customWidth="1"/>
    <col min="5639" max="5639" width="15.88671875" style="46" customWidth="1"/>
    <col min="5640" max="5889" width="9.109375" style="46"/>
    <col min="5890" max="5890" width="17.5546875" style="46" customWidth="1"/>
    <col min="5891" max="5891" width="47.5546875" style="46" customWidth="1"/>
    <col min="5892" max="5892" width="9.109375" style="46"/>
    <col min="5893" max="5893" width="10.33203125" style="46" customWidth="1"/>
    <col min="5894" max="5894" width="11.6640625" style="46" customWidth="1"/>
    <col min="5895" max="5895" width="15.88671875" style="46" customWidth="1"/>
    <col min="5896" max="6145" width="9.109375" style="46"/>
    <col min="6146" max="6146" width="17.5546875" style="46" customWidth="1"/>
    <col min="6147" max="6147" width="47.5546875" style="46" customWidth="1"/>
    <col min="6148" max="6148" width="9.109375" style="46"/>
    <col min="6149" max="6149" width="10.33203125" style="46" customWidth="1"/>
    <col min="6150" max="6150" width="11.6640625" style="46" customWidth="1"/>
    <col min="6151" max="6151" width="15.88671875" style="46" customWidth="1"/>
    <col min="6152" max="6401" width="9.109375" style="46"/>
    <col min="6402" max="6402" width="17.5546875" style="46" customWidth="1"/>
    <col min="6403" max="6403" width="47.5546875" style="46" customWidth="1"/>
    <col min="6404" max="6404" width="9.109375" style="46"/>
    <col min="6405" max="6405" width="10.33203125" style="46" customWidth="1"/>
    <col min="6406" max="6406" width="11.6640625" style="46" customWidth="1"/>
    <col min="6407" max="6407" width="15.88671875" style="46" customWidth="1"/>
    <col min="6408" max="6657" width="9.109375" style="46"/>
    <col min="6658" max="6658" width="17.5546875" style="46" customWidth="1"/>
    <col min="6659" max="6659" width="47.5546875" style="46" customWidth="1"/>
    <col min="6660" max="6660" width="9.109375" style="46"/>
    <col min="6661" max="6661" width="10.33203125" style="46" customWidth="1"/>
    <col min="6662" max="6662" width="11.6640625" style="46" customWidth="1"/>
    <col min="6663" max="6663" width="15.88671875" style="46" customWidth="1"/>
    <col min="6664" max="6913" width="9.109375" style="46"/>
    <col min="6914" max="6914" width="17.5546875" style="46" customWidth="1"/>
    <col min="6915" max="6915" width="47.5546875" style="46" customWidth="1"/>
    <col min="6916" max="6916" width="9.109375" style="46"/>
    <col min="6917" max="6917" width="10.33203125" style="46" customWidth="1"/>
    <col min="6918" max="6918" width="11.6640625" style="46" customWidth="1"/>
    <col min="6919" max="6919" width="15.88671875" style="46" customWidth="1"/>
    <col min="6920" max="7169" width="9.109375" style="46"/>
    <col min="7170" max="7170" width="17.5546875" style="46" customWidth="1"/>
    <col min="7171" max="7171" width="47.5546875" style="46" customWidth="1"/>
    <col min="7172" max="7172" width="9.109375" style="46"/>
    <col min="7173" max="7173" width="10.33203125" style="46" customWidth="1"/>
    <col min="7174" max="7174" width="11.6640625" style="46" customWidth="1"/>
    <col min="7175" max="7175" width="15.88671875" style="46" customWidth="1"/>
    <col min="7176" max="7425" width="9.109375" style="46"/>
    <col min="7426" max="7426" width="17.5546875" style="46" customWidth="1"/>
    <col min="7427" max="7427" width="47.5546875" style="46" customWidth="1"/>
    <col min="7428" max="7428" width="9.109375" style="46"/>
    <col min="7429" max="7429" width="10.33203125" style="46" customWidth="1"/>
    <col min="7430" max="7430" width="11.6640625" style="46" customWidth="1"/>
    <col min="7431" max="7431" width="15.88671875" style="46" customWidth="1"/>
    <col min="7432" max="7681" width="9.109375" style="46"/>
    <col min="7682" max="7682" width="17.5546875" style="46" customWidth="1"/>
    <col min="7683" max="7683" width="47.5546875" style="46" customWidth="1"/>
    <col min="7684" max="7684" width="9.109375" style="46"/>
    <col min="7685" max="7685" width="10.33203125" style="46" customWidth="1"/>
    <col min="7686" max="7686" width="11.6640625" style="46" customWidth="1"/>
    <col min="7687" max="7687" width="15.88671875" style="46" customWidth="1"/>
    <col min="7688" max="7937" width="9.109375" style="46"/>
    <col min="7938" max="7938" width="17.5546875" style="46" customWidth="1"/>
    <col min="7939" max="7939" width="47.5546875" style="46" customWidth="1"/>
    <col min="7940" max="7940" width="9.109375" style="46"/>
    <col min="7941" max="7941" width="10.33203125" style="46" customWidth="1"/>
    <col min="7942" max="7942" width="11.6640625" style="46" customWidth="1"/>
    <col min="7943" max="7943" width="15.88671875" style="46" customWidth="1"/>
    <col min="7944" max="8193" width="9.109375" style="46"/>
    <col min="8194" max="8194" width="17.5546875" style="46" customWidth="1"/>
    <col min="8195" max="8195" width="47.5546875" style="46" customWidth="1"/>
    <col min="8196" max="8196" width="9.109375" style="46"/>
    <col min="8197" max="8197" width="10.33203125" style="46" customWidth="1"/>
    <col min="8198" max="8198" width="11.6640625" style="46" customWidth="1"/>
    <col min="8199" max="8199" width="15.88671875" style="46" customWidth="1"/>
    <col min="8200" max="8449" width="9.109375" style="46"/>
    <col min="8450" max="8450" width="17.5546875" style="46" customWidth="1"/>
    <col min="8451" max="8451" width="47.5546875" style="46" customWidth="1"/>
    <col min="8452" max="8452" width="9.109375" style="46"/>
    <col min="8453" max="8453" width="10.33203125" style="46" customWidth="1"/>
    <col min="8454" max="8454" width="11.6640625" style="46" customWidth="1"/>
    <col min="8455" max="8455" width="15.88671875" style="46" customWidth="1"/>
    <col min="8456" max="8705" width="9.109375" style="46"/>
    <col min="8706" max="8706" width="17.5546875" style="46" customWidth="1"/>
    <col min="8707" max="8707" width="47.5546875" style="46" customWidth="1"/>
    <col min="8708" max="8708" width="9.109375" style="46"/>
    <col min="8709" max="8709" width="10.33203125" style="46" customWidth="1"/>
    <col min="8710" max="8710" width="11.6640625" style="46" customWidth="1"/>
    <col min="8711" max="8711" width="15.88671875" style="46" customWidth="1"/>
    <col min="8712" max="8961" width="9.109375" style="46"/>
    <col min="8962" max="8962" width="17.5546875" style="46" customWidth="1"/>
    <col min="8963" max="8963" width="47.5546875" style="46" customWidth="1"/>
    <col min="8964" max="8964" width="9.109375" style="46"/>
    <col min="8965" max="8965" width="10.33203125" style="46" customWidth="1"/>
    <col min="8966" max="8966" width="11.6640625" style="46" customWidth="1"/>
    <col min="8967" max="8967" width="15.88671875" style="46" customWidth="1"/>
    <col min="8968" max="9217" width="9.109375" style="46"/>
    <col min="9218" max="9218" width="17.5546875" style="46" customWidth="1"/>
    <col min="9219" max="9219" width="47.5546875" style="46" customWidth="1"/>
    <col min="9220" max="9220" width="9.109375" style="46"/>
    <col min="9221" max="9221" width="10.33203125" style="46" customWidth="1"/>
    <col min="9222" max="9222" width="11.6640625" style="46" customWidth="1"/>
    <col min="9223" max="9223" width="15.88671875" style="46" customWidth="1"/>
    <col min="9224" max="9473" width="9.109375" style="46"/>
    <col min="9474" max="9474" width="17.5546875" style="46" customWidth="1"/>
    <col min="9475" max="9475" width="47.5546875" style="46" customWidth="1"/>
    <col min="9476" max="9476" width="9.109375" style="46"/>
    <col min="9477" max="9477" width="10.33203125" style="46" customWidth="1"/>
    <col min="9478" max="9478" width="11.6640625" style="46" customWidth="1"/>
    <col min="9479" max="9479" width="15.88671875" style="46" customWidth="1"/>
    <col min="9480" max="9729" width="9.109375" style="46"/>
    <col min="9730" max="9730" width="17.5546875" style="46" customWidth="1"/>
    <col min="9731" max="9731" width="47.5546875" style="46" customWidth="1"/>
    <col min="9732" max="9732" width="9.109375" style="46"/>
    <col min="9733" max="9733" width="10.33203125" style="46" customWidth="1"/>
    <col min="9734" max="9734" width="11.6640625" style="46" customWidth="1"/>
    <col min="9735" max="9735" width="15.88671875" style="46" customWidth="1"/>
    <col min="9736" max="9985" width="9.109375" style="46"/>
    <col min="9986" max="9986" width="17.5546875" style="46" customWidth="1"/>
    <col min="9987" max="9987" width="47.5546875" style="46" customWidth="1"/>
    <col min="9988" max="9988" width="9.109375" style="46"/>
    <col min="9989" max="9989" width="10.33203125" style="46" customWidth="1"/>
    <col min="9990" max="9990" width="11.6640625" style="46" customWidth="1"/>
    <col min="9991" max="9991" width="15.88671875" style="46" customWidth="1"/>
    <col min="9992" max="10241" width="9.109375" style="46"/>
    <col min="10242" max="10242" width="17.5546875" style="46" customWidth="1"/>
    <col min="10243" max="10243" width="47.5546875" style="46" customWidth="1"/>
    <col min="10244" max="10244" width="9.109375" style="46"/>
    <col min="10245" max="10245" width="10.33203125" style="46" customWidth="1"/>
    <col min="10246" max="10246" width="11.6640625" style="46" customWidth="1"/>
    <col min="10247" max="10247" width="15.88671875" style="46" customWidth="1"/>
    <col min="10248" max="10497" width="9.109375" style="46"/>
    <col min="10498" max="10498" width="17.5546875" style="46" customWidth="1"/>
    <col min="10499" max="10499" width="47.5546875" style="46" customWidth="1"/>
    <col min="10500" max="10500" width="9.109375" style="46"/>
    <col min="10501" max="10501" width="10.33203125" style="46" customWidth="1"/>
    <col min="10502" max="10502" width="11.6640625" style="46" customWidth="1"/>
    <col min="10503" max="10503" width="15.88671875" style="46" customWidth="1"/>
    <col min="10504" max="10753" width="9.109375" style="46"/>
    <col min="10754" max="10754" width="17.5546875" style="46" customWidth="1"/>
    <col min="10755" max="10755" width="47.5546875" style="46" customWidth="1"/>
    <col min="10756" max="10756" width="9.109375" style="46"/>
    <col min="10757" max="10757" width="10.33203125" style="46" customWidth="1"/>
    <col min="10758" max="10758" width="11.6640625" style="46" customWidth="1"/>
    <col min="10759" max="10759" width="15.88671875" style="46" customWidth="1"/>
    <col min="10760" max="11009" width="9.109375" style="46"/>
    <col min="11010" max="11010" width="17.5546875" style="46" customWidth="1"/>
    <col min="11011" max="11011" width="47.5546875" style="46" customWidth="1"/>
    <col min="11012" max="11012" width="9.109375" style="46"/>
    <col min="11013" max="11013" width="10.33203125" style="46" customWidth="1"/>
    <col min="11014" max="11014" width="11.6640625" style="46" customWidth="1"/>
    <col min="11015" max="11015" width="15.88671875" style="46" customWidth="1"/>
    <col min="11016" max="11265" width="9.109375" style="46"/>
    <col min="11266" max="11266" width="17.5546875" style="46" customWidth="1"/>
    <col min="11267" max="11267" width="47.5546875" style="46" customWidth="1"/>
    <col min="11268" max="11268" width="9.109375" style="46"/>
    <col min="11269" max="11269" width="10.33203125" style="46" customWidth="1"/>
    <col min="11270" max="11270" width="11.6640625" style="46" customWidth="1"/>
    <col min="11271" max="11271" width="15.88671875" style="46" customWidth="1"/>
    <col min="11272" max="11521" width="9.109375" style="46"/>
    <col min="11522" max="11522" width="17.5546875" style="46" customWidth="1"/>
    <col min="11523" max="11523" width="47.5546875" style="46" customWidth="1"/>
    <col min="11524" max="11524" width="9.109375" style="46"/>
    <col min="11525" max="11525" width="10.33203125" style="46" customWidth="1"/>
    <col min="11526" max="11526" width="11.6640625" style="46" customWidth="1"/>
    <col min="11527" max="11527" width="15.88671875" style="46" customWidth="1"/>
    <col min="11528" max="11777" width="9.109375" style="46"/>
    <col min="11778" max="11778" width="17.5546875" style="46" customWidth="1"/>
    <col min="11779" max="11779" width="47.5546875" style="46" customWidth="1"/>
    <col min="11780" max="11780" width="9.109375" style="46"/>
    <col min="11781" max="11781" width="10.33203125" style="46" customWidth="1"/>
    <col min="11782" max="11782" width="11.6640625" style="46" customWidth="1"/>
    <col min="11783" max="11783" width="15.88671875" style="46" customWidth="1"/>
    <col min="11784" max="12033" width="9.109375" style="46"/>
    <col min="12034" max="12034" width="17.5546875" style="46" customWidth="1"/>
    <col min="12035" max="12035" width="47.5546875" style="46" customWidth="1"/>
    <col min="12036" max="12036" width="9.109375" style="46"/>
    <col min="12037" max="12037" width="10.33203125" style="46" customWidth="1"/>
    <col min="12038" max="12038" width="11.6640625" style="46" customWidth="1"/>
    <col min="12039" max="12039" width="15.88671875" style="46" customWidth="1"/>
    <col min="12040" max="12289" width="9.109375" style="46"/>
    <col min="12290" max="12290" width="17.5546875" style="46" customWidth="1"/>
    <col min="12291" max="12291" width="47.5546875" style="46" customWidth="1"/>
    <col min="12292" max="12292" width="9.109375" style="46"/>
    <col min="12293" max="12293" width="10.33203125" style="46" customWidth="1"/>
    <col min="12294" max="12294" width="11.6640625" style="46" customWidth="1"/>
    <col min="12295" max="12295" width="15.88671875" style="46" customWidth="1"/>
    <col min="12296" max="12545" width="9.109375" style="46"/>
    <col min="12546" max="12546" width="17.5546875" style="46" customWidth="1"/>
    <col min="12547" max="12547" width="47.5546875" style="46" customWidth="1"/>
    <col min="12548" max="12548" width="9.109375" style="46"/>
    <col min="12549" max="12549" width="10.33203125" style="46" customWidth="1"/>
    <col min="12550" max="12550" width="11.6640625" style="46" customWidth="1"/>
    <col min="12551" max="12551" width="15.88671875" style="46" customWidth="1"/>
    <col min="12552" max="12801" width="9.109375" style="46"/>
    <col min="12802" max="12802" width="17.5546875" style="46" customWidth="1"/>
    <col min="12803" max="12803" width="47.5546875" style="46" customWidth="1"/>
    <col min="12804" max="12804" width="9.109375" style="46"/>
    <col min="12805" max="12805" width="10.33203125" style="46" customWidth="1"/>
    <col min="12806" max="12806" width="11.6640625" style="46" customWidth="1"/>
    <col min="12807" max="12807" width="15.88671875" style="46" customWidth="1"/>
    <col min="12808" max="13057" width="9.109375" style="46"/>
    <col min="13058" max="13058" width="17.5546875" style="46" customWidth="1"/>
    <col min="13059" max="13059" width="47.5546875" style="46" customWidth="1"/>
    <col min="13060" max="13060" width="9.109375" style="46"/>
    <col min="13061" max="13061" width="10.33203125" style="46" customWidth="1"/>
    <col min="13062" max="13062" width="11.6640625" style="46" customWidth="1"/>
    <col min="13063" max="13063" width="15.88671875" style="46" customWidth="1"/>
    <col min="13064" max="13313" width="9.109375" style="46"/>
    <col min="13314" max="13314" width="17.5546875" style="46" customWidth="1"/>
    <col min="13315" max="13315" width="47.5546875" style="46" customWidth="1"/>
    <col min="13316" max="13316" width="9.109375" style="46"/>
    <col min="13317" max="13317" width="10.33203125" style="46" customWidth="1"/>
    <col min="13318" max="13318" width="11.6640625" style="46" customWidth="1"/>
    <col min="13319" max="13319" width="15.88671875" style="46" customWidth="1"/>
    <col min="13320" max="13569" width="9.109375" style="46"/>
    <col min="13570" max="13570" width="17.5546875" style="46" customWidth="1"/>
    <col min="13571" max="13571" width="47.5546875" style="46" customWidth="1"/>
    <col min="13572" max="13572" width="9.109375" style="46"/>
    <col min="13573" max="13573" width="10.33203125" style="46" customWidth="1"/>
    <col min="13574" max="13574" width="11.6640625" style="46" customWidth="1"/>
    <col min="13575" max="13575" width="15.88671875" style="46" customWidth="1"/>
    <col min="13576" max="13825" width="9.109375" style="46"/>
    <col min="13826" max="13826" width="17.5546875" style="46" customWidth="1"/>
    <col min="13827" max="13827" width="47.5546875" style="46" customWidth="1"/>
    <col min="13828" max="13828" width="9.109375" style="46"/>
    <col min="13829" max="13829" width="10.33203125" style="46" customWidth="1"/>
    <col min="13830" max="13830" width="11.6640625" style="46" customWidth="1"/>
    <col min="13831" max="13831" width="15.88671875" style="46" customWidth="1"/>
    <col min="13832" max="14081" width="9.109375" style="46"/>
    <col min="14082" max="14082" width="17.5546875" style="46" customWidth="1"/>
    <col min="14083" max="14083" width="47.5546875" style="46" customWidth="1"/>
    <col min="14084" max="14084" width="9.109375" style="46"/>
    <col min="14085" max="14085" width="10.33203125" style="46" customWidth="1"/>
    <col min="14086" max="14086" width="11.6640625" style="46" customWidth="1"/>
    <col min="14087" max="14087" width="15.88671875" style="46" customWidth="1"/>
    <col min="14088" max="14337" width="9.109375" style="46"/>
    <col min="14338" max="14338" width="17.5546875" style="46" customWidth="1"/>
    <col min="14339" max="14339" width="47.5546875" style="46" customWidth="1"/>
    <col min="14340" max="14340" width="9.109375" style="46"/>
    <col min="14341" max="14341" width="10.33203125" style="46" customWidth="1"/>
    <col min="14342" max="14342" width="11.6640625" style="46" customWidth="1"/>
    <col min="14343" max="14343" width="15.88671875" style="46" customWidth="1"/>
    <col min="14344" max="14593" width="9.109375" style="46"/>
    <col min="14594" max="14594" width="17.5546875" style="46" customWidth="1"/>
    <col min="14595" max="14595" width="47.5546875" style="46" customWidth="1"/>
    <col min="14596" max="14596" width="9.109375" style="46"/>
    <col min="14597" max="14597" width="10.33203125" style="46" customWidth="1"/>
    <col min="14598" max="14598" width="11.6640625" style="46" customWidth="1"/>
    <col min="14599" max="14599" width="15.88671875" style="46" customWidth="1"/>
    <col min="14600" max="14849" width="9.109375" style="46"/>
    <col min="14850" max="14850" width="17.5546875" style="46" customWidth="1"/>
    <col min="14851" max="14851" width="47.5546875" style="46" customWidth="1"/>
    <col min="14852" max="14852" width="9.109375" style="46"/>
    <col min="14853" max="14853" width="10.33203125" style="46" customWidth="1"/>
    <col min="14854" max="14854" width="11.6640625" style="46" customWidth="1"/>
    <col min="14855" max="14855" width="15.88671875" style="46" customWidth="1"/>
    <col min="14856" max="15105" width="9.109375" style="46"/>
    <col min="15106" max="15106" width="17.5546875" style="46" customWidth="1"/>
    <col min="15107" max="15107" width="47.5546875" style="46" customWidth="1"/>
    <col min="15108" max="15108" width="9.109375" style="46"/>
    <col min="15109" max="15109" width="10.33203125" style="46" customWidth="1"/>
    <col min="15110" max="15110" width="11.6640625" style="46" customWidth="1"/>
    <col min="15111" max="15111" width="15.88671875" style="46" customWidth="1"/>
    <col min="15112" max="15361" width="9.109375" style="46"/>
    <col min="15362" max="15362" width="17.5546875" style="46" customWidth="1"/>
    <col min="15363" max="15363" width="47.5546875" style="46" customWidth="1"/>
    <col min="15364" max="15364" width="9.109375" style="46"/>
    <col min="15365" max="15365" width="10.33203125" style="46" customWidth="1"/>
    <col min="15366" max="15366" width="11.6640625" style="46" customWidth="1"/>
    <col min="15367" max="15367" width="15.88671875" style="46" customWidth="1"/>
    <col min="15368" max="15617" width="9.109375" style="46"/>
    <col min="15618" max="15618" width="17.5546875" style="46" customWidth="1"/>
    <col min="15619" max="15619" width="47.5546875" style="46" customWidth="1"/>
    <col min="15620" max="15620" width="9.109375" style="46"/>
    <col min="15621" max="15621" width="10.33203125" style="46" customWidth="1"/>
    <col min="15622" max="15622" width="11.6640625" style="46" customWidth="1"/>
    <col min="15623" max="15623" width="15.88671875" style="46" customWidth="1"/>
    <col min="15624" max="15873" width="9.109375" style="46"/>
    <col min="15874" max="15874" width="17.5546875" style="46" customWidth="1"/>
    <col min="15875" max="15875" width="47.5546875" style="46" customWidth="1"/>
    <col min="15876" max="15876" width="9.109375" style="46"/>
    <col min="15877" max="15877" width="10.33203125" style="46" customWidth="1"/>
    <col min="15878" max="15878" width="11.6640625" style="46" customWidth="1"/>
    <col min="15879" max="15879" width="15.88671875" style="46" customWidth="1"/>
    <col min="15880" max="16129" width="9.109375" style="46"/>
    <col min="16130" max="16130" width="17.5546875" style="46" customWidth="1"/>
    <col min="16131" max="16131" width="47.5546875" style="46" customWidth="1"/>
    <col min="16132" max="16132" width="9.109375" style="46"/>
    <col min="16133" max="16133" width="10.33203125" style="46" customWidth="1"/>
    <col min="16134" max="16134" width="11.6640625" style="46" customWidth="1"/>
    <col min="16135" max="16135" width="15.88671875" style="46" customWidth="1"/>
    <col min="16136" max="16384" width="9.109375" style="46"/>
  </cols>
  <sheetData>
    <row r="1" spans="1:7" ht="10.8" thickBot="1" x14ac:dyDescent="0.25"/>
    <row r="2" spans="1:7" ht="20.399999999999999" thickBot="1" x14ac:dyDescent="0.45">
      <c r="A2" s="310" t="s">
        <v>31</v>
      </c>
      <c r="B2" s="311"/>
      <c r="C2" s="311"/>
      <c r="D2" s="311"/>
      <c r="E2" s="311"/>
      <c r="F2" s="311"/>
      <c r="G2" s="312"/>
    </row>
    <row r="3" spans="1:7" ht="15" thickBot="1" x14ac:dyDescent="0.35">
      <c r="A3" s="5"/>
      <c r="B3" s="5"/>
      <c r="C3" s="5"/>
      <c r="D3" s="5"/>
      <c r="E3" s="5"/>
      <c r="F3" s="5"/>
      <c r="G3" s="5"/>
    </row>
    <row r="4" spans="1:7" ht="23.4" customHeight="1" thickBot="1" x14ac:dyDescent="0.25">
      <c r="A4" s="313" t="str">
        <f>'MEMORIA DE CALCULO'!A1:J1</f>
        <v>REFORMA E AMPLIAÇÃO DA UNIDADE BÁSICA DE SAÚDE JENÉSIO DE QUEIROZ SANTOS</v>
      </c>
      <c r="B4" s="314" t="e">
        <f>'[3](GERAL - SINAPI COM DESON)'!B6</f>
        <v>#REF!</v>
      </c>
      <c r="C4" s="315"/>
      <c r="D4" s="315"/>
      <c r="E4" s="315"/>
      <c r="F4" s="315"/>
      <c r="G4" s="316"/>
    </row>
    <row r="5" spans="1:7" ht="23.4" customHeight="1" x14ac:dyDescent="0.2">
      <c r="A5" s="313" t="str">
        <f>'ORÇAMENTO COM DESON'!A4</f>
        <v>LOCALIZAÇÃO: LIMOEIRO - PE</v>
      </c>
      <c r="B5" s="314" t="e">
        <f>'[3](GERAL - SINAPI COM DESON)'!B7</f>
        <v>#REF!</v>
      </c>
      <c r="C5" s="315"/>
      <c r="D5" s="315"/>
      <c r="E5" s="315"/>
      <c r="F5" s="315"/>
      <c r="G5" s="316"/>
    </row>
    <row r="6" spans="1:7" ht="15" customHeight="1" x14ac:dyDescent="0.2">
      <c r="A6" s="317" t="str">
        <f>'ORÇAMENTO COM DESON'!A5</f>
        <v>FONTES DE PREÇOS: SINAPI MARÇO-2023 -  SEINFRA 027 MARÇO/2021 - COM DESONERAÇÃO (BDI = 30,53%)</v>
      </c>
      <c r="B6" s="318"/>
      <c r="C6" s="318"/>
      <c r="D6" s="318"/>
      <c r="E6" s="318"/>
      <c r="F6" s="318"/>
      <c r="G6" s="319"/>
    </row>
    <row r="7" spans="1:7" ht="15" customHeight="1" x14ac:dyDescent="0.2">
      <c r="A7" s="317" t="str">
        <f>'ORÇAMENTO COM DESON'!A6</f>
        <v>DATA: ABRIL/2023</v>
      </c>
      <c r="B7" s="318"/>
      <c r="C7" s="318"/>
      <c r="D7" s="318"/>
      <c r="E7" s="318"/>
      <c r="F7" s="318"/>
      <c r="G7" s="319"/>
    </row>
    <row r="8" spans="1:7" ht="15.75" customHeight="1" thickBot="1" x14ac:dyDescent="0.25">
      <c r="A8" s="307"/>
      <c r="B8" s="308"/>
      <c r="C8" s="308"/>
      <c r="D8" s="308"/>
      <c r="E8" s="308"/>
      <c r="F8" s="308"/>
      <c r="G8" s="309"/>
    </row>
    <row r="10" spans="1:7" s="6" customFormat="1" ht="15.6" x14ac:dyDescent="0.3">
      <c r="A10" s="306"/>
      <c r="B10" s="306"/>
      <c r="C10" s="306"/>
      <c r="D10" s="306"/>
      <c r="E10" s="306"/>
      <c r="F10" s="306"/>
      <c r="G10" s="306"/>
    </row>
    <row r="12" spans="1:7" s="6" customFormat="1" ht="11.25" customHeight="1" x14ac:dyDescent="0.2">
      <c r="A12" s="294" t="s">
        <v>88</v>
      </c>
      <c r="B12" s="294"/>
      <c r="C12" s="149"/>
      <c r="D12" s="295"/>
      <c r="E12" s="296"/>
      <c r="F12" s="296"/>
      <c r="G12" s="297"/>
    </row>
    <row r="13" spans="1:7" s="6" customFormat="1" ht="51.6" customHeight="1" x14ac:dyDescent="0.2">
      <c r="A13" s="294"/>
      <c r="B13" s="294"/>
      <c r="C13" s="149" t="s">
        <v>27</v>
      </c>
      <c r="D13" s="298" t="s">
        <v>743</v>
      </c>
      <c r="E13" s="298"/>
      <c r="F13" s="298"/>
      <c r="G13" s="298"/>
    </row>
    <row r="14" spans="1:7" s="6" customFormat="1" ht="11.25" customHeight="1" x14ac:dyDescent="0.2">
      <c r="A14" s="294"/>
      <c r="B14" s="294"/>
      <c r="C14" s="149" t="s">
        <v>28</v>
      </c>
      <c r="D14" s="150" t="s">
        <v>8</v>
      </c>
      <c r="E14" s="299" t="s">
        <v>29</v>
      </c>
      <c r="F14" s="299"/>
      <c r="G14" s="300">
        <f>G23</f>
        <v>54.4</v>
      </c>
    </row>
    <row r="15" spans="1:7" s="6" customFormat="1" x14ac:dyDescent="0.2">
      <c r="A15" s="294"/>
      <c r="B15" s="294"/>
      <c r="C15" s="149" t="s">
        <v>26</v>
      </c>
      <c r="D15" s="150">
        <v>1</v>
      </c>
      <c r="E15" s="299"/>
      <c r="F15" s="299"/>
      <c r="G15" s="300"/>
    </row>
    <row r="16" spans="1:7" s="6" customFormat="1" x14ac:dyDescent="0.2">
      <c r="A16" s="151"/>
      <c r="B16" s="151"/>
      <c r="C16" s="152"/>
      <c r="D16" s="152"/>
      <c r="E16" s="293"/>
      <c r="F16" s="293"/>
      <c r="G16" s="148"/>
    </row>
    <row r="17" spans="1:8" s="6" customFormat="1" ht="21.75" customHeight="1" x14ac:dyDescent="0.2">
      <c r="A17" s="153" t="s">
        <v>97</v>
      </c>
      <c r="B17" s="153" t="s">
        <v>98</v>
      </c>
      <c r="C17" s="154" t="s">
        <v>30</v>
      </c>
      <c r="D17" s="154" t="s">
        <v>28</v>
      </c>
      <c r="E17" s="155" t="s">
        <v>99</v>
      </c>
      <c r="F17" s="155" t="s">
        <v>100</v>
      </c>
      <c r="G17" s="155" t="s">
        <v>101</v>
      </c>
    </row>
    <row r="18" spans="1:8" s="6" customFormat="1" ht="20.399999999999999" x14ac:dyDescent="0.2">
      <c r="A18" s="143" t="s">
        <v>144</v>
      </c>
      <c r="B18" s="143" t="s">
        <v>742</v>
      </c>
      <c r="C18" s="144" t="s">
        <v>741</v>
      </c>
      <c r="D18" s="145" t="s">
        <v>8</v>
      </c>
      <c r="E18" s="146">
        <v>1.1000000000000001</v>
      </c>
      <c r="F18" s="147">
        <f>(27.9+34.9+24.9)/3</f>
        <v>29.233333333333331</v>
      </c>
      <c r="G18" s="148">
        <f>E18*F18</f>
        <v>32.156666666666666</v>
      </c>
    </row>
    <row r="19" spans="1:8" s="6" customFormat="1" x14ac:dyDescent="0.2">
      <c r="A19" s="143" t="s">
        <v>145</v>
      </c>
      <c r="B19" s="143" t="s">
        <v>187</v>
      </c>
      <c r="C19" s="144" t="s">
        <v>188</v>
      </c>
      <c r="D19" s="145" t="s">
        <v>189</v>
      </c>
      <c r="E19" s="146">
        <v>4.8600000000000003</v>
      </c>
      <c r="F19" s="147">
        <v>0.69</v>
      </c>
      <c r="G19" s="148">
        <f>E19*F19</f>
        <v>3.3534000000000002</v>
      </c>
    </row>
    <row r="20" spans="1:8" s="6" customFormat="1" x14ac:dyDescent="0.2">
      <c r="A20" s="143" t="s">
        <v>145</v>
      </c>
      <c r="B20" s="143" t="s">
        <v>190</v>
      </c>
      <c r="C20" s="144" t="s">
        <v>191</v>
      </c>
      <c r="D20" s="145" t="s">
        <v>189</v>
      </c>
      <c r="E20" s="146">
        <v>0.42</v>
      </c>
      <c r="F20" s="147">
        <v>4.05</v>
      </c>
      <c r="G20" s="148">
        <f>E20*F20</f>
        <v>1.7009999999999998</v>
      </c>
    </row>
    <row r="21" spans="1:8" s="6" customFormat="1" x14ac:dyDescent="0.2">
      <c r="A21" s="143" t="s">
        <v>146</v>
      </c>
      <c r="B21" s="143" t="s">
        <v>192</v>
      </c>
      <c r="C21" s="144" t="s">
        <v>193</v>
      </c>
      <c r="D21" s="145" t="s">
        <v>194</v>
      </c>
      <c r="E21" s="146">
        <v>0.49</v>
      </c>
      <c r="F21" s="147">
        <v>24.12</v>
      </c>
      <c r="G21" s="148">
        <f>E21*F21</f>
        <v>11.8188</v>
      </c>
    </row>
    <row r="22" spans="1:8" s="6" customFormat="1" x14ac:dyDescent="0.2">
      <c r="A22" s="143" t="s">
        <v>146</v>
      </c>
      <c r="B22" s="143" t="s">
        <v>147</v>
      </c>
      <c r="C22" s="144" t="s">
        <v>195</v>
      </c>
      <c r="D22" s="145" t="s">
        <v>194</v>
      </c>
      <c r="E22" s="146">
        <v>0.28999999999999998</v>
      </c>
      <c r="F22" s="147">
        <v>18.53</v>
      </c>
      <c r="G22" s="148">
        <f>E22*F22</f>
        <v>5.3737000000000004</v>
      </c>
    </row>
    <row r="23" spans="1:8" s="6" customFormat="1" x14ac:dyDescent="0.2">
      <c r="A23" s="156"/>
      <c r="B23" s="156"/>
      <c r="C23" s="157"/>
      <c r="D23" s="156"/>
      <c r="E23" s="156"/>
      <c r="F23" s="158" t="s">
        <v>19</v>
      </c>
      <c r="G23" s="154">
        <f>TRUNC(SUM(G18:G22),2)</f>
        <v>54.4</v>
      </c>
      <c r="H23" s="6" t="s">
        <v>105</v>
      </c>
    </row>
    <row r="24" spans="1:8" s="6" customFormat="1" x14ac:dyDescent="0.2">
      <c r="A24" s="156"/>
      <c r="B24" s="156"/>
      <c r="C24" s="156"/>
      <c r="D24" s="156"/>
      <c r="E24" s="156"/>
      <c r="F24" s="156"/>
      <c r="G24" s="156"/>
    </row>
    <row r="25" spans="1:8" x14ac:dyDescent="0.2">
      <c r="A25" s="156" t="s">
        <v>186</v>
      </c>
    </row>
    <row r="26" spans="1:8" s="6" customFormat="1" ht="11.25" customHeight="1" x14ac:dyDescent="0.2">
      <c r="A26" s="294" t="s">
        <v>106</v>
      </c>
      <c r="B26" s="294"/>
      <c r="C26" s="149"/>
      <c r="D26" s="295"/>
      <c r="E26" s="296"/>
      <c r="F26" s="296"/>
      <c r="G26" s="297"/>
    </row>
    <row r="27" spans="1:8" s="6" customFormat="1" ht="51.6" customHeight="1" x14ac:dyDescent="0.2">
      <c r="A27" s="294"/>
      <c r="B27" s="294"/>
      <c r="C27" s="149" t="s">
        <v>27</v>
      </c>
      <c r="D27" s="298" t="s">
        <v>204</v>
      </c>
      <c r="E27" s="298"/>
      <c r="F27" s="298"/>
      <c r="G27" s="298"/>
    </row>
    <row r="28" spans="1:8" s="6" customFormat="1" ht="11.25" customHeight="1" x14ac:dyDescent="0.2">
      <c r="A28" s="294"/>
      <c r="B28" s="294"/>
      <c r="C28" s="149" t="s">
        <v>28</v>
      </c>
      <c r="D28" s="150" t="s">
        <v>8</v>
      </c>
      <c r="E28" s="299" t="s">
        <v>29</v>
      </c>
      <c r="F28" s="299"/>
      <c r="G28" s="300">
        <f>G37</f>
        <v>96.68</v>
      </c>
    </row>
    <row r="29" spans="1:8" s="6" customFormat="1" x14ac:dyDescent="0.2">
      <c r="A29" s="294"/>
      <c r="B29" s="294"/>
      <c r="C29" s="149" t="s">
        <v>26</v>
      </c>
      <c r="D29" s="150">
        <v>1</v>
      </c>
      <c r="E29" s="299"/>
      <c r="F29" s="299"/>
      <c r="G29" s="300"/>
    </row>
    <row r="30" spans="1:8" s="6" customFormat="1" x14ac:dyDescent="0.2">
      <c r="A30" s="151"/>
      <c r="B30" s="151"/>
      <c r="C30" s="152"/>
      <c r="D30" s="152"/>
      <c r="E30" s="293"/>
      <c r="F30" s="293"/>
      <c r="G30" s="148"/>
    </row>
    <row r="31" spans="1:8" s="6" customFormat="1" ht="21.75" customHeight="1" x14ac:dyDescent="0.2">
      <c r="A31" s="153" t="s">
        <v>97</v>
      </c>
      <c r="B31" s="153" t="s">
        <v>98</v>
      </c>
      <c r="C31" s="154" t="s">
        <v>30</v>
      </c>
      <c r="D31" s="154" t="s">
        <v>28</v>
      </c>
      <c r="E31" s="155" t="s">
        <v>99</v>
      </c>
      <c r="F31" s="155" t="s">
        <v>100</v>
      </c>
      <c r="G31" s="155" t="s">
        <v>101</v>
      </c>
    </row>
    <row r="32" spans="1:8" s="6" customFormat="1" ht="20.399999999999999" x14ac:dyDescent="0.2">
      <c r="A32" s="143" t="s">
        <v>145</v>
      </c>
      <c r="B32" s="143" t="s">
        <v>196</v>
      </c>
      <c r="C32" s="144" t="s">
        <v>197</v>
      </c>
      <c r="D32" s="145" t="s">
        <v>8</v>
      </c>
      <c r="E32" s="146">
        <v>1.1000000000000001</v>
      </c>
      <c r="F32" s="147">
        <v>36.119999999999997</v>
      </c>
      <c r="G32" s="148">
        <f>E32*F32</f>
        <v>39.731999999999999</v>
      </c>
    </row>
    <row r="33" spans="1:8" s="6" customFormat="1" x14ac:dyDescent="0.2">
      <c r="A33" s="143" t="s">
        <v>145</v>
      </c>
      <c r="B33" s="143" t="s">
        <v>202</v>
      </c>
      <c r="C33" s="144" t="s">
        <v>203</v>
      </c>
      <c r="D33" s="145" t="s">
        <v>189</v>
      </c>
      <c r="E33" s="146">
        <v>9.84</v>
      </c>
      <c r="F33" s="147">
        <v>2.4300000000000002</v>
      </c>
      <c r="G33" s="148">
        <f>E33*F33</f>
        <v>23.911200000000001</v>
      </c>
    </row>
    <row r="34" spans="1:8" s="6" customFormat="1" x14ac:dyDescent="0.2">
      <c r="A34" s="143" t="s">
        <v>145</v>
      </c>
      <c r="B34" s="143" t="s">
        <v>190</v>
      </c>
      <c r="C34" s="144" t="s">
        <v>191</v>
      </c>
      <c r="D34" s="145" t="s">
        <v>189</v>
      </c>
      <c r="E34" s="146">
        <v>0.42</v>
      </c>
      <c r="F34" s="147">
        <v>4.05</v>
      </c>
      <c r="G34" s="148">
        <f>E34*F34</f>
        <v>1.7009999999999998</v>
      </c>
    </row>
    <row r="35" spans="1:8" s="6" customFormat="1" x14ac:dyDescent="0.2">
      <c r="A35" s="143" t="s">
        <v>146</v>
      </c>
      <c r="B35" s="143" t="s">
        <v>192</v>
      </c>
      <c r="C35" s="144" t="s">
        <v>193</v>
      </c>
      <c r="D35" s="145" t="s">
        <v>194</v>
      </c>
      <c r="E35" s="146">
        <v>0.8</v>
      </c>
      <c r="F35" s="147">
        <v>24.12</v>
      </c>
      <c r="G35" s="148">
        <f>E35*F35</f>
        <v>19.296000000000003</v>
      </c>
    </row>
    <row r="36" spans="1:8" s="6" customFormat="1" x14ac:dyDescent="0.2">
      <c r="A36" s="143" t="s">
        <v>146</v>
      </c>
      <c r="B36" s="143" t="s">
        <v>147</v>
      </c>
      <c r="C36" s="144" t="s">
        <v>195</v>
      </c>
      <c r="D36" s="145" t="s">
        <v>194</v>
      </c>
      <c r="E36" s="146">
        <v>0.65</v>
      </c>
      <c r="F36" s="147">
        <v>18.53</v>
      </c>
      <c r="G36" s="148">
        <f>E36*F36</f>
        <v>12.044500000000001</v>
      </c>
    </row>
    <row r="37" spans="1:8" s="6" customFormat="1" x14ac:dyDescent="0.2">
      <c r="A37" s="156"/>
      <c r="B37" s="156"/>
      <c r="C37" s="157"/>
      <c r="D37" s="156"/>
      <c r="E37" s="156"/>
      <c r="F37" s="158" t="s">
        <v>19</v>
      </c>
      <c r="G37" s="154">
        <f>TRUNC(SUM(G32:G36),2)</f>
        <v>96.68</v>
      </c>
      <c r="H37" s="6" t="s">
        <v>105</v>
      </c>
    </row>
    <row r="38" spans="1:8" s="6" customFormat="1" x14ac:dyDescent="0.2">
      <c r="A38" s="156"/>
      <c r="B38" s="156"/>
      <c r="C38" s="156"/>
      <c r="D38" s="156"/>
      <c r="E38" s="156"/>
      <c r="F38" s="156"/>
      <c r="G38" s="156"/>
    </row>
    <row r="39" spans="1:8" x14ac:dyDescent="0.2">
      <c r="A39" s="156" t="s">
        <v>201</v>
      </c>
    </row>
    <row r="40" spans="1:8" x14ac:dyDescent="0.2">
      <c r="A40" s="156"/>
    </row>
    <row r="41" spans="1:8" s="6" customFormat="1" ht="11.25" customHeight="1" x14ac:dyDescent="0.2">
      <c r="A41" s="294" t="s">
        <v>108</v>
      </c>
      <c r="B41" s="294"/>
      <c r="C41" s="149"/>
      <c r="D41" s="295"/>
      <c r="E41" s="296"/>
      <c r="F41" s="296"/>
      <c r="G41" s="297"/>
    </row>
    <row r="42" spans="1:8" s="6" customFormat="1" ht="69.75" customHeight="1" x14ac:dyDescent="0.2">
      <c r="A42" s="294"/>
      <c r="B42" s="294"/>
      <c r="C42" s="149" t="s">
        <v>27</v>
      </c>
      <c r="D42" s="298" t="s">
        <v>220</v>
      </c>
      <c r="E42" s="298"/>
      <c r="F42" s="298"/>
      <c r="G42" s="298"/>
    </row>
    <row r="43" spans="1:8" s="6" customFormat="1" ht="11.25" customHeight="1" x14ac:dyDescent="0.2">
      <c r="A43" s="294"/>
      <c r="B43" s="294"/>
      <c r="C43" s="149" t="s">
        <v>28</v>
      </c>
      <c r="D43" s="150" t="s">
        <v>8</v>
      </c>
      <c r="E43" s="299" t="s">
        <v>29</v>
      </c>
      <c r="F43" s="299"/>
      <c r="G43" s="300">
        <f>G50</f>
        <v>825.6</v>
      </c>
    </row>
    <row r="44" spans="1:8" s="6" customFormat="1" x14ac:dyDescent="0.2">
      <c r="A44" s="294"/>
      <c r="B44" s="294"/>
      <c r="C44" s="149" t="s">
        <v>26</v>
      </c>
      <c r="D44" s="150">
        <v>1</v>
      </c>
      <c r="E44" s="299"/>
      <c r="F44" s="299"/>
      <c r="G44" s="300"/>
    </row>
    <row r="45" spans="1:8" s="6" customFormat="1" x14ac:dyDescent="0.2">
      <c r="A45" s="151"/>
      <c r="B45" s="151"/>
      <c r="C45" s="152"/>
      <c r="D45" s="152"/>
      <c r="E45" s="293"/>
      <c r="F45" s="293"/>
      <c r="G45" s="148"/>
    </row>
    <row r="46" spans="1:8" s="6" customFormat="1" ht="21.75" customHeight="1" x14ac:dyDescent="0.2">
      <c r="A46" s="153" t="s">
        <v>97</v>
      </c>
      <c r="B46" s="153" t="s">
        <v>98</v>
      </c>
      <c r="C46" s="154" t="s">
        <v>30</v>
      </c>
      <c r="D46" s="154" t="s">
        <v>28</v>
      </c>
      <c r="E46" s="155" t="s">
        <v>99</v>
      </c>
      <c r="F46" s="155" t="s">
        <v>100</v>
      </c>
      <c r="G46" s="155" t="s">
        <v>101</v>
      </c>
    </row>
    <row r="47" spans="1:8" s="6" customFormat="1" ht="30.6" x14ac:dyDescent="0.2">
      <c r="A47" s="143" t="s">
        <v>145</v>
      </c>
      <c r="B47" s="143" t="s">
        <v>221</v>
      </c>
      <c r="C47" s="144" t="s">
        <v>220</v>
      </c>
      <c r="D47" s="145" t="s">
        <v>8</v>
      </c>
      <c r="E47" s="146">
        <v>1</v>
      </c>
      <c r="F47" s="147">
        <v>816.16</v>
      </c>
      <c r="G47" s="148">
        <f>E47*F47</f>
        <v>816.16</v>
      </c>
    </row>
    <row r="48" spans="1:8" s="6" customFormat="1" ht="20.399999999999999" x14ac:dyDescent="0.2">
      <c r="A48" s="143" t="s">
        <v>146</v>
      </c>
      <c r="B48" s="143" t="s">
        <v>222</v>
      </c>
      <c r="C48" s="144" t="s">
        <v>223</v>
      </c>
      <c r="D48" s="145" t="s">
        <v>194</v>
      </c>
      <c r="E48" s="146">
        <v>0.28199999999999997</v>
      </c>
      <c r="F48" s="147">
        <v>24.23</v>
      </c>
      <c r="G48" s="148">
        <f>E48*F48</f>
        <v>6.8328599999999993</v>
      </c>
    </row>
    <row r="49" spans="1:8" s="6" customFormat="1" x14ac:dyDescent="0.2">
      <c r="A49" s="143" t="s">
        <v>146</v>
      </c>
      <c r="B49" s="143" t="s">
        <v>147</v>
      </c>
      <c r="C49" s="144" t="s">
        <v>208</v>
      </c>
      <c r="D49" s="145" t="s">
        <v>194</v>
      </c>
      <c r="E49" s="146">
        <v>0.14099999999999999</v>
      </c>
      <c r="F49" s="147">
        <v>18.53</v>
      </c>
      <c r="G49" s="148">
        <f>E49*F49</f>
        <v>2.61273</v>
      </c>
    </row>
    <row r="50" spans="1:8" s="6" customFormat="1" x14ac:dyDescent="0.2">
      <c r="A50" s="156"/>
      <c r="B50" s="156"/>
      <c r="C50" s="157"/>
      <c r="D50" s="156"/>
      <c r="E50" s="156"/>
      <c r="F50" s="158" t="s">
        <v>19</v>
      </c>
      <c r="G50" s="154">
        <f>TRUNC(SUM(G47:G49),2)</f>
        <v>825.6</v>
      </c>
      <c r="H50" s="6" t="s">
        <v>105</v>
      </c>
    </row>
    <row r="51" spans="1:8" s="6" customFormat="1" x14ac:dyDescent="0.2">
      <c r="A51" s="156"/>
      <c r="B51" s="156"/>
      <c r="C51" s="156"/>
      <c r="D51" s="156"/>
      <c r="E51" s="156"/>
      <c r="F51" s="156"/>
      <c r="G51" s="156"/>
    </row>
    <row r="52" spans="1:8" x14ac:dyDescent="0.2">
      <c r="A52" s="156" t="s">
        <v>219</v>
      </c>
    </row>
    <row r="53" spans="1:8" s="6" customFormat="1" x14ac:dyDescent="0.2">
      <c r="A53" s="151"/>
      <c r="B53" s="151"/>
      <c r="C53" s="152"/>
      <c r="D53" s="152"/>
      <c r="E53" s="293"/>
      <c r="F53" s="293"/>
      <c r="G53" s="148"/>
    </row>
    <row r="54" spans="1:8" s="6" customFormat="1" ht="11.25" customHeight="1" x14ac:dyDescent="0.2">
      <c r="A54" s="294" t="s">
        <v>109</v>
      </c>
      <c r="B54" s="294"/>
      <c r="C54" s="149"/>
      <c r="D54" s="295"/>
      <c r="E54" s="296"/>
      <c r="F54" s="296"/>
      <c r="G54" s="297"/>
    </row>
    <row r="55" spans="1:8" s="6" customFormat="1" ht="69.75" customHeight="1" x14ac:dyDescent="0.2">
      <c r="A55" s="294"/>
      <c r="B55" s="294"/>
      <c r="C55" s="149" t="s">
        <v>27</v>
      </c>
      <c r="D55" s="298" t="s">
        <v>238</v>
      </c>
      <c r="E55" s="298"/>
      <c r="F55" s="298"/>
      <c r="G55" s="298"/>
    </row>
    <row r="56" spans="1:8" s="6" customFormat="1" ht="11.25" customHeight="1" x14ac:dyDescent="0.2">
      <c r="A56" s="294"/>
      <c r="B56" s="294"/>
      <c r="C56" s="149" t="s">
        <v>28</v>
      </c>
      <c r="D56" s="150" t="s">
        <v>17</v>
      </c>
      <c r="E56" s="299" t="s">
        <v>29</v>
      </c>
      <c r="F56" s="299"/>
      <c r="G56" s="300">
        <f>G63</f>
        <v>44.12</v>
      </c>
    </row>
    <row r="57" spans="1:8" s="6" customFormat="1" x14ac:dyDescent="0.2">
      <c r="A57" s="294"/>
      <c r="B57" s="294"/>
      <c r="C57" s="149" t="s">
        <v>26</v>
      </c>
      <c r="D57" s="150">
        <v>1</v>
      </c>
      <c r="E57" s="299"/>
      <c r="F57" s="299"/>
      <c r="G57" s="300"/>
    </row>
    <row r="58" spans="1:8" s="6" customFormat="1" x14ac:dyDescent="0.2">
      <c r="A58" s="151"/>
      <c r="B58" s="151"/>
      <c r="C58" s="152"/>
      <c r="D58" s="152"/>
      <c r="E58" s="293"/>
      <c r="F58" s="293"/>
      <c r="G58" s="148"/>
    </row>
    <row r="59" spans="1:8" s="6" customFormat="1" ht="21.75" customHeight="1" x14ac:dyDescent="0.2">
      <c r="A59" s="153" t="s">
        <v>97</v>
      </c>
      <c r="B59" s="153" t="s">
        <v>98</v>
      </c>
      <c r="C59" s="154" t="s">
        <v>30</v>
      </c>
      <c r="D59" s="154" t="s">
        <v>28</v>
      </c>
      <c r="E59" s="155" t="s">
        <v>99</v>
      </c>
      <c r="F59" s="155" t="s">
        <v>100</v>
      </c>
      <c r="G59" s="155" t="s">
        <v>101</v>
      </c>
    </row>
    <row r="60" spans="1:8" s="6" customFormat="1" x14ac:dyDescent="0.2">
      <c r="A60" s="143" t="s">
        <v>146</v>
      </c>
      <c r="B60" s="143" t="s">
        <v>111</v>
      </c>
      <c r="C60" s="144" t="s">
        <v>234</v>
      </c>
      <c r="D60" s="145" t="s">
        <v>194</v>
      </c>
      <c r="E60" s="146">
        <v>0.37</v>
      </c>
      <c r="F60" s="147">
        <v>23.38</v>
      </c>
      <c r="G60" s="148">
        <f>E60*F60</f>
        <v>8.650599999999999</v>
      </c>
    </row>
    <row r="61" spans="1:8" s="6" customFormat="1" x14ac:dyDescent="0.2">
      <c r="A61" s="143" t="s">
        <v>146</v>
      </c>
      <c r="B61" s="143" t="s">
        <v>235</v>
      </c>
      <c r="C61" s="144" t="s">
        <v>112</v>
      </c>
      <c r="D61" s="145" t="s">
        <v>194</v>
      </c>
      <c r="E61" s="146">
        <v>0.37</v>
      </c>
      <c r="F61" s="147">
        <v>26.45</v>
      </c>
      <c r="G61" s="148">
        <f>E61*F61</f>
        <v>9.7865000000000002</v>
      </c>
    </row>
    <row r="62" spans="1:8" s="6" customFormat="1" x14ac:dyDescent="0.2">
      <c r="A62" s="248" t="s">
        <v>144</v>
      </c>
      <c r="B62" s="248" t="s">
        <v>449</v>
      </c>
      <c r="C62" s="161" t="s">
        <v>237</v>
      </c>
      <c r="D62" s="145" t="s">
        <v>17</v>
      </c>
      <c r="E62" s="146">
        <v>1</v>
      </c>
      <c r="F62" s="147">
        <f>(26.06+29.9+21.1)/3</f>
        <v>25.686666666666667</v>
      </c>
      <c r="G62" s="148">
        <f>E62*F62</f>
        <v>25.686666666666667</v>
      </c>
    </row>
    <row r="63" spans="1:8" s="6" customFormat="1" x14ac:dyDescent="0.2">
      <c r="A63" s="156"/>
      <c r="B63" s="156"/>
      <c r="C63" s="157"/>
      <c r="D63" s="156"/>
      <c r="E63" s="156"/>
      <c r="F63" s="158" t="s">
        <v>19</v>
      </c>
      <c r="G63" s="154">
        <f>TRUNC(SUM(G60:G62),2)</f>
        <v>44.12</v>
      </c>
      <c r="H63" s="6" t="s">
        <v>105</v>
      </c>
    </row>
    <row r="64" spans="1:8" s="6" customFormat="1" x14ac:dyDescent="0.2">
      <c r="A64" s="156"/>
      <c r="B64" s="156"/>
      <c r="C64" s="156"/>
      <c r="D64" s="156"/>
      <c r="E64" s="156"/>
      <c r="F64" s="156"/>
      <c r="G64" s="156"/>
    </row>
    <row r="65" spans="1:8" x14ac:dyDescent="0.2">
      <c r="A65" s="156" t="s">
        <v>236</v>
      </c>
    </row>
    <row r="66" spans="1:8" s="6" customFormat="1" x14ac:dyDescent="0.2">
      <c r="A66" s="151"/>
      <c r="B66" s="151"/>
      <c r="C66" s="152"/>
      <c r="D66" s="152"/>
      <c r="E66" s="293"/>
      <c r="F66" s="293"/>
      <c r="G66" s="148"/>
    </row>
    <row r="67" spans="1:8" s="6" customFormat="1" ht="69.75" customHeight="1" x14ac:dyDescent="0.2">
      <c r="A67" s="303" t="s">
        <v>110</v>
      </c>
      <c r="B67" s="303"/>
      <c r="C67" s="149" t="s">
        <v>27</v>
      </c>
      <c r="D67" s="298" t="s">
        <v>266</v>
      </c>
      <c r="E67" s="298"/>
      <c r="F67" s="298"/>
      <c r="G67" s="298"/>
    </row>
    <row r="68" spans="1:8" s="6" customFormat="1" ht="11.25" customHeight="1" x14ac:dyDescent="0.2">
      <c r="A68" s="303"/>
      <c r="B68" s="303"/>
      <c r="C68" s="149" t="s">
        <v>28</v>
      </c>
      <c r="D68" s="150" t="s">
        <v>8</v>
      </c>
      <c r="E68" s="304" t="s">
        <v>29</v>
      </c>
      <c r="F68" s="304"/>
      <c r="G68" s="305">
        <f>G78</f>
        <v>126.16</v>
      </c>
    </row>
    <row r="69" spans="1:8" s="6" customFormat="1" x14ac:dyDescent="0.2">
      <c r="A69" s="303"/>
      <c r="B69" s="303"/>
      <c r="C69" s="149" t="s">
        <v>26</v>
      </c>
      <c r="D69" s="150">
        <v>1</v>
      </c>
      <c r="E69" s="304"/>
      <c r="F69" s="304"/>
      <c r="G69" s="305"/>
    </row>
    <row r="70" spans="1:8" s="6" customFormat="1" x14ac:dyDescent="0.2">
      <c r="A70" s="151"/>
      <c r="B70" s="151"/>
      <c r="C70" s="152"/>
      <c r="D70" s="152"/>
      <c r="E70" s="301"/>
      <c r="F70" s="302"/>
      <c r="G70" s="148"/>
    </row>
    <row r="71" spans="1:8" s="6" customFormat="1" ht="21.75" customHeight="1" x14ac:dyDescent="0.2">
      <c r="A71" s="153" t="s">
        <v>97</v>
      </c>
      <c r="B71" s="153" t="s">
        <v>98</v>
      </c>
      <c r="C71" s="154" t="s">
        <v>30</v>
      </c>
      <c r="D71" s="154" t="s">
        <v>28</v>
      </c>
      <c r="E71" s="155" t="s">
        <v>99</v>
      </c>
      <c r="F71" s="155" t="s">
        <v>100</v>
      </c>
      <c r="G71" s="155" t="s">
        <v>101</v>
      </c>
    </row>
    <row r="72" spans="1:8" s="6" customFormat="1" ht="20.399999999999999" x14ac:dyDescent="0.2">
      <c r="A72" s="143" t="s">
        <v>145</v>
      </c>
      <c r="B72" s="143" t="s">
        <v>260</v>
      </c>
      <c r="C72" s="144" t="s">
        <v>261</v>
      </c>
      <c r="D72" s="145" t="s">
        <v>65</v>
      </c>
      <c r="E72" s="159">
        <v>1.7000000000000001E-2</v>
      </c>
      <c r="F72" s="160">
        <v>6.29</v>
      </c>
      <c r="G72" s="148">
        <f t="shared" ref="G72:G77" si="0">E72*F72</f>
        <v>0.10693000000000001</v>
      </c>
    </row>
    <row r="73" spans="1:8" s="6" customFormat="1" ht="20.399999999999999" x14ac:dyDescent="0.2">
      <c r="A73" s="143" t="s">
        <v>145</v>
      </c>
      <c r="B73" s="143" t="s">
        <v>263</v>
      </c>
      <c r="C73" s="144" t="s">
        <v>262</v>
      </c>
      <c r="D73" s="145" t="s">
        <v>102</v>
      </c>
      <c r="E73" s="159">
        <v>0.32800000000000001</v>
      </c>
      <c r="F73" s="160">
        <v>18.11</v>
      </c>
      <c r="G73" s="148">
        <f t="shared" si="0"/>
        <v>5.94008</v>
      </c>
    </row>
    <row r="74" spans="1:8" s="6" customFormat="1" x14ac:dyDescent="0.2">
      <c r="A74" s="143" t="s">
        <v>145</v>
      </c>
      <c r="B74" s="143" t="s">
        <v>267</v>
      </c>
      <c r="C74" s="144" t="s">
        <v>264</v>
      </c>
      <c r="D74" s="145" t="s">
        <v>189</v>
      </c>
      <c r="E74" s="159">
        <v>6.6000000000000003E-2</v>
      </c>
      <c r="F74" s="160">
        <v>28.1</v>
      </c>
      <c r="G74" s="148">
        <f t="shared" si="0"/>
        <v>1.8546000000000002</v>
      </c>
    </row>
    <row r="75" spans="1:8" s="6" customFormat="1" x14ac:dyDescent="0.2">
      <c r="A75" s="143" t="s">
        <v>146</v>
      </c>
      <c r="B75" s="143" t="s">
        <v>265</v>
      </c>
      <c r="C75" s="144" t="s">
        <v>127</v>
      </c>
      <c r="D75" s="145" t="s">
        <v>103</v>
      </c>
      <c r="E75" s="159">
        <v>0.309</v>
      </c>
      <c r="F75" s="162">
        <v>22.4</v>
      </c>
      <c r="G75" s="148">
        <f t="shared" si="0"/>
        <v>6.9215999999999998</v>
      </c>
    </row>
    <row r="76" spans="1:8" s="6" customFormat="1" x14ac:dyDescent="0.2">
      <c r="A76" s="143" t="s">
        <v>146</v>
      </c>
      <c r="B76" s="143" t="s">
        <v>268</v>
      </c>
      <c r="C76" s="144" t="s">
        <v>269</v>
      </c>
      <c r="D76" s="145" t="s">
        <v>103</v>
      </c>
      <c r="E76" s="159">
        <v>1.6859999999999999</v>
      </c>
      <c r="F76" s="160">
        <v>25.24</v>
      </c>
      <c r="G76" s="148">
        <f t="shared" si="0"/>
        <v>42.554639999999999</v>
      </c>
    </row>
    <row r="77" spans="1:8" s="6" customFormat="1" ht="20.399999999999999" x14ac:dyDescent="0.2">
      <c r="A77" s="143" t="s">
        <v>146</v>
      </c>
      <c r="B77" s="143" t="s">
        <v>270</v>
      </c>
      <c r="C77" s="144" t="s">
        <v>257</v>
      </c>
      <c r="D77" s="145" t="s">
        <v>271</v>
      </c>
      <c r="E77" s="159">
        <v>0.41899999999999998</v>
      </c>
      <c r="F77" s="160">
        <v>164.16</v>
      </c>
      <c r="G77" s="148">
        <f t="shared" si="0"/>
        <v>68.78304</v>
      </c>
    </row>
    <row r="78" spans="1:8" s="6" customFormat="1" x14ac:dyDescent="0.2">
      <c r="A78" s="156"/>
      <c r="B78" s="156"/>
      <c r="C78" s="157"/>
      <c r="D78" s="156"/>
      <c r="E78" s="156"/>
      <c r="F78" s="158" t="s">
        <v>19</v>
      </c>
      <c r="G78" s="154">
        <f>TRUNC(SUM(G72:G77),2)</f>
        <v>126.16</v>
      </c>
      <c r="H78" s="6" t="s">
        <v>105</v>
      </c>
    </row>
    <row r="79" spans="1:8" s="6" customFormat="1" x14ac:dyDescent="0.2">
      <c r="A79" s="156"/>
      <c r="B79" s="156"/>
      <c r="C79" s="156"/>
      <c r="D79" s="156"/>
      <c r="E79" s="156"/>
      <c r="F79" s="156"/>
      <c r="G79" s="156"/>
    </row>
    <row r="80" spans="1:8" x14ac:dyDescent="0.2">
      <c r="A80" s="156" t="s">
        <v>259</v>
      </c>
    </row>
    <row r="82" spans="1:7" x14ac:dyDescent="0.2">
      <c r="A82" s="303" t="s">
        <v>113</v>
      </c>
      <c r="B82" s="303"/>
      <c r="C82" s="149"/>
      <c r="D82" s="295"/>
      <c r="E82" s="295"/>
      <c r="F82" s="295"/>
      <c r="G82" s="295"/>
    </row>
    <row r="83" spans="1:7" ht="46.2" customHeight="1" x14ac:dyDescent="0.2">
      <c r="A83" s="303"/>
      <c r="B83" s="303"/>
      <c r="C83" s="149" t="s">
        <v>27</v>
      </c>
      <c r="D83" s="298" t="s">
        <v>454</v>
      </c>
      <c r="E83" s="298"/>
      <c r="F83" s="298"/>
      <c r="G83" s="298"/>
    </row>
    <row r="84" spans="1:7" x14ac:dyDescent="0.2">
      <c r="A84" s="303"/>
      <c r="B84" s="303"/>
      <c r="C84" s="149" t="s">
        <v>28</v>
      </c>
      <c r="D84" s="150" t="s">
        <v>8</v>
      </c>
      <c r="E84" s="304" t="s">
        <v>29</v>
      </c>
      <c r="F84" s="304"/>
      <c r="G84" s="305">
        <f>G90</f>
        <v>4.47</v>
      </c>
    </row>
    <row r="85" spans="1:7" x14ac:dyDescent="0.2">
      <c r="A85" s="303"/>
      <c r="B85" s="303"/>
      <c r="C85" s="149" t="s">
        <v>26</v>
      </c>
      <c r="D85" s="150">
        <v>1</v>
      </c>
      <c r="E85" s="304"/>
      <c r="F85" s="304"/>
      <c r="G85" s="305"/>
    </row>
    <row r="86" spans="1:7" x14ac:dyDescent="0.2">
      <c r="A86" s="151"/>
      <c r="B86" s="151"/>
      <c r="C86" s="152"/>
      <c r="D86" s="152"/>
      <c r="E86" s="301"/>
      <c r="F86" s="302"/>
      <c r="G86" s="148"/>
    </row>
    <row r="87" spans="1:7" ht="20.399999999999999" x14ac:dyDescent="0.2">
      <c r="A87" s="153" t="s">
        <v>97</v>
      </c>
      <c r="B87" s="153" t="s">
        <v>98</v>
      </c>
      <c r="C87" s="154" t="s">
        <v>30</v>
      </c>
      <c r="D87" s="154" t="s">
        <v>28</v>
      </c>
      <c r="E87" s="155" t="s">
        <v>99</v>
      </c>
      <c r="F87" s="155" t="s">
        <v>100</v>
      </c>
      <c r="G87" s="155" t="s">
        <v>101</v>
      </c>
    </row>
    <row r="88" spans="1:7" x14ac:dyDescent="0.2">
      <c r="A88" s="143" t="s">
        <v>37</v>
      </c>
      <c r="B88" s="143" t="s">
        <v>452</v>
      </c>
      <c r="C88" s="144" t="s">
        <v>104</v>
      </c>
      <c r="D88" s="145" t="s">
        <v>103</v>
      </c>
      <c r="E88" s="159">
        <v>0.12</v>
      </c>
      <c r="F88" s="160">
        <v>18.53</v>
      </c>
      <c r="G88" s="148">
        <f t="shared" ref="G88:G89" si="1">E88*F88</f>
        <v>2.2236000000000002</v>
      </c>
    </row>
    <row r="89" spans="1:7" ht="30.6" x14ac:dyDescent="0.2">
      <c r="A89" s="143" t="s">
        <v>37</v>
      </c>
      <c r="B89" s="143" t="s">
        <v>451</v>
      </c>
      <c r="C89" s="161" t="s">
        <v>755</v>
      </c>
      <c r="D89" s="145" t="s">
        <v>450</v>
      </c>
      <c r="E89" s="159">
        <v>0.12</v>
      </c>
      <c r="F89" s="160">
        <v>18.77</v>
      </c>
      <c r="G89" s="148">
        <f t="shared" si="1"/>
        <v>2.2523999999999997</v>
      </c>
    </row>
    <row r="90" spans="1:7" x14ac:dyDescent="0.2">
      <c r="A90" s="156"/>
      <c r="B90" s="156"/>
      <c r="C90" s="157"/>
      <c r="D90" s="156"/>
      <c r="E90" s="156"/>
      <c r="F90" s="158" t="s">
        <v>19</v>
      </c>
      <c r="G90" s="154">
        <f>TRUNC(SUM(G88:G89),2)</f>
        <v>4.47</v>
      </c>
    </row>
    <row r="91" spans="1:7" x14ac:dyDescent="0.2">
      <c r="A91" s="156"/>
      <c r="B91" s="156"/>
      <c r="C91" s="156"/>
      <c r="D91" s="156"/>
      <c r="E91" s="156"/>
      <c r="F91" s="156"/>
      <c r="G91" s="156"/>
    </row>
    <row r="92" spans="1:7" x14ac:dyDescent="0.2">
      <c r="A92" s="303" t="s">
        <v>543</v>
      </c>
      <c r="B92" s="303"/>
      <c r="C92" s="149"/>
      <c r="D92" s="295"/>
      <c r="E92" s="295"/>
      <c r="F92" s="295"/>
      <c r="G92" s="295"/>
    </row>
    <row r="93" spans="1:7" ht="46.2" customHeight="1" x14ac:dyDescent="0.2">
      <c r="A93" s="303"/>
      <c r="B93" s="303"/>
      <c r="C93" s="149" t="s">
        <v>27</v>
      </c>
      <c r="D93" s="298" t="s">
        <v>463</v>
      </c>
      <c r="E93" s="298"/>
      <c r="F93" s="298"/>
      <c r="G93" s="298"/>
    </row>
    <row r="94" spans="1:7" x14ac:dyDescent="0.2">
      <c r="A94" s="303"/>
      <c r="B94" s="303"/>
      <c r="C94" s="149" t="s">
        <v>28</v>
      </c>
      <c r="D94" s="150" t="s">
        <v>17</v>
      </c>
      <c r="E94" s="304" t="s">
        <v>29</v>
      </c>
      <c r="F94" s="304"/>
      <c r="G94" s="305">
        <f>G100</f>
        <v>98.49</v>
      </c>
    </row>
    <row r="95" spans="1:7" x14ac:dyDescent="0.2">
      <c r="A95" s="303"/>
      <c r="B95" s="303"/>
      <c r="C95" s="149" t="s">
        <v>26</v>
      </c>
      <c r="D95" s="150">
        <v>1</v>
      </c>
      <c r="E95" s="304"/>
      <c r="F95" s="304"/>
      <c r="G95" s="305"/>
    </row>
    <row r="96" spans="1:7" x14ac:dyDescent="0.2">
      <c r="A96" s="151"/>
      <c r="B96" s="151"/>
      <c r="C96" s="152"/>
      <c r="D96" s="152"/>
      <c r="E96" s="301"/>
      <c r="F96" s="302"/>
      <c r="G96" s="148"/>
    </row>
    <row r="97" spans="1:10" ht="20.399999999999999" x14ac:dyDescent="0.2">
      <c r="A97" s="153" t="s">
        <v>97</v>
      </c>
      <c r="B97" s="153" t="s">
        <v>98</v>
      </c>
      <c r="C97" s="154" t="s">
        <v>30</v>
      </c>
      <c r="D97" s="154" t="s">
        <v>28</v>
      </c>
      <c r="E97" s="155" t="s">
        <v>99</v>
      </c>
      <c r="F97" s="155" t="s">
        <v>100</v>
      </c>
      <c r="G97" s="155" t="s">
        <v>101</v>
      </c>
    </row>
    <row r="98" spans="1:10" ht="20.399999999999999" x14ac:dyDescent="0.2">
      <c r="A98" s="143" t="s">
        <v>37</v>
      </c>
      <c r="B98" s="183">
        <v>89355</v>
      </c>
      <c r="C98" s="144" t="s">
        <v>461</v>
      </c>
      <c r="D98" s="145" t="s">
        <v>21</v>
      </c>
      <c r="E98" s="159">
        <v>3</v>
      </c>
      <c r="F98" s="160">
        <v>18.82</v>
      </c>
      <c r="G98" s="148">
        <f t="shared" ref="G98:G99" si="2">E98*F98</f>
        <v>56.46</v>
      </c>
    </row>
    <row r="99" spans="1:10" ht="30.6" x14ac:dyDescent="0.2">
      <c r="A99" s="143" t="s">
        <v>37</v>
      </c>
      <c r="B99" s="183">
        <v>90373</v>
      </c>
      <c r="C99" s="161" t="s">
        <v>462</v>
      </c>
      <c r="D99" s="145" t="s">
        <v>460</v>
      </c>
      <c r="E99" s="159">
        <v>3</v>
      </c>
      <c r="F99" s="160">
        <v>14.01</v>
      </c>
      <c r="G99" s="148">
        <f t="shared" si="2"/>
        <v>42.03</v>
      </c>
    </row>
    <row r="100" spans="1:10" x14ac:dyDescent="0.2">
      <c r="A100" s="156"/>
      <c r="B100" s="156"/>
      <c r="C100" s="157"/>
      <c r="D100" s="156"/>
      <c r="E100" s="156"/>
      <c r="F100" s="158" t="s">
        <v>19</v>
      </c>
      <c r="G100" s="154">
        <f>TRUNC(SUM(G98:G99),2)</f>
        <v>98.49</v>
      </c>
    </row>
    <row r="101" spans="1:10" x14ac:dyDescent="0.2">
      <c r="A101" s="156"/>
      <c r="B101" s="156"/>
      <c r="C101" s="156"/>
      <c r="D101" s="156"/>
      <c r="E101" s="156"/>
      <c r="F101" s="156"/>
      <c r="G101" s="156"/>
    </row>
    <row r="102" spans="1:10" x14ac:dyDescent="0.2">
      <c r="A102" s="303" t="s">
        <v>200</v>
      </c>
      <c r="B102" s="320"/>
      <c r="C102" s="149"/>
      <c r="D102" s="295"/>
      <c r="E102" s="296"/>
      <c r="F102" s="296"/>
      <c r="G102" s="296"/>
    </row>
    <row r="103" spans="1:10" ht="46.8" customHeight="1" x14ac:dyDescent="0.2">
      <c r="A103" s="321"/>
      <c r="B103" s="322"/>
      <c r="C103" s="149" t="s">
        <v>27</v>
      </c>
      <c r="D103" s="325" t="s">
        <v>528</v>
      </c>
      <c r="E103" s="326"/>
      <c r="F103" s="326"/>
      <c r="G103" s="327"/>
    </row>
    <row r="104" spans="1:10" x14ac:dyDescent="0.2">
      <c r="A104" s="321"/>
      <c r="B104" s="322"/>
      <c r="C104" s="149" t="s">
        <v>28</v>
      </c>
      <c r="D104" s="150" t="s">
        <v>17</v>
      </c>
      <c r="E104" s="304" t="s">
        <v>29</v>
      </c>
      <c r="F104" s="328"/>
      <c r="G104" s="305">
        <f>G120</f>
        <v>5134.25</v>
      </c>
    </row>
    <row r="105" spans="1:10" x14ac:dyDescent="0.2">
      <c r="A105" s="323"/>
      <c r="B105" s="324"/>
      <c r="C105" s="149" t="s">
        <v>26</v>
      </c>
      <c r="D105" s="150">
        <v>1</v>
      </c>
      <c r="E105" s="329"/>
      <c r="F105" s="330"/>
      <c r="G105" s="331"/>
    </row>
    <row r="106" spans="1:10" x14ac:dyDescent="0.2">
      <c r="A106" s="151"/>
      <c r="B106" s="151"/>
      <c r="C106" s="152"/>
      <c r="D106" s="152"/>
      <c r="E106" s="301"/>
      <c r="F106" s="302"/>
      <c r="G106" s="148"/>
    </row>
    <row r="107" spans="1:10" ht="20.399999999999999" x14ac:dyDescent="0.2">
      <c r="A107" s="153" t="s">
        <v>97</v>
      </c>
      <c r="B107" s="153" t="s">
        <v>98</v>
      </c>
      <c r="C107" s="154" t="s">
        <v>30</v>
      </c>
      <c r="D107" s="154" t="s">
        <v>28</v>
      </c>
      <c r="E107" s="155" t="s">
        <v>99</v>
      </c>
      <c r="F107" s="155" t="s">
        <v>100</v>
      </c>
      <c r="G107" s="155" t="s">
        <v>101</v>
      </c>
      <c r="J107" s="46">
        <f>PI()</f>
        <v>3.1415926535897931</v>
      </c>
    </row>
    <row r="108" spans="1:10" ht="20.399999999999999" x14ac:dyDescent="0.2">
      <c r="A108" s="143" t="s">
        <v>94</v>
      </c>
      <c r="B108" s="143" t="s">
        <v>506</v>
      </c>
      <c r="C108" s="144" t="s">
        <v>507</v>
      </c>
      <c r="D108" s="145" t="s">
        <v>527</v>
      </c>
      <c r="E108" s="159">
        <v>0.99</v>
      </c>
      <c r="F108" s="160">
        <v>158.49</v>
      </c>
      <c r="G108" s="148">
        <f t="shared" ref="G108:G119" si="3">E108*F108</f>
        <v>156.9051</v>
      </c>
      <c r="J108" s="46">
        <f>2*J107*0.5</f>
        <v>3.1415926535897931</v>
      </c>
    </row>
    <row r="109" spans="1:10" ht="61.2" x14ac:dyDescent="0.2">
      <c r="A109" s="143" t="s">
        <v>37</v>
      </c>
      <c r="B109" s="143" t="s">
        <v>508</v>
      </c>
      <c r="C109" s="144" t="s">
        <v>509</v>
      </c>
      <c r="D109" s="145" t="s">
        <v>450</v>
      </c>
      <c r="E109" s="159">
        <v>0.29260000000000003</v>
      </c>
      <c r="F109" s="160">
        <v>148.79</v>
      </c>
      <c r="G109" s="148">
        <f t="shared" si="3"/>
        <v>43.535954000000004</v>
      </c>
      <c r="J109" s="46">
        <f>J108*2.25</f>
        <v>7.0685834705770345</v>
      </c>
    </row>
    <row r="110" spans="1:10" ht="51" x14ac:dyDescent="0.2">
      <c r="A110" s="143" t="s">
        <v>37</v>
      </c>
      <c r="B110" s="143" t="s">
        <v>510</v>
      </c>
      <c r="C110" s="161" t="s">
        <v>511</v>
      </c>
      <c r="D110" s="145" t="s">
        <v>526</v>
      </c>
      <c r="E110" s="159">
        <v>0.59619999999999995</v>
      </c>
      <c r="F110" s="160">
        <v>61.04</v>
      </c>
      <c r="G110" s="148">
        <f t="shared" si="3"/>
        <v>36.392047999999996</v>
      </c>
      <c r="J110" s="46">
        <f>0.2*0.1</f>
        <v>2.0000000000000004E-2</v>
      </c>
    </row>
    <row r="111" spans="1:10" x14ac:dyDescent="0.2">
      <c r="A111" s="143" t="s">
        <v>94</v>
      </c>
      <c r="B111" s="143" t="s">
        <v>512</v>
      </c>
      <c r="C111" s="161" t="s">
        <v>513</v>
      </c>
      <c r="D111" s="145" t="s">
        <v>93</v>
      </c>
      <c r="E111" s="159">
        <f>J112</f>
        <v>706.85834705770344</v>
      </c>
      <c r="F111" s="160">
        <v>0.45</v>
      </c>
      <c r="G111" s="148">
        <f t="shared" si="3"/>
        <v>318.08625617596658</v>
      </c>
      <c r="J111" s="46">
        <f>J109*50</f>
        <v>353.42917352885172</v>
      </c>
    </row>
    <row r="112" spans="1:10" x14ac:dyDescent="0.2">
      <c r="A112" s="143" t="s">
        <v>37</v>
      </c>
      <c r="B112" s="143" t="s">
        <v>514</v>
      </c>
      <c r="C112" s="144" t="s">
        <v>515</v>
      </c>
      <c r="D112" s="145" t="s">
        <v>103</v>
      </c>
      <c r="E112" s="159">
        <v>52.788800000000002</v>
      </c>
      <c r="F112" s="160">
        <v>24.23</v>
      </c>
      <c r="G112" s="148">
        <f t="shared" si="3"/>
        <v>1279.0726240000001</v>
      </c>
      <c r="J112" s="46">
        <f>J111*2</f>
        <v>706.85834705770344</v>
      </c>
    </row>
    <row r="113" spans="1:9" x14ac:dyDescent="0.2">
      <c r="A113" s="143" t="s">
        <v>37</v>
      </c>
      <c r="B113" s="143" t="s">
        <v>147</v>
      </c>
      <c r="C113" s="144" t="s">
        <v>516</v>
      </c>
      <c r="D113" s="145" t="s">
        <v>103</v>
      </c>
      <c r="E113" s="159">
        <v>41.476900000000001</v>
      </c>
      <c r="F113" s="160">
        <v>18.53</v>
      </c>
      <c r="G113" s="148">
        <f t="shared" si="3"/>
        <v>768.566957</v>
      </c>
    </row>
    <row r="114" spans="1:9" ht="20.399999999999999" x14ac:dyDescent="0.2">
      <c r="A114" s="143" t="s">
        <v>37</v>
      </c>
      <c r="B114" s="143" t="s">
        <v>517</v>
      </c>
      <c r="C114" s="144" t="s">
        <v>518</v>
      </c>
      <c r="D114" s="145" t="s">
        <v>527</v>
      </c>
      <c r="E114" s="159">
        <v>0.17599999999999999</v>
      </c>
      <c r="F114" s="160">
        <v>937.73</v>
      </c>
      <c r="G114" s="148">
        <f t="shared" si="3"/>
        <v>165.04048</v>
      </c>
    </row>
    <row r="115" spans="1:9" ht="20.399999999999999" x14ac:dyDescent="0.2">
      <c r="A115" s="143" t="s">
        <v>37</v>
      </c>
      <c r="B115" s="143" t="s">
        <v>519</v>
      </c>
      <c r="C115" s="144" t="s">
        <v>520</v>
      </c>
      <c r="D115" s="145" t="s">
        <v>128</v>
      </c>
      <c r="E115" s="159">
        <v>5.4295999999999998</v>
      </c>
      <c r="F115" s="160">
        <v>13.23</v>
      </c>
      <c r="G115" s="148">
        <f t="shared" si="3"/>
        <v>71.833607999999998</v>
      </c>
      <c r="I115" s="159">
        <v>3720.5212999999999</v>
      </c>
    </row>
    <row r="116" spans="1:9" ht="30.6" x14ac:dyDescent="0.2">
      <c r="A116" s="143" t="s">
        <v>37</v>
      </c>
      <c r="B116" s="143" t="s">
        <v>521</v>
      </c>
      <c r="C116" s="144" t="s">
        <v>248</v>
      </c>
      <c r="D116" s="145" t="s">
        <v>271</v>
      </c>
      <c r="E116" s="159">
        <v>1.76</v>
      </c>
      <c r="F116" s="160">
        <v>75.05</v>
      </c>
      <c r="G116" s="148">
        <f t="shared" si="3"/>
        <v>132.08799999999999</v>
      </c>
    </row>
    <row r="117" spans="1:9" ht="20.399999999999999" x14ac:dyDescent="0.2">
      <c r="A117" s="143" t="s">
        <v>37</v>
      </c>
      <c r="B117" s="143" t="s">
        <v>546</v>
      </c>
      <c r="C117" s="144" t="s">
        <v>547</v>
      </c>
      <c r="D117" s="145" t="s">
        <v>527</v>
      </c>
      <c r="E117" s="159">
        <v>0.3332</v>
      </c>
      <c r="F117" s="160">
        <v>2902.25</v>
      </c>
      <c r="G117" s="148">
        <f t="shared" si="3"/>
        <v>967.02969999999993</v>
      </c>
    </row>
    <row r="118" spans="1:9" ht="30.6" x14ac:dyDescent="0.2">
      <c r="A118" s="143" t="s">
        <v>37</v>
      </c>
      <c r="B118" s="143" t="s">
        <v>522</v>
      </c>
      <c r="C118" s="144" t="s">
        <v>523</v>
      </c>
      <c r="D118" s="145" t="s">
        <v>527</v>
      </c>
      <c r="E118" s="159">
        <v>1.7266999999999999</v>
      </c>
      <c r="F118" s="160">
        <v>656.75</v>
      </c>
      <c r="G118" s="148">
        <f t="shared" si="3"/>
        <v>1134.010225</v>
      </c>
    </row>
    <row r="119" spans="1:9" ht="30.6" x14ac:dyDescent="0.2">
      <c r="A119" s="143" t="s">
        <v>37</v>
      </c>
      <c r="B119" s="143" t="s">
        <v>524</v>
      </c>
      <c r="C119" s="144" t="s">
        <v>525</v>
      </c>
      <c r="D119" s="145" t="s">
        <v>527</v>
      </c>
      <c r="E119" s="159">
        <v>0.42899999999999999</v>
      </c>
      <c r="F119" s="160">
        <v>143.81</v>
      </c>
      <c r="G119" s="148">
        <f t="shared" si="3"/>
        <v>61.694490000000002</v>
      </c>
    </row>
    <row r="120" spans="1:9" x14ac:dyDescent="0.2">
      <c r="A120" s="156"/>
      <c r="B120" s="156"/>
      <c r="C120" s="157"/>
      <c r="D120" s="156"/>
      <c r="E120" s="156"/>
      <c r="F120" s="158" t="s">
        <v>19</v>
      </c>
      <c r="G120" s="154">
        <f>TRUNC(SUM(G108:G119),2)</f>
        <v>5134.25</v>
      </c>
    </row>
    <row r="121" spans="1:9" x14ac:dyDescent="0.2">
      <c r="A121" s="303" t="s">
        <v>453</v>
      </c>
      <c r="B121" s="303"/>
      <c r="C121" s="149"/>
      <c r="D121" s="295"/>
      <c r="E121" s="295"/>
      <c r="F121" s="295"/>
      <c r="G121" s="295"/>
    </row>
    <row r="122" spans="1:9" x14ac:dyDescent="0.2">
      <c r="A122" s="303"/>
      <c r="B122" s="303"/>
      <c r="C122" s="149" t="s">
        <v>27</v>
      </c>
      <c r="D122" s="298" t="s">
        <v>693</v>
      </c>
      <c r="E122" s="298"/>
      <c r="F122" s="298"/>
      <c r="G122" s="298"/>
    </row>
    <row r="123" spans="1:9" x14ac:dyDescent="0.2">
      <c r="A123" s="303"/>
      <c r="B123" s="303"/>
      <c r="C123" s="149" t="s">
        <v>28</v>
      </c>
      <c r="D123" s="150" t="s">
        <v>93</v>
      </c>
      <c r="E123" s="304" t="s">
        <v>29</v>
      </c>
      <c r="F123" s="304"/>
      <c r="G123" s="305">
        <f>G133</f>
        <v>48.82</v>
      </c>
    </row>
    <row r="124" spans="1:9" x14ac:dyDescent="0.2">
      <c r="A124" s="303"/>
      <c r="B124" s="303"/>
      <c r="C124" s="149" t="s">
        <v>26</v>
      </c>
      <c r="D124" s="150">
        <v>1</v>
      </c>
      <c r="E124" s="304"/>
      <c r="F124" s="304"/>
      <c r="G124" s="305"/>
    </row>
    <row r="125" spans="1:9" x14ac:dyDescent="0.2">
      <c r="A125" s="151"/>
      <c r="B125" s="151"/>
      <c r="C125" s="152"/>
      <c r="D125" s="152"/>
      <c r="E125" s="301"/>
      <c r="F125" s="302"/>
      <c r="G125" s="148"/>
    </row>
    <row r="126" spans="1:9" ht="20.399999999999999" x14ac:dyDescent="0.2">
      <c r="A126" s="153" t="s">
        <v>97</v>
      </c>
      <c r="B126" s="153" t="s">
        <v>98</v>
      </c>
      <c r="C126" s="154" t="s">
        <v>30</v>
      </c>
      <c r="D126" s="154" t="s">
        <v>28</v>
      </c>
      <c r="E126" s="155" t="s">
        <v>99</v>
      </c>
      <c r="F126" s="155" t="s">
        <v>100</v>
      </c>
      <c r="G126" s="155" t="s">
        <v>101</v>
      </c>
    </row>
    <row r="127" spans="1:9" x14ac:dyDescent="0.2">
      <c r="A127" s="143" t="s">
        <v>145</v>
      </c>
      <c r="B127" s="143" t="s">
        <v>737</v>
      </c>
      <c r="C127" s="144" t="s">
        <v>694</v>
      </c>
      <c r="D127" s="145" t="s">
        <v>93</v>
      </c>
      <c r="E127" s="159">
        <v>1</v>
      </c>
      <c r="F127" s="160">
        <v>31.46</v>
      </c>
      <c r="G127" s="148">
        <f t="shared" ref="G127:G132" si="4">E127*F127</f>
        <v>31.46</v>
      </c>
    </row>
    <row r="128" spans="1:9" ht="20.399999999999999" x14ac:dyDescent="0.2">
      <c r="A128" s="143" t="s">
        <v>145</v>
      </c>
      <c r="B128" s="143">
        <v>301</v>
      </c>
      <c r="C128" s="144" t="s">
        <v>695</v>
      </c>
      <c r="D128" s="145" t="s">
        <v>93</v>
      </c>
      <c r="E128" s="159">
        <v>1</v>
      </c>
      <c r="F128" s="160">
        <v>3.41</v>
      </c>
      <c r="G128" s="148">
        <f t="shared" si="4"/>
        <v>3.41</v>
      </c>
    </row>
    <row r="129" spans="1:7" ht="20.399999999999999" x14ac:dyDescent="0.2">
      <c r="A129" s="143" t="s">
        <v>145</v>
      </c>
      <c r="B129" s="143" t="s">
        <v>696</v>
      </c>
      <c r="C129" s="144" t="s">
        <v>697</v>
      </c>
      <c r="D129" s="145" t="s">
        <v>93</v>
      </c>
      <c r="E129" s="159">
        <v>1</v>
      </c>
      <c r="F129" s="160">
        <v>1.92</v>
      </c>
      <c r="G129" s="148">
        <f t="shared" si="4"/>
        <v>1.92</v>
      </c>
    </row>
    <row r="130" spans="1:7" ht="30.6" x14ac:dyDescent="0.2">
      <c r="A130" s="143" t="s">
        <v>145</v>
      </c>
      <c r="B130" s="143">
        <v>20078</v>
      </c>
      <c r="C130" s="157" t="s">
        <v>699</v>
      </c>
      <c r="D130" s="145" t="s">
        <v>93</v>
      </c>
      <c r="E130" s="159">
        <v>0.115</v>
      </c>
      <c r="F130" s="160">
        <v>29.34</v>
      </c>
      <c r="G130" s="148">
        <f t="shared" si="4"/>
        <v>3.3741000000000003</v>
      </c>
    </row>
    <row r="131" spans="1:7" ht="20.399999999999999" x14ac:dyDescent="0.2">
      <c r="A131" s="143" t="s">
        <v>37</v>
      </c>
      <c r="B131" s="143" t="s">
        <v>700</v>
      </c>
      <c r="C131" s="144" t="s">
        <v>701</v>
      </c>
      <c r="D131" s="145" t="s">
        <v>103</v>
      </c>
      <c r="E131" s="159">
        <v>0.2172</v>
      </c>
      <c r="F131" s="160">
        <v>17.84</v>
      </c>
      <c r="G131" s="148">
        <f t="shared" si="4"/>
        <v>3.8748480000000001</v>
      </c>
    </row>
    <row r="132" spans="1:7" ht="20.399999999999999" x14ac:dyDescent="0.2">
      <c r="A132" s="143" t="s">
        <v>37</v>
      </c>
      <c r="B132" s="143" t="s">
        <v>702</v>
      </c>
      <c r="C132" s="144" t="s">
        <v>703</v>
      </c>
      <c r="D132" s="145" t="s">
        <v>103</v>
      </c>
      <c r="E132" s="159">
        <v>0.2172</v>
      </c>
      <c r="F132" s="160">
        <v>22.05</v>
      </c>
      <c r="G132" s="148">
        <f t="shared" si="4"/>
        <v>4.7892600000000005</v>
      </c>
    </row>
    <row r="133" spans="1:7" x14ac:dyDescent="0.2">
      <c r="A133" s="156"/>
      <c r="B133" s="156"/>
      <c r="C133" s="157"/>
      <c r="D133" s="156"/>
      <c r="E133" s="156"/>
      <c r="F133" s="158" t="s">
        <v>19</v>
      </c>
      <c r="G133" s="154">
        <f>TRUNC(SUM(G127:G132),2)</f>
        <v>48.82</v>
      </c>
    </row>
    <row r="134" spans="1:7" x14ac:dyDescent="0.2">
      <c r="A134" s="156"/>
      <c r="B134" s="156"/>
      <c r="C134" s="156"/>
      <c r="D134" s="156"/>
      <c r="E134" s="156"/>
      <c r="F134" s="156"/>
      <c r="G134" s="156"/>
    </row>
    <row r="135" spans="1:7" x14ac:dyDescent="0.2">
      <c r="A135" s="156" t="s">
        <v>698</v>
      </c>
    </row>
    <row r="137" spans="1:7" s="6" customFormat="1" ht="11.25" customHeight="1" x14ac:dyDescent="0.2">
      <c r="A137" s="294" t="s">
        <v>753</v>
      </c>
      <c r="B137" s="294"/>
      <c r="C137" s="149"/>
      <c r="D137" s="295"/>
      <c r="E137" s="296"/>
      <c r="F137" s="296"/>
      <c r="G137" s="297"/>
    </row>
    <row r="138" spans="1:7" s="6" customFormat="1" ht="51.6" customHeight="1" x14ac:dyDescent="0.2">
      <c r="A138" s="294"/>
      <c r="B138" s="294"/>
      <c r="C138" s="149" t="s">
        <v>27</v>
      </c>
      <c r="D138" s="298" t="s">
        <v>752</v>
      </c>
      <c r="E138" s="298"/>
      <c r="F138" s="298"/>
      <c r="G138" s="298"/>
    </row>
    <row r="139" spans="1:7" s="6" customFormat="1" ht="11.25" customHeight="1" x14ac:dyDescent="0.2">
      <c r="A139" s="294"/>
      <c r="B139" s="294"/>
      <c r="C139" s="149" t="s">
        <v>28</v>
      </c>
      <c r="D139" s="150" t="s">
        <v>8</v>
      </c>
      <c r="E139" s="299" t="s">
        <v>29</v>
      </c>
      <c r="F139" s="299"/>
      <c r="G139" s="300">
        <f>G148</f>
        <v>54.4</v>
      </c>
    </row>
    <row r="140" spans="1:7" s="6" customFormat="1" x14ac:dyDescent="0.2">
      <c r="A140" s="294"/>
      <c r="B140" s="294"/>
      <c r="C140" s="149" t="s">
        <v>26</v>
      </c>
      <c r="D140" s="150">
        <v>1</v>
      </c>
      <c r="E140" s="299"/>
      <c r="F140" s="299"/>
      <c r="G140" s="300"/>
    </row>
    <row r="141" spans="1:7" s="6" customFormat="1" x14ac:dyDescent="0.2">
      <c r="A141" s="151"/>
      <c r="B141" s="151"/>
      <c r="C141" s="152"/>
      <c r="D141" s="152"/>
      <c r="E141" s="293"/>
      <c r="F141" s="293"/>
      <c r="G141" s="148"/>
    </row>
    <row r="142" spans="1:7" s="6" customFormat="1" ht="21.75" customHeight="1" x14ac:dyDescent="0.2">
      <c r="A142" s="153" t="s">
        <v>97</v>
      </c>
      <c r="B142" s="153" t="s">
        <v>98</v>
      </c>
      <c r="C142" s="154" t="s">
        <v>30</v>
      </c>
      <c r="D142" s="154" t="s">
        <v>28</v>
      </c>
      <c r="E142" s="155" t="s">
        <v>99</v>
      </c>
      <c r="F142" s="155" t="s">
        <v>100</v>
      </c>
      <c r="G142" s="155" t="s">
        <v>101</v>
      </c>
    </row>
    <row r="143" spans="1:7" s="6" customFormat="1" ht="20.399999999999999" x14ac:dyDescent="0.2">
      <c r="A143" s="143" t="s">
        <v>144</v>
      </c>
      <c r="B143" s="143" t="s">
        <v>742</v>
      </c>
      <c r="C143" s="144" t="s">
        <v>741</v>
      </c>
      <c r="D143" s="145" t="s">
        <v>8</v>
      </c>
      <c r="E143" s="146">
        <v>1.1000000000000001</v>
      </c>
      <c r="F143" s="147">
        <f>(27.9+34.9+24.9)/3</f>
        <v>29.233333333333331</v>
      </c>
      <c r="G143" s="148">
        <f>E143*F143</f>
        <v>32.156666666666666</v>
      </c>
    </row>
    <row r="144" spans="1:7" s="6" customFormat="1" x14ac:dyDescent="0.2">
      <c r="A144" s="143" t="s">
        <v>145</v>
      </c>
      <c r="B144" s="143" t="s">
        <v>187</v>
      </c>
      <c r="C144" s="144" t="s">
        <v>188</v>
      </c>
      <c r="D144" s="145" t="s">
        <v>189</v>
      </c>
      <c r="E144" s="146">
        <v>4.8600000000000003</v>
      </c>
      <c r="F144" s="147">
        <v>0.69</v>
      </c>
      <c r="G144" s="148">
        <f>E144*F144</f>
        <v>3.3534000000000002</v>
      </c>
    </row>
    <row r="145" spans="1:8" s="6" customFormat="1" x14ac:dyDescent="0.2">
      <c r="A145" s="143" t="s">
        <v>145</v>
      </c>
      <c r="B145" s="143" t="s">
        <v>190</v>
      </c>
      <c r="C145" s="144" t="s">
        <v>191</v>
      </c>
      <c r="D145" s="145" t="s">
        <v>189</v>
      </c>
      <c r="E145" s="146">
        <v>0.42</v>
      </c>
      <c r="F145" s="147">
        <v>4.05</v>
      </c>
      <c r="G145" s="148">
        <f>E145*F145</f>
        <v>1.7009999999999998</v>
      </c>
    </row>
    <row r="146" spans="1:8" s="6" customFormat="1" x14ac:dyDescent="0.2">
      <c r="A146" s="143" t="s">
        <v>146</v>
      </c>
      <c r="B146" s="143" t="s">
        <v>192</v>
      </c>
      <c r="C146" s="144" t="s">
        <v>193</v>
      </c>
      <c r="D146" s="145" t="s">
        <v>194</v>
      </c>
      <c r="E146" s="146">
        <v>0.49</v>
      </c>
      <c r="F146" s="147">
        <v>24.12</v>
      </c>
      <c r="G146" s="148">
        <f>E146*F146</f>
        <v>11.8188</v>
      </c>
    </row>
    <row r="147" spans="1:8" s="6" customFormat="1" x14ac:dyDescent="0.2">
      <c r="A147" s="143" t="s">
        <v>146</v>
      </c>
      <c r="B147" s="143" t="s">
        <v>147</v>
      </c>
      <c r="C147" s="144" t="s">
        <v>195</v>
      </c>
      <c r="D147" s="145" t="s">
        <v>194</v>
      </c>
      <c r="E147" s="146">
        <v>0.28999999999999998</v>
      </c>
      <c r="F147" s="147">
        <v>18.53</v>
      </c>
      <c r="G147" s="148">
        <f>E147*F147</f>
        <v>5.3737000000000004</v>
      </c>
    </row>
    <row r="148" spans="1:8" s="6" customFormat="1" x14ac:dyDescent="0.2">
      <c r="A148" s="156"/>
      <c r="B148" s="156"/>
      <c r="C148" s="157"/>
      <c r="D148" s="156"/>
      <c r="E148" s="156"/>
      <c r="F148" s="158" t="s">
        <v>19</v>
      </c>
      <c r="G148" s="154">
        <f>TRUNC(SUM(G143:G147),2)</f>
        <v>54.4</v>
      </c>
      <c r="H148" s="6" t="s">
        <v>105</v>
      </c>
    </row>
    <row r="149" spans="1:8" s="6" customFormat="1" x14ac:dyDescent="0.2">
      <c r="A149" s="156"/>
      <c r="B149" s="156"/>
      <c r="C149" s="156"/>
      <c r="D149" s="156"/>
      <c r="E149" s="156"/>
      <c r="F149" s="156"/>
      <c r="G149" s="156"/>
    </row>
    <row r="150" spans="1:8" x14ac:dyDescent="0.2">
      <c r="A150" s="156" t="s">
        <v>186</v>
      </c>
    </row>
    <row r="206" spans="12:12" x14ac:dyDescent="0.2">
      <c r="L206" s="57" t="e">
        <f>'COMPOSICOES COM DESON'!#REF!</f>
        <v>#REF!</v>
      </c>
    </row>
  </sheetData>
  <autoFilter ref="A9:G10" xr:uid="{00000000-0009-0000-0000-00000B000000}"/>
  <mergeCells count="68">
    <mergeCell ref="E106:F106"/>
    <mergeCell ref="A102:B105"/>
    <mergeCell ref="D102:G102"/>
    <mergeCell ref="D103:G103"/>
    <mergeCell ref="E104:F105"/>
    <mergeCell ref="G104:G105"/>
    <mergeCell ref="A26:B29"/>
    <mergeCell ref="D26:G26"/>
    <mergeCell ref="D27:G27"/>
    <mergeCell ref="E28:F29"/>
    <mergeCell ref="G28:G29"/>
    <mergeCell ref="A41:B44"/>
    <mergeCell ref="D41:G41"/>
    <mergeCell ref="D42:G42"/>
    <mergeCell ref="E43:F44"/>
    <mergeCell ref="G43:G44"/>
    <mergeCell ref="G14:G15"/>
    <mergeCell ref="A8:G8"/>
    <mergeCell ref="A2:G2"/>
    <mergeCell ref="A4:G4"/>
    <mergeCell ref="A5:G5"/>
    <mergeCell ref="A6:G6"/>
    <mergeCell ref="A7:G7"/>
    <mergeCell ref="E66:F66"/>
    <mergeCell ref="A10:G10"/>
    <mergeCell ref="E58:F58"/>
    <mergeCell ref="E53:F53"/>
    <mergeCell ref="A54:B57"/>
    <mergeCell ref="D54:G54"/>
    <mergeCell ref="D55:G55"/>
    <mergeCell ref="E56:F57"/>
    <mergeCell ref="G56:G57"/>
    <mergeCell ref="E45:F45"/>
    <mergeCell ref="E30:F30"/>
    <mergeCell ref="E16:F16"/>
    <mergeCell ref="A12:B15"/>
    <mergeCell ref="D12:G12"/>
    <mergeCell ref="D13:G13"/>
    <mergeCell ref="E14:F15"/>
    <mergeCell ref="A67:B69"/>
    <mergeCell ref="E70:F70"/>
    <mergeCell ref="G68:G69"/>
    <mergeCell ref="E68:F69"/>
    <mergeCell ref="D67:G67"/>
    <mergeCell ref="E86:F86"/>
    <mergeCell ref="A82:B85"/>
    <mergeCell ref="D82:G82"/>
    <mergeCell ref="D83:G83"/>
    <mergeCell ref="E84:F85"/>
    <mergeCell ref="G84:G85"/>
    <mergeCell ref="E96:F96"/>
    <mergeCell ref="A92:B95"/>
    <mergeCell ref="D92:G92"/>
    <mergeCell ref="D93:G93"/>
    <mergeCell ref="E94:F95"/>
    <mergeCell ref="G94:G95"/>
    <mergeCell ref="E125:F125"/>
    <mergeCell ref="A121:B124"/>
    <mergeCell ref="D121:G121"/>
    <mergeCell ref="D122:G122"/>
    <mergeCell ref="E123:F124"/>
    <mergeCell ref="G123:G124"/>
    <mergeCell ref="E141:F141"/>
    <mergeCell ref="A137:B140"/>
    <mergeCell ref="D137:G137"/>
    <mergeCell ref="D138:G138"/>
    <mergeCell ref="E139:F140"/>
    <mergeCell ref="G139:G140"/>
  </mergeCells>
  <printOptions horizontalCentered="1"/>
  <pageMargins left="0.51181102362204722" right="0.51181102362204722" top="1.1811023622047245" bottom="1.5748031496062993" header="0.31496062992125984" footer="0.31496062992125984"/>
  <pageSetup paperSize="9" scale="71" orientation="portrait" horizontalDpi="360" verticalDpi="360" r:id="rId1"/>
  <headerFooter>
    <oddHeader>&amp;C&amp;G</oddHeader>
    <oddFooter>&amp;C&amp;G</oddFooter>
  </headerFooter>
  <rowBreaks count="1" manualBreakCount="1">
    <brk id="97" max="6" man="1"/>
  </rowBreaks>
  <ignoredErrors>
    <ignoredError sqref="B35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249977111117893"/>
  </sheetPr>
  <dimension ref="A1:O74"/>
  <sheetViews>
    <sheetView view="pageBreakPreview" zoomScaleNormal="100" zoomScaleSheetLayoutView="100" workbookViewId="0">
      <selection activeCell="I19" sqref="I19"/>
    </sheetView>
  </sheetViews>
  <sheetFormatPr defaultColWidth="9.109375" defaultRowHeight="10.199999999999999" x14ac:dyDescent="0.2"/>
  <cols>
    <col min="1" max="1" width="6.88671875" style="77" customWidth="1"/>
    <col min="2" max="2" width="43.6640625" style="77" customWidth="1"/>
    <col min="3" max="3" width="12" style="77" customWidth="1"/>
    <col min="4" max="4" width="10.109375" style="77" customWidth="1"/>
    <col min="5" max="5" width="11.33203125" style="77" bestFit="1" customWidth="1"/>
    <col min="6" max="6" width="10.109375" style="77" customWidth="1"/>
    <col min="7" max="7" width="12.109375" style="77" bestFit="1" customWidth="1"/>
    <col min="8" max="8" width="10.109375" style="77" customWidth="1"/>
    <col min="9" max="9" width="12.109375" style="77" bestFit="1" customWidth="1"/>
    <col min="10" max="10" width="10.109375" style="77" customWidth="1"/>
    <col min="11" max="11" width="12.109375" style="77" bestFit="1" customWidth="1"/>
    <col min="12" max="12" width="10.109375" style="77" customWidth="1"/>
    <col min="13" max="13" width="12.109375" style="77" bestFit="1" customWidth="1"/>
    <col min="14" max="14" width="10.109375" style="77" customWidth="1"/>
    <col min="15" max="15" width="12.109375" style="77" bestFit="1" customWidth="1"/>
    <col min="16" max="16384" width="9.109375" style="77"/>
  </cols>
  <sheetData>
    <row r="1" spans="1:15" s="75" customFormat="1" ht="43.2" customHeight="1" x14ac:dyDescent="0.3">
      <c r="A1" s="333" t="str">
        <f>'ORÇAMENTO COM DESON'!A1:I1</f>
        <v>REFORMA E AMPLIAÇÃO DA UNIDADE BÁSICA DE SAÚDE JENÉSIO DE QUEIROZ SANTOS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</row>
    <row r="2" spans="1:15" s="75" customFormat="1" ht="15.6" customHeight="1" x14ac:dyDescent="0.2">
      <c r="A2" s="334" t="s">
        <v>40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</row>
    <row r="3" spans="1:15" ht="14.4" customHeight="1" x14ac:dyDescent="0.2">
      <c r="A3" s="336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</row>
    <row r="4" spans="1:15" ht="25.5" customHeight="1" x14ac:dyDescent="0.25">
      <c r="A4" s="332" t="str">
        <f>'ORÇAMENTO COM DESON'!A4</f>
        <v>LOCALIZAÇÃO: LIMOEIRO - PE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</row>
    <row r="5" spans="1:15" ht="22.95" customHeight="1" x14ac:dyDescent="0.2">
      <c r="A5" s="339" t="str">
        <f>'ORÇAMENTO COM DESON'!A5</f>
        <v>FONTES DE PREÇOS: SINAPI MARÇO-2023 -  SEINFRA 027 MARÇO/2021 - COM DESONERAÇÃO (BDI = 30,53%)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</row>
    <row r="6" spans="1:15" ht="13.2" x14ac:dyDescent="0.25">
      <c r="A6" s="94" t="str">
        <f>'ORÇAMENTO COM DESON'!A6</f>
        <v>DATA: ABRIL/2023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1:15" x14ac:dyDescent="0.2">
      <c r="A7" s="72"/>
      <c r="B7" s="72"/>
      <c r="C7" s="68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</row>
    <row r="8" spans="1:15" s="71" customFormat="1" ht="12.75" customHeight="1" x14ac:dyDescent="0.2">
      <c r="A8" s="347" t="s">
        <v>41</v>
      </c>
      <c r="B8" s="347" t="s">
        <v>42</v>
      </c>
      <c r="C8" s="348" t="s">
        <v>43</v>
      </c>
      <c r="D8" s="341" t="s">
        <v>279</v>
      </c>
      <c r="E8" s="342"/>
      <c r="F8" s="341" t="s">
        <v>280</v>
      </c>
      <c r="G8" s="342"/>
      <c r="H8" s="341" t="s">
        <v>281</v>
      </c>
      <c r="I8" s="342"/>
      <c r="J8" s="341" t="s">
        <v>282</v>
      </c>
      <c r="K8" s="342"/>
      <c r="L8" s="341" t="s">
        <v>283</v>
      </c>
      <c r="M8" s="342"/>
      <c r="N8" s="341" t="s">
        <v>284</v>
      </c>
      <c r="O8" s="342"/>
    </row>
    <row r="9" spans="1:15" s="71" customFormat="1" ht="14.4" customHeight="1" x14ac:dyDescent="0.2">
      <c r="A9" s="347"/>
      <c r="B9" s="347"/>
      <c r="C9" s="348"/>
      <c r="D9" s="128" t="s">
        <v>140</v>
      </c>
      <c r="E9" s="129" t="s">
        <v>141</v>
      </c>
      <c r="F9" s="128" t="s">
        <v>140</v>
      </c>
      <c r="G9" s="129" t="s">
        <v>141</v>
      </c>
      <c r="H9" s="128" t="s">
        <v>140</v>
      </c>
      <c r="I9" s="129" t="s">
        <v>141</v>
      </c>
      <c r="J9" s="128" t="s">
        <v>140</v>
      </c>
      <c r="K9" s="129" t="s">
        <v>141</v>
      </c>
      <c r="L9" s="128" t="s">
        <v>140</v>
      </c>
      <c r="M9" s="129" t="s">
        <v>141</v>
      </c>
      <c r="N9" s="128" t="s">
        <v>140</v>
      </c>
      <c r="O9" s="129" t="s">
        <v>141</v>
      </c>
    </row>
    <row r="10" spans="1:15" s="74" customFormat="1" x14ac:dyDescent="0.2">
      <c r="A10" s="72"/>
      <c r="B10" s="72"/>
      <c r="C10" s="64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1" spans="1:15" s="75" customFormat="1" x14ac:dyDescent="0.2">
      <c r="A11" s="123" t="str">
        <f>'ORÇAMENTO COM DESON'!A10</f>
        <v>1.1</v>
      </c>
      <c r="B11" s="124" t="str">
        <f>'ORÇAMENTO COM DESON'!D10</f>
        <v>SERVIÇOS PRELIMINARES</v>
      </c>
      <c r="C11" s="122">
        <f>'ORÇAMENTO COM DESON'!I10</f>
        <v>5752.83</v>
      </c>
      <c r="D11" s="140">
        <v>1</v>
      </c>
      <c r="E11" s="122">
        <f>D11*C11</f>
        <v>5752.83</v>
      </c>
      <c r="F11" s="140"/>
      <c r="G11" s="122"/>
      <c r="H11" s="140"/>
      <c r="I11" s="122"/>
      <c r="J11" s="140"/>
      <c r="K11" s="122"/>
      <c r="L11" s="140"/>
      <c r="M11" s="122"/>
      <c r="N11" s="140"/>
      <c r="O11" s="122"/>
    </row>
    <row r="12" spans="1:15" s="74" customFormat="1" x14ac:dyDescent="0.2">
      <c r="A12" s="72"/>
      <c r="B12" s="72"/>
      <c r="C12" s="64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5" s="75" customFormat="1" x14ac:dyDescent="0.2">
      <c r="A13" s="125" t="str">
        <f>'ORÇAMENTO COM DESON'!A14</f>
        <v>1.2</v>
      </c>
      <c r="B13" s="124" t="str">
        <f>'ORÇAMENTO COM DESON'!D14</f>
        <v>MOVIMENTAÇÃO DE TERRA</v>
      </c>
      <c r="C13" s="122">
        <f>'ORÇAMENTO COM DESON'!I14</f>
        <v>6926.93</v>
      </c>
      <c r="D13" s="140">
        <v>1</v>
      </c>
      <c r="E13" s="122">
        <f>D13*C13</f>
        <v>6926.93</v>
      </c>
      <c r="F13" s="140"/>
      <c r="G13" s="122"/>
      <c r="H13" s="140"/>
      <c r="I13" s="122"/>
      <c r="J13" s="140"/>
      <c r="K13" s="122"/>
      <c r="L13" s="140"/>
      <c r="M13" s="122"/>
      <c r="N13" s="140"/>
      <c r="O13" s="122"/>
    </row>
    <row r="14" spans="1:15" s="74" customFormat="1" x14ac:dyDescent="0.2">
      <c r="A14" s="72"/>
      <c r="B14" s="72"/>
      <c r="C14" s="64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1:15" s="75" customFormat="1" x14ac:dyDescent="0.2">
      <c r="A15" s="123" t="str">
        <f>'ORÇAMENTO COM DESON'!A18</f>
        <v>1.3</v>
      </c>
      <c r="B15" s="124" t="str">
        <f>'ORÇAMENTO COM DESON'!D18</f>
        <v>INFRAESTRUTURA</v>
      </c>
      <c r="C15" s="122">
        <f>'ORÇAMENTO COM DESON'!I18</f>
        <v>22230.230000000003</v>
      </c>
      <c r="D15" s="140">
        <v>1</v>
      </c>
      <c r="E15" s="122">
        <f>D15*C15</f>
        <v>22230.230000000003</v>
      </c>
      <c r="F15" s="140"/>
      <c r="G15" s="122"/>
      <c r="H15" s="140"/>
      <c r="I15" s="122"/>
      <c r="J15" s="140"/>
      <c r="K15" s="122"/>
      <c r="L15" s="140"/>
      <c r="M15" s="122"/>
      <c r="N15" s="140"/>
      <c r="O15" s="122"/>
    </row>
    <row r="16" spans="1:15" s="74" customFormat="1" x14ac:dyDescent="0.2">
      <c r="A16" s="72"/>
      <c r="B16" s="72"/>
      <c r="C16" s="64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</row>
    <row r="17" spans="1:15" s="75" customFormat="1" x14ac:dyDescent="0.2">
      <c r="A17" s="123" t="str">
        <f>'ORÇAMENTO COM DESON'!A25</f>
        <v>1.4</v>
      </c>
      <c r="B17" s="124" t="str">
        <f>'ORÇAMENTO COM DESON'!D25</f>
        <v>SUPERESTRUTURA</v>
      </c>
      <c r="C17" s="122">
        <f>'ORÇAMENTO COM DESON'!I25</f>
        <v>31361.129999999997</v>
      </c>
      <c r="D17" s="140"/>
      <c r="E17" s="122"/>
      <c r="F17" s="140">
        <v>1</v>
      </c>
      <c r="G17" s="122">
        <f>F17*$C$17</f>
        <v>31361.129999999997</v>
      </c>
      <c r="H17" s="140"/>
      <c r="I17" s="122"/>
      <c r="J17" s="140"/>
      <c r="K17" s="122"/>
      <c r="L17" s="140"/>
      <c r="M17" s="122"/>
      <c r="N17" s="140"/>
      <c r="O17" s="122"/>
    </row>
    <row r="18" spans="1:15" s="74" customFormat="1" x14ac:dyDescent="0.2">
      <c r="A18" s="72"/>
      <c r="B18" s="72"/>
      <c r="C18" s="64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</row>
    <row r="19" spans="1:15" s="75" customFormat="1" x14ac:dyDescent="0.2">
      <c r="A19" s="125" t="str">
        <f>'ORÇAMENTO COM DESON'!A32</f>
        <v>1.5</v>
      </c>
      <c r="B19" s="124" t="str">
        <f>'ORÇAMENTO COM DESON'!D32</f>
        <v>COBERTURA</v>
      </c>
      <c r="C19" s="122">
        <f>'ORÇAMENTO COM DESON'!I32</f>
        <v>18926.66</v>
      </c>
      <c r="D19" s="140"/>
      <c r="E19" s="122"/>
      <c r="F19" s="140"/>
      <c r="G19" s="122"/>
      <c r="H19" s="140"/>
      <c r="I19" s="122"/>
      <c r="J19" s="140"/>
      <c r="K19" s="122"/>
      <c r="L19" s="140">
        <v>0.5</v>
      </c>
      <c r="M19" s="122">
        <f>L19*$C$19</f>
        <v>9463.33</v>
      </c>
      <c r="N19" s="140">
        <v>0.5</v>
      </c>
      <c r="O19" s="122">
        <f>N19*$C$19</f>
        <v>9463.33</v>
      </c>
    </row>
    <row r="20" spans="1:15" s="74" customFormat="1" x14ac:dyDescent="0.2">
      <c r="A20" s="72"/>
      <c r="B20" s="72"/>
      <c r="C20" s="64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</row>
    <row r="21" spans="1:15" s="75" customFormat="1" x14ac:dyDescent="0.2">
      <c r="A21" s="123" t="str">
        <f>'ORÇAMENTO COM DESON'!A39</f>
        <v>1.6</v>
      </c>
      <c r="B21" s="124" t="str">
        <f>'ORÇAMENTO COM DESON'!D39</f>
        <v>IMPERMEABILIZAÇÃO</v>
      </c>
      <c r="C21" s="122">
        <f>'ORÇAMENTO COM DESON'!I39</f>
        <v>1947.38</v>
      </c>
      <c r="D21" s="140"/>
      <c r="E21" s="122"/>
      <c r="F21" s="140">
        <v>1</v>
      </c>
      <c r="G21" s="122">
        <f>F21*$C$21</f>
        <v>1947.38</v>
      </c>
      <c r="H21" s="140"/>
      <c r="I21" s="122"/>
      <c r="J21" s="140"/>
      <c r="K21" s="122"/>
      <c r="L21" s="140"/>
      <c r="M21" s="122"/>
      <c r="N21" s="140"/>
      <c r="O21" s="122"/>
    </row>
    <row r="22" spans="1:15" s="74" customFormat="1" x14ac:dyDescent="0.2">
      <c r="A22" s="72"/>
      <c r="B22" s="72"/>
      <c r="C22" s="64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</row>
    <row r="23" spans="1:15" s="75" customFormat="1" x14ac:dyDescent="0.2">
      <c r="A23" s="123" t="str">
        <f>'ORÇAMENTO COM DESON'!A41</f>
        <v>1.7</v>
      </c>
      <c r="B23" s="124" t="str">
        <f>'ORÇAMENTO COM DESON'!D41</f>
        <v>ALVENARIA DE VEDAÇÃO</v>
      </c>
      <c r="C23" s="122">
        <f>'ORÇAMENTO COM DESON'!I41</f>
        <v>11827.42</v>
      </c>
      <c r="D23" s="140"/>
      <c r="E23" s="122"/>
      <c r="F23" s="140">
        <v>1</v>
      </c>
      <c r="G23" s="122">
        <f>C23*F23</f>
        <v>11827.42</v>
      </c>
      <c r="H23" s="140"/>
      <c r="I23" s="122"/>
      <c r="J23" s="140"/>
      <c r="K23" s="122"/>
      <c r="L23" s="140"/>
      <c r="M23" s="122"/>
      <c r="N23" s="140"/>
      <c r="O23" s="122"/>
    </row>
    <row r="24" spans="1:15" s="74" customFormat="1" x14ac:dyDescent="0.2">
      <c r="A24" s="72"/>
      <c r="B24" s="72"/>
      <c r="C24" s="64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</row>
    <row r="25" spans="1:15" s="75" customFormat="1" x14ac:dyDescent="0.2">
      <c r="A25" s="125" t="str">
        <f>'ORÇAMENTO COM DESON'!A47</f>
        <v>1.8</v>
      </c>
      <c r="B25" s="124" t="str">
        <f>'ORÇAMENTO COM DESON'!D47</f>
        <v>REVESTIMENTOS</v>
      </c>
      <c r="C25" s="122">
        <f>'ORÇAMENTO COM DESON'!I47</f>
        <v>21351.64</v>
      </c>
      <c r="D25" s="140"/>
      <c r="E25" s="122"/>
      <c r="F25" s="140"/>
      <c r="G25" s="122"/>
      <c r="H25" s="140">
        <v>0.5</v>
      </c>
      <c r="I25" s="122">
        <f>$C$25*H25</f>
        <v>10675.82</v>
      </c>
      <c r="J25" s="140">
        <v>0.5</v>
      </c>
      <c r="K25" s="122">
        <f>$C$25*J25</f>
        <v>10675.82</v>
      </c>
      <c r="L25" s="140"/>
      <c r="M25" s="122"/>
      <c r="N25" s="140"/>
      <c r="O25" s="122"/>
    </row>
    <row r="26" spans="1:15" s="74" customFormat="1" x14ac:dyDescent="0.2">
      <c r="A26" s="72"/>
      <c r="B26" s="72"/>
      <c r="C26" s="64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5" s="75" customFormat="1" x14ac:dyDescent="0.2">
      <c r="A27" s="123" t="str">
        <f>'ORÇAMENTO COM DESON'!A56</f>
        <v>1.9</v>
      </c>
      <c r="B27" s="124" t="str">
        <f>'ORÇAMENTO COM DESON'!D56</f>
        <v>PISO/ PASSEIO</v>
      </c>
      <c r="C27" s="122">
        <f>'ORÇAMENTO COM DESON'!I56</f>
        <v>9045.19</v>
      </c>
      <c r="D27" s="140"/>
      <c r="E27" s="122"/>
      <c r="F27" s="140"/>
      <c r="G27" s="122"/>
      <c r="H27" s="140"/>
      <c r="I27" s="122"/>
      <c r="J27" s="140"/>
      <c r="K27" s="122"/>
      <c r="L27" s="140">
        <v>1</v>
      </c>
      <c r="M27" s="122">
        <f>$C$27*L27</f>
        <v>9045.19</v>
      </c>
      <c r="N27" s="140"/>
      <c r="O27" s="122"/>
    </row>
    <row r="28" spans="1:15" s="74" customFormat="1" x14ac:dyDescent="0.2">
      <c r="A28" s="72"/>
      <c r="B28" s="72"/>
      <c r="C28" s="64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15" s="75" customFormat="1" x14ac:dyDescent="0.2">
      <c r="A29" s="123" t="str">
        <f>'ORÇAMENTO COM DESON'!A63</f>
        <v>1.10</v>
      </c>
      <c r="B29" s="124" t="str">
        <f>'ORÇAMENTO COM DESON'!D63</f>
        <v>FORRO</v>
      </c>
      <c r="C29" s="122">
        <f>'ORÇAMENTO COM DESON'!I63</f>
        <v>2017.75</v>
      </c>
      <c r="D29" s="140"/>
      <c r="E29" s="122"/>
      <c r="F29" s="140"/>
      <c r="G29" s="122"/>
      <c r="H29" s="140"/>
      <c r="I29" s="122"/>
      <c r="J29" s="140">
        <v>1</v>
      </c>
      <c r="K29" s="122">
        <f>J29*$C$29</f>
        <v>2017.75</v>
      </c>
      <c r="L29" s="140"/>
      <c r="M29" s="122"/>
      <c r="N29" s="140"/>
      <c r="O29" s="122"/>
    </row>
    <row r="30" spans="1:15" s="74" customFormat="1" x14ac:dyDescent="0.2">
      <c r="A30" s="72"/>
      <c r="B30" s="72"/>
      <c r="C30" s="64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</row>
    <row r="31" spans="1:15" s="75" customFormat="1" x14ac:dyDescent="0.2">
      <c r="A31" s="125" t="str">
        <f>'ORÇAMENTO COM DESON'!A65</f>
        <v>1.11</v>
      </c>
      <c r="B31" s="124" t="str">
        <f>'ORÇAMENTO COM DESON'!D65</f>
        <v>PINTURA</v>
      </c>
      <c r="C31" s="122">
        <f>'ORÇAMENTO COM DESON'!I65</f>
        <v>5369.61</v>
      </c>
      <c r="D31" s="140"/>
      <c r="E31" s="122"/>
      <c r="F31" s="140"/>
      <c r="G31" s="122"/>
      <c r="H31" s="140"/>
      <c r="I31" s="122"/>
      <c r="J31" s="140"/>
      <c r="K31" s="122"/>
      <c r="L31" s="140">
        <v>1</v>
      </c>
      <c r="M31" s="122">
        <f>L31*C31</f>
        <v>5369.61</v>
      </c>
      <c r="N31" s="140"/>
      <c r="O31" s="122"/>
    </row>
    <row r="32" spans="1:15" s="74" customFormat="1" x14ac:dyDescent="0.2">
      <c r="A32" s="72"/>
      <c r="B32" s="72"/>
      <c r="C32" s="64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</row>
    <row r="33" spans="1:15" s="75" customFormat="1" x14ac:dyDescent="0.2">
      <c r="A33" s="123" t="str">
        <f>'ORÇAMENTO COM DESON'!A74</f>
        <v>1.12</v>
      </c>
      <c r="B33" s="124" t="str">
        <f>'ORÇAMENTO COM DESON'!D74</f>
        <v>INSTALAÇÕES HIDRÁULICAS</v>
      </c>
      <c r="C33" s="122">
        <f>'ORÇAMENTO COM DESON'!I74</f>
        <v>5268.8899999999994</v>
      </c>
      <c r="D33" s="140"/>
      <c r="E33" s="122"/>
      <c r="F33" s="140"/>
      <c r="G33" s="122"/>
      <c r="H33" s="140">
        <v>1</v>
      </c>
      <c r="I33" s="122">
        <f>H33*C33</f>
        <v>5268.8899999999994</v>
      </c>
      <c r="J33" s="140"/>
      <c r="K33" s="122"/>
      <c r="L33" s="140"/>
      <c r="M33" s="122"/>
      <c r="N33" s="140"/>
      <c r="O33" s="122"/>
    </row>
    <row r="34" spans="1:15" s="74" customFormat="1" x14ac:dyDescent="0.2">
      <c r="A34" s="72"/>
      <c r="B34" s="72"/>
      <c r="C34" s="64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</row>
    <row r="35" spans="1:15" s="75" customFormat="1" x14ac:dyDescent="0.2">
      <c r="A35" s="123" t="str">
        <f>'ORÇAMENTO COM DESON'!A88</f>
        <v>1.13</v>
      </c>
      <c r="B35" s="124" t="str">
        <f>'ORÇAMENTO COM DESON'!D88</f>
        <v>INSTALAÇÕES SANITÁRIAS</v>
      </c>
      <c r="C35" s="122">
        <f>'ORÇAMENTO COM DESON'!I88</f>
        <v>24724.279999999995</v>
      </c>
      <c r="D35" s="140"/>
      <c r="E35" s="122"/>
      <c r="F35" s="140"/>
      <c r="G35" s="122"/>
      <c r="H35" s="140">
        <v>1</v>
      </c>
      <c r="I35" s="122">
        <f>H35*C35</f>
        <v>24724.279999999995</v>
      </c>
      <c r="J35" s="140"/>
      <c r="K35" s="122"/>
      <c r="L35" s="140"/>
      <c r="M35" s="122"/>
      <c r="N35" s="140"/>
      <c r="O35" s="122"/>
    </row>
    <row r="36" spans="1:15" s="74" customFormat="1" x14ac:dyDescent="0.2">
      <c r="A36" s="72"/>
      <c r="B36" s="72"/>
      <c r="C36" s="64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</row>
    <row r="37" spans="1:15" s="75" customFormat="1" x14ac:dyDescent="0.2">
      <c r="A37" s="123" t="str">
        <f>'ORÇAMENTO COM DESON'!A110</f>
        <v>1.14</v>
      </c>
      <c r="B37" s="124" t="str">
        <f>'ORÇAMENTO COM DESON'!D110</f>
        <v>LOUÇAS, METAIS E MARMOARIA</v>
      </c>
      <c r="C37" s="122">
        <f>'ORÇAMENTO COM DESON'!I110</f>
        <v>3914.34</v>
      </c>
      <c r="D37" s="140"/>
      <c r="E37" s="122"/>
      <c r="F37" s="140"/>
      <c r="G37" s="122"/>
      <c r="H37" s="140">
        <v>1</v>
      </c>
      <c r="I37" s="122">
        <f>H37*C37</f>
        <v>3914.34</v>
      </c>
      <c r="J37" s="140"/>
      <c r="K37" s="122"/>
      <c r="L37" s="140"/>
      <c r="M37" s="122"/>
      <c r="N37" s="140"/>
      <c r="O37" s="122"/>
    </row>
    <row r="38" spans="1:15" s="74" customFormat="1" x14ac:dyDescent="0.2">
      <c r="A38" s="72"/>
      <c r="B38" s="72"/>
      <c r="C38" s="64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</row>
    <row r="39" spans="1:15" s="75" customFormat="1" x14ac:dyDescent="0.2">
      <c r="A39" s="125" t="str">
        <f>'ORÇAMENTO COM DESON'!A119</f>
        <v>1.15</v>
      </c>
      <c r="B39" s="124" t="str">
        <f>'ORÇAMENTO COM DESON'!D119</f>
        <v>INSTALAÇÕES ELÉTRICAS</v>
      </c>
      <c r="C39" s="122">
        <f>'ORÇAMENTO COM DESON'!I119</f>
        <v>8975.4499999999989</v>
      </c>
      <c r="D39" s="140"/>
      <c r="E39" s="122"/>
      <c r="F39" s="140">
        <v>1</v>
      </c>
      <c r="G39" s="122">
        <f>F39*C39</f>
        <v>8975.4499999999989</v>
      </c>
      <c r="H39" s="140"/>
      <c r="I39" s="122"/>
      <c r="J39" s="140"/>
      <c r="K39" s="122"/>
      <c r="L39" s="140"/>
      <c r="M39" s="122"/>
      <c r="N39" s="140"/>
      <c r="O39" s="122"/>
    </row>
    <row r="40" spans="1:15" s="74" customFormat="1" x14ac:dyDescent="0.2">
      <c r="A40" s="72"/>
      <c r="B40" s="72"/>
      <c r="C40" s="64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</row>
    <row r="41" spans="1:15" s="75" customFormat="1" x14ac:dyDescent="0.2">
      <c r="A41" s="123" t="str">
        <f>'ORÇAMENTO COM DESON'!A154</f>
        <v>1.16</v>
      </c>
      <c r="B41" s="124" t="str">
        <f>'ORÇAMENTO COM DESON'!D154</f>
        <v>PAISAGISMO</v>
      </c>
      <c r="C41" s="122">
        <f>'ORÇAMENTO COM DESON'!I154</f>
        <v>1874.22</v>
      </c>
      <c r="D41" s="140"/>
      <c r="E41" s="122"/>
      <c r="F41" s="140"/>
      <c r="G41" s="122"/>
      <c r="H41" s="140"/>
      <c r="I41" s="122"/>
      <c r="J41" s="140"/>
      <c r="K41" s="122"/>
      <c r="L41" s="140"/>
      <c r="M41" s="122"/>
      <c r="N41" s="140">
        <v>1</v>
      </c>
      <c r="O41" s="122">
        <f>N41*C41</f>
        <v>1874.22</v>
      </c>
    </row>
    <row r="42" spans="1:15" s="74" customFormat="1" x14ac:dyDescent="0.2">
      <c r="A42" s="72"/>
      <c r="B42" s="72"/>
      <c r="C42" s="64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</row>
    <row r="43" spans="1:15" s="75" customFormat="1" x14ac:dyDescent="0.2">
      <c r="A43" s="123" t="str">
        <f>'ORÇAMENTO COM DESON'!A156</f>
        <v>1.17</v>
      </c>
      <c r="B43" s="124" t="str">
        <f>'ORÇAMENTO COM DESON'!D156</f>
        <v>ESQUADRIAS</v>
      </c>
      <c r="C43" s="122">
        <f>'ORÇAMENTO COM DESON'!I156</f>
        <v>10342.870000000001</v>
      </c>
      <c r="D43" s="140"/>
      <c r="E43" s="122"/>
      <c r="F43" s="140"/>
      <c r="G43" s="122"/>
      <c r="H43" s="140"/>
      <c r="I43" s="122"/>
      <c r="J43" s="140"/>
      <c r="K43" s="122"/>
      <c r="L43" s="140"/>
      <c r="M43" s="122"/>
      <c r="N43" s="140">
        <v>1</v>
      </c>
      <c r="O43" s="122">
        <f>N43*C43</f>
        <v>10342.870000000001</v>
      </c>
    </row>
    <row r="44" spans="1:15" s="74" customFormat="1" x14ac:dyDescent="0.2">
      <c r="A44" s="72"/>
      <c r="B44" s="72"/>
      <c r="C44" s="64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</row>
    <row r="45" spans="1:15" s="75" customFormat="1" x14ac:dyDescent="0.2">
      <c r="A45" s="125" t="str">
        <f>'ORÇAMENTO COM DESON'!A164</f>
        <v>2.1</v>
      </c>
      <c r="B45" s="124" t="str">
        <f>'ORÇAMENTO COM DESON'!D164</f>
        <v>MOVIMENTAÇÃO DE TERRA</v>
      </c>
      <c r="C45" s="122">
        <f>'ORÇAMENTO COM DESON'!I164</f>
        <v>1140.6600000000001</v>
      </c>
      <c r="D45" s="140">
        <v>1</v>
      </c>
      <c r="E45" s="122">
        <f>D45*C45</f>
        <v>1140.6600000000001</v>
      </c>
      <c r="F45" s="140"/>
      <c r="G45" s="122"/>
      <c r="H45" s="140"/>
      <c r="I45" s="122"/>
      <c r="J45" s="140"/>
      <c r="K45" s="122"/>
      <c r="L45" s="140"/>
      <c r="M45" s="122"/>
      <c r="N45" s="140"/>
      <c r="O45" s="122"/>
    </row>
    <row r="46" spans="1:15" s="74" customFormat="1" x14ac:dyDescent="0.2">
      <c r="A46" s="72"/>
      <c r="B46" s="72"/>
      <c r="C46" s="64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</row>
    <row r="47" spans="1:15" s="75" customFormat="1" x14ac:dyDescent="0.2">
      <c r="A47" s="125" t="str">
        <f>'ORÇAMENTO COM DESON'!A168</f>
        <v>2.2</v>
      </c>
      <c r="B47" s="124" t="str">
        <f>'ORÇAMENTO COM DESON'!D168</f>
        <v>INFRAESTRUTURA</v>
      </c>
      <c r="C47" s="122">
        <f>'ORÇAMENTO COM DESON'!I168</f>
        <v>29111.430000000004</v>
      </c>
      <c r="D47" s="140"/>
      <c r="E47" s="122"/>
      <c r="F47" s="140">
        <v>1</v>
      </c>
      <c r="G47" s="122">
        <f>F47*C47</f>
        <v>29111.430000000004</v>
      </c>
      <c r="H47" s="140"/>
      <c r="I47" s="122"/>
      <c r="J47" s="140"/>
      <c r="K47" s="122"/>
      <c r="L47" s="140"/>
      <c r="M47" s="122"/>
      <c r="N47" s="140"/>
      <c r="O47" s="122"/>
    </row>
    <row r="48" spans="1:15" s="74" customFormat="1" x14ac:dyDescent="0.2">
      <c r="A48" s="72"/>
      <c r="B48" s="72"/>
      <c r="C48" s="64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</row>
    <row r="49" spans="1:15" s="75" customFormat="1" x14ac:dyDescent="0.2">
      <c r="A49" s="125" t="str">
        <f>'ORÇAMENTO COM DESON'!A176</f>
        <v>2.3</v>
      </c>
      <c r="B49" s="124" t="str">
        <f>'ORÇAMENTO COM DESON'!D176</f>
        <v>SUPERESTRUTURA</v>
      </c>
      <c r="C49" s="122">
        <f>'ORÇAMENTO COM DESON'!I176</f>
        <v>14023.77</v>
      </c>
      <c r="D49" s="140">
        <v>1</v>
      </c>
      <c r="E49" s="122">
        <f>D49*C49</f>
        <v>14023.77</v>
      </c>
      <c r="F49" s="140"/>
      <c r="G49" s="122"/>
      <c r="H49" s="140"/>
      <c r="I49" s="122"/>
      <c r="J49" s="140"/>
      <c r="K49" s="122"/>
      <c r="L49" s="140"/>
      <c r="M49" s="122"/>
      <c r="N49" s="140"/>
      <c r="O49" s="122"/>
    </row>
    <row r="50" spans="1:15" s="74" customFormat="1" x14ac:dyDescent="0.2">
      <c r="A50" s="72"/>
      <c r="B50" s="72"/>
      <c r="C50" s="64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  <row r="51" spans="1:15" s="75" customFormat="1" x14ac:dyDescent="0.2">
      <c r="A51" s="125" t="str">
        <f>'ORÇAMENTO COM DESON'!A182</f>
        <v>2.4</v>
      </c>
      <c r="B51" s="124" t="str">
        <f>'ORÇAMENTO COM DESON'!D182</f>
        <v>ALVENARIA DE VEDAÇÃO</v>
      </c>
      <c r="C51" s="122">
        <f>'ORÇAMENTO COM DESON'!I182</f>
        <v>2538.14</v>
      </c>
      <c r="D51" s="140">
        <v>1</v>
      </c>
      <c r="E51" s="122">
        <f>D51*C51</f>
        <v>2538.14</v>
      </c>
      <c r="F51" s="140"/>
      <c r="G51" s="122"/>
      <c r="H51" s="140"/>
      <c r="I51" s="122"/>
      <c r="J51" s="140"/>
      <c r="K51" s="122"/>
      <c r="L51" s="140"/>
      <c r="M51" s="122"/>
      <c r="N51" s="140"/>
      <c r="O51" s="122"/>
    </row>
    <row r="52" spans="1:15" s="74" customFormat="1" x14ac:dyDescent="0.2">
      <c r="A52" s="72"/>
      <c r="B52" s="72"/>
      <c r="C52" s="64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</row>
    <row r="53" spans="1:15" s="75" customFormat="1" x14ac:dyDescent="0.2">
      <c r="A53" s="125" t="str">
        <f>'ORÇAMENTO COM DESON'!A185</f>
        <v>2.5</v>
      </c>
      <c r="B53" s="124" t="str">
        <f>'ORÇAMENTO COM DESON'!D185</f>
        <v>IMPERMEABILIZAÇÃO</v>
      </c>
      <c r="C53" s="122">
        <f>'ORÇAMENTO COM DESON'!I185</f>
        <v>3662.56</v>
      </c>
      <c r="D53" s="140"/>
      <c r="E53" s="122"/>
      <c r="F53" s="140">
        <v>1</v>
      </c>
      <c r="G53" s="122">
        <f>F53*C53</f>
        <v>3662.56</v>
      </c>
      <c r="H53" s="140"/>
      <c r="I53" s="122"/>
      <c r="J53" s="140"/>
      <c r="K53" s="122"/>
      <c r="L53" s="140"/>
      <c r="M53" s="122"/>
      <c r="N53" s="140"/>
      <c r="O53" s="122"/>
    </row>
    <row r="54" spans="1:15" s="74" customFormat="1" x14ac:dyDescent="0.2">
      <c r="A54" s="72"/>
      <c r="B54" s="72"/>
      <c r="C54" s="64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</row>
    <row r="55" spans="1:15" s="75" customFormat="1" x14ac:dyDescent="0.2">
      <c r="A55" s="125" t="str">
        <f>'ORÇAMENTO COM DESON'!A187</f>
        <v>2.6</v>
      </c>
      <c r="B55" s="124" t="str">
        <f>'ORÇAMENTO COM DESON'!D187</f>
        <v>REVESTIMENTOS</v>
      </c>
      <c r="C55" s="122">
        <f>'ORÇAMENTO COM DESON'!I187</f>
        <v>41198.469999999994</v>
      </c>
      <c r="D55" s="140"/>
      <c r="E55" s="122"/>
      <c r="F55" s="140"/>
      <c r="G55" s="122"/>
      <c r="H55" s="140">
        <v>0.5</v>
      </c>
      <c r="I55" s="122">
        <f>H55*$C$55</f>
        <v>20599.234999999997</v>
      </c>
      <c r="J55" s="140">
        <v>0.5</v>
      </c>
      <c r="K55" s="122">
        <f>J55*$C$55</f>
        <v>20599.234999999997</v>
      </c>
      <c r="L55" s="140"/>
      <c r="M55" s="122"/>
      <c r="N55" s="140"/>
      <c r="O55" s="122"/>
    </row>
    <row r="56" spans="1:15" s="74" customFormat="1" x14ac:dyDescent="0.2">
      <c r="A56" s="72"/>
      <c r="B56" s="72"/>
      <c r="C56" s="64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</row>
    <row r="57" spans="1:15" s="75" customFormat="1" x14ac:dyDescent="0.2">
      <c r="A57" s="125" t="str">
        <f>'ORÇAMENTO COM DESON'!A198</f>
        <v>2.7</v>
      </c>
      <c r="B57" s="124" t="str">
        <f>'ORÇAMENTO COM DESON'!D198</f>
        <v>PINTURA</v>
      </c>
      <c r="C57" s="122">
        <f>'ORÇAMENTO COM DESON'!I198</f>
        <v>5488.22</v>
      </c>
      <c r="D57" s="140"/>
      <c r="E57" s="122"/>
      <c r="F57" s="140"/>
      <c r="G57" s="122"/>
      <c r="H57" s="140"/>
      <c r="I57" s="122"/>
      <c r="J57" s="140">
        <v>1</v>
      </c>
      <c r="K57" s="122">
        <f>J57*$C$57</f>
        <v>5488.22</v>
      </c>
      <c r="L57" s="140"/>
      <c r="M57" s="122"/>
      <c r="N57" s="140"/>
      <c r="O57" s="122"/>
    </row>
    <row r="58" spans="1:15" s="74" customFormat="1" x14ac:dyDescent="0.2">
      <c r="A58" s="72"/>
      <c r="B58" s="72"/>
      <c r="C58" s="64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</row>
    <row r="59" spans="1:15" s="75" customFormat="1" x14ac:dyDescent="0.2">
      <c r="A59" s="125" t="str">
        <f>'ORÇAMENTO COM DESON'!A201</f>
        <v>2.8</v>
      </c>
      <c r="B59" s="124" t="str">
        <f>'ORÇAMENTO COM DESON'!D201</f>
        <v>ESQUADRIAS</v>
      </c>
      <c r="C59" s="122">
        <f>'ORÇAMENTO COM DESON'!I201</f>
        <v>61407.94</v>
      </c>
      <c r="D59" s="140"/>
      <c r="E59" s="122"/>
      <c r="F59" s="140"/>
      <c r="G59" s="122"/>
      <c r="H59" s="140"/>
      <c r="I59" s="122"/>
      <c r="J59" s="140"/>
      <c r="K59" s="122"/>
      <c r="L59" s="140">
        <v>0.5</v>
      </c>
      <c r="M59" s="122">
        <f>L59*$C$59</f>
        <v>30703.97</v>
      </c>
      <c r="N59" s="140">
        <v>0.5</v>
      </c>
      <c r="O59" s="122">
        <f>N59*$C$59</f>
        <v>30703.97</v>
      </c>
    </row>
    <row r="60" spans="1:15" s="74" customFormat="1" x14ac:dyDescent="0.2">
      <c r="A60" s="72"/>
      <c r="B60" s="72"/>
      <c r="C60" s="64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</row>
    <row r="61" spans="1:15" s="75" customFormat="1" x14ac:dyDescent="0.2">
      <c r="A61" s="125" t="str">
        <f>'ORÇAMENTO COM DESON'!A206</f>
        <v>2.9</v>
      </c>
      <c r="B61" s="124" t="str">
        <f>'ORÇAMENTO COM DESON'!D206</f>
        <v>PAISAGISMO</v>
      </c>
      <c r="C61" s="122">
        <f>'ORÇAMENTO COM DESON'!I206</f>
        <v>1405.15</v>
      </c>
      <c r="D61" s="140"/>
      <c r="E61" s="122"/>
      <c r="F61" s="140"/>
      <c r="G61" s="122"/>
      <c r="H61" s="140"/>
      <c r="I61" s="122"/>
      <c r="J61" s="140"/>
      <c r="K61" s="122"/>
      <c r="L61" s="140"/>
      <c r="M61" s="122"/>
      <c r="N61" s="140">
        <v>1</v>
      </c>
      <c r="O61" s="122">
        <f>N61*$C$61</f>
        <v>1405.15</v>
      </c>
    </row>
    <row r="62" spans="1:15" s="74" customFormat="1" x14ac:dyDescent="0.2">
      <c r="A62" s="72"/>
      <c r="B62" s="72"/>
      <c r="C62" s="64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</row>
    <row r="63" spans="1:15" s="96" customFormat="1" x14ac:dyDescent="0.2">
      <c r="A63" s="338" t="s">
        <v>44</v>
      </c>
      <c r="B63" s="338"/>
      <c r="C63" s="338"/>
      <c r="D63" s="127">
        <f>E63/N69</f>
        <v>0.14953837779247417</v>
      </c>
      <c r="E63" s="126">
        <f>SUM(E11:E62)</f>
        <v>52612.560000000012</v>
      </c>
      <c r="F63" s="127">
        <f>G63/N69</f>
        <v>0.24695048641805112</v>
      </c>
      <c r="G63" s="126">
        <f>SUM(G11:G62)</f>
        <v>86885.37</v>
      </c>
      <c r="H63" s="127">
        <f>I63/N69</f>
        <v>0.18526555313887977</v>
      </c>
      <c r="I63" s="126">
        <f>SUM(I11:I62)</f>
        <v>65182.564999999988</v>
      </c>
      <c r="J63" s="127">
        <f>K63/N69</f>
        <v>0.11022561091171736</v>
      </c>
      <c r="K63" s="126">
        <f>SUM(K11:K62)</f>
        <v>38781.024999999994</v>
      </c>
      <c r="L63" s="127">
        <f>M63/N69</f>
        <v>0.15513631517847837</v>
      </c>
      <c r="M63" s="126">
        <f>SUM(M11:M62)</f>
        <v>54582.100000000006</v>
      </c>
      <c r="N63" s="127">
        <f>O63/N69</f>
        <v>0.15288365656039926</v>
      </c>
      <c r="O63" s="126">
        <f>SUM(O11:O62)</f>
        <v>53789.54</v>
      </c>
    </row>
    <row r="64" spans="1:15" s="97" customFormat="1" x14ac:dyDescent="0.2">
      <c r="A64" s="72"/>
      <c r="B64" s="72"/>
      <c r="C64" s="72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</row>
    <row r="65" spans="1:15" s="97" customFormat="1" x14ac:dyDescent="0.2">
      <c r="A65" s="72"/>
      <c r="B65" s="72"/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</row>
    <row r="66" spans="1:15" s="96" customFormat="1" x14ac:dyDescent="0.2">
      <c r="A66" s="338" t="s">
        <v>45</v>
      </c>
      <c r="B66" s="338"/>
      <c r="C66" s="338"/>
      <c r="D66" s="122"/>
      <c r="E66" s="122">
        <f>E63</f>
        <v>52612.560000000012</v>
      </c>
      <c r="F66" s="122"/>
      <c r="G66" s="122">
        <f>E66+G63</f>
        <v>139497.93</v>
      </c>
      <c r="H66" s="122"/>
      <c r="I66" s="122">
        <f>G66+I63</f>
        <v>204680.495</v>
      </c>
      <c r="J66" s="122"/>
      <c r="K66" s="122">
        <f>I66+K63</f>
        <v>243461.52</v>
      </c>
      <c r="L66" s="122"/>
      <c r="M66" s="122">
        <f>K66+M63</f>
        <v>298043.62</v>
      </c>
      <c r="N66" s="122"/>
      <c r="O66" s="122">
        <f>M66+O63</f>
        <v>351833.16</v>
      </c>
    </row>
    <row r="67" spans="1:15" s="97" customFormat="1" x14ac:dyDescent="0.2">
      <c r="A67" s="72"/>
      <c r="B67" s="72"/>
      <c r="C67" s="72"/>
      <c r="D67" s="127"/>
      <c r="E67" s="127">
        <f>E66/N69</f>
        <v>0.14953837779247417</v>
      </c>
      <c r="F67" s="127"/>
      <c r="G67" s="127">
        <f>G66/N69</f>
        <v>0.39648886421052526</v>
      </c>
      <c r="H67" s="127"/>
      <c r="I67" s="127">
        <f>I66/N69</f>
        <v>0.58175441734940503</v>
      </c>
      <c r="J67" s="127"/>
      <c r="K67" s="127">
        <f>K66/N69</f>
        <v>0.69198002826112237</v>
      </c>
      <c r="L67" s="127"/>
      <c r="M67" s="127">
        <f>M66/N69</f>
        <v>0.84711634343960085</v>
      </c>
      <c r="N67" s="127"/>
      <c r="O67" s="127">
        <f>O66/N69</f>
        <v>1</v>
      </c>
    </row>
    <row r="68" spans="1:15" s="97" customFormat="1" x14ac:dyDescent="0.2">
      <c r="A68" s="72"/>
      <c r="B68" s="72"/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</row>
    <row r="69" spans="1:15" s="98" customFormat="1" ht="14.4" customHeight="1" x14ac:dyDescent="0.2">
      <c r="A69" s="343" t="s">
        <v>38</v>
      </c>
      <c r="B69" s="344"/>
      <c r="C69" s="344"/>
      <c r="D69" s="344"/>
      <c r="E69" s="344"/>
      <c r="F69" s="344"/>
      <c r="G69" s="344"/>
      <c r="H69" s="344"/>
      <c r="I69" s="344"/>
      <c r="J69" s="344"/>
      <c r="K69" s="344"/>
      <c r="L69" s="344"/>
      <c r="M69" s="344"/>
      <c r="N69" s="345">
        <f>C11+C13+C15+C17+C19+C21+C23+C25+C27+C29+C31+C33+C37+C39+C41+C43+C45+C49+C51+C55+C57+C59+C61+C47+C53+C35</f>
        <v>351833.16</v>
      </c>
      <c r="O69" s="346"/>
    </row>
    <row r="70" spans="1:15" x14ac:dyDescent="0.2"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</row>
    <row r="71" spans="1:15" x14ac:dyDescent="0.2"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</row>
    <row r="72" spans="1:15" x14ac:dyDescent="0.2">
      <c r="B72" s="99"/>
      <c r="C72" s="100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</row>
    <row r="73" spans="1:15" x14ac:dyDescent="0.2">
      <c r="C73" s="76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</row>
    <row r="74" spans="1:15" x14ac:dyDescent="0.2"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</row>
  </sheetData>
  <mergeCells count="17">
    <mergeCell ref="A69:M69"/>
    <mergeCell ref="N69:O69"/>
    <mergeCell ref="A66:C66"/>
    <mergeCell ref="A8:A9"/>
    <mergeCell ref="B8:B9"/>
    <mergeCell ref="C8:C9"/>
    <mergeCell ref="J8:K8"/>
    <mergeCell ref="A4:O4"/>
    <mergeCell ref="A1:O1"/>
    <mergeCell ref="A2:O3"/>
    <mergeCell ref="A63:C63"/>
    <mergeCell ref="A5:O5"/>
    <mergeCell ref="L8:M8"/>
    <mergeCell ref="N8:O8"/>
    <mergeCell ref="D8:E8"/>
    <mergeCell ref="F8:G8"/>
    <mergeCell ref="H8:I8"/>
  </mergeCells>
  <phoneticPr fontId="8" type="noConversion"/>
  <printOptions horizontalCentered="1"/>
  <pageMargins left="0.51181102362204722" right="0.51181102362204722" top="1.2598425196850394" bottom="1.2598425196850394" header="0.31496062992125984" footer="0.31496062992125984"/>
  <pageSetup paperSize="9" scale="51" fitToHeight="3" orientation="landscape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F61"/>
  <sheetViews>
    <sheetView view="pageBreakPreview" topLeftCell="B4" zoomScale="85" zoomScaleNormal="100" zoomScaleSheetLayoutView="85" workbookViewId="0">
      <selection activeCell="D24" sqref="D24"/>
    </sheetView>
  </sheetViews>
  <sheetFormatPr defaultColWidth="9.109375" defaultRowHeight="13.8" x14ac:dyDescent="0.25"/>
  <cols>
    <col min="1" max="1" width="1.109375" style="37" hidden="1" customWidth="1"/>
    <col min="2" max="2" width="75.6640625" style="37" customWidth="1"/>
    <col min="3" max="3" width="10.109375" style="39" bestFit="1" customWidth="1"/>
    <col min="4" max="4" width="16.88671875" style="39" customWidth="1"/>
    <col min="5" max="5" width="11.44140625" style="37" customWidth="1"/>
    <col min="6" max="6" width="62.5546875" style="37" customWidth="1"/>
    <col min="7" max="16384" width="9.109375" style="37"/>
  </cols>
  <sheetData>
    <row r="1" spans="2:6" s="7" customFormat="1" ht="6.75" customHeight="1" x14ac:dyDescent="0.25">
      <c r="C1" s="8"/>
      <c r="D1" s="8"/>
    </row>
    <row r="2" spans="2:6" s="7" customFormat="1" ht="17.399999999999999" x14ac:dyDescent="0.3">
      <c r="B2" s="356" t="s">
        <v>72</v>
      </c>
      <c r="C2" s="356"/>
      <c r="D2" s="356"/>
    </row>
    <row r="3" spans="2:6" s="9" customFormat="1" ht="10.199999999999999" x14ac:dyDescent="0.2">
      <c r="B3" s="10"/>
      <c r="C3" s="10"/>
      <c r="D3" s="10"/>
    </row>
    <row r="4" spans="2:6" s="7" customFormat="1" ht="13.2" x14ac:dyDescent="0.25">
      <c r="B4" s="357" t="s">
        <v>132</v>
      </c>
      <c r="C4" s="357"/>
      <c r="D4" s="357"/>
    </row>
    <row r="5" spans="2:6" s="7" customFormat="1" ht="13.2" x14ac:dyDescent="0.25">
      <c r="B5" s="11"/>
      <c r="C5" s="11"/>
      <c r="D5" s="11"/>
    </row>
    <row r="6" spans="2:6" s="7" customFormat="1" ht="20.399999999999999" customHeight="1" x14ac:dyDescent="0.25">
      <c r="B6" s="360" t="str">
        <f>'CRONOGRAMA COM DESON'!A1</f>
        <v>REFORMA E AMPLIAÇÃO DA UNIDADE BÁSICA DE SAÚDE JENÉSIO DE QUEIROZ SANTOS</v>
      </c>
      <c r="C6" s="360"/>
      <c r="D6" s="360"/>
    </row>
    <row r="7" spans="2:6" s="4" customFormat="1" ht="16.2" customHeight="1" x14ac:dyDescent="0.25">
      <c r="B7" s="358" t="str">
        <f>'ORÇAMENTO COM DESON'!A4</f>
        <v>LOCALIZAÇÃO: LIMOEIRO - PE</v>
      </c>
      <c r="C7" s="358"/>
      <c r="D7" s="358"/>
    </row>
    <row r="8" spans="2:6" s="4" customFormat="1" ht="31.2" customHeight="1" x14ac:dyDescent="0.25">
      <c r="B8" s="358" t="str">
        <f>'ORÇAMENTO COM DESON'!A5</f>
        <v>FONTES DE PREÇOS: SINAPI MARÇO-2023 -  SEINFRA 027 MARÇO/2021 - COM DESONERAÇÃO (BDI = 30,53%)</v>
      </c>
      <c r="C8" s="358"/>
      <c r="D8" s="358"/>
    </row>
    <row r="9" spans="2:6" s="7" customFormat="1" ht="18.75" customHeight="1" x14ac:dyDescent="0.25">
      <c r="B9" s="359" t="str">
        <f>'ORÇAMENTO COM DESON'!A6</f>
        <v>DATA: ABRIL/2023</v>
      </c>
      <c r="C9" s="359"/>
      <c r="D9" s="359"/>
    </row>
    <row r="10" spans="2:6" s="7" customFormat="1" ht="13.2" x14ac:dyDescent="0.25">
      <c r="B10" s="12"/>
      <c r="C10" s="13"/>
      <c r="D10" s="13"/>
    </row>
    <row r="11" spans="2:6" s="7" customFormat="1" ht="22.5" customHeight="1" x14ac:dyDescent="0.25">
      <c r="B11" s="138" t="s">
        <v>46</v>
      </c>
      <c r="C11" s="138" t="s">
        <v>47</v>
      </c>
      <c r="D11" s="138" t="s">
        <v>48</v>
      </c>
      <c r="F11" s="14" t="s">
        <v>49</v>
      </c>
    </row>
    <row r="12" spans="2:6" s="7" customFormat="1" x14ac:dyDescent="0.25">
      <c r="B12" s="15"/>
      <c r="C12" s="16"/>
      <c r="D12" s="16"/>
    </row>
    <row r="13" spans="2:6" s="7" customFormat="1" x14ac:dyDescent="0.25">
      <c r="B13" s="17" t="s">
        <v>50</v>
      </c>
      <c r="C13" s="18" t="s">
        <v>51</v>
      </c>
      <c r="D13" s="19">
        <v>0.04</v>
      </c>
      <c r="E13" s="7" t="s">
        <v>73</v>
      </c>
      <c r="F13" s="20" t="s">
        <v>74</v>
      </c>
    </row>
    <row r="14" spans="2:6" s="7" customFormat="1" x14ac:dyDescent="0.25">
      <c r="B14" s="17"/>
      <c r="C14" s="18"/>
      <c r="D14" s="21"/>
    </row>
    <row r="15" spans="2:6" s="7" customFormat="1" x14ac:dyDescent="0.25">
      <c r="B15" s="17" t="s">
        <v>52</v>
      </c>
      <c r="C15" s="18" t="s">
        <v>53</v>
      </c>
      <c r="D15" s="19">
        <v>1.23E-2</v>
      </c>
      <c r="E15" s="7" t="s">
        <v>73</v>
      </c>
      <c r="F15" s="20" t="s">
        <v>75</v>
      </c>
    </row>
    <row r="16" spans="2:6" s="7" customFormat="1" x14ac:dyDescent="0.25">
      <c r="B16" s="17"/>
      <c r="C16" s="18"/>
      <c r="D16" s="22"/>
    </row>
    <row r="17" spans="2:6" s="7" customFormat="1" x14ac:dyDescent="0.25">
      <c r="B17" s="17" t="s">
        <v>54</v>
      </c>
      <c r="C17" s="18" t="s">
        <v>55</v>
      </c>
      <c r="D17" s="19">
        <v>1.2699999999999999E-2</v>
      </c>
      <c r="E17" s="7" t="s">
        <v>73</v>
      </c>
      <c r="F17" s="20" t="s">
        <v>76</v>
      </c>
    </row>
    <row r="18" spans="2:6" s="7" customFormat="1" x14ac:dyDescent="0.25">
      <c r="B18" s="17"/>
      <c r="C18" s="18"/>
      <c r="D18" s="22"/>
    </row>
    <row r="19" spans="2:6" s="7" customFormat="1" x14ac:dyDescent="0.25">
      <c r="B19" s="23" t="s">
        <v>77</v>
      </c>
      <c r="C19" s="24" t="s">
        <v>78</v>
      </c>
      <c r="D19" s="25">
        <v>8.0000000000000002E-3</v>
      </c>
      <c r="E19" s="7" t="s">
        <v>79</v>
      </c>
      <c r="F19" s="349" t="s">
        <v>80</v>
      </c>
    </row>
    <row r="20" spans="2:6" s="7" customFormat="1" x14ac:dyDescent="0.25">
      <c r="B20" s="17"/>
      <c r="C20" s="18"/>
      <c r="D20" s="26"/>
      <c r="F20" s="350"/>
    </row>
    <row r="21" spans="2:6" s="7" customFormat="1" x14ac:dyDescent="0.25">
      <c r="B21" s="17" t="s">
        <v>56</v>
      </c>
      <c r="C21" s="18" t="s">
        <v>56</v>
      </c>
      <c r="D21" s="26">
        <v>0.03</v>
      </c>
    </row>
    <row r="22" spans="2:6" s="7" customFormat="1" x14ac:dyDescent="0.25">
      <c r="B22" s="17" t="s">
        <v>57</v>
      </c>
      <c r="C22" s="18" t="s">
        <v>58</v>
      </c>
      <c r="D22" s="26">
        <v>3.5000000000000003E-2</v>
      </c>
      <c r="E22" s="27">
        <f>0.05*0.4</f>
        <v>2.0000000000000004E-2</v>
      </c>
    </row>
    <row r="23" spans="2:6" s="7" customFormat="1" x14ac:dyDescent="0.25">
      <c r="B23" s="17" t="s">
        <v>59</v>
      </c>
      <c r="C23" s="18" t="s">
        <v>59</v>
      </c>
      <c r="D23" s="26">
        <v>6.4999999999999997E-3</v>
      </c>
    </row>
    <row r="24" spans="2:6" s="60" customFormat="1" x14ac:dyDescent="0.25">
      <c r="B24" s="253" t="s">
        <v>60</v>
      </c>
      <c r="C24" s="254" t="s">
        <v>61</v>
      </c>
      <c r="D24" s="255">
        <v>4.4999999999999998E-2</v>
      </c>
      <c r="E24" s="60" t="s">
        <v>62</v>
      </c>
    </row>
    <row r="25" spans="2:6" s="7" customFormat="1" x14ac:dyDescent="0.25">
      <c r="B25" s="17" t="s">
        <v>81</v>
      </c>
      <c r="C25" s="18" t="s">
        <v>63</v>
      </c>
      <c r="D25" s="19">
        <f>SUM(D21:D24)</f>
        <v>0.11650000000000001</v>
      </c>
    </row>
    <row r="26" spans="2:6" s="7" customFormat="1" x14ac:dyDescent="0.25">
      <c r="B26" s="17"/>
      <c r="C26" s="18"/>
      <c r="D26" s="26"/>
    </row>
    <row r="27" spans="2:6" s="7" customFormat="1" x14ac:dyDescent="0.25">
      <c r="B27" s="17" t="s">
        <v>64</v>
      </c>
      <c r="C27" s="18" t="s">
        <v>65</v>
      </c>
      <c r="D27" s="19">
        <v>7.3999999999999996E-2</v>
      </c>
      <c r="E27" s="7" t="s">
        <v>82</v>
      </c>
      <c r="F27" s="20" t="s">
        <v>83</v>
      </c>
    </row>
    <row r="28" spans="2:6" s="7" customFormat="1" x14ac:dyDescent="0.25">
      <c r="B28" s="15"/>
      <c r="C28" s="16"/>
      <c r="D28" s="28"/>
    </row>
    <row r="29" spans="2:6" s="7" customFormat="1" x14ac:dyDescent="0.25">
      <c r="B29" s="29" t="s">
        <v>66</v>
      </c>
      <c r="C29" s="30"/>
      <c r="D29" s="19">
        <f>ROUND((((1+D13+D19+D17)*(1+D15)*(1+D27))/(1-D25))-1,4)</f>
        <v>0.30530000000000002</v>
      </c>
      <c r="E29" s="31" t="s">
        <v>131</v>
      </c>
    </row>
    <row r="30" spans="2:6" s="7" customFormat="1" ht="13.2" x14ac:dyDescent="0.25">
      <c r="C30" s="8"/>
      <c r="D30" s="32"/>
      <c r="F30" s="20" t="s">
        <v>84</v>
      </c>
    </row>
    <row r="31" spans="2:6" s="7" customFormat="1" ht="13.2" x14ac:dyDescent="0.25">
      <c r="C31" s="8"/>
      <c r="D31" s="8"/>
    </row>
    <row r="32" spans="2:6" s="7" customFormat="1" ht="13.2" x14ac:dyDescent="0.25">
      <c r="C32" s="8"/>
      <c r="D32" s="8"/>
    </row>
    <row r="33" spans="2:4" s="7" customFormat="1" ht="15" x14ac:dyDescent="0.25">
      <c r="B33" s="33" t="s">
        <v>67</v>
      </c>
      <c r="C33" s="8"/>
      <c r="D33" s="8"/>
    </row>
    <row r="34" spans="2:4" x14ac:dyDescent="0.25">
      <c r="B34" s="34"/>
      <c r="C34" s="35"/>
      <c r="D34" s="36"/>
    </row>
    <row r="35" spans="2:4" x14ac:dyDescent="0.25">
      <c r="B35" s="38"/>
      <c r="D35" s="40"/>
    </row>
    <row r="36" spans="2:4" x14ac:dyDescent="0.25">
      <c r="B36" s="38"/>
      <c r="D36" s="40"/>
    </row>
    <row r="37" spans="2:4" x14ac:dyDescent="0.25">
      <c r="B37" s="38"/>
      <c r="D37" s="40"/>
    </row>
    <row r="38" spans="2:4" x14ac:dyDescent="0.25">
      <c r="B38" s="38"/>
      <c r="D38" s="40"/>
    </row>
    <row r="39" spans="2:4" x14ac:dyDescent="0.25">
      <c r="B39" s="41"/>
      <c r="C39" s="42"/>
      <c r="D39" s="43"/>
    </row>
    <row r="40" spans="2:4" x14ac:dyDescent="0.25">
      <c r="B40" s="44"/>
    </row>
    <row r="41" spans="2:4" x14ac:dyDescent="0.25">
      <c r="B41" s="44" t="s">
        <v>68</v>
      </c>
    </row>
    <row r="42" spans="2:4" s="45" customFormat="1" x14ac:dyDescent="0.25">
      <c r="B42" s="351" t="s">
        <v>69</v>
      </c>
      <c r="C42" s="351"/>
      <c r="D42" s="351"/>
    </row>
    <row r="43" spans="2:4" s="45" customFormat="1" ht="48" customHeight="1" x14ac:dyDescent="0.25">
      <c r="B43" s="352" t="s">
        <v>549</v>
      </c>
      <c r="C43" s="352"/>
      <c r="D43" s="352"/>
    </row>
    <row r="46" spans="2:4" x14ac:dyDescent="0.25">
      <c r="B46" s="37" t="s">
        <v>70</v>
      </c>
    </row>
    <row r="47" spans="2:4" ht="135" customHeight="1" x14ac:dyDescent="0.25">
      <c r="B47" s="353" t="s">
        <v>85</v>
      </c>
      <c r="C47" s="354"/>
      <c r="D47" s="355"/>
    </row>
    <row r="59" spans="2:4" s="7" customFormat="1" ht="13.2" x14ac:dyDescent="0.25">
      <c r="C59" s="8"/>
      <c r="D59" s="8"/>
    </row>
    <row r="60" spans="2:4" s="7" customFormat="1" ht="13.2" x14ac:dyDescent="0.25">
      <c r="C60" s="8"/>
      <c r="D60" s="8"/>
    </row>
    <row r="61" spans="2:4" x14ac:dyDescent="0.25">
      <c r="B61" s="37" t="s">
        <v>71</v>
      </c>
    </row>
  </sheetData>
  <mergeCells count="10">
    <mergeCell ref="F19:F20"/>
    <mergeCell ref="B42:D42"/>
    <mergeCell ref="B43:D43"/>
    <mergeCell ref="B47:D47"/>
    <mergeCell ref="B2:D2"/>
    <mergeCell ref="B4:D4"/>
    <mergeCell ref="B7:D7"/>
    <mergeCell ref="B8:D8"/>
    <mergeCell ref="B9:D9"/>
    <mergeCell ref="B6:D6"/>
  </mergeCells>
  <printOptions horizontalCentered="1"/>
  <pageMargins left="0.59055118110236227" right="0.59055118110236227" top="1.5748031496062993" bottom="0.9055118110236221" header="0.39370078740157483" footer="0.39370078740157483"/>
  <pageSetup paperSize="9" scale="87" orientation="portrait" horizontalDpi="300" verticalDpi="300" r:id="rId1"/>
  <headerFooter>
    <oddHeader>&amp;C&amp;G</oddHeader>
    <oddFooter>&amp;C
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3073" r:id="rId5">
          <objectPr defaultSize="0" autoPict="0" r:id="rId6">
            <anchor moveWithCells="1" sizeWithCells="1">
              <from>
                <xdr:col>1</xdr:col>
                <xdr:colOff>38100</xdr:colOff>
                <xdr:row>34</xdr:row>
                <xdr:rowOff>0</xdr:rowOff>
              </from>
              <to>
                <xdr:col>1</xdr:col>
                <xdr:colOff>4671060</xdr:colOff>
                <xdr:row>38</xdr:row>
                <xdr:rowOff>7620</xdr:rowOff>
              </to>
            </anchor>
          </objectPr>
        </oleObject>
      </mc:Choice>
      <mc:Fallback>
        <oleObject progId="Equation.3" shapeId="307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N1189"/>
  <sheetViews>
    <sheetView view="pageBreakPreview" zoomScale="115" zoomScaleNormal="100" zoomScaleSheetLayoutView="115" workbookViewId="0">
      <selection activeCell="I1188" sqref="I1188"/>
    </sheetView>
  </sheetViews>
  <sheetFormatPr defaultColWidth="9.109375" defaultRowHeight="10.199999999999999" x14ac:dyDescent="0.2"/>
  <cols>
    <col min="1" max="1" width="6.44140625" style="79" customWidth="1"/>
    <col min="2" max="2" width="12" style="78" hidden="1" customWidth="1"/>
    <col min="3" max="3" width="10" style="65" hidden="1" customWidth="1"/>
    <col min="4" max="4" width="45.6640625" style="80" customWidth="1"/>
    <col min="5" max="5" width="7.33203125" style="78" bestFit="1" customWidth="1"/>
    <col min="6" max="6" width="9.33203125" style="81" customWidth="1"/>
    <col min="7" max="8" width="10" style="78" customWidth="1"/>
    <col min="9" max="9" width="12.88671875" style="82" bestFit="1" customWidth="1"/>
    <col min="10" max="10" width="11.33203125" style="78" customWidth="1"/>
    <col min="11" max="11" width="13.109375" style="47" customWidth="1"/>
    <col min="12" max="12" width="9.109375" style="47" customWidth="1"/>
    <col min="13" max="13" width="13.44140625" style="47" bestFit="1" customWidth="1"/>
    <col min="14" max="16384" width="9.109375" style="47"/>
  </cols>
  <sheetData>
    <row r="1" spans="1:11" ht="37.950000000000003" customHeight="1" x14ac:dyDescent="0.3">
      <c r="A1" s="362" t="str">
        <f>'ORÇAMENTO COM DESON'!A1:I1</f>
        <v>REFORMA E AMPLIAÇÃO DA UNIDADE BÁSICA DE SAÚDE JENÉSIO DE QUEIROZ SANTOS</v>
      </c>
      <c r="B1" s="362"/>
      <c r="C1" s="362"/>
      <c r="D1" s="362"/>
      <c r="E1" s="362"/>
      <c r="F1" s="362"/>
      <c r="G1" s="362"/>
      <c r="H1" s="362"/>
      <c r="I1" s="362"/>
      <c r="J1" s="362"/>
      <c r="K1" s="195"/>
    </row>
    <row r="2" spans="1:11" ht="12.6" customHeight="1" x14ac:dyDescent="0.2">
      <c r="A2" s="196"/>
      <c r="B2" s="197"/>
      <c r="C2" s="197"/>
      <c r="D2" s="197"/>
      <c r="E2" s="197"/>
      <c r="F2" s="197"/>
      <c r="G2" s="197"/>
      <c r="H2" s="197"/>
      <c r="I2" s="197"/>
      <c r="J2" s="198"/>
    </row>
    <row r="3" spans="1:11" ht="15.6" x14ac:dyDescent="0.3">
      <c r="A3" s="361" t="s">
        <v>22</v>
      </c>
      <c r="B3" s="361"/>
      <c r="C3" s="361"/>
      <c r="D3" s="361"/>
      <c r="E3" s="361"/>
      <c r="F3" s="361"/>
      <c r="G3" s="361"/>
      <c r="H3" s="361"/>
      <c r="I3" s="361"/>
      <c r="J3" s="361"/>
      <c r="K3" s="195"/>
    </row>
    <row r="4" spans="1:11" ht="13.95" customHeight="1" x14ac:dyDescent="0.2">
      <c r="A4" s="363" t="str">
        <f>'ORÇAMENTO COM DESON'!A4</f>
        <v>LOCALIZAÇÃO: LIMOEIRO - PE</v>
      </c>
      <c r="B4" s="364"/>
      <c r="C4" s="364"/>
      <c r="D4" s="364"/>
      <c r="E4" s="364"/>
      <c r="F4" s="364"/>
      <c r="G4" s="364"/>
      <c r="H4" s="364"/>
      <c r="I4" s="364"/>
      <c r="J4" s="365"/>
    </row>
    <row r="5" spans="1:11" ht="18" customHeight="1" x14ac:dyDescent="0.2">
      <c r="A5" s="366" t="s">
        <v>739</v>
      </c>
      <c r="B5" s="367"/>
      <c r="C5" s="367"/>
      <c r="D5" s="367"/>
      <c r="E5" s="367"/>
      <c r="F5" s="367"/>
      <c r="G5" s="367"/>
      <c r="H5" s="367"/>
      <c r="I5" s="367"/>
      <c r="J5" s="368"/>
    </row>
    <row r="6" spans="1:11" ht="14.4" customHeight="1" x14ac:dyDescent="0.2">
      <c r="A6" s="366" t="str">
        <f>'ORÇAMENTO COM DESON'!A6</f>
        <v>DATA: ABRIL/2023</v>
      </c>
      <c r="B6" s="367"/>
      <c r="C6" s="367"/>
      <c r="D6" s="367"/>
      <c r="E6" s="367"/>
      <c r="F6" s="367"/>
      <c r="G6" s="367"/>
      <c r="H6" s="367"/>
      <c r="I6" s="367"/>
      <c r="J6" s="368"/>
    </row>
    <row r="7" spans="1:11" x14ac:dyDescent="0.2">
      <c r="A7" s="204"/>
      <c r="B7" s="204"/>
      <c r="C7" s="204"/>
      <c r="D7" s="204"/>
      <c r="E7" s="204"/>
      <c r="F7" s="204"/>
      <c r="G7" s="204"/>
      <c r="H7" s="204"/>
      <c r="I7" s="204"/>
      <c r="J7" s="204"/>
    </row>
    <row r="8" spans="1:11" s="48" customFormat="1" ht="16.5" customHeight="1" x14ac:dyDescent="0.2">
      <c r="A8" s="171" t="s">
        <v>0</v>
      </c>
      <c r="B8" s="171" t="s">
        <v>35</v>
      </c>
      <c r="C8" s="172" t="s">
        <v>12</v>
      </c>
      <c r="D8" s="171" t="s">
        <v>36</v>
      </c>
      <c r="E8" s="171" t="s">
        <v>1</v>
      </c>
      <c r="F8" s="173" t="s">
        <v>2</v>
      </c>
      <c r="G8" s="173" t="s">
        <v>33</v>
      </c>
      <c r="H8" s="173" t="s">
        <v>34</v>
      </c>
      <c r="I8" s="205" t="s">
        <v>3</v>
      </c>
      <c r="J8" s="173" t="s">
        <v>4</v>
      </c>
      <c r="K8" s="199"/>
    </row>
    <row r="9" spans="1:11" s="50" customFormat="1" x14ac:dyDescent="0.2">
      <c r="A9" s="206"/>
      <c r="B9" s="206"/>
      <c r="C9" s="207"/>
      <c r="D9" s="208"/>
      <c r="E9" s="206"/>
      <c r="F9" s="209"/>
      <c r="G9" s="209"/>
      <c r="H9" s="209"/>
      <c r="I9" s="210"/>
      <c r="J9" s="209"/>
      <c r="K9" s="200"/>
    </row>
    <row r="10" spans="1:11" s="50" customFormat="1" x14ac:dyDescent="0.2">
      <c r="A10" s="235" t="s">
        <v>5</v>
      </c>
      <c r="B10" s="235"/>
      <c r="C10" s="236"/>
      <c r="D10" s="237" t="s">
        <v>306</v>
      </c>
      <c r="E10" s="235"/>
      <c r="F10" s="238"/>
      <c r="G10" s="238"/>
      <c r="H10" s="238"/>
      <c r="I10" s="239"/>
      <c r="J10" s="238"/>
      <c r="K10" s="200"/>
    </row>
    <row r="11" spans="1:11" s="69" customFormat="1" x14ac:dyDescent="0.2">
      <c r="A11" s="175" t="str">
        <f>'ORÇAMENTO COM DESON'!A10</f>
        <v>1.1</v>
      </c>
      <c r="B11" s="176"/>
      <c r="C11" s="177"/>
      <c r="D11" s="211" t="str">
        <f>'ORÇAMENTO COM DESON'!D10</f>
        <v>SERVIÇOS PRELIMINARES</v>
      </c>
      <c r="E11" s="176"/>
      <c r="F11" s="212"/>
      <c r="G11" s="212"/>
      <c r="H11" s="212"/>
      <c r="I11" s="213"/>
      <c r="J11" s="212"/>
      <c r="K11" s="201"/>
    </row>
    <row r="12" spans="1:11" s="50" customFormat="1" x14ac:dyDescent="0.2">
      <c r="A12" s="206"/>
      <c r="B12" s="206"/>
      <c r="C12" s="207"/>
      <c r="D12" s="208"/>
      <c r="E12" s="206"/>
      <c r="F12" s="209"/>
      <c r="G12" s="209"/>
      <c r="H12" s="209"/>
      <c r="I12" s="210"/>
      <c r="J12" s="209"/>
      <c r="K12" s="200"/>
    </row>
    <row r="13" spans="1:11" s="51" customFormat="1" ht="30.6" x14ac:dyDescent="0.2">
      <c r="A13" s="214" t="str">
        <f>'ORÇAMENTO COM DESON'!A11</f>
        <v>1.1.1</v>
      </c>
      <c r="B13" s="214"/>
      <c r="C13" s="215"/>
      <c r="D13" s="216" t="str">
        <f>'ORÇAMENTO COM DESON'!D11</f>
        <v>PLACA DE OBRA (PARA CONSTRUCAO CIVIL) EM CHAPA GALVANIZADA *N. 22*, ADESIVADA DE *2,4 X 1,2* M (SEM POSTES PARA FIXACAO)</v>
      </c>
      <c r="E13" s="214" t="str">
        <f>'ORÇAMENTO COM DESON'!E11</f>
        <v>m²</v>
      </c>
      <c r="F13" s="217"/>
      <c r="G13" s="217"/>
      <c r="H13" s="217"/>
      <c r="I13" s="218"/>
      <c r="J13" s="217"/>
      <c r="K13" s="202"/>
    </row>
    <row r="14" spans="1:11" x14ac:dyDescent="0.2">
      <c r="A14" s="206"/>
      <c r="B14" s="206"/>
      <c r="C14" s="207"/>
      <c r="D14" s="219"/>
      <c r="E14" s="182"/>
      <c r="F14" s="185" t="s">
        <v>149</v>
      </c>
      <c r="G14" s="185" t="s">
        <v>158</v>
      </c>
      <c r="H14" s="185"/>
      <c r="I14" s="185"/>
      <c r="J14" s="220"/>
      <c r="K14" s="195"/>
    </row>
    <row r="15" spans="1:11" x14ac:dyDescent="0.2">
      <c r="A15" s="206"/>
      <c r="B15" s="206"/>
      <c r="C15" s="207"/>
      <c r="D15" s="219"/>
      <c r="E15" s="182" t="s">
        <v>8</v>
      </c>
      <c r="F15" s="185">
        <v>3</v>
      </c>
      <c r="G15" s="185">
        <v>1.5</v>
      </c>
      <c r="H15" s="185"/>
      <c r="I15" s="185"/>
      <c r="J15" s="220">
        <f>ROUND(PRODUCT(F15:I15),2)</f>
        <v>4.5</v>
      </c>
      <c r="K15" s="195"/>
    </row>
    <row r="16" spans="1:11" x14ac:dyDescent="0.2">
      <c r="A16" s="206"/>
      <c r="B16" s="206"/>
      <c r="C16" s="207"/>
      <c r="D16" s="221"/>
      <c r="E16" s="182"/>
      <c r="F16" s="220"/>
      <c r="G16" s="220"/>
      <c r="H16" s="220"/>
      <c r="I16" s="218" t="str">
        <f>"Total item "&amp;A13</f>
        <v>Total item 1.1.1</v>
      </c>
      <c r="J16" s="217">
        <f>SUM(J15:J15)</f>
        <v>4.5</v>
      </c>
      <c r="K16" s="195"/>
    </row>
    <row r="17" spans="1:11" s="50" customFormat="1" x14ac:dyDescent="0.2">
      <c r="A17" s="206"/>
      <c r="B17" s="206"/>
      <c r="C17" s="207"/>
      <c r="D17" s="208"/>
      <c r="E17" s="206"/>
      <c r="F17" s="209"/>
      <c r="G17" s="209"/>
      <c r="H17" s="209"/>
      <c r="I17" s="210"/>
      <c r="J17" s="209"/>
      <c r="K17" s="200"/>
    </row>
    <row r="18" spans="1:11" s="51" customFormat="1" x14ac:dyDescent="0.2">
      <c r="A18" s="214" t="str">
        <f>'ORÇAMENTO COM DESON'!A12</f>
        <v>1.1.2</v>
      </c>
      <c r="B18" s="214"/>
      <c r="C18" s="215"/>
      <c r="D18" s="216" t="str">
        <f>'ORÇAMENTO COM DESON'!D12</f>
        <v>LOCAÇÃO DA OBRA - EXECUÇÃO DE GABARITO</v>
      </c>
      <c r="E18" s="214" t="str">
        <f>'ORÇAMENTO COM DESON'!E12</f>
        <v>m²</v>
      </c>
      <c r="F18" s="217"/>
      <c r="G18" s="217"/>
      <c r="H18" s="217"/>
      <c r="I18" s="218"/>
      <c r="J18" s="217"/>
      <c r="K18" s="202"/>
    </row>
    <row r="19" spans="1:11" x14ac:dyDescent="0.2">
      <c r="A19" s="206"/>
      <c r="B19" s="206"/>
      <c r="C19" s="207"/>
      <c r="D19" s="219"/>
      <c r="E19" s="182"/>
      <c r="F19" s="185" t="s">
        <v>149</v>
      </c>
      <c r="G19" s="185" t="s">
        <v>159</v>
      </c>
      <c r="H19" s="185" t="s">
        <v>18</v>
      </c>
      <c r="I19" s="185"/>
      <c r="J19" s="220"/>
      <c r="K19" s="195"/>
    </row>
    <row r="20" spans="1:11" x14ac:dyDescent="0.2">
      <c r="A20" s="206"/>
      <c r="B20" s="206"/>
      <c r="C20" s="207"/>
      <c r="D20" s="219" t="s">
        <v>285</v>
      </c>
      <c r="E20" s="182" t="s">
        <v>8</v>
      </c>
      <c r="F20" s="185"/>
      <c r="G20" s="185"/>
      <c r="H20" s="185">
        <v>53.66</v>
      </c>
      <c r="I20" s="185"/>
      <c r="J20" s="220">
        <f>ROUND(PRODUCT(F20:I20),2)</f>
        <v>53.66</v>
      </c>
      <c r="K20" s="195"/>
    </row>
    <row r="21" spans="1:11" x14ac:dyDescent="0.2">
      <c r="A21" s="206"/>
      <c r="B21" s="206"/>
      <c r="C21" s="207"/>
      <c r="D21" s="221"/>
      <c r="E21" s="182"/>
      <c r="F21" s="220"/>
      <c r="G21" s="220"/>
      <c r="H21" s="220"/>
      <c r="I21" s="218" t="str">
        <f>"Total item "&amp;A18</f>
        <v>Total item 1.1.2</v>
      </c>
      <c r="J21" s="217">
        <f>SUM(J20:J20)</f>
        <v>53.66</v>
      </c>
      <c r="K21" s="195"/>
    </row>
    <row r="22" spans="1:11" s="50" customFormat="1" x14ac:dyDescent="0.2">
      <c r="A22" s="206"/>
      <c r="B22" s="206"/>
      <c r="C22" s="207"/>
      <c r="D22" s="208"/>
      <c r="E22" s="206"/>
      <c r="F22" s="209"/>
      <c r="G22" s="209"/>
      <c r="H22" s="209"/>
      <c r="I22" s="210"/>
      <c r="J22" s="209"/>
      <c r="K22" s="200"/>
    </row>
    <row r="23" spans="1:11" s="51" customFormat="1" ht="20.399999999999999" x14ac:dyDescent="0.2">
      <c r="A23" s="214" t="str">
        <f>'ORÇAMENTO COM DESON'!A13</f>
        <v>1.1.3</v>
      </c>
      <c r="B23" s="214"/>
      <c r="C23" s="215"/>
      <c r="D23" s="216" t="str">
        <f>'ORÇAMENTO COM DESON'!D13</f>
        <v xml:space="preserve">TAPUME DE CHAPA DE MADEIRA COMPENSADA E= 6mm C/ABERTURA E PORTÃO </v>
      </c>
      <c r="E23" s="214" t="str">
        <f>'ORÇAMENTO COM DESON'!E13</f>
        <v>m²</v>
      </c>
      <c r="F23" s="217"/>
      <c r="G23" s="217"/>
      <c r="H23" s="217"/>
      <c r="I23" s="218"/>
      <c r="J23" s="217"/>
      <c r="K23" s="202"/>
    </row>
    <row r="24" spans="1:11" x14ac:dyDescent="0.2">
      <c r="A24" s="206"/>
      <c r="B24" s="206"/>
      <c r="C24" s="207"/>
      <c r="D24" s="219"/>
      <c r="E24" s="182"/>
      <c r="F24" s="185" t="s">
        <v>149</v>
      </c>
      <c r="G24" s="185" t="s">
        <v>158</v>
      </c>
      <c r="H24" s="185" t="s">
        <v>173</v>
      </c>
      <c r="I24" s="185"/>
      <c r="J24" s="220"/>
      <c r="K24" s="195"/>
    </row>
    <row r="25" spans="1:11" x14ac:dyDescent="0.2">
      <c r="A25" s="206"/>
      <c r="B25" s="206"/>
      <c r="C25" s="207"/>
      <c r="D25" s="219" t="s">
        <v>172</v>
      </c>
      <c r="E25" s="182" t="s">
        <v>8</v>
      </c>
      <c r="F25" s="185">
        <f>7.3+6.8</f>
        <v>14.1</v>
      </c>
      <c r="G25" s="185">
        <v>2.2000000000000002</v>
      </c>
      <c r="H25" s="185"/>
      <c r="I25" s="185"/>
      <c r="J25" s="220">
        <f>ROUND(PRODUCT(F25:I25),2)</f>
        <v>31.02</v>
      </c>
      <c r="K25" s="203"/>
    </row>
    <row r="26" spans="1:11" x14ac:dyDescent="0.2">
      <c r="A26" s="206"/>
      <c r="B26" s="206"/>
      <c r="C26" s="207"/>
      <c r="D26" s="221"/>
      <c r="E26" s="182"/>
      <c r="F26" s="220"/>
      <c r="G26" s="220"/>
      <c r="H26" s="220"/>
      <c r="I26" s="218" t="str">
        <f>"Total item "&amp;A23</f>
        <v>Total item 1.1.3</v>
      </c>
      <c r="J26" s="217">
        <f>SUM(J25:J25)</f>
        <v>31.02</v>
      </c>
      <c r="K26" s="195"/>
    </row>
    <row r="27" spans="1:11" s="50" customFormat="1" x14ac:dyDescent="0.2">
      <c r="A27" s="206"/>
      <c r="B27" s="206"/>
      <c r="C27" s="207"/>
      <c r="D27" s="208"/>
      <c r="E27" s="206"/>
      <c r="F27" s="209"/>
      <c r="G27" s="209"/>
      <c r="H27" s="209"/>
      <c r="I27" s="210"/>
      <c r="J27" s="209"/>
      <c r="K27" s="200"/>
    </row>
    <row r="28" spans="1:11" s="69" customFormat="1" x14ac:dyDescent="0.2">
      <c r="A28" s="175" t="str">
        <f>'ORÇAMENTO COM DESON'!A14</f>
        <v>1.2</v>
      </c>
      <c r="B28" s="176"/>
      <c r="C28" s="177"/>
      <c r="D28" s="211" t="str">
        <f>'ORÇAMENTO COM DESON'!D14</f>
        <v>MOVIMENTAÇÃO DE TERRA</v>
      </c>
      <c r="E28" s="176"/>
      <c r="F28" s="212"/>
      <c r="G28" s="212"/>
      <c r="H28" s="212"/>
      <c r="I28" s="213"/>
      <c r="J28" s="212"/>
      <c r="K28" s="201"/>
    </row>
    <row r="29" spans="1:11" s="50" customFormat="1" x14ac:dyDescent="0.2">
      <c r="A29" s="206"/>
      <c r="B29" s="206"/>
      <c r="C29" s="207"/>
      <c r="D29" s="208"/>
      <c r="E29" s="206"/>
      <c r="F29" s="209"/>
      <c r="G29" s="209"/>
      <c r="H29" s="209"/>
      <c r="I29" s="210"/>
      <c r="J29" s="209"/>
      <c r="K29" s="200"/>
    </row>
    <row r="30" spans="1:11" s="51" customFormat="1" ht="20.399999999999999" x14ac:dyDescent="0.2">
      <c r="A30" s="214" t="str">
        <f>'ORÇAMENTO COM DESON'!A15</f>
        <v>1.2.1</v>
      </c>
      <c r="B30" s="214"/>
      <c r="C30" s="215"/>
      <c r="D30" s="216" t="str">
        <f>'ORÇAMENTO COM DESON'!D15</f>
        <v>ATERRO C/COMPACTAÇÃO MANUAL S/CONTROLE, MAT. C/AQUISIÇÃO</v>
      </c>
      <c r="E30" s="214" t="str">
        <f>'ORÇAMENTO COM DESON'!E15</f>
        <v>m³</v>
      </c>
      <c r="F30" s="217"/>
      <c r="G30" s="217"/>
      <c r="H30" s="217"/>
      <c r="I30" s="218"/>
      <c r="J30" s="217"/>
      <c r="K30" s="202"/>
    </row>
    <row r="31" spans="1:11" x14ac:dyDescent="0.2">
      <c r="A31" s="206"/>
      <c r="B31" s="206"/>
      <c r="C31" s="207"/>
      <c r="D31" s="219"/>
      <c r="E31" s="182"/>
      <c r="F31" s="185" t="s">
        <v>18</v>
      </c>
      <c r="G31" s="185" t="s">
        <v>158</v>
      </c>
      <c r="H31" s="185"/>
      <c r="I31" s="185"/>
      <c r="J31" s="220"/>
      <c r="K31" s="195"/>
    </row>
    <row r="32" spans="1:11" x14ac:dyDescent="0.2">
      <c r="A32" s="206"/>
      <c r="B32" s="206"/>
      <c r="C32" s="207"/>
      <c r="D32" s="219" t="s">
        <v>295</v>
      </c>
      <c r="E32" s="182" t="s">
        <v>8</v>
      </c>
      <c r="F32" s="185">
        <v>53.66</v>
      </c>
      <c r="G32" s="185">
        <v>0.7</v>
      </c>
      <c r="H32" s="185"/>
      <c r="I32" s="222"/>
      <c r="J32" s="220">
        <f>ROUND(PRODUCT(F32:I32),2)</f>
        <v>37.56</v>
      </c>
      <c r="K32" s="195"/>
    </row>
    <row r="33" spans="1:11" x14ac:dyDescent="0.2">
      <c r="A33" s="206"/>
      <c r="B33" s="206"/>
      <c r="C33" s="207"/>
      <c r="D33" s="219"/>
      <c r="E33" s="182"/>
      <c r="F33" s="185"/>
      <c r="G33" s="185"/>
      <c r="H33" s="185"/>
      <c r="I33" s="218" t="str">
        <f>"Total item "&amp;A30</f>
        <v>Total item 1.2.1</v>
      </c>
      <c r="J33" s="217">
        <f>SUM(J32:J32)</f>
        <v>37.56</v>
      </c>
      <c r="K33" s="195"/>
    </row>
    <row r="34" spans="1:11" s="50" customFormat="1" x14ac:dyDescent="0.2">
      <c r="A34" s="206"/>
      <c r="B34" s="206"/>
      <c r="C34" s="207"/>
      <c r="D34" s="208"/>
      <c r="E34" s="206"/>
      <c r="F34" s="209"/>
      <c r="G34" s="209"/>
      <c r="H34" s="209"/>
      <c r="I34" s="210"/>
      <c r="J34" s="209"/>
      <c r="K34" s="200"/>
    </row>
    <row r="35" spans="1:11" s="51" customFormat="1" x14ac:dyDescent="0.2">
      <c r="A35" s="214" t="str">
        <f>'ORÇAMENTO COM DESON'!A16</f>
        <v>1.2.2</v>
      </c>
      <c r="B35" s="214"/>
      <c r="C35" s="215"/>
      <c r="D35" s="216" t="str">
        <f>'ORÇAMENTO COM DESON'!D16</f>
        <v>ESCAVAÇÃO MECÂNICA SOLO DE 2A.CAT. PROF. ATÉ 2.00m</v>
      </c>
      <c r="E35" s="214" t="str">
        <f>'ORÇAMENTO COM DESON'!E16</f>
        <v>m³</v>
      </c>
      <c r="F35" s="217"/>
      <c r="G35" s="217"/>
      <c r="H35" s="217"/>
      <c r="I35" s="218"/>
      <c r="J35" s="217"/>
      <c r="K35" s="202"/>
    </row>
    <row r="36" spans="1:11" x14ac:dyDescent="0.2">
      <c r="A36" s="206"/>
      <c r="B36" s="206"/>
      <c r="C36" s="207"/>
      <c r="D36" s="219"/>
      <c r="E36" s="182"/>
      <c r="F36" s="185" t="s">
        <v>149</v>
      </c>
      <c r="G36" s="185" t="s">
        <v>158</v>
      </c>
      <c r="H36" s="185" t="s">
        <v>159</v>
      </c>
      <c r="I36" s="185" t="s">
        <v>139</v>
      </c>
      <c r="J36" s="220"/>
      <c r="K36" s="195"/>
    </row>
    <row r="37" spans="1:11" x14ac:dyDescent="0.2">
      <c r="A37" s="206"/>
      <c r="B37" s="206"/>
      <c r="C37" s="207"/>
      <c r="D37" s="233" t="s">
        <v>560</v>
      </c>
      <c r="E37" s="182"/>
      <c r="F37" s="185"/>
      <c r="G37" s="185"/>
      <c r="H37" s="185"/>
      <c r="I37" s="185"/>
      <c r="J37" s="220"/>
      <c r="K37" s="195"/>
    </row>
    <row r="38" spans="1:11" x14ac:dyDescent="0.2">
      <c r="A38" s="206"/>
      <c r="B38" s="206"/>
      <c r="C38" s="207"/>
      <c r="D38" s="219"/>
      <c r="E38" s="182"/>
      <c r="F38" s="185">
        <v>0.75</v>
      </c>
      <c r="G38" s="185">
        <f>1.55+0.3</f>
        <v>1.85</v>
      </c>
      <c r="H38" s="185">
        <v>0.75</v>
      </c>
      <c r="I38" s="185">
        <f>15-4</f>
        <v>11</v>
      </c>
      <c r="J38" s="220">
        <f>ROUND(PRODUCT(F38:I38),2)</f>
        <v>11.45</v>
      </c>
      <c r="K38" s="195"/>
    </row>
    <row r="39" spans="1:11" x14ac:dyDescent="0.2">
      <c r="A39" s="206"/>
      <c r="B39" s="206"/>
      <c r="C39" s="207"/>
      <c r="D39" s="219"/>
      <c r="E39" s="182"/>
      <c r="F39" s="185">
        <v>0.5</v>
      </c>
      <c r="G39" s="185">
        <f>1.55+0.3</f>
        <v>1.85</v>
      </c>
      <c r="H39" s="185">
        <v>0.85</v>
      </c>
      <c r="I39" s="185">
        <v>3</v>
      </c>
      <c r="J39" s="220">
        <f t="shared" ref="J39:J40" si="0">ROUND(PRODUCT(F39:I39),2)</f>
        <v>2.36</v>
      </c>
      <c r="K39" s="195"/>
    </row>
    <row r="40" spans="1:11" x14ac:dyDescent="0.2">
      <c r="A40" s="206"/>
      <c r="B40" s="206"/>
      <c r="C40" s="207"/>
      <c r="D40" s="219"/>
      <c r="E40" s="182"/>
      <c r="F40" s="185">
        <v>0.8</v>
      </c>
      <c r="G40" s="185">
        <f>1.55+0.3</f>
        <v>1.85</v>
      </c>
      <c r="H40" s="185">
        <v>0.8</v>
      </c>
      <c r="I40" s="185">
        <v>1</v>
      </c>
      <c r="J40" s="220">
        <f t="shared" si="0"/>
        <v>1.18</v>
      </c>
      <c r="K40" s="195"/>
    </row>
    <row r="41" spans="1:11" x14ac:dyDescent="0.2">
      <c r="A41" s="206"/>
      <c r="B41" s="206"/>
      <c r="C41" s="207"/>
      <c r="D41" s="233" t="s">
        <v>303</v>
      </c>
      <c r="E41" s="182"/>
      <c r="F41" s="185"/>
      <c r="G41" s="185"/>
      <c r="H41" s="185"/>
      <c r="I41" s="185"/>
      <c r="J41" s="220"/>
      <c r="K41" s="195"/>
    </row>
    <row r="42" spans="1:11" x14ac:dyDescent="0.2">
      <c r="A42" s="206"/>
      <c r="B42" s="206"/>
      <c r="C42" s="207"/>
      <c r="D42" s="219" t="s">
        <v>296</v>
      </c>
      <c r="E42" s="182"/>
      <c r="F42" s="185">
        <f>3.5+3.23+3.23</f>
        <v>9.9600000000000009</v>
      </c>
      <c r="G42" s="223">
        <f>1.55+0.1</f>
        <v>1.6500000000000001</v>
      </c>
      <c r="H42" s="185">
        <v>0.3</v>
      </c>
      <c r="I42" s="185"/>
      <c r="J42" s="220">
        <f t="shared" ref="J42:J51" si="1">ROUND(PRODUCT(F42:I42),2)</f>
        <v>4.93</v>
      </c>
      <c r="K42" s="195"/>
    </row>
    <row r="43" spans="1:11" x14ac:dyDescent="0.2">
      <c r="A43" s="206"/>
      <c r="B43" s="206"/>
      <c r="C43" s="207"/>
      <c r="D43" s="219" t="s">
        <v>297</v>
      </c>
      <c r="E43" s="182"/>
      <c r="F43" s="185">
        <f>3.5+3.23+3.23</f>
        <v>9.9600000000000009</v>
      </c>
      <c r="G43" s="223">
        <f t="shared" ref="G43:G50" si="2">1.55+0.1</f>
        <v>1.6500000000000001</v>
      </c>
      <c r="H43" s="185">
        <v>0.3</v>
      </c>
      <c r="I43" s="185"/>
      <c r="J43" s="220">
        <f t="shared" si="1"/>
        <v>4.93</v>
      </c>
      <c r="K43" s="195"/>
    </row>
    <row r="44" spans="1:11" x14ac:dyDescent="0.2">
      <c r="A44" s="206"/>
      <c r="B44" s="206"/>
      <c r="C44" s="207"/>
      <c r="D44" s="219" t="s">
        <v>298</v>
      </c>
      <c r="E44" s="182"/>
      <c r="F44" s="185">
        <v>3.5</v>
      </c>
      <c r="G44" s="223">
        <f t="shared" si="2"/>
        <v>1.6500000000000001</v>
      </c>
      <c r="H44" s="185">
        <v>0.3</v>
      </c>
      <c r="I44" s="185"/>
      <c r="J44" s="220">
        <f t="shared" si="1"/>
        <v>1.73</v>
      </c>
      <c r="K44" s="195"/>
    </row>
    <row r="45" spans="1:11" x14ac:dyDescent="0.2">
      <c r="A45" s="206"/>
      <c r="B45" s="206"/>
      <c r="C45" s="207"/>
      <c r="D45" s="219" t="s">
        <v>95</v>
      </c>
      <c r="E45" s="182"/>
      <c r="F45" s="185">
        <f>1.73+1.73+1.8</f>
        <v>5.26</v>
      </c>
      <c r="G45" s="223">
        <f t="shared" si="2"/>
        <v>1.6500000000000001</v>
      </c>
      <c r="H45" s="185">
        <v>0.3</v>
      </c>
      <c r="I45" s="185"/>
      <c r="J45" s="220">
        <f t="shared" si="1"/>
        <v>2.6</v>
      </c>
      <c r="K45" s="195"/>
    </row>
    <row r="46" spans="1:11" x14ac:dyDescent="0.2">
      <c r="A46" s="206"/>
      <c r="B46" s="206"/>
      <c r="C46" s="207"/>
      <c r="D46" s="219" t="s">
        <v>96</v>
      </c>
      <c r="E46" s="182"/>
      <c r="F46" s="185">
        <f>1.73+1.73+1.8</f>
        <v>5.26</v>
      </c>
      <c r="G46" s="223">
        <f t="shared" si="2"/>
        <v>1.6500000000000001</v>
      </c>
      <c r="H46" s="185">
        <v>0.3</v>
      </c>
      <c r="I46" s="185"/>
      <c r="J46" s="220">
        <f t="shared" si="1"/>
        <v>2.6</v>
      </c>
      <c r="K46" s="195"/>
    </row>
    <row r="47" spans="1:11" x14ac:dyDescent="0.2">
      <c r="A47" s="206"/>
      <c r="B47" s="206"/>
      <c r="C47" s="207"/>
      <c r="D47" s="219" t="s">
        <v>299</v>
      </c>
      <c r="E47" s="182"/>
      <c r="F47" s="185">
        <v>1.8</v>
      </c>
      <c r="G47" s="223">
        <f t="shared" si="2"/>
        <v>1.6500000000000001</v>
      </c>
      <c r="H47" s="185">
        <v>0.3</v>
      </c>
      <c r="I47" s="185"/>
      <c r="J47" s="220">
        <f t="shared" si="1"/>
        <v>0.89</v>
      </c>
      <c r="K47" s="195"/>
    </row>
    <row r="48" spans="1:11" x14ac:dyDescent="0.2">
      <c r="A48" s="206"/>
      <c r="B48" s="206"/>
      <c r="C48" s="207"/>
      <c r="D48" s="219" t="s">
        <v>300</v>
      </c>
      <c r="E48" s="182"/>
      <c r="F48" s="185">
        <f>1.65+1.65+2.3+1.25</f>
        <v>6.85</v>
      </c>
      <c r="G48" s="223">
        <f t="shared" si="2"/>
        <v>1.6500000000000001</v>
      </c>
      <c r="H48" s="185">
        <v>0.3</v>
      </c>
      <c r="I48" s="185"/>
      <c r="J48" s="220">
        <f t="shared" si="1"/>
        <v>3.39</v>
      </c>
      <c r="K48" s="195"/>
    </row>
    <row r="49" spans="1:11" x14ac:dyDescent="0.2">
      <c r="A49" s="206"/>
      <c r="B49" s="206"/>
      <c r="C49" s="207"/>
      <c r="D49" s="219" t="s">
        <v>302</v>
      </c>
      <c r="E49" s="182"/>
      <c r="F49" s="185">
        <f>0.45+1.35+3.3+1.75</f>
        <v>6.85</v>
      </c>
      <c r="G49" s="223">
        <f t="shared" si="2"/>
        <v>1.6500000000000001</v>
      </c>
      <c r="H49" s="185">
        <v>0.3</v>
      </c>
      <c r="I49" s="185"/>
      <c r="J49" s="220">
        <f t="shared" si="1"/>
        <v>3.39</v>
      </c>
      <c r="K49" s="195"/>
    </row>
    <row r="50" spans="1:11" x14ac:dyDescent="0.2">
      <c r="A50" s="206"/>
      <c r="B50" s="206"/>
      <c r="C50" s="207"/>
      <c r="D50" s="219" t="s">
        <v>301</v>
      </c>
      <c r="E50" s="182"/>
      <c r="F50" s="185">
        <f>0.75+3+0.15</f>
        <v>3.9</v>
      </c>
      <c r="G50" s="223">
        <f t="shared" si="2"/>
        <v>1.6500000000000001</v>
      </c>
      <c r="H50" s="185">
        <v>0.3</v>
      </c>
      <c r="I50" s="185"/>
      <c r="J50" s="220">
        <f t="shared" si="1"/>
        <v>1.93</v>
      </c>
      <c r="K50" s="195"/>
    </row>
    <row r="51" spans="1:11" x14ac:dyDescent="0.2">
      <c r="A51" s="206"/>
      <c r="B51" s="206"/>
      <c r="C51" s="207"/>
      <c r="D51" s="219" t="s">
        <v>541</v>
      </c>
      <c r="E51" s="182"/>
      <c r="F51" s="185">
        <v>0.6</v>
      </c>
      <c r="G51" s="223">
        <v>1.3</v>
      </c>
      <c r="H51" s="185">
        <v>0.6</v>
      </c>
      <c r="I51" s="185"/>
      <c r="J51" s="220">
        <f t="shared" si="1"/>
        <v>0.47</v>
      </c>
      <c r="K51" s="195"/>
    </row>
    <row r="52" spans="1:11" x14ac:dyDescent="0.2">
      <c r="A52" s="206"/>
      <c r="B52" s="206"/>
      <c r="C52" s="207"/>
      <c r="D52" s="221"/>
      <c r="E52" s="182"/>
      <c r="F52" s="220"/>
      <c r="G52" s="220"/>
      <c r="H52" s="220"/>
      <c r="I52" s="218" t="str">
        <f>"Total item "&amp;A35</f>
        <v>Total item 1.2.2</v>
      </c>
      <c r="J52" s="217">
        <f>SUM(J37:J51)</f>
        <v>41.85</v>
      </c>
      <c r="K52" s="195"/>
    </row>
    <row r="53" spans="1:11" s="50" customFormat="1" x14ac:dyDescent="0.2">
      <c r="A53" s="206"/>
      <c r="B53" s="206"/>
      <c r="C53" s="207"/>
      <c r="D53" s="208"/>
      <c r="E53" s="206"/>
      <c r="F53" s="209"/>
      <c r="G53" s="209"/>
      <c r="H53" s="209"/>
      <c r="I53" s="210"/>
      <c r="J53" s="209"/>
      <c r="K53" s="200"/>
    </row>
    <row r="54" spans="1:11" s="51" customFormat="1" x14ac:dyDescent="0.2">
      <c r="A54" s="214" t="str">
        <f>'ORÇAMENTO COM DESON'!A17</f>
        <v>1.2.3</v>
      </c>
      <c r="B54" s="214"/>
      <c r="C54" s="215"/>
      <c r="D54" s="216" t="str">
        <f>'ORÇAMENTO COM DESON'!D17</f>
        <v>REATERRO MANUAL APILOADO COM SOQUETE. AF_10/2017</v>
      </c>
      <c r="E54" s="214" t="str">
        <f>'ORÇAMENTO COM DESON'!E17</f>
        <v>m³</v>
      </c>
      <c r="F54" s="217"/>
      <c r="G54" s="217"/>
      <c r="H54" s="217"/>
      <c r="I54" s="218"/>
      <c r="J54" s="217"/>
      <c r="K54" s="202"/>
    </row>
    <row r="55" spans="1:11" x14ac:dyDescent="0.2">
      <c r="A55" s="206"/>
      <c r="B55" s="206"/>
      <c r="C55" s="207"/>
      <c r="D55" s="219"/>
      <c r="E55" s="182"/>
      <c r="F55" s="185" t="s">
        <v>149</v>
      </c>
      <c r="G55" s="185" t="s">
        <v>158</v>
      </c>
      <c r="H55" s="185" t="s">
        <v>159</v>
      </c>
      <c r="I55" s="185" t="s">
        <v>139</v>
      </c>
      <c r="J55" s="220"/>
      <c r="K55" s="195"/>
    </row>
    <row r="56" spans="1:11" x14ac:dyDescent="0.2">
      <c r="A56" s="206"/>
      <c r="B56" s="206"/>
      <c r="C56" s="207"/>
      <c r="D56" s="233" t="s">
        <v>560</v>
      </c>
      <c r="E56" s="182"/>
      <c r="F56" s="185"/>
      <c r="G56" s="185"/>
      <c r="H56" s="185"/>
      <c r="I56" s="185"/>
      <c r="J56" s="220"/>
      <c r="K56" s="195"/>
    </row>
    <row r="57" spans="1:11" x14ac:dyDescent="0.2">
      <c r="A57" s="206"/>
      <c r="B57" s="206"/>
      <c r="C57" s="207"/>
      <c r="D57" s="219"/>
      <c r="E57" s="182"/>
      <c r="F57" s="185">
        <v>0.75</v>
      </c>
      <c r="G57" s="185">
        <f>1.55+0.3</f>
        <v>1.85</v>
      </c>
      <c r="H57" s="185">
        <v>0.75</v>
      </c>
      <c r="I57" s="185">
        <f>15-4</f>
        <v>11</v>
      </c>
      <c r="J57" s="220">
        <f>ROUND(PRODUCT(F57:I57),2)</f>
        <v>11.45</v>
      </c>
      <c r="K57" s="195"/>
    </row>
    <row r="58" spans="1:11" x14ac:dyDescent="0.2">
      <c r="A58" s="206"/>
      <c r="B58" s="206"/>
      <c r="C58" s="207"/>
      <c r="D58" s="219"/>
      <c r="E58" s="182"/>
      <c r="F58" s="185">
        <v>0.5</v>
      </c>
      <c r="G58" s="185">
        <f>1.55+0.3</f>
        <v>1.85</v>
      </c>
      <c r="H58" s="185">
        <v>0.85</v>
      </c>
      <c r="I58" s="185">
        <v>3</v>
      </c>
      <c r="J58" s="220">
        <f t="shared" ref="J58:J59" si="3">ROUND(PRODUCT(F58:I58),2)</f>
        <v>2.36</v>
      </c>
      <c r="K58" s="195"/>
    </row>
    <row r="59" spans="1:11" x14ac:dyDescent="0.2">
      <c r="A59" s="206"/>
      <c r="B59" s="206"/>
      <c r="C59" s="207"/>
      <c r="D59" s="219"/>
      <c r="E59" s="182"/>
      <c r="F59" s="185">
        <v>0.8</v>
      </c>
      <c r="G59" s="185">
        <f>1.55+0.3</f>
        <v>1.85</v>
      </c>
      <c r="H59" s="185">
        <v>0.8</v>
      </c>
      <c r="I59" s="185">
        <v>1</v>
      </c>
      <c r="J59" s="220">
        <f t="shared" si="3"/>
        <v>1.18</v>
      </c>
      <c r="K59" s="195"/>
    </row>
    <row r="60" spans="1:11" x14ac:dyDescent="0.2">
      <c r="A60" s="206"/>
      <c r="B60" s="206"/>
      <c r="C60" s="207"/>
      <c r="D60" s="233" t="s">
        <v>303</v>
      </c>
      <c r="E60" s="182" t="s">
        <v>20</v>
      </c>
      <c r="F60" s="185"/>
      <c r="G60" s="185"/>
      <c r="H60" s="185"/>
      <c r="I60" s="185"/>
      <c r="J60" s="220"/>
      <c r="K60" s="195"/>
    </row>
    <row r="61" spans="1:11" x14ac:dyDescent="0.2">
      <c r="A61" s="206"/>
      <c r="B61" s="206"/>
      <c r="C61" s="207"/>
      <c r="D61" s="219" t="s">
        <v>296</v>
      </c>
      <c r="E61" s="182" t="s">
        <v>20</v>
      </c>
      <c r="F61" s="185">
        <f t="shared" ref="F61:G69" si="4">F42</f>
        <v>9.9600000000000009</v>
      </c>
      <c r="G61" s="185">
        <f t="shared" si="4"/>
        <v>1.6500000000000001</v>
      </c>
      <c r="H61" s="185">
        <f t="shared" ref="H61:H69" si="5">H42-H76</f>
        <v>9.9999999999999978E-2</v>
      </c>
      <c r="I61" s="185"/>
      <c r="J61" s="220">
        <f t="shared" ref="J61:J69" si="6">ROUND(PRODUCT(F61:I61),2)</f>
        <v>1.64</v>
      </c>
      <c r="K61" s="195"/>
    </row>
    <row r="62" spans="1:11" x14ac:dyDescent="0.2">
      <c r="A62" s="206"/>
      <c r="B62" s="206"/>
      <c r="C62" s="207"/>
      <c r="D62" s="219" t="s">
        <v>297</v>
      </c>
      <c r="E62" s="182" t="s">
        <v>20</v>
      </c>
      <c r="F62" s="185">
        <f t="shared" si="4"/>
        <v>9.9600000000000009</v>
      </c>
      <c r="G62" s="185">
        <f t="shared" si="4"/>
        <v>1.6500000000000001</v>
      </c>
      <c r="H62" s="185">
        <f t="shared" si="5"/>
        <v>9.9999999999999978E-2</v>
      </c>
      <c r="I62" s="185"/>
      <c r="J62" s="220">
        <f t="shared" si="6"/>
        <v>1.64</v>
      </c>
      <c r="K62" s="195"/>
    </row>
    <row r="63" spans="1:11" x14ac:dyDescent="0.2">
      <c r="A63" s="206"/>
      <c r="B63" s="206"/>
      <c r="C63" s="207"/>
      <c r="D63" s="219" t="s">
        <v>298</v>
      </c>
      <c r="E63" s="182" t="s">
        <v>20</v>
      </c>
      <c r="F63" s="185">
        <f t="shared" si="4"/>
        <v>3.5</v>
      </c>
      <c r="G63" s="185">
        <f t="shared" si="4"/>
        <v>1.6500000000000001</v>
      </c>
      <c r="H63" s="185">
        <f t="shared" si="5"/>
        <v>9.9999999999999978E-2</v>
      </c>
      <c r="I63" s="185"/>
      <c r="J63" s="220">
        <f t="shared" si="6"/>
        <v>0.57999999999999996</v>
      </c>
      <c r="K63" s="195"/>
    </row>
    <row r="64" spans="1:11" x14ac:dyDescent="0.2">
      <c r="A64" s="206"/>
      <c r="B64" s="206"/>
      <c r="C64" s="207"/>
      <c r="D64" s="219" t="s">
        <v>95</v>
      </c>
      <c r="E64" s="182" t="s">
        <v>20</v>
      </c>
      <c r="F64" s="185">
        <f t="shared" si="4"/>
        <v>5.26</v>
      </c>
      <c r="G64" s="185">
        <f t="shared" si="4"/>
        <v>1.6500000000000001</v>
      </c>
      <c r="H64" s="185">
        <f t="shared" si="5"/>
        <v>9.9999999999999978E-2</v>
      </c>
      <c r="I64" s="185"/>
      <c r="J64" s="220">
        <f t="shared" si="6"/>
        <v>0.87</v>
      </c>
      <c r="K64" s="195"/>
    </row>
    <row r="65" spans="1:11" x14ac:dyDescent="0.2">
      <c r="A65" s="206"/>
      <c r="B65" s="206"/>
      <c r="C65" s="207"/>
      <c r="D65" s="219" t="s">
        <v>96</v>
      </c>
      <c r="E65" s="182" t="s">
        <v>20</v>
      </c>
      <c r="F65" s="185">
        <f t="shared" si="4"/>
        <v>5.26</v>
      </c>
      <c r="G65" s="185">
        <f t="shared" si="4"/>
        <v>1.6500000000000001</v>
      </c>
      <c r="H65" s="185">
        <f t="shared" si="5"/>
        <v>9.9999999999999978E-2</v>
      </c>
      <c r="I65" s="185"/>
      <c r="J65" s="220">
        <f t="shared" si="6"/>
        <v>0.87</v>
      </c>
      <c r="K65" s="195"/>
    </row>
    <row r="66" spans="1:11" x14ac:dyDescent="0.2">
      <c r="A66" s="206"/>
      <c r="B66" s="206"/>
      <c r="C66" s="207"/>
      <c r="D66" s="219" t="s">
        <v>299</v>
      </c>
      <c r="E66" s="182" t="s">
        <v>20</v>
      </c>
      <c r="F66" s="185">
        <f t="shared" si="4"/>
        <v>1.8</v>
      </c>
      <c r="G66" s="185">
        <f t="shared" si="4"/>
        <v>1.6500000000000001</v>
      </c>
      <c r="H66" s="185">
        <f t="shared" si="5"/>
        <v>9.9999999999999978E-2</v>
      </c>
      <c r="I66" s="185"/>
      <c r="J66" s="220">
        <f t="shared" si="6"/>
        <v>0.3</v>
      </c>
      <c r="K66" s="195"/>
    </row>
    <row r="67" spans="1:11" x14ac:dyDescent="0.2">
      <c r="A67" s="206"/>
      <c r="B67" s="206"/>
      <c r="C67" s="207"/>
      <c r="D67" s="219" t="s">
        <v>300</v>
      </c>
      <c r="E67" s="182" t="s">
        <v>20</v>
      </c>
      <c r="F67" s="185">
        <f t="shared" si="4"/>
        <v>6.85</v>
      </c>
      <c r="G67" s="185">
        <f t="shared" si="4"/>
        <v>1.6500000000000001</v>
      </c>
      <c r="H67" s="185">
        <f t="shared" si="5"/>
        <v>9.9999999999999978E-2</v>
      </c>
      <c r="I67" s="185"/>
      <c r="J67" s="220">
        <f t="shared" si="6"/>
        <v>1.1299999999999999</v>
      </c>
      <c r="K67" s="195"/>
    </row>
    <row r="68" spans="1:11" x14ac:dyDescent="0.2">
      <c r="A68" s="206"/>
      <c r="B68" s="206"/>
      <c r="C68" s="207"/>
      <c r="D68" s="219" t="s">
        <v>302</v>
      </c>
      <c r="E68" s="182" t="s">
        <v>20</v>
      </c>
      <c r="F68" s="185">
        <f t="shared" si="4"/>
        <v>6.85</v>
      </c>
      <c r="G68" s="185">
        <f t="shared" si="4"/>
        <v>1.6500000000000001</v>
      </c>
      <c r="H68" s="185">
        <f t="shared" si="5"/>
        <v>9.9999999999999978E-2</v>
      </c>
      <c r="I68" s="185"/>
      <c r="J68" s="220">
        <f t="shared" si="6"/>
        <v>1.1299999999999999</v>
      </c>
      <c r="K68" s="195"/>
    </row>
    <row r="69" spans="1:11" x14ac:dyDescent="0.2">
      <c r="A69" s="206"/>
      <c r="B69" s="206"/>
      <c r="C69" s="207"/>
      <c r="D69" s="219" t="s">
        <v>301</v>
      </c>
      <c r="E69" s="182" t="s">
        <v>20</v>
      </c>
      <c r="F69" s="185">
        <f t="shared" si="4"/>
        <v>3.9</v>
      </c>
      <c r="G69" s="185">
        <f t="shared" si="4"/>
        <v>1.6500000000000001</v>
      </c>
      <c r="H69" s="185">
        <f t="shared" si="5"/>
        <v>9.9999999999999978E-2</v>
      </c>
      <c r="I69" s="185"/>
      <c r="J69" s="220">
        <f t="shared" si="6"/>
        <v>0.64</v>
      </c>
      <c r="K69" s="195"/>
    </row>
    <row r="70" spans="1:11" x14ac:dyDescent="0.2">
      <c r="A70" s="206"/>
      <c r="B70" s="206"/>
      <c r="C70" s="207"/>
      <c r="D70" s="221"/>
      <c r="E70" s="182"/>
      <c r="F70" s="220"/>
      <c r="G70" s="220"/>
      <c r="H70" s="220"/>
      <c r="I70" s="218" t="str">
        <f>"Total item "&amp;A54</f>
        <v>Total item 1.2.3</v>
      </c>
      <c r="J70" s="217">
        <f>SUM(J57:J69)</f>
        <v>23.79</v>
      </c>
      <c r="K70" s="195"/>
    </row>
    <row r="71" spans="1:11" s="50" customFormat="1" x14ac:dyDescent="0.2">
      <c r="A71" s="206"/>
      <c r="B71" s="206"/>
      <c r="C71" s="207"/>
      <c r="D71" s="208"/>
      <c r="E71" s="206"/>
      <c r="F71" s="209"/>
      <c r="G71" s="209"/>
      <c r="H71" s="209"/>
      <c r="I71" s="210"/>
      <c r="J71" s="209"/>
      <c r="K71" s="200"/>
    </row>
    <row r="72" spans="1:11" s="69" customFormat="1" x14ac:dyDescent="0.2">
      <c r="A72" s="175" t="str">
        <f>'ORÇAMENTO COM DESON'!A18</f>
        <v>1.3</v>
      </c>
      <c r="B72" s="176"/>
      <c r="C72" s="177"/>
      <c r="D72" s="211" t="str">
        <f>'ORÇAMENTO COM DESON'!D18</f>
        <v>INFRAESTRUTURA</v>
      </c>
      <c r="E72" s="176"/>
      <c r="F72" s="212"/>
      <c r="G72" s="212"/>
      <c r="H72" s="212"/>
      <c r="I72" s="213"/>
      <c r="J72" s="212"/>
      <c r="K72" s="201"/>
    </row>
    <row r="73" spans="1:11" s="50" customFormat="1" x14ac:dyDescent="0.2">
      <c r="A73" s="206"/>
      <c r="B73" s="206"/>
      <c r="C73" s="207"/>
      <c r="D73" s="208"/>
      <c r="E73" s="206"/>
      <c r="F73" s="209"/>
      <c r="G73" s="209"/>
      <c r="H73" s="209"/>
      <c r="I73" s="210"/>
      <c r="J73" s="209"/>
      <c r="K73" s="200"/>
    </row>
    <row r="74" spans="1:11" s="51" customFormat="1" ht="30.6" x14ac:dyDescent="0.2">
      <c r="A74" s="214" t="str">
        <f>'ORÇAMENTO COM DESON'!A19</f>
        <v>1.3.1</v>
      </c>
      <c r="B74" s="214"/>
      <c r="C74" s="215"/>
      <c r="D74" s="216" t="str">
        <f>'ORÇAMENTO COM DESON'!D19</f>
        <v>ALVENARIA DE EMBASAMENTO COM BLOCO ESTRUTURAL DE CERÂMICA, DE 14X19X29 CM E ARGAMASSA DE ASSENTAMENTO COM PREPARO EM BETONEIRA. AF_05/2020</v>
      </c>
      <c r="E74" s="214" t="str">
        <f>'ORÇAMENTO COM DESON'!E19</f>
        <v>m³</v>
      </c>
      <c r="F74" s="217"/>
      <c r="G74" s="217"/>
      <c r="H74" s="217"/>
      <c r="I74" s="218"/>
      <c r="J74" s="217"/>
      <c r="K74" s="202"/>
    </row>
    <row r="75" spans="1:11" x14ac:dyDescent="0.2">
      <c r="A75" s="206"/>
      <c r="B75" s="206"/>
      <c r="C75" s="207"/>
      <c r="D75" s="219"/>
      <c r="E75" s="182"/>
      <c r="F75" s="185" t="s">
        <v>149</v>
      </c>
      <c r="G75" s="185" t="s">
        <v>158</v>
      </c>
      <c r="H75" s="185" t="s">
        <v>159</v>
      </c>
      <c r="I75" s="185"/>
      <c r="J75" s="220"/>
      <c r="K75" s="195"/>
    </row>
    <row r="76" spans="1:11" x14ac:dyDescent="0.2">
      <c r="A76" s="206"/>
      <c r="B76" s="206"/>
      <c r="C76" s="207"/>
      <c r="D76" s="219" t="s">
        <v>296</v>
      </c>
      <c r="E76" s="182" t="s">
        <v>20</v>
      </c>
      <c r="F76" s="185">
        <f t="shared" ref="F76:F84" si="7">F42</f>
        <v>9.9600000000000009</v>
      </c>
      <c r="G76" s="185">
        <f>1.55-0.3</f>
        <v>1.25</v>
      </c>
      <c r="H76" s="185">
        <v>0.2</v>
      </c>
      <c r="I76" s="185"/>
      <c r="J76" s="220">
        <f t="shared" ref="J76:J84" si="8">ROUND(PRODUCT(F76:I76),2)</f>
        <v>2.4900000000000002</v>
      </c>
      <c r="K76" s="195"/>
    </row>
    <row r="77" spans="1:11" x14ac:dyDescent="0.2">
      <c r="A77" s="206"/>
      <c r="B77" s="206"/>
      <c r="C77" s="207"/>
      <c r="D77" s="219" t="s">
        <v>297</v>
      </c>
      <c r="E77" s="182" t="s">
        <v>20</v>
      </c>
      <c r="F77" s="185">
        <f t="shared" si="7"/>
        <v>9.9600000000000009</v>
      </c>
      <c r="G77" s="185">
        <f t="shared" ref="G77:G84" si="9">1.55-0.3</f>
        <v>1.25</v>
      </c>
      <c r="H77" s="185">
        <v>0.2</v>
      </c>
      <c r="I77" s="185"/>
      <c r="J77" s="220">
        <f t="shared" si="8"/>
        <v>2.4900000000000002</v>
      </c>
      <c r="K77" s="195"/>
    </row>
    <row r="78" spans="1:11" x14ac:dyDescent="0.2">
      <c r="A78" s="206"/>
      <c r="B78" s="206"/>
      <c r="C78" s="207"/>
      <c r="D78" s="219" t="s">
        <v>298</v>
      </c>
      <c r="E78" s="182" t="s">
        <v>20</v>
      </c>
      <c r="F78" s="185">
        <f t="shared" si="7"/>
        <v>3.5</v>
      </c>
      <c r="G78" s="185">
        <f t="shared" si="9"/>
        <v>1.25</v>
      </c>
      <c r="H78" s="185">
        <v>0.2</v>
      </c>
      <c r="I78" s="222"/>
      <c r="J78" s="220">
        <f t="shared" si="8"/>
        <v>0.88</v>
      </c>
      <c r="K78" s="195"/>
    </row>
    <row r="79" spans="1:11" x14ac:dyDescent="0.2">
      <c r="A79" s="206"/>
      <c r="B79" s="206"/>
      <c r="C79" s="207"/>
      <c r="D79" s="219" t="s">
        <v>95</v>
      </c>
      <c r="E79" s="182" t="s">
        <v>20</v>
      </c>
      <c r="F79" s="185">
        <f t="shared" si="7"/>
        <v>5.26</v>
      </c>
      <c r="G79" s="185">
        <f t="shared" si="9"/>
        <v>1.25</v>
      </c>
      <c r="H79" s="185">
        <v>0.2</v>
      </c>
      <c r="I79" s="222"/>
      <c r="J79" s="220">
        <f t="shared" si="8"/>
        <v>1.32</v>
      </c>
      <c r="K79" s="195"/>
    </row>
    <row r="80" spans="1:11" x14ac:dyDescent="0.2">
      <c r="A80" s="206"/>
      <c r="B80" s="206"/>
      <c r="C80" s="207"/>
      <c r="D80" s="219" t="s">
        <v>96</v>
      </c>
      <c r="E80" s="182" t="s">
        <v>20</v>
      </c>
      <c r="F80" s="185">
        <f t="shared" si="7"/>
        <v>5.26</v>
      </c>
      <c r="G80" s="185">
        <f t="shared" si="9"/>
        <v>1.25</v>
      </c>
      <c r="H80" s="185">
        <v>0.2</v>
      </c>
      <c r="I80" s="222"/>
      <c r="J80" s="220">
        <f t="shared" si="8"/>
        <v>1.32</v>
      </c>
      <c r="K80" s="195"/>
    </row>
    <row r="81" spans="1:11" x14ac:dyDescent="0.2">
      <c r="A81" s="206"/>
      <c r="B81" s="206"/>
      <c r="C81" s="207"/>
      <c r="D81" s="219" t="s">
        <v>299</v>
      </c>
      <c r="E81" s="182" t="s">
        <v>20</v>
      </c>
      <c r="F81" s="185">
        <f t="shared" si="7"/>
        <v>1.8</v>
      </c>
      <c r="G81" s="185">
        <f t="shared" si="9"/>
        <v>1.25</v>
      </c>
      <c r="H81" s="185">
        <v>0.2</v>
      </c>
      <c r="I81" s="222"/>
      <c r="J81" s="220">
        <f t="shared" si="8"/>
        <v>0.45</v>
      </c>
      <c r="K81" s="195"/>
    </row>
    <row r="82" spans="1:11" x14ac:dyDescent="0.2">
      <c r="A82" s="206"/>
      <c r="B82" s="206"/>
      <c r="C82" s="207"/>
      <c r="D82" s="219" t="s">
        <v>300</v>
      </c>
      <c r="E82" s="182" t="s">
        <v>20</v>
      </c>
      <c r="F82" s="185">
        <f t="shared" si="7"/>
        <v>6.85</v>
      </c>
      <c r="G82" s="185">
        <f t="shared" si="9"/>
        <v>1.25</v>
      </c>
      <c r="H82" s="185">
        <v>0.2</v>
      </c>
      <c r="I82" s="222"/>
      <c r="J82" s="220">
        <f t="shared" si="8"/>
        <v>1.71</v>
      </c>
      <c r="K82" s="195"/>
    </row>
    <row r="83" spans="1:11" x14ac:dyDescent="0.2">
      <c r="A83" s="206"/>
      <c r="B83" s="206"/>
      <c r="C83" s="207"/>
      <c r="D83" s="219" t="s">
        <v>302</v>
      </c>
      <c r="E83" s="182" t="s">
        <v>20</v>
      </c>
      <c r="F83" s="185">
        <f t="shared" si="7"/>
        <v>6.85</v>
      </c>
      <c r="G83" s="185">
        <f t="shared" si="9"/>
        <v>1.25</v>
      </c>
      <c r="H83" s="185">
        <v>0.2</v>
      </c>
      <c r="I83" s="222"/>
      <c r="J83" s="220">
        <f t="shared" si="8"/>
        <v>1.71</v>
      </c>
      <c r="K83" s="195"/>
    </row>
    <row r="84" spans="1:11" x14ac:dyDescent="0.2">
      <c r="A84" s="206"/>
      <c r="B84" s="206"/>
      <c r="C84" s="207"/>
      <c r="D84" s="219" t="s">
        <v>301</v>
      </c>
      <c r="E84" s="182" t="s">
        <v>20</v>
      </c>
      <c r="F84" s="185">
        <f t="shared" si="7"/>
        <v>3.9</v>
      </c>
      <c r="G84" s="185">
        <f t="shared" si="9"/>
        <v>1.25</v>
      </c>
      <c r="H84" s="185">
        <v>0.2</v>
      </c>
      <c r="I84" s="222"/>
      <c r="J84" s="220">
        <f t="shared" si="8"/>
        <v>0.98</v>
      </c>
      <c r="K84" s="195"/>
    </row>
    <row r="85" spans="1:11" x14ac:dyDescent="0.2">
      <c r="A85" s="206"/>
      <c r="B85" s="206"/>
      <c r="C85" s="207"/>
      <c r="D85" s="221"/>
      <c r="E85" s="182"/>
      <c r="F85" s="220"/>
      <c r="G85" s="220"/>
      <c r="H85" s="220"/>
      <c r="I85" s="218" t="str">
        <f>"Total item "&amp;A74</f>
        <v>Total item 1.3.1</v>
      </c>
      <c r="J85" s="217">
        <f>SUM(J76:J84)</f>
        <v>13.350000000000001</v>
      </c>
      <c r="K85" s="195"/>
    </row>
    <row r="86" spans="1:11" s="50" customFormat="1" x14ac:dyDescent="0.2">
      <c r="A86" s="206"/>
      <c r="B86" s="206"/>
      <c r="C86" s="207"/>
      <c r="D86" s="208"/>
      <c r="E86" s="206"/>
      <c r="F86" s="209"/>
      <c r="G86" s="209"/>
      <c r="H86" s="209"/>
      <c r="I86" s="210"/>
      <c r="J86" s="209"/>
      <c r="K86" s="200"/>
    </row>
    <row r="87" spans="1:11" s="51" customFormat="1" ht="30.6" x14ac:dyDescent="0.2">
      <c r="A87" s="214" t="str">
        <f>'ORÇAMENTO COM DESON'!A20</f>
        <v>1.3.2</v>
      </c>
      <c r="B87" s="214"/>
      <c r="C87" s="215"/>
      <c r="D87" s="216" t="str">
        <f>'ORÇAMENTO COM DESON'!D20</f>
        <v>CONCRETO FCK = 25MPA, TRAÇO 1:2,3:2,7 (EM MASSA SECA DE CIMENTO/ AREIA MÉDIA/ BRITA 1) - PREPARO MECÂNICO COM BETONEIRA 400 L. AF_05/2021</v>
      </c>
      <c r="E87" s="214" t="str">
        <f>'ORÇAMENTO COM DESON'!E20</f>
        <v>m³</v>
      </c>
      <c r="F87" s="217"/>
      <c r="G87" s="217"/>
      <c r="H87" s="217"/>
      <c r="I87" s="218"/>
      <c r="J87" s="217"/>
      <c r="K87" s="202"/>
    </row>
    <row r="88" spans="1:11" x14ac:dyDescent="0.2">
      <c r="A88" s="206"/>
      <c r="B88" s="206"/>
      <c r="C88" s="207"/>
      <c r="D88" s="219"/>
      <c r="E88" s="182"/>
      <c r="F88" s="185" t="s">
        <v>553</v>
      </c>
      <c r="G88" s="185"/>
      <c r="H88" s="185"/>
      <c r="I88" s="185"/>
      <c r="J88" s="220"/>
      <c r="K88" s="195"/>
    </row>
    <row r="89" spans="1:11" x14ac:dyDescent="0.2">
      <c r="A89" s="206"/>
      <c r="B89" s="206"/>
      <c r="C89" s="207"/>
      <c r="D89" s="233"/>
      <c r="E89" s="182" t="s">
        <v>20</v>
      </c>
      <c r="F89" s="185"/>
      <c r="G89" s="185"/>
      <c r="H89" s="185"/>
      <c r="I89" s="185"/>
      <c r="J89" s="220"/>
      <c r="K89" s="195"/>
    </row>
    <row r="90" spans="1:11" x14ac:dyDescent="0.2">
      <c r="A90" s="206"/>
      <c r="B90" s="206"/>
      <c r="C90" s="207"/>
      <c r="D90" s="233" t="s">
        <v>673</v>
      </c>
      <c r="E90" s="182"/>
      <c r="F90" s="185">
        <f>11*0.17</f>
        <v>1.87</v>
      </c>
      <c r="G90" s="185"/>
      <c r="H90" s="185"/>
      <c r="I90" s="185"/>
      <c r="J90" s="220">
        <f t="shared" ref="J90:J92" si="10">ROUND(PRODUCT(F90:I90),2)</f>
        <v>1.87</v>
      </c>
      <c r="K90" s="195"/>
    </row>
    <row r="91" spans="1:11" x14ac:dyDescent="0.2">
      <c r="A91" s="206"/>
      <c r="B91" s="206"/>
      <c r="C91" s="207"/>
      <c r="D91" s="233" t="s">
        <v>676</v>
      </c>
      <c r="E91" s="182"/>
      <c r="F91" s="185">
        <f>3*0.13</f>
        <v>0.39</v>
      </c>
      <c r="G91" s="185"/>
      <c r="H91" s="185"/>
      <c r="I91" s="185"/>
      <c r="J91" s="220">
        <f t="shared" si="10"/>
        <v>0.39</v>
      </c>
      <c r="K91" s="195"/>
    </row>
    <row r="92" spans="1:11" x14ac:dyDescent="0.2">
      <c r="A92" s="206"/>
      <c r="B92" s="206"/>
      <c r="C92" s="207"/>
      <c r="D92" s="233" t="s">
        <v>678</v>
      </c>
      <c r="E92" s="182"/>
      <c r="F92" s="185">
        <v>0.19</v>
      </c>
      <c r="G92" s="185"/>
      <c r="H92" s="185"/>
      <c r="I92" s="185"/>
      <c r="J92" s="220">
        <f t="shared" si="10"/>
        <v>0.19</v>
      </c>
      <c r="K92" s="195"/>
    </row>
    <row r="93" spans="1:11" x14ac:dyDescent="0.2">
      <c r="A93" s="206"/>
      <c r="B93" s="206"/>
      <c r="C93" s="207"/>
      <c r="D93" s="233" t="s">
        <v>304</v>
      </c>
      <c r="E93" s="182"/>
      <c r="F93" s="225">
        <v>1.992</v>
      </c>
      <c r="G93" s="185"/>
      <c r="H93" s="185"/>
      <c r="I93" s="185"/>
      <c r="J93" s="250">
        <f>PRODUCT(F93:I93)</f>
        <v>1.992</v>
      </c>
      <c r="K93" s="195"/>
    </row>
    <row r="94" spans="1:11" x14ac:dyDescent="0.2">
      <c r="A94" s="206"/>
      <c r="B94" s="206"/>
      <c r="C94" s="207"/>
      <c r="D94" s="233" t="s">
        <v>682</v>
      </c>
      <c r="E94" s="182"/>
      <c r="F94" s="185">
        <f>0.22+0.06+0.03</f>
        <v>0.31000000000000005</v>
      </c>
      <c r="G94" s="185"/>
      <c r="H94" s="185"/>
      <c r="I94" s="185"/>
      <c r="J94" s="250">
        <f>PRODUCT(F94:I94)</f>
        <v>0.31000000000000005</v>
      </c>
      <c r="K94" s="195"/>
    </row>
    <row r="95" spans="1:11" x14ac:dyDescent="0.2">
      <c r="A95" s="206"/>
      <c r="B95" s="206"/>
      <c r="C95" s="207"/>
      <c r="D95" s="219"/>
      <c r="E95" s="182"/>
      <c r="F95" s="185"/>
      <c r="G95" s="185"/>
      <c r="H95" s="185"/>
      <c r="I95" s="185" t="s">
        <v>542</v>
      </c>
      <c r="J95" s="220"/>
      <c r="K95" s="195"/>
    </row>
    <row r="96" spans="1:11" x14ac:dyDescent="0.2">
      <c r="A96" s="206"/>
      <c r="B96" s="206"/>
      <c r="C96" s="207"/>
      <c r="D96" s="219" t="s">
        <v>541</v>
      </c>
      <c r="E96" s="182"/>
      <c r="F96" s="185">
        <v>0.6</v>
      </c>
      <c r="G96" s="223">
        <v>1.3</v>
      </c>
      <c r="H96" s="185">
        <v>0.6</v>
      </c>
      <c r="I96" s="185">
        <f>(0.3*0.3*1.3)</f>
        <v>0.11699999999999999</v>
      </c>
      <c r="J96" s="220">
        <f>ROUND(((PRODUCT(F96:H96))-I96),2)</f>
        <v>0.35</v>
      </c>
      <c r="K96" s="195"/>
    </row>
    <row r="97" spans="1:11" x14ac:dyDescent="0.2">
      <c r="A97" s="206"/>
      <c r="B97" s="206"/>
      <c r="C97" s="207"/>
      <c r="D97" s="221"/>
      <c r="E97" s="182"/>
      <c r="F97" s="220"/>
      <c r="G97" s="220"/>
      <c r="H97" s="220"/>
      <c r="I97" s="218" t="str">
        <f>"Total item "&amp;A87</f>
        <v>Total item 1.3.2</v>
      </c>
      <c r="J97" s="217">
        <f>SUM(J89:J96)</f>
        <v>5.1020000000000003</v>
      </c>
      <c r="K97" s="195"/>
    </row>
    <row r="98" spans="1:11" s="50" customFormat="1" x14ac:dyDescent="0.2">
      <c r="A98" s="206"/>
      <c r="B98" s="206"/>
      <c r="C98" s="207"/>
      <c r="D98" s="208"/>
      <c r="E98" s="206"/>
      <c r="F98" s="209"/>
      <c r="G98" s="209"/>
      <c r="H98" s="209"/>
      <c r="I98" s="210"/>
      <c r="J98" s="209"/>
      <c r="K98" s="200"/>
    </row>
    <row r="99" spans="1:11" s="51" customFormat="1" ht="20.399999999999999" x14ac:dyDescent="0.2">
      <c r="A99" s="214" t="str">
        <f>'ORÇAMENTO COM DESON'!A21</f>
        <v>1.3.3</v>
      </c>
      <c r="B99" s="214"/>
      <c r="C99" s="215"/>
      <c r="D99" s="216" t="str">
        <f>'ORÇAMENTO COM DESON'!D21</f>
        <v>ARMAÇÃO DE BLOCO, VIGA BALDRAME OU SAPATA UTILIZANDO AÇO CA-50 DE 10 MM - MONTAGEM. AF_06/2017</v>
      </c>
      <c r="E99" s="214" t="str">
        <f>'ORÇAMENTO COM DESON'!E21</f>
        <v>kg</v>
      </c>
      <c r="F99" s="217"/>
      <c r="G99" s="217"/>
      <c r="H99" s="217"/>
      <c r="I99" s="218"/>
      <c r="J99" s="217"/>
      <c r="K99" s="202"/>
    </row>
    <row r="100" spans="1:11" x14ac:dyDescent="0.2">
      <c r="A100" s="206"/>
      <c r="B100" s="206"/>
      <c r="C100" s="207"/>
      <c r="D100" s="219"/>
      <c r="E100" s="182"/>
      <c r="F100" s="224" t="s">
        <v>189</v>
      </c>
      <c r="G100" s="185"/>
      <c r="H100" s="185"/>
      <c r="I100" s="185"/>
      <c r="J100" s="220"/>
      <c r="K100" s="195"/>
    </row>
    <row r="101" spans="1:11" x14ac:dyDescent="0.2">
      <c r="A101" s="206"/>
      <c r="B101" s="206"/>
      <c r="C101" s="207"/>
      <c r="D101" s="233" t="s">
        <v>560</v>
      </c>
      <c r="E101" s="182"/>
      <c r="F101" s="224"/>
      <c r="G101" s="185"/>
      <c r="H101" s="185"/>
      <c r="I101" s="185"/>
      <c r="J101" s="220"/>
      <c r="K101" s="195"/>
    </row>
    <row r="102" spans="1:11" x14ac:dyDescent="0.2">
      <c r="A102" s="206"/>
      <c r="B102" s="206"/>
      <c r="C102" s="207"/>
      <c r="D102" s="233" t="s">
        <v>673</v>
      </c>
      <c r="E102" s="182" t="s">
        <v>20</v>
      </c>
      <c r="F102" s="185"/>
      <c r="G102" s="185"/>
      <c r="H102" s="185"/>
      <c r="I102" s="185"/>
      <c r="J102" s="220"/>
      <c r="K102" s="195"/>
    </row>
    <row r="103" spans="1:11" x14ac:dyDescent="0.2">
      <c r="A103" s="206"/>
      <c r="B103" s="206"/>
      <c r="C103" s="207"/>
      <c r="D103" s="219" t="s">
        <v>674</v>
      </c>
      <c r="E103" s="182"/>
      <c r="F103" s="185">
        <f>2.64+1.63</f>
        <v>4.2699999999999996</v>
      </c>
      <c r="G103" s="185"/>
      <c r="H103" s="185"/>
      <c r="I103" s="185"/>
      <c r="J103" s="220">
        <f t="shared" ref="J103:J105" si="11">ROUND(PRODUCT(F103:I103),2)</f>
        <v>4.2699999999999996</v>
      </c>
      <c r="K103" s="195"/>
    </row>
    <row r="104" spans="1:11" x14ac:dyDescent="0.2">
      <c r="A104" s="206"/>
      <c r="B104" s="206"/>
      <c r="C104" s="207"/>
      <c r="D104" s="219" t="s">
        <v>675</v>
      </c>
      <c r="E104" s="182"/>
      <c r="F104" s="185">
        <f>2.64+1.63</f>
        <v>4.2699999999999996</v>
      </c>
      <c r="G104" s="185"/>
      <c r="H104" s="185"/>
      <c r="I104" s="185"/>
      <c r="J104" s="220">
        <f t="shared" si="11"/>
        <v>4.2699999999999996</v>
      </c>
      <c r="K104" s="195"/>
    </row>
    <row r="105" spans="1:11" x14ac:dyDescent="0.2">
      <c r="A105" s="206"/>
      <c r="B105" s="206"/>
      <c r="C105" s="207"/>
      <c r="D105" s="219" t="s">
        <v>671</v>
      </c>
      <c r="E105" s="182"/>
      <c r="F105" s="185">
        <v>3.2</v>
      </c>
      <c r="G105" s="185"/>
      <c r="H105" s="185"/>
      <c r="I105" s="185"/>
      <c r="J105" s="220">
        <f t="shared" si="11"/>
        <v>3.2</v>
      </c>
      <c r="K105" s="195"/>
    </row>
    <row r="106" spans="1:11" x14ac:dyDescent="0.2">
      <c r="A106" s="206"/>
      <c r="B106" s="206"/>
      <c r="C106" s="207"/>
      <c r="D106" s="233" t="s">
        <v>676</v>
      </c>
      <c r="E106" s="182"/>
      <c r="F106" s="185"/>
      <c r="G106" s="185"/>
      <c r="H106" s="185"/>
      <c r="I106" s="185"/>
      <c r="J106" s="250"/>
      <c r="K106" s="195"/>
    </row>
    <row r="107" spans="1:11" x14ac:dyDescent="0.2">
      <c r="A107" s="206"/>
      <c r="B107" s="206"/>
      <c r="C107" s="207"/>
      <c r="D107" s="219" t="s">
        <v>674</v>
      </c>
      <c r="E107" s="182"/>
      <c r="F107" s="185">
        <f>1.89+1.16</f>
        <v>3.05</v>
      </c>
      <c r="G107" s="185"/>
      <c r="H107" s="185"/>
      <c r="I107" s="185"/>
      <c r="J107" s="220">
        <f t="shared" ref="J107:J109" si="12">ROUND(PRODUCT(F107:I107),2)</f>
        <v>3.05</v>
      </c>
      <c r="K107" s="195"/>
    </row>
    <row r="108" spans="1:11" x14ac:dyDescent="0.2">
      <c r="A108" s="206"/>
      <c r="B108" s="206"/>
      <c r="C108" s="207"/>
      <c r="D108" s="219" t="s">
        <v>677</v>
      </c>
      <c r="E108" s="182"/>
      <c r="F108" s="185">
        <f>1.96+1.21</f>
        <v>3.17</v>
      </c>
      <c r="G108" s="185"/>
      <c r="H108" s="185"/>
      <c r="I108" s="185"/>
      <c r="J108" s="220">
        <f t="shared" si="12"/>
        <v>3.17</v>
      </c>
      <c r="K108" s="195"/>
    </row>
    <row r="109" spans="1:11" x14ac:dyDescent="0.2">
      <c r="A109" s="206"/>
      <c r="B109" s="206"/>
      <c r="C109" s="207"/>
      <c r="D109" s="219" t="s">
        <v>671</v>
      </c>
      <c r="E109" s="182"/>
      <c r="F109" s="185">
        <f>5.2+3.2</f>
        <v>8.4</v>
      </c>
      <c r="G109" s="185"/>
      <c r="H109" s="185"/>
      <c r="I109" s="185"/>
      <c r="J109" s="220">
        <f t="shared" si="12"/>
        <v>8.4</v>
      </c>
      <c r="K109" s="195"/>
    </row>
    <row r="110" spans="1:11" x14ac:dyDescent="0.2">
      <c r="A110" s="206"/>
      <c r="B110" s="206"/>
      <c r="C110" s="207"/>
      <c r="D110" s="233" t="s">
        <v>678</v>
      </c>
      <c r="E110" s="182"/>
      <c r="F110" s="185"/>
      <c r="G110" s="185"/>
      <c r="H110" s="185"/>
      <c r="I110" s="185"/>
      <c r="J110" s="250"/>
      <c r="K110" s="195"/>
    </row>
    <row r="111" spans="1:11" x14ac:dyDescent="0.2">
      <c r="A111" s="206"/>
      <c r="B111" s="206"/>
      <c r="C111" s="207"/>
      <c r="D111" s="219" t="s">
        <v>674</v>
      </c>
      <c r="E111" s="182"/>
      <c r="F111" s="185">
        <f>2.79+1.72</f>
        <v>4.51</v>
      </c>
      <c r="G111" s="185"/>
      <c r="H111" s="185"/>
      <c r="I111" s="185"/>
      <c r="J111" s="220">
        <f t="shared" ref="J111:J113" si="13">ROUND(PRODUCT(F111:I111),2)</f>
        <v>4.51</v>
      </c>
      <c r="K111" s="195"/>
    </row>
    <row r="112" spans="1:11" x14ac:dyDescent="0.2">
      <c r="A112" s="206"/>
      <c r="B112" s="206"/>
      <c r="C112" s="207"/>
      <c r="D112" s="219" t="s">
        <v>675</v>
      </c>
      <c r="E112" s="182"/>
      <c r="F112" s="185">
        <f>2.79+1.72</f>
        <v>4.51</v>
      </c>
      <c r="G112" s="185"/>
      <c r="H112" s="185"/>
      <c r="I112" s="185"/>
      <c r="J112" s="220">
        <f t="shared" si="13"/>
        <v>4.51</v>
      </c>
      <c r="K112" s="195"/>
    </row>
    <row r="113" spans="1:11" x14ac:dyDescent="0.2">
      <c r="A113" s="206"/>
      <c r="B113" s="206"/>
      <c r="C113" s="207"/>
      <c r="D113" s="219" t="s">
        <v>679</v>
      </c>
      <c r="E113" s="182"/>
      <c r="F113" s="185">
        <f>3.68+2.27</f>
        <v>5.95</v>
      </c>
      <c r="G113" s="185"/>
      <c r="H113" s="185"/>
      <c r="I113" s="185"/>
      <c r="J113" s="220">
        <f t="shared" si="13"/>
        <v>5.95</v>
      </c>
      <c r="K113" s="195"/>
    </row>
    <row r="114" spans="1:11" x14ac:dyDescent="0.2">
      <c r="A114" s="206"/>
      <c r="B114" s="206"/>
      <c r="C114" s="207"/>
      <c r="D114" s="219"/>
      <c r="E114" s="182"/>
      <c r="F114" s="185"/>
      <c r="G114" s="185"/>
      <c r="H114" s="185"/>
      <c r="I114" s="185"/>
      <c r="J114" s="250"/>
      <c r="K114" s="195"/>
    </row>
    <row r="115" spans="1:11" x14ac:dyDescent="0.2">
      <c r="A115" s="206"/>
      <c r="B115" s="206"/>
      <c r="C115" s="207"/>
      <c r="D115" s="233" t="s">
        <v>680</v>
      </c>
      <c r="E115" s="182"/>
      <c r="F115" s="185">
        <v>187.8</v>
      </c>
      <c r="G115" s="185"/>
      <c r="H115" s="185"/>
      <c r="I115" s="185"/>
      <c r="J115" s="220">
        <f>ROUND(PRODUCT(F115:I115),2)</f>
        <v>187.8</v>
      </c>
      <c r="K115" s="195"/>
    </row>
    <row r="116" spans="1:11" x14ac:dyDescent="0.2">
      <c r="A116" s="206"/>
      <c r="B116" s="206"/>
      <c r="C116" s="207"/>
      <c r="D116" s="221"/>
      <c r="E116" s="182"/>
      <c r="F116" s="220"/>
      <c r="G116" s="220"/>
      <c r="H116" s="220"/>
      <c r="I116" s="218" t="str">
        <f>"Total item "&amp;A99</f>
        <v>Total item 1.3.3</v>
      </c>
      <c r="J116" s="217">
        <f>SUM(J103:J115)</f>
        <v>229.13</v>
      </c>
      <c r="K116" s="195"/>
    </row>
    <row r="117" spans="1:11" s="50" customFormat="1" x14ac:dyDescent="0.2">
      <c r="A117" s="206"/>
      <c r="B117" s="206"/>
      <c r="C117" s="207"/>
      <c r="D117" s="208"/>
      <c r="E117" s="206"/>
      <c r="F117" s="209"/>
      <c r="G117" s="209"/>
      <c r="H117" s="209"/>
      <c r="I117" s="210"/>
      <c r="J117" s="209"/>
      <c r="K117" s="200"/>
    </row>
    <row r="118" spans="1:11" s="51" customFormat="1" ht="30.6" x14ac:dyDescent="0.2">
      <c r="A118" s="214" t="str">
        <f>'ORÇAMENTO COM DESON'!A22</f>
        <v>1.3.4</v>
      </c>
      <c r="B118" s="214"/>
      <c r="C118" s="215"/>
      <c r="D118" s="216" t="str">
        <f>'ORÇAMENTO COM DESON'!D22</f>
        <v>ARMAÇÃO DE PILAR OU VIGA DE ESTRUTURA DE CONCRETO ARMADO EMBUTIDA EM ALVENARIA DE VEDAÇÃO UTILIZANDO AÇO CA-60 DE 5,0 MM - MONTAGEM. AF_06/2022</v>
      </c>
      <c r="E118" s="214" t="str">
        <f>'ORÇAMENTO COM DESON'!E22</f>
        <v>kg</v>
      </c>
      <c r="F118" s="217"/>
      <c r="G118" s="217"/>
      <c r="H118" s="217"/>
      <c r="I118" s="218"/>
      <c r="J118" s="217"/>
      <c r="K118" s="202"/>
    </row>
    <row r="119" spans="1:11" x14ac:dyDescent="0.2">
      <c r="A119" s="206"/>
      <c r="B119" s="206"/>
      <c r="C119" s="207"/>
      <c r="D119" s="219"/>
      <c r="E119" s="182"/>
      <c r="F119" s="224" t="s">
        <v>189</v>
      </c>
      <c r="G119" s="185"/>
      <c r="H119" s="185"/>
      <c r="I119" s="185"/>
      <c r="J119" s="220"/>
      <c r="K119" s="195"/>
    </row>
    <row r="120" spans="1:11" x14ac:dyDescent="0.2">
      <c r="A120" s="206"/>
      <c r="B120" s="206"/>
      <c r="C120" s="207"/>
      <c r="D120" s="233" t="s">
        <v>672</v>
      </c>
      <c r="E120" s="182"/>
      <c r="F120" s="224"/>
      <c r="G120" s="185"/>
      <c r="H120" s="185"/>
      <c r="I120" s="185"/>
      <c r="J120" s="220"/>
      <c r="K120" s="195"/>
    </row>
    <row r="121" spans="1:11" x14ac:dyDescent="0.2">
      <c r="A121" s="206"/>
      <c r="B121" s="206"/>
      <c r="C121" s="207"/>
      <c r="D121" s="219" t="s">
        <v>673</v>
      </c>
      <c r="E121" s="182"/>
      <c r="F121" s="185">
        <v>8.8000000000000007</v>
      </c>
      <c r="G121" s="225"/>
      <c r="H121" s="185"/>
      <c r="I121" s="185"/>
      <c r="J121" s="220">
        <f t="shared" ref="J121:J124" si="14">ROUND(PRODUCT(F121:I121),2)</f>
        <v>8.8000000000000007</v>
      </c>
      <c r="K121" s="195"/>
    </row>
    <row r="122" spans="1:11" x14ac:dyDescent="0.2">
      <c r="A122" s="206"/>
      <c r="B122" s="206"/>
      <c r="C122" s="207"/>
      <c r="D122" s="219" t="s">
        <v>676</v>
      </c>
      <c r="E122" s="182"/>
      <c r="F122" s="185">
        <v>2.4</v>
      </c>
      <c r="G122" s="225"/>
      <c r="H122" s="185"/>
      <c r="I122" s="222"/>
      <c r="J122" s="220">
        <f t="shared" si="14"/>
        <v>2.4</v>
      </c>
      <c r="K122" s="195"/>
    </row>
    <row r="123" spans="1:11" x14ac:dyDescent="0.2">
      <c r="A123" s="206"/>
      <c r="B123" s="206"/>
      <c r="C123" s="207"/>
      <c r="D123" s="219" t="s">
        <v>678</v>
      </c>
      <c r="E123" s="182"/>
      <c r="F123" s="185">
        <v>0.9</v>
      </c>
      <c r="G123" s="185"/>
      <c r="H123" s="185"/>
      <c r="I123" s="222"/>
      <c r="J123" s="220">
        <f t="shared" si="14"/>
        <v>0.9</v>
      </c>
      <c r="K123" s="195"/>
    </row>
    <row r="124" spans="1:11" x14ac:dyDescent="0.2">
      <c r="A124" s="206"/>
      <c r="B124" s="206"/>
      <c r="C124" s="207"/>
      <c r="D124" s="233" t="s">
        <v>304</v>
      </c>
      <c r="E124" s="182"/>
      <c r="F124" s="185">
        <v>42.8</v>
      </c>
      <c r="G124" s="185"/>
      <c r="H124" s="185"/>
      <c r="I124" s="222"/>
      <c r="J124" s="220">
        <f t="shared" si="14"/>
        <v>42.8</v>
      </c>
      <c r="K124" s="195"/>
    </row>
    <row r="125" spans="1:11" x14ac:dyDescent="0.2">
      <c r="A125" s="206"/>
      <c r="B125" s="206"/>
      <c r="C125" s="207"/>
      <c r="D125" s="221"/>
      <c r="E125" s="182"/>
      <c r="F125" s="220"/>
      <c r="G125" s="220"/>
      <c r="H125" s="220"/>
      <c r="I125" s="218" t="str">
        <f>"Total item "&amp;A118</f>
        <v>Total item 1.3.4</v>
      </c>
      <c r="J125" s="217">
        <f>SUM(J121:J124)</f>
        <v>54.9</v>
      </c>
      <c r="K125" s="195"/>
    </row>
    <row r="126" spans="1:11" s="50" customFormat="1" x14ac:dyDescent="0.2">
      <c r="A126" s="206"/>
      <c r="B126" s="206"/>
      <c r="C126" s="207"/>
      <c r="D126" s="208"/>
      <c r="E126" s="206"/>
      <c r="F126" s="209"/>
      <c r="G126" s="209"/>
      <c r="H126" s="209"/>
      <c r="I126" s="210"/>
      <c r="J126" s="209"/>
      <c r="K126" s="200"/>
    </row>
    <row r="127" spans="1:11" s="51" customFormat="1" ht="30.6" x14ac:dyDescent="0.2">
      <c r="A127" s="214" t="str">
        <f>'ORÇAMENTO COM DESON'!A23</f>
        <v>1.3.5</v>
      </c>
      <c r="B127" s="214"/>
      <c r="C127" s="215"/>
      <c r="D127" s="216" t="str">
        <f>'ORÇAMENTO COM DESON'!D23</f>
        <v>FABRICAÇÃO, MONTAGEM E DESMONTAGEM DE FÔRMA PARA VIGA BALDRAME, EM MADEIRA SERRADA, E=25 MM, 4 UTILIZAÇÕES. AF_06/2017</v>
      </c>
      <c r="E127" s="214" t="str">
        <f>'ORÇAMENTO COM DESON'!E23</f>
        <v>m²</v>
      </c>
      <c r="F127" s="217"/>
      <c r="G127" s="217"/>
      <c r="H127" s="217"/>
      <c r="I127" s="218"/>
      <c r="J127" s="217"/>
      <c r="K127" s="202"/>
    </row>
    <row r="128" spans="1:11" s="51" customFormat="1" x14ac:dyDescent="0.2">
      <c r="A128" s="182"/>
      <c r="B128" s="182"/>
      <c r="C128" s="183"/>
      <c r="D128" s="189"/>
      <c r="E128" s="182"/>
      <c r="F128" s="220" t="s">
        <v>18</v>
      </c>
      <c r="G128" s="220"/>
      <c r="H128" s="220"/>
      <c r="I128" s="222"/>
      <c r="J128" s="220"/>
      <c r="K128" s="202"/>
    </row>
    <row r="129" spans="1:11" x14ac:dyDescent="0.2">
      <c r="A129" s="206"/>
      <c r="B129" s="206"/>
      <c r="C129" s="207"/>
      <c r="D129" s="233" t="s">
        <v>304</v>
      </c>
      <c r="E129" s="182"/>
      <c r="F129" s="225">
        <v>29.76</v>
      </c>
      <c r="G129" s="185"/>
      <c r="H129" s="185"/>
      <c r="I129" s="222"/>
      <c r="J129" s="220">
        <f t="shared" ref="J129" si="15">ROUND(PRODUCT(F129:I129),2)</f>
        <v>29.76</v>
      </c>
      <c r="K129" s="195"/>
    </row>
    <row r="130" spans="1:11" x14ac:dyDescent="0.2">
      <c r="A130" s="206"/>
      <c r="B130" s="206"/>
      <c r="C130" s="207"/>
      <c r="D130" s="221"/>
      <c r="E130" s="182"/>
      <c r="F130" s="220"/>
      <c r="G130" s="220"/>
      <c r="H130" s="220"/>
      <c r="I130" s="218" t="str">
        <f>"Total item "&amp;A127</f>
        <v>Total item 1.3.5</v>
      </c>
      <c r="J130" s="217">
        <f>SUM(J129:J129)</f>
        <v>29.76</v>
      </c>
      <c r="K130" s="195"/>
    </row>
    <row r="131" spans="1:11" s="50" customFormat="1" x14ac:dyDescent="0.2">
      <c r="A131" s="206"/>
      <c r="B131" s="206"/>
      <c r="C131" s="207"/>
      <c r="D131" s="208"/>
      <c r="E131" s="206"/>
      <c r="F131" s="209"/>
      <c r="G131" s="209"/>
      <c r="H131" s="209"/>
      <c r="I131" s="210"/>
      <c r="J131" s="209"/>
      <c r="K131" s="200"/>
    </row>
    <row r="132" spans="1:11" s="51" customFormat="1" ht="21.6" customHeight="1" x14ac:dyDescent="0.2">
      <c r="A132" s="214" t="str">
        <f>'ORÇAMENTO COM DESON'!A24</f>
        <v>1.3.6</v>
      </c>
      <c r="B132" s="214"/>
      <c r="C132" s="215"/>
      <c r="D132" s="216" t="str">
        <f>'ORÇAMENTO COM DESON'!D24</f>
        <v>LASTRO DE CONCRETO MAGRO, APLICADO EM BLOCOS DE COROAMENTO OU SAPATAS, ESPESSURA DE 5 CM. AF_08/2017</v>
      </c>
      <c r="E132" s="214" t="str">
        <f>'ORÇAMENTO COM DESON'!E24</f>
        <v>m²</v>
      </c>
      <c r="F132" s="217"/>
      <c r="G132" s="217"/>
      <c r="H132" s="217"/>
      <c r="I132" s="218"/>
      <c r="J132" s="217"/>
      <c r="K132" s="202"/>
    </row>
    <row r="133" spans="1:11" x14ac:dyDescent="0.2">
      <c r="A133" s="206"/>
      <c r="B133" s="206"/>
      <c r="C133" s="207"/>
      <c r="D133" s="219"/>
      <c r="E133" s="182"/>
      <c r="F133" s="185" t="s">
        <v>149</v>
      </c>
      <c r="G133" s="185" t="s">
        <v>159</v>
      </c>
      <c r="H133" s="185" t="s">
        <v>139</v>
      </c>
      <c r="I133" s="185" t="s">
        <v>18</v>
      </c>
      <c r="J133" s="220"/>
      <c r="K133" s="195"/>
    </row>
    <row r="134" spans="1:11" x14ac:dyDescent="0.2">
      <c r="A134" s="206"/>
      <c r="B134" s="206"/>
      <c r="C134" s="207"/>
      <c r="D134" s="219" t="s">
        <v>556</v>
      </c>
      <c r="E134" s="182" t="s">
        <v>8</v>
      </c>
      <c r="F134" s="185">
        <v>0.75</v>
      </c>
      <c r="G134" s="185">
        <v>0.75</v>
      </c>
      <c r="H134" s="185">
        <v>11</v>
      </c>
      <c r="I134" s="222"/>
      <c r="J134" s="220">
        <f>ROUND(PRODUCT(F134:I134),2)</f>
        <v>6.19</v>
      </c>
      <c r="K134" s="195"/>
    </row>
    <row r="135" spans="1:11" x14ac:dyDescent="0.2">
      <c r="A135" s="206"/>
      <c r="B135" s="206"/>
      <c r="C135" s="207"/>
      <c r="D135" s="219" t="s">
        <v>557</v>
      </c>
      <c r="E135" s="182"/>
      <c r="F135" s="185">
        <v>0.5</v>
      </c>
      <c r="G135" s="185">
        <v>0.85</v>
      </c>
      <c r="H135" s="185">
        <v>3</v>
      </c>
      <c r="I135" s="222"/>
      <c r="J135" s="220">
        <f t="shared" ref="J135:J136" si="16">ROUND(PRODUCT(F135:I135),2)</f>
        <v>1.28</v>
      </c>
      <c r="K135" s="195"/>
    </row>
    <row r="136" spans="1:11" x14ac:dyDescent="0.2">
      <c r="A136" s="206"/>
      <c r="B136" s="206"/>
      <c r="C136" s="207"/>
      <c r="D136" s="219" t="s">
        <v>558</v>
      </c>
      <c r="E136" s="182"/>
      <c r="F136" s="185">
        <v>0.8</v>
      </c>
      <c r="G136" s="185">
        <v>0.8</v>
      </c>
      <c r="H136" s="185">
        <v>1</v>
      </c>
      <c r="I136" s="222"/>
      <c r="J136" s="220">
        <f t="shared" si="16"/>
        <v>0.64</v>
      </c>
      <c r="K136" s="195"/>
    </row>
    <row r="137" spans="1:11" x14ac:dyDescent="0.2">
      <c r="A137" s="206"/>
      <c r="B137" s="206"/>
      <c r="C137" s="207"/>
      <c r="D137" s="221"/>
      <c r="E137" s="182"/>
      <c r="F137" s="220"/>
      <c r="G137" s="220"/>
      <c r="H137" s="220"/>
      <c r="I137" s="218" t="str">
        <f>"Total item "&amp;A132</f>
        <v>Total item 1.3.6</v>
      </c>
      <c r="J137" s="217">
        <f>SUM(J134:J136)</f>
        <v>8.1100000000000012</v>
      </c>
      <c r="K137" s="195"/>
    </row>
    <row r="138" spans="1:11" s="50" customFormat="1" x14ac:dyDescent="0.2">
      <c r="A138" s="206"/>
      <c r="B138" s="206"/>
      <c r="C138" s="207"/>
      <c r="D138" s="208"/>
      <c r="E138" s="206"/>
      <c r="F138" s="209"/>
      <c r="G138" s="209"/>
      <c r="H138" s="209"/>
      <c r="I138" s="210"/>
      <c r="J138" s="209"/>
      <c r="K138" s="200"/>
    </row>
    <row r="139" spans="1:11" s="69" customFormat="1" x14ac:dyDescent="0.2">
      <c r="A139" s="175" t="str">
        <f>'ORÇAMENTO COM DESON'!A25</f>
        <v>1.4</v>
      </c>
      <c r="B139" s="176"/>
      <c r="C139" s="177"/>
      <c r="D139" s="211" t="str">
        <f>'ORÇAMENTO COM DESON'!D25</f>
        <v>SUPERESTRUTURA</v>
      </c>
      <c r="E139" s="176"/>
      <c r="F139" s="212"/>
      <c r="G139" s="212"/>
      <c r="H139" s="212"/>
      <c r="I139" s="213"/>
      <c r="J139" s="212"/>
      <c r="K139" s="201"/>
    </row>
    <row r="140" spans="1:11" s="50" customFormat="1" x14ac:dyDescent="0.2">
      <c r="A140" s="206"/>
      <c r="B140" s="206"/>
      <c r="C140" s="207"/>
      <c r="D140" s="208"/>
      <c r="E140" s="206"/>
      <c r="F140" s="209"/>
      <c r="G140" s="209"/>
      <c r="H140" s="209"/>
      <c r="I140" s="210"/>
      <c r="J140" s="209"/>
      <c r="K140" s="200"/>
    </row>
    <row r="141" spans="1:11" s="51" customFormat="1" ht="30.6" x14ac:dyDescent="0.2">
      <c r="A141" s="214" t="str">
        <f>'ORÇAMENTO COM DESON'!A26</f>
        <v>1.4.1</v>
      </c>
      <c r="B141" s="214"/>
      <c r="C141" s="215"/>
      <c r="D141" s="216" t="str">
        <f>'ORÇAMENTO COM DESON'!D26</f>
        <v>CONCRETAGEM DE PILARES, FCK = 25 MPA, COM USO DE BALDES - LANÇAMENTO, ADENSAMENTO E ACABAMENTO. AF_02/2022</v>
      </c>
      <c r="E141" s="214" t="str">
        <f>'ORÇAMENTO COM DESON'!E26</f>
        <v>m³</v>
      </c>
      <c r="F141" s="217"/>
      <c r="G141" s="217"/>
      <c r="H141" s="217"/>
      <c r="I141" s="218"/>
      <c r="J141" s="217"/>
      <c r="K141" s="202"/>
    </row>
    <row r="142" spans="1:11" x14ac:dyDescent="0.2">
      <c r="A142" s="206"/>
      <c r="B142" s="206"/>
      <c r="C142" s="207"/>
      <c r="D142" s="219"/>
      <c r="E142" s="182"/>
      <c r="F142" s="185" t="s">
        <v>559</v>
      </c>
      <c r="G142" s="185"/>
      <c r="H142" s="185"/>
      <c r="I142" s="185"/>
      <c r="J142" s="220"/>
      <c r="K142" s="195"/>
    </row>
    <row r="143" spans="1:11" x14ac:dyDescent="0.2">
      <c r="A143" s="206"/>
      <c r="B143" s="206"/>
      <c r="C143" s="207"/>
      <c r="D143" s="219"/>
      <c r="E143" s="182" t="s">
        <v>20</v>
      </c>
      <c r="F143" s="185"/>
      <c r="G143" s="185"/>
      <c r="H143" s="185"/>
      <c r="I143" s="223"/>
      <c r="J143" s="220"/>
      <c r="K143" s="195"/>
    </row>
    <row r="144" spans="1:11" x14ac:dyDescent="0.2">
      <c r="A144" s="206"/>
      <c r="B144" s="206"/>
      <c r="C144" s="207"/>
      <c r="D144" s="233" t="s">
        <v>25</v>
      </c>
      <c r="E144" s="182"/>
      <c r="F144" s="185"/>
      <c r="G144" s="185"/>
      <c r="H144" s="185"/>
      <c r="I144" s="223"/>
      <c r="J144" s="220"/>
      <c r="K144" s="195"/>
    </row>
    <row r="145" spans="1:11" x14ac:dyDescent="0.2">
      <c r="A145" s="206"/>
      <c r="B145" s="206"/>
      <c r="C145" s="207"/>
      <c r="D145" s="219" t="s">
        <v>681</v>
      </c>
      <c r="E145" s="182"/>
      <c r="F145" s="185">
        <v>1.1200000000000001</v>
      </c>
      <c r="G145" s="185"/>
      <c r="H145" s="185"/>
      <c r="I145" s="223"/>
      <c r="J145" s="220">
        <f t="shared" ref="J145:J147" si="17">ROUND(PRODUCT(F145:I145),2)</f>
        <v>1.1200000000000001</v>
      </c>
      <c r="K145" s="195"/>
    </row>
    <row r="146" spans="1:11" x14ac:dyDescent="0.2">
      <c r="A146" s="206"/>
      <c r="B146" s="206"/>
      <c r="C146" s="207"/>
      <c r="D146" s="219" t="s">
        <v>555</v>
      </c>
      <c r="E146" s="182"/>
      <c r="F146" s="185">
        <v>0.09</v>
      </c>
      <c r="G146" s="185"/>
      <c r="H146" s="185"/>
      <c r="I146" s="223"/>
      <c r="J146" s="220">
        <f t="shared" si="17"/>
        <v>0.09</v>
      </c>
      <c r="K146" s="195"/>
    </row>
    <row r="147" spans="1:11" x14ac:dyDescent="0.2">
      <c r="A147" s="206"/>
      <c r="B147" s="206"/>
      <c r="C147" s="207"/>
      <c r="D147" s="219" t="s">
        <v>684</v>
      </c>
      <c r="E147" s="182"/>
      <c r="F147" s="185">
        <f>0.22+0.03</f>
        <v>0.25</v>
      </c>
      <c r="G147" s="185"/>
      <c r="H147" s="185"/>
      <c r="I147" s="223"/>
      <c r="J147" s="220">
        <f t="shared" si="17"/>
        <v>0.25</v>
      </c>
      <c r="K147" s="195"/>
    </row>
    <row r="148" spans="1:11" x14ac:dyDescent="0.2">
      <c r="A148" s="206"/>
      <c r="B148" s="206"/>
      <c r="C148" s="207"/>
      <c r="D148" s="221"/>
      <c r="E148" s="182"/>
      <c r="F148" s="220"/>
      <c r="G148" s="220"/>
      <c r="H148" s="220"/>
      <c r="I148" s="218" t="str">
        <f>"Total item "&amp;A141</f>
        <v>Total item 1.4.1</v>
      </c>
      <c r="J148" s="217">
        <f>SUM(J143:J147)</f>
        <v>1.4600000000000002</v>
      </c>
      <c r="K148" s="195"/>
    </row>
    <row r="149" spans="1:11" s="50" customFormat="1" x14ac:dyDescent="0.2">
      <c r="A149" s="206"/>
      <c r="B149" s="206"/>
      <c r="C149" s="207"/>
      <c r="D149" s="208"/>
      <c r="E149" s="206"/>
      <c r="F149" s="209"/>
      <c r="G149" s="209"/>
      <c r="H149" s="209"/>
      <c r="I149" s="210"/>
      <c r="J149" s="209"/>
      <c r="K149" s="200"/>
    </row>
    <row r="150" spans="1:11" s="51" customFormat="1" ht="30.6" x14ac:dyDescent="0.2">
      <c r="A150" s="214" t="str">
        <f>'ORÇAMENTO COM DESON'!A27</f>
        <v>1.4.2</v>
      </c>
      <c r="B150" s="214"/>
      <c r="C150" s="215"/>
      <c r="D150" s="216" t="str">
        <f>'ORÇAMENTO COM DESON'!D27</f>
        <v>CONCRETAGEM DE VIGAS E LAJES, FCK=25 MPA, PARA LAJES PREMOLDADAS COM USO DE BOMBA - LANÇAMENTO, ADENSAMENTO E ACABAMENTO. AF_02/2022</v>
      </c>
      <c r="E150" s="214" t="str">
        <f>'ORÇAMENTO COM DESON'!E27</f>
        <v>m³</v>
      </c>
      <c r="F150" s="217"/>
      <c r="G150" s="217"/>
      <c r="H150" s="217"/>
      <c r="I150" s="218"/>
      <c r="J150" s="217"/>
      <c r="K150" s="202"/>
    </row>
    <row r="151" spans="1:11" x14ac:dyDescent="0.2">
      <c r="A151" s="206"/>
      <c r="B151" s="206"/>
      <c r="C151" s="207"/>
      <c r="D151" s="219"/>
      <c r="E151" s="182"/>
      <c r="F151" s="185"/>
      <c r="G151" s="185"/>
      <c r="H151" s="185"/>
      <c r="I151" s="185"/>
      <c r="J151" s="220"/>
      <c r="K151" s="195"/>
    </row>
    <row r="152" spans="1:11" x14ac:dyDescent="0.2">
      <c r="A152" s="206"/>
      <c r="B152" s="206"/>
      <c r="C152" s="207"/>
      <c r="D152" s="233" t="s">
        <v>393</v>
      </c>
      <c r="E152" s="182"/>
      <c r="F152" s="185"/>
      <c r="G152" s="185"/>
      <c r="H152" s="185"/>
      <c r="I152" s="185"/>
      <c r="J152" s="220"/>
      <c r="K152" s="195"/>
    </row>
    <row r="153" spans="1:11" x14ac:dyDescent="0.2">
      <c r="A153" s="206"/>
      <c r="B153" s="206"/>
      <c r="C153" s="207"/>
      <c r="D153" s="219"/>
      <c r="E153" s="182" t="s">
        <v>20</v>
      </c>
      <c r="F153" s="225">
        <v>1.992</v>
      </c>
      <c r="G153" s="185"/>
      <c r="H153" s="185"/>
      <c r="I153" s="222"/>
      <c r="J153" s="250">
        <f>PRODUCT(F153:I153)</f>
        <v>1.992</v>
      </c>
      <c r="K153" s="195"/>
    </row>
    <row r="154" spans="1:11" x14ac:dyDescent="0.2">
      <c r="A154" s="206"/>
      <c r="B154" s="206"/>
      <c r="C154" s="207"/>
      <c r="D154" s="219"/>
      <c r="E154" s="182"/>
      <c r="F154" s="225"/>
      <c r="G154" s="185"/>
      <c r="H154" s="185"/>
      <c r="I154" s="222"/>
      <c r="J154" s="250"/>
      <c r="K154" s="195"/>
    </row>
    <row r="155" spans="1:11" x14ac:dyDescent="0.2">
      <c r="A155" s="206"/>
      <c r="B155" s="206"/>
      <c r="C155" s="207"/>
      <c r="D155" s="221"/>
      <c r="E155" s="182"/>
      <c r="F155" s="220"/>
      <c r="G155" s="220"/>
      <c r="H155" s="220"/>
      <c r="I155" s="218" t="str">
        <f>"Total item "&amp;A150</f>
        <v>Total item 1.4.2</v>
      </c>
      <c r="J155" s="252">
        <f>SUM(J153:J153)</f>
        <v>1.992</v>
      </c>
      <c r="K155" s="195"/>
    </row>
    <row r="156" spans="1:11" s="50" customFormat="1" x14ac:dyDescent="0.2">
      <c r="A156" s="206"/>
      <c r="B156" s="206"/>
      <c r="C156" s="207"/>
      <c r="D156" s="208"/>
      <c r="E156" s="206"/>
      <c r="F156" s="209"/>
      <c r="G156" s="209"/>
      <c r="H156" s="209"/>
      <c r="I156" s="210"/>
      <c r="J156" s="209"/>
      <c r="K156" s="200"/>
    </row>
    <row r="157" spans="1:11" s="51" customFormat="1" ht="30.6" x14ac:dyDescent="0.2">
      <c r="A157" s="214" t="str">
        <f>'ORÇAMENTO COM DESON'!A28</f>
        <v>1.4.3</v>
      </c>
      <c r="B157" s="214"/>
      <c r="C157" s="215"/>
      <c r="D157" s="216" t="str">
        <f>'ORÇAMENTO COM DESON'!D28</f>
        <v>ARMAÇÃO DE PILAR OU VIGA DE ESTRUTURA DE CONCRETO ARMADO EMBUTIDA EM ALVENARIA DE VEDAÇÃO UTILIZANDO AÇO CA-50 DE 10,0 MM - MONTAGEM. AF_06/ 2022</v>
      </c>
      <c r="E157" s="214" t="str">
        <f>'ORÇAMENTO COM DESON'!E28</f>
        <v>kg</v>
      </c>
      <c r="F157" s="217"/>
      <c r="G157" s="217"/>
      <c r="H157" s="217"/>
      <c r="I157" s="218"/>
      <c r="J157" s="217"/>
      <c r="K157" s="202"/>
    </row>
    <row r="158" spans="1:11" x14ac:dyDescent="0.2">
      <c r="A158" s="206"/>
      <c r="B158" s="206"/>
      <c r="C158" s="207"/>
      <c r="D158" s="219"/>
      <c r="E158" s="182"/>
      <c r="F158" s="224"/>
      <c r="G158" s="224"/>
      <c r="H158" s="185"/>
      <c r="I158" s="226"/>
      <c r="J158" s="220"/>
      <c r="K158" s="195"/>
    </row>
    <row r="159" spans="1:11" x14ac:dyDescent="0.2">
      <c r="A159" s="206"/>
      <c r="B159" s="206"/>
      <c r="C159" s="207"/>
      <c r="D159" s="219" t="s">
        <v>683</v>
      </c>
      <c r="E159" s="182"/>
      <c r="F159" s="224">
        <v>152.69999999999999</v>
      </c>
      <c r="G159" s="224"/>
      <c r="H159" s="185"/>
      <c r="I159" s="226"/>
      <c r="J159" s="250">
        <f t="shared" ref="J159:J162" si="18">(PRODUCT(F159:I159))</f>
        <v>152.69999999999999</v>
      </c>
      <c r="K159" s="195"/>
    </row>
    <row r="160" spans="1:11" x14ac:dyDescent="0.2">
      <c r="A160" s="206"/>
      <c r="B160" s="206"/>
      <c r="C160" s="207"/>
      <c r="D160" s="219" t="s">
        <v>25</v>
      </c>
      <c r="E160" s="182"/>
      <c r="F160" s="225">
        <v>247</v>
      </c>
      <c r="G160" s="185"/>
      <c r="H160" s="185"/>
      <c r="I160" s="222"/>
      <c r="J160" s="250">
        <f>(PRODUCT(F160:I160))</f>
        <v>247</v>
      </c>
      <c r="K160" s="195"/>
    </row>
    <row r="161" spans="1:12" x14ac:dyDescent="0.2">
      <c r="A161" s="206"/>
      <c r="B161" s="206"/>
      <c r="C161" s="207"/>
      <c r="D161" s="219" t="s">
        <v>393</v>
      </c>
      <c r="E161" s="182"/>
      <c r="F161" s="225">
        <v>188.8</v>
      </c>
      <c r="G161" s="185"/>
      <c r="H161" s="185"/>
      <c r="I161" s="222"/>
      <c r="J161" s="250">
        <f t="shared" si="18"/>
        <v>188.8</v>
      </c>
      <c r="K161" s="195"/>
    </row>
    <row r="162" spans="1:12" x14ac:dyDescent="0.2">
      <c r="A162" s="206"/>
      <c r="B162" s="206"/>
      <c r="C162" s="207"/>
      <c r="D162" s="219" t="s">
        <v>685</v>
      </c>
      <c r="E162" s="182"/>
      <c r="F162" s="225">
        <v>25.2</v>
      </c>
      <c r="G162" s="185"/>
      <c r="H162" s="185"/>
      <c r="I162" s="222"/>
      <c r="J162" s="250">
        <f t="shared" si="18"/>
        <v>25.2</v>
      </c>
      <c r="K162" s="195"/>
    </row>
    <row r="163" spans="1:12" x14ac:dyDescent="0.2">
      <c r="A163" s="206"/>
      <c r="B163" s="206"/>
      <c r="C163" s="207"/>
      <c r="D163" s="221"/>
      <c r="E163" s="182"/>
      <c r="F163" s="220"/>
      <c r="G163" s="220"/>
      <c r="H163" s="220"/>
      <c r="I163" s="218" t="str">
        <f>"Total item "&amp;A157</f>
        <v>Total item 1.4.3</v>
      </c>
      <c r="J163" s="217">
        <f>SUM(J159:J162)</f>
        <v>613.70000000000005</v>
      </c>
      <c r="K163" s="195"/>
    </row>
    <row r="164" spans="1:12" s="50" customFormat="1" x14ac:dyDescent="0.2">
      <c r="A164" s="206"/>
      <c r="B164" s="206"/>
      <c r="C164" s="207"/>
      <c r="D164" s="208"/>
      <c r="E164" s="206"/>
      <c r="F164" s="209"/>
      <c r="G164" s="209"/>
      <c r="H164" s="209"/>
      <c r="I164" s="210"/>
      <c r="J164" s="209"/>
      <c r="K164" s="200"/>
    </row>
    <row r="165" spans="1:12" s="51" customFormat="1" ht="30.6" x14ac:dyDescent="0.2">
      <c r="A165" s="214" t="str">
        <f>'ORÇAMENTO COM DESON'!A29</f>
        <v>1.4.4</v>
      </c>
      <c r="B165" s="214"/>
      <c r="C165" s="215"/>
      <c r="D165" s="216" t="str">
        <f>'ORÇAMENTO COM DESON'!D29</f>
        <v>ARMAÇÃO DE PILAR OU VIGA DE ESTRUTURA DE CONCRETO ARMADO EMBUTIDA EM ALVENARIA DE VEDAÇÃO UTILIZANDO AÇO CA-60 DE 5,0 MM - MONTAGEM. AF_06/2022</v>
      </c>
      <c r="E165" s="214" t="str">
        <f>'ORÇAMENTO COM DESON'!E29</f>
        <v>kg</v>
      </c>
      <c r="F165" s="217"/>
      <c r="G165" s="217"/>
      <c r="H165" s="217"/>
      <c r="I165" s="218"/>
      <c r="J165" s="217"/>
      <c r="K165" s="202"/>
    </row>
    <row r="166" spans="1:12" x14ac:dyDescent="0.2">
      <c r="A166" s="206"/>
      <c r="B166" s="206"/>
      <c r="C166" s="207"/>
      <c r="D166" s="219"/>
      <c r="E166" s="182"/>
      <c r="F166" s="185" t="s">
        <v>189</v>
      </c>
      <c r="G166" s="224"/>
      <c r="H166" s="224"/>
      <c r="I166" s="185"/>
      <c r="J166" s="220"/>
      <c r="K166" s="195"/>
    </row>
    <row r="167" spans="1:12" x14ac:dyDescent="0.2">
      <c r="A167" s="206"/>
      <c r="B167" s="206"/>
      <c r="C167" s="207"/>
      <c r="D167" s="219" t="s">
        <v>25</v>
      </c>
      <c r="E167" s="182" t="s">
        <v>189</v>
      </c>
      <c r="F167" s="245">
        <v>64</v>
      </c>
      <c r="G167" s="185"/>
      <c r="H167" s="185"/>
      <c r="I167" s="225"/>
      <c r="J167" s="220">
        <f>ROUND(PRODUCT(F167:I167),2)</f>
        <v>64</v>
      </c>
      <c r="K167" s="244">
        <f>((0.3-0.05)*2)+((0.12-0.05)*2)+0.1</f>
        <v>0.74</v>
      </c>
      <c r="L167" s="47">
        <f>((0.25-0.05)*2)+((0.12-0.05)*2)</f>
        <v>0.54</v>
      </c>
    </row>
    <row r="168" spans="1:12" x14ac:dyDescent="0.2">
      <c r="A168" s="206"/>
      <c r="B168" s="206"/>
      <c r="C168" s="207"/>
      <c r="D168" s="219" t="s">
        <v>393</v>
      </c>
      <c r="E168" s="182" t="s">
        <v>189</v>
      </c>
      <c r="F168" s="185">
        <v>42.5</v>
      </c>
      <c r="G168" s="185"/>
      <c r="H168" s="185"/>
      <c r="I168" s="225"/>
      <c r="J168" s="220">
        <f>ROUND(PRODUCT(F168:I168),2)</f>
        <v>42.5</v>
      </c>
      <c r="K168" s="195"/>
    </row>
    <row r="169" spans="1:12" x14ac:dyDescent="0.2">
      <c r="A169" s="206"/>
      <c r="B169" s="206"/>
      <c r="C169" s="207"/>
      <c r="D169" s="219" t="s">
        <v>685</v>
      </c>
      <c r="E169" s="182" t="s">
        <v>189</v>
      </c>
      <c r="F169" s="185">
        <f>6.6+0.7</f>
        <v>7.3</v>
      </c>
      <c r="G169" s="185"/>
      <c r="H169" s="185"/>
      <c r="I169" s="225"/>
      <c r="J169" s="220">
        <f>ROUND(PRODUCT(F169:I169),2)</f>
        <v>7.3</v>
      </c>
      <c r="K169" s="195"/>
    </row>
    <row r="170" spans="1:12" x14ac:dyDescent="0.2">
      <c r="A170" s="206"/>
      <c r="B170" s="206"/>
      <c r="C170" s="207"/>
      <c r="D170" s="221"/>
      <c r="E170" s="182"/>
      <c r="F170" s="220"/>
      <c r="G170" s="220"/>
      <c r="H170" s="220"/>
      <c r="I170" s="218" t="str">
        <f>"Total item "&amp;A165</f>
        <v>Total item 1.4.4</v>
      </c>
      <c r="J170" s="217">
        <f>SUM(J167:J169)</f>
        <v>113.8</v>
      </c>
      <c r="K170" s="195"/>
    </row>
    <row r="171" spans="1:12" s="50" customFormat="1" x14ac:dyDescent="0.2">
      <c r="A171" s="206"/>
      <c r="B171" s="206"/>
      <c r="C171" s="207"/>
      <c r="D171" s="208"/>
      <c r="E171" s="206"/>
      <c r="F171" s="209"/>
      <c r="G171" s="209"/>
      <c r="H171" s="209"/>
      <c r="I171" s="210"/>
      <c r="J171" s="209"/>
      <c r="K171" s="200"/>
    </row>
    <row r="172" spans="1:12" s="51" customFormat="1" ht="20.399999999999999" x14ac:dyDescent="0.2">
      <c r="A172" s="214" t="str">
        <f>'ORÇAMENTO COM DESON'!A30</f>
        <v>1.4.5</v>
      </c>
      <c r="B172" s="214"/>
      <c r="C172" s="215"/>
      <c r="D172" s="216" t="str">
        <f>'ORÇAMENTO COM DESON'!D30</f>
        <v>MONTAGEM E DESMONTAGEM DE FÔRMA DE VIGA, PÉ-DIREITO SIMPLES, EM MADEIRA SERRADA, 4 UTILIZAÇÕES</v>
      </c>
      <c r="E172" s="214" t="str">
        <f>'ORÇAMENTO COM DESON'!E30</f>
        <v>m²</v>
      </c>
      <c r="F172" s="217"/>
      <c r="G172" s="217"/>
      <c r="H172" s="217"/>
      <c r="I172" s="218"/>
      <c r="J172" s="217"/>
      <c r="K172" s="202"/>
    </row>
    <row r="173" spans="1:12" x14ac:dyDescent="0.2">
      <c r="A173" s="206"/>
      <c r="B173" s="206"/>
      <c r="C173" s="207"/>
      <c r="D173" s="219"/>
      <c r="E173" s="182"/>
      <c r="F173" s="226" t="s">
        <v>18</v>
      </c>
      <c r="G173" s="185"/>
      <c r="H173" s="185"/>
      <c r="I173" s="185"/>
      <c r="J173" s="220"/>
      <c r="K173" s="195"/>
    </row>
    <row r="174" spans="1:12" x14ac:dyDescent="0.2">
      <c r="A174" s="206"/>
      <c r="B174" s="206"/>
      <c r="C174" s="207"/>
      <c r="D174" s="219" t="s">
        <v>393</v>
      </c>
      <c r="E174" s="182"/>
      <c r="F174" s="240">
        <v>29.76</v>
      </c>
      <c r="G174" s="185"/>
      <c r="H174" s="185"/>
      <c r="I174" s="185"/>
      <c r="J174" s="220">
        <f>ROUND(PRODUCT(F174:I174),2)</f>
        <v>29.76</v>
      </c>
      <c r="K174" s="195"/>
    </row>
    <row r="175" spans="1:12" x14ac:dyDescent="0.2">
      <c r="A175" s="206"/>
      <c r="B175" s="206"/>
      <c r="C175" s="207"/>
      <c r="D175" s="221"/>
      <c r="E175" s="182"/>
      <c r="F175" s="220"/>
      <c r="G175" s="220"/>
      <c r="H175" s="220"/>
      <c r="I175" s="218" t="str">
        <f>"Total item "&amp;A172</f>
        <v>Total item 1.4.5</v>
      </c>
      <c r="J175" s="217">
        <f>SUM(J174:J174)</f>
        <v>29.76</v>
      </c>
      <c r="K175" s="195"/>
    </row>
    <row r="176" spans="1:12" s="50" customFormat="1" x14ac:dyDescent="0.2">
      <c r="A176" s="206"/>
      <c r="B176" s="206"/>
      <c r="C176" s="207"/>
      <c r="D176" s="208"/>
      <c r="E176" s="206"/>
      <c r="F176" s="209"/>
      <c r="G176" s="209"/>
      <c r="H176" s="209"/>
      <c r="I176" s="210"/>
      <c r="J176" s="209"/>
      <c r="K176" s="200"/>
    </row>
    <row r="177" spans="1:11" s="51" customFormat="1" ht="32.25" customHeight="1" x14ac:dyDescent="0.2">
      <c r="A177" s="214" t="str">
        <f>'ORÇAMENTO COM DESON'!A31</f>
        <v>1.4.6</v>
      </c>
      <c r="B177" s="214"/>
      <c r="C177" s="215"/>
      <c r="D177" s="216" t="str">
        <f>'ORÇAMENTO COM DESON'!D31</f>
        <v>MONTAGEM E DESMONTAGEM DE FÔRMA DE PILARES RETANGULARES E ESTRUTURAS SIMILARES, PÉ-DIREITO SIMPLES, EM MADEIRA SERRADA, 4 UTILIZAÇÕES. AF_09
 /2020</v>
      </c>
      <c r="E177" s="214" t="str">
        <f>'ORÇAMENTO COM DESON'!E31</f>
        <v>m²</v>
      </c>
      <c r="F177" s="217"/>
      <c r="G177" s="217"/>
      <c r="H177" s="217"/>
      <c r="I177" s="218"/>
      <c r="J177" s="217"/>
      <c r="K177" s="202"/>
    </row>
    <row r="178" spans="1:11" x14ac:dyDescent="0.2">
      <c r="A178" s="206"/>
      <c r="B178" s="206"/>
      <c r="C178" s="207"/>
      <c r="D178" s="219"/>
      <c r="E178" s="182"/>
      <c r="F178" s="226" t="s">
        <v>18</v>
      </c>
      <c r="G178" s="227"/>
      <c r="H178" s="185"/>
      <c r="I178" s="185"/>
      <c r="J178" s="220"/>
      <c r="K178" s="195"/>
    </row>
    <row r="179" spans="1:11" x14ac:dyDescent="0.2">
      <c r="A179" s="206"/>
      <c r="B179" s="206"/>
      <c r="C179" s="207"/>
      <c r="D179" s="219" t="s">
        <v>682</v>
      </c>
      <c r="E179" s="182" t="s">
        <v>8</v>
      </c>
      <c r="F179" s="226">
        <v>7.87</v>
      </c>
      <c r="G179" s="227"/>
      <c r="H179" s="185"/>
      <c r="I179" s="185"/>
      <c r="J179" s="220">
        <f>ROUND(PRODUCT(F179:I179),2)</f>
        <v>7.87</v>
      </c>
      <c r="K179" s="195"/>
    </row>
    <row r="180" spans="1:11" x14ac:dyDescent="0.2">
      <c r="A180" s="206"/>
      <c r="B180" s="206"/>
      <c r="C180" s="207"/>
      <c r="D180" s="219" t="s">
        <v>25</v>
      </c>
      <c r="E180" s="182" t="s">
        <v>8</v>
      </c>
      <c r="F180" s="185">
        <f>25.9+2.1</f>
        <v>28</v>
      </c>
      <c r="G180" s="227"/>
      <c r="H180" s="185"/>
      <c r="I180" s="222"/>
      <c r="J180" s="220">
        <f>ROUND(PRODUCT(F180:I180),2)</f>
        <v>28</v>
      </c>
      <c r="K180" s="195"/>
    </row>
    <row r="181" spans="1:11" x14ac:dyDescent="0.2">
      <c r="A181" s="206"/>
      <c r="B181" s="206"/>
      <c r="C181" s="207"/>
      <c r="D181" s="219" t="s">
        <v>685</v>
      </c>
      <c r="E181" s="182"/>
      <c r="F181" s="185">
        <v>6.31</v>
      </c>
      <c r="G181" s="227"/>
      <c r="H181" s="185"/>
      <c r="I181" s="222"/>
      <c r="J181" s="220">
        <f>ROUND(PRODUCT(F181:I181),2)</f>
        <v>6.31</v>
      </c>
      <c r="K181" s="195"/>
    </row>
    <row r="182" spans="1:11" x14ac:dyDescent="0.2">
      <c r="A182" s="206"/>
      <c r="B182" s="206"/>
      <c r="C182" s="207"/>
      <c r="D182" s="221"/>
      <c r="E182" s="182"/>
      <c r="F182" s="220"/>
      <c r="G182" s="220"/>
      <c r="H182" s="220"/>
      <c r="I182" s="218" t="str">
        <f>"Total item "&amp;A177</f>
        <v>Total item 1.4.6</v>
      </c>
      <c r="J182" s="217">
        <f>SUM(J179:J181)</f>
        <v>42.18</v>
      </c>
      <c r="K182" s="195"/>
    </row>
    <row r="183" spans="1:11" s="50" customFormat="1" x14ac:dyDescent="0.2">
      <c r="A183" s="206"/>
      <c r="B183" s="206"/>
      <c r="C183" s="207"/>
      <c r="D183" s="208"/>
      <c r="E183" s="206"/>
      <c r="F183" s="209"/>
      <c r="G183" s="209"/>
      <c r="H183" s="209"/>
      <c r="I183" s="210"/>
      <c r="J183" s="209"/>
      <c r="K183" s="200"/>
    </row>
    <row r="184" spans="1:11" s="69" customFormat="1" x14ac:dyDescent="0.2">
      <c r="A184" s="175" t="str">
        <f>'ORÇAMENTO COM DESON'!A32</f>
        <v>1.5</v>
      </c>
      <c r="B184" s="176"/>
      <c r="C184" s="177"/>
      <c r="D184" s="211" t="str">
        <f>'ORÇAMENTO COM DESON'!D32</f>
        <v>COBERTURA</v>
      </c>
      <c r="E184" s="176"/>
      <c r="F184" s="212"/>
      <c r="G184" s="212"/>
      <c r="H184" s="212"/>
      <c r="I184" s="213"/>
      <c r="J184" s="212"/>
      <c r="K184" s="201"/>
    </row>
    <row r="185" spans="1:11" s="50" customFormat="1" x14ac:dyDescent="0.2">
      <c r="A185" s="206"/>
      <c r="B185" s="206"/>
      <c r="C185" s="207"/>
      <c r="D185" s="208"/>
      <c r="E185" s="206"/>
      <c r="F185" s="209"/>
      <c r="G185" s="209"/>
      <c r="H185" s="209"/>
      <c r="I185" s="210"/>
      <c r="J185" s="209"/>
      <c r="K185" s="200"/>
    </row>
    <row r="186" spans="1:11" s="51" customFormat="1" ht="40.799999999999997" x14ac:dyDescent="0.2">
      <c r="A186" s="214" t="str">
        <f>'ORÇAMENTO COM DESON'!A33</f>
        <v>1.5.1</v>
      </c>
      <c r="B186" s="214"/>
      <c r="C186" s="215"/>
      <c r="D186" s="216" t="str">
        <f>'ORÇAMENTO COM DESON'!D33</f>
        <v>TRAMA DE MADEIRA COMPOSTA POR TERÇAS PARA TELHADOS DE ATÉ 2 ÁGUAS PARA TELHA ONDULADA DE FIBROCIMENTO, METÁLICA, PLÁSTICA OU TERMOACÚSTICA, INCLUSO TRANSPORTE VERTICAL. AF_07/2019</v>
      </c>
      <c r="E186" s="214" t="str">
        <f>'ORÇAMENTO COM DESON'!E33</f>
        <v>m²</v>
      </c>
      <c r="F186" s="217"/>
      <c r="G186" s="217"/>
      <c r="H186" s="217"/>
      <c r="I186" s="218"/>
      <c r="J186" s="217"/>
      <c r="K186" s="202"/>
    </row>
    <row r="187" spans="1:11" x14ac:dyDescent="0.2">
      <c r="A187" s="206"/>
      <c r="B187" s="206"/>
      <c r="C187" s="207"/>
      <c r="D187" s="219"/>
      <c r="E187" s="182"/>
      <c r="F187" s="185" t="s">
        <v>18</v>
      </c>
      <c r="G187" s="185"/>
      <c r="H187" s="185"/>
      <c r="I187" s="185"/>
      <c r="J187" s="220"/>
      <c r="K187" s="195"/>
    </row>
    <row r="188" spans="1:11" ht="20.399999999999999" x14ac:dyDescent="0.2">
      <c r="A188" s="206"/>
      <c r="B188" s="206"/>
      <c r="C188" s="207"/>
      <c r="D188" s="219" t="s">
        <v>412</v>
      </c>
      <c r="E188" s="182" t="s">
        <v>8</v>
      </c>
      <c r="F188" s="185">
        <v>26.74</v>
      </c>
      <c r="G188" s="185"/>
      <c r="H188" s="220"/>
      <c r="I188" s="222"/>
      <c r="J188" s="220">
        <f>ROUND(PRODUCT(F188:I188),2)</f>
        <v>26.74</v>
      </c>
      <c r="K188" s="195"/>
    </row>
    <row r="189" spans="1:11" x14ac:dyDescent="0.2">
      <c r="A189" s="206"/>
      <c r="B189" s="206"/>
      <c r="C189" s="207"/>
      <c r="D189" s="219" t="s">
        <v>413</v>
      </c>
      <c r="E189" s="182" t="s">
        <v>8</v>
      </c>
      <c r="F189" s="185">
        <v>19.37</v>
      </c>
      <c r="G189" s="185"/>
      <c r="H189" s="220"/>
      <c r="I189" s="222"/>
      <c r="J189" s="220">
        <f>ROUND(PRODUCT(F189:I189),2)</f>
        <v>19.37</v>
      </c>
      <c r="K189" s="195"/>
    </row>
    <row r="190" spans="1:11" x14ac:dyDescent="0.2">
      <c r="A190" s="206"/>
      <c r="B190" s="206"/>
      <c r="C190" s="207"/>
      <c r="D190" s="221"/>
      <c r="E190" s="182"/>
      <c r="F190" s="220"/>
      <c r="G190" s="220"/>
      <c r="H190" s="220"/>
      <c r="I190" s="218" t="str">
        <f>"Total item "&amp;A186</f>
        <v>Total item 1.5.1</v>
      </c>
      <c r="J190" s="217">
        <f>SUM(J188:J189)</f>
        <v>46.11</v>
      </c>
      <c r="K190" s="195"/>
    </row>
    <row r="191" spans="1:11" s="50" customFormat="1" x14ac:dyDescent="0.2">
      <c r="A191" s="206"/>
      <c r="B191" s="206"/>
      <c r="C191" s="207"/>
      <c r="D191" s="208"/>
      <c r="E191" s="206"/>
      <c r="F191" s="209"/>
      <c r="G191" s="209"/>
      <c r="H191" s="209"/>
      <c r="I191" s="210"/>
      <c r="J191" s="209"/>
      <c r="K191" s="200"/>
    </row>
    <row r="192" spans="1:11" s="51" customFormat="1" ht="51" x14ac:dyDescent="0.2">
      <c r="A192" s="214" t="str">
        <f>'ORÇAMENTO COM DESON'!A34</f>
        <v>1.5.2</v>
      </c>
      <c r="B192" s="214"/>
      <c r="C192" s="215"/>
      <c r="D192" s="216" t="str">
        <f>'ORÇAMENTO COM DESON'!D34</f>
        <v>FABRICAÇÃO E INSTALAÇÃO DE ESTRUTURA PONTALETADA DE MADEIRA NÃO APARELHADA PARA TELHADOS COM ATÉ 2 ÁGUAS E PARA TELHA ONDULADA DE FIBROCIMENTO, METÁLICA, PLÁSTICA OU TERMOACÚSTICA, INCLUSO TRANSPORTE VERTICAL. AF_12/2015</v>
      </c>
      <c r="E192" s="214" t="str">
        <f>'ORÇAMENTO COM DESON'!E34</f>
        <v>m²</v>
      </c>
      <c r="F192" s="217"/>
      <c r="G192" s="217"/>
      <c r="H192" s="217"/>
      <c r="I192" s="218"/>
      <c r="J192" s="217"/>
      <c r="K192" s="202"/>
    </row>
    <row r="193" spans="1:11" x14ac:dyDescent="0.2">
      <c r="A193" s="206"/>
      <c r="B193" s="206"/>
      <c r="C193" s="207"/>
      <c r="D193" s="219"/>
      <c r="E193" s="182"/>
      <c r="F193" s="185" t="s">
        <v>18</v>
      </c>
      <c r="G193" s="185"/>
      <c r="H193" s="185"/>
      <c r="I193" s="185"/>
      <c r="J193" s="220"/>
      <c r="K193" s="195"/>
    </row>
    <row r="194" spans="1:11" ht="20.399999999999999" x14ac:dyDescent="0.2">
      <c r="A194" s="206"/>
      <c r="B194" s="206"/>
      <c r="C194" s="207"/>
      <c r="D194" s="219" t="s">
        <v>412</v>
      </c>
      <c r="E194" s="182" t="s">
        <v>8</v>
      </c>
      <c r="F194" s="185">
        <f>F188</f>
        <v>26.74</v>
      </c>
      <c r="G194" s="185"/>
      <c r="H194" s="220"/>
      <c r="I194" s="222"/>
      <c r="J194" s="220">
        <f>ROUND(PRODUCT(F194:I194),2)</f>
        <v>26.74</v>
      </c>
      <c r="K194" s="195"/>
    </row>
    <row r="195" spans="1:11" x14ac:dyDescent="0.2">
      <c r="A195" s="206"/>
      <c r="B195" s="206"/>
      <c r="C195" s="207"/>
      <c r="D195" s="219" t="s">
        <v>413</v>
      </c>
      <c r="E195" s="182" t="s">
        <v>8</v>
      </c>
      <c r="F195" s="185">
        <f>F189</f>
        <v>19.37</v>
      </c>
      <c r="G195" s="185"/>
      <c r="H195" s="220"/>
      <c r="I195" s="222"/>
      <c r="J195" s="220">
        <f>ROUND(PRODUCT(F195:I195),2)</f>
        <v>19.37</v>
      </c>
      <c r="K195" s="195"/>
    </row>
    <row r="196" spans="1:11" x14ac:dyDescent="0.2">
      <c r="A196" s="206"/>
      <c r="B196" s="206"/>
      <c r="C196" s="207"/>
      <c r="D196" s="221"/>
      <c r="E196" s="182"/>
      <c r="F196" s="220"/>
      <c r="G196" s="220"/>
      <c r="H196" s="220"/>
      <c r="I196" s="218" t="str">
        <f>"Total item "&amp;A192</f>
        <v>Total item 1.5.2</v>
      </c>
      <c r="J196" s="217">
        <f>SUM(J194:J195)</f>
        <v>46.11</v>
      </c>
      <c r="K196" s="195"/>
    </row>
    <row r="197" spans="1:11" x14ac:dyDescent="0.2">
      <c r="A197" s="206"/>
      <c r="B197" s="206"/>
      <c r="C197" s="207"/>
      <c r="D197" s="221"/>
      <c r="E197" s="182"/>
      <c r="F197" s="220"/>
      <c r="G197" s="220"/>
      <c r="H197" s="220"/>
      <c r="I197" s="210"/>
      <c r="J197" s="209"/>
      <c r="K197" s="195"/>
    </row>
    <row r="198" spans="1:11" s="51" customFormat="1" ht="30.6" x14ac:dyDescent="0.2">
      <c r="A198" s="214" t="str">
        <f>'ORÇAMENTO COM DESON'!A35</f>
        <v>1.5.3</v>
      </c>
      <c r="B198" s="214"/>
      <c r="C198" s="215"/>
      <c r="D198" s="216" t="str">
        <f>'ORÇAMENTO COM DESON'!D35</f>
        <v>TELHAMENTO COM TELHA ESTRUTURAL DE FIBROCIMENTO E= 8 MM, COM ATÉ 2 ÁGUAS, INCLUSO IÇAMENTO. AF_07/2019_P</v>
      </c>
      <c r="E198" s="214" t="str">
        <f>'ORÇAMENTO COM DESON'!E35</f>
        <v>m²</v>
      </c>
      <c r="F198" s="217"/>
      <c r="G198" s="217"/>
      <c r="H198" s="217"/>
      <c r="I198" s="218"/>
      <c r="J198" s="217"/>
      <c r="K198" s="202"/>
    </row>
    <row r="199" spans="1:11" x14ac:dyDescent="0.2">
      <c r="A199" s="206"/>
      <c r="B199" s="206"/>
      <c r="C199" s="207"/>
      <c r="D199" s="219"/>
      <c r="E199" s="182"/>
      <c r="F199" s="185" t="s">
        <v>18</v>
      </c>
      <c r="G199" s="185"/>
      <c r="H199" s="185"/>
      <c r="I199" s="185"/>
      <c r="J199" s="220"/>
      <c r="K199" s="195"/>
    </row>
    <row r="200" spans="1:11" ht="20.399999999999999" x14ac:dyDescent="0.2">
      <c r="A200" s="206"/>
      <c r="B200" s="206"/>
      <c r="C200" s="207"/>
      <c r="D200" s="219" t="s">
        <v>412</v>
      </c>
      <c r="E200" s="182" t="s">
        <v>8</v>
      </c>
      <c r="F200" s="185">
        <f>F194</f>
        <v>26.74</v>
      </c>
      <c r="G200" s="185"/>
      <c r="H200" s="220"/>
      <c r="I200" s="222"/>
      <c r="J200" s="220">
        <f>ROUND(PRODUCT(F200:I200),2)</f>
        <v>26.74</v>
      </c>
      <c r="K200" s="195"/>
    </row>
    <row r="201" spans="1:11" x14ac:dyDescent="0.2">
      <c r="A201" s="206"/>
      <c r="B201" s="206"/>
      <c r="C201" s="207"/>
      <c r="D201" s="219" t="s">
        <v>413</v>
      </c>
      <c r="E201" s="182" t="s">
        <v>8</v>
      </c>
      <c r="F201" s="185">
        <f>F195</f>
        <v>19.37</v>
      </c>
      <c r="G201" s="185"/>
      <c r="H201" s="220"/>
      <c r="I201" s="222"/>
      <c r="J201" s="220">
        <f>ROUND(PRODUCT(F201:I201),2)</f>
        <v>19.37</v>
      </c>
      <c r="K201" s="195"/>
    </row>
    <row r="202" spans="1:11" x14ac:dyDescent="0.2">
      <c r="A202" s="206"/>
      <c r="B202" s="206"/>
      <c r="C202" s="207"/>
      <c r="D202" s="221"/>
      <c r="E202" s="182"/>
      <c r="F202" s="220"/>
      <c r="G202" s="220"/>
      <c r="H202" s="220"/>
      <c r="I202" s="218" t="str">
        <f>"Total item "&amp;A198</f>
        <v>Total item 1.5.3</v>
      </c>
      <c r="J202" s="217">
        <f>SUM(J200:J201)</f>
        <v>46.11</v>
      </c>
      <c r="K202" s="195"/>
    </row>
    <row r="203" spans="1:11" s="50" customFormat="1" x14ac:dyDescent="0.2">
      <c r="A203" s="206"/>
      <c r="B203" s="206"/>
      <c r="C203" s="207"/>
      <c r="D203" s="208"/>
      <c r="E203" s="206"/>
      <c r="F203" s="209"/>
      <c r="G203" s="209"/>
      <c r="H203" s="209"/>
      <c r="I203" s="210"/>
      <c r="J203" s="209"/>
      <c r="K203" s="200"/>
    </row>
    <row r="204" spans="1:11" s="51" customFormat="1" ht="30.6" x14ac:dyDescent="0.2">
      <c r="A204" s="214" t="str">
        <f>'ORÇAMENTO COM DESON'!A36</f>
        <v>1.5.4</v>
      </c>
      <c r="B204" s="214"/>
      <c r="C204" s="215"/>
      <c r="D204" s="216" t="str">
        <f>'ORÇAMENTO COM DESON'!D36</f>
        <v>CALHA EM CHAPA DE AÇO GALVANIZADO NÚMERO 24, DESENVOLVIMENTO DE 50 CM, INCLUSO TRANSPORTE VERTICAL. AF_07/2019</v>
      </c>
      <c r="E204" s="214" t="str">
        <f>'ORÇAMENTO COM DESON'!E36</f>
        <v>m</v>
      </c>
      <c r="F204" s="217"/>
      <c r="G204" s="217"/>
      <c r="H204" s="217"/>
      <c r="I204" s="218"/>
      <c r="J204" s="217"/>
      <c r="K204" s="202"/>
    </row>
    <row r="205" spans="1:11" x14ac:dyDescent="0.2">
      <c r="A205" s="206"/>
      <c r="B205" s="206"/>
      <c r="C205" s="207"/>
      <c r="D205" s="219"/>
      <c r="E205" s="182"/>
      <c r="F205" s="185" t="s">
        <v>149</v>
      </c>
      <c r="G205" s="185"/>
      <c r="H205" s="185"/>
      <c r="I205" s="185"/>
      <c r="J205" s="220"/>
      <c r="K205" s="195"/>
    </row>
    <row r="206" spans="1:11" x14ac:dyDescent="0.2">
      <c r="A206" s="206"/>
      <c r="B206" s="206"/>
      <c r="C206" s="207"/>
      <c r="D206" s="219" t="s">
        <v>414</v>
      </c>
      <c r="E206" s="182"/>
      <c r="F206" s="185">
        <v>6.45</v>
      </c>
      <c r="G206" s="185"/>
      <c r="H206" s="220"/>
      <c r="I206" s="222"/>
      <c r="J206" s="220">
        <f>ROUND(PRODUCT(F206:I206),2)</f>
        <v>6.45</v>
      </c>
      <c r="K206" s="195"/>
    </row>
    <row r="207" spans="1:11" x14ac:dyDescent="0.2">
      <c r="A207" s="206"/>
      <c r="B207" s="206"/>
      <c r="C207" s="207"/>
      <c r="D207" s="221"/>
      <c r="E207" s="182"/>
      <c r="F207" s="220"/>
      <c r="G207" s="220"/>
      <c r="H207" s="220"/>
      <c r="I207" s="218" t="str">
        <f>"Total item "&amp;A204</f>
        <v>Total item 1.5.4</v>
      </c>
      <c r="J207" s="217">
        <f>SUM(J206:J206)</f>
        <v>6.45</v>
      </c>
      <c r="K207" s="195"/>
    </row>
    <row r="208" spans="1:11" s="50" customFormat="1" x14ac:dyDescent="0.2">
      <c r="A208" s="206"/>
      <c r="B208" s="206"/>
      <c r="C208" s="207"/>
      <c r="D208" s="208"/>
      <c r="E208" s="206"/>
      <c r="F208" s="209"/>
      <c r="G208" s="209"/>
      <c r="H208" s="209"/>
      <c r="I208" s="210"/>
      <c r="J208" s="209"/>
      <c r="K208" s="200"/>
    </row>
    <row r="209" spans="1:11" s="51" customFormat="1" x14ac:dyDescent="0.2">
      <c r="A209" s="214" t="str">
        <f>'ORÇAMENTO COM DESON'!A37</f>
        <v>1.5.5</v>
      </c>
      <c r="B209" s="214"/>
      <c r="C209" s="215"/>
      <c r="D209" s="216" t="str">
        <f>'ORÇAMENTO COM DESON'!D37</f>
        <v xml:space="preserve">RUFO/ALGEIROZ EM CONCRETO PRÉ-MOLDADO L=30CM </v>
      </c>
      <c r="E209" s="214" t="str">
        <f>'ORÇAMENTO COM DESON'!E37</f>
        <v>m</v>
      </c>
      <c r="F209" s="217"/>
      <c r="G209" s="217"/>
      <c r="H209" s="217"/>
      <c r="I209" s="218"/>
      <c r="J209" s="217"/>
      <c r="K209" s="202"/>
    </row>
    <row r="210" spans="1:11" x14ac:dyDescent="0.2">
      <c r="A210" s="206"/>
      <c r="B210" s="206"/>
      <c r="C210" s="207"/>
      <c r="D210" s="219"/>
      <c r="E210" s="182"/>
      <c r="F210" s="185" t="s">
        <v>149</v>
      </c>
      <c r="G210" s="185"/>
      <c r="H210" s="185"/>
      <c r="I210" s="185"/>
      <c r="J210" s="220"/>
      <c r="K210" s="195"/>
    </row>
    <row r="211" spans="1:11" x14ac:dyDescent="0.2">
      <c r="A211" s="206"/>
      <c r="B211" s="206"/>
      <c r="C211" s="207"/>
      <c r="D211" s="219" t="s">
        <v>414</v>
      </c>
      <c r="E211" s="182"/>
      <c r="F211" s="185">
        <v>34.9</v>
      </c>
      <c r="G211" s="185"/>
      <c r="H211" s="220"/>
      <c r="I211" s="222"/>
      <c r="J211" s="220">
        <f>ROUND(PRODUCT(F211:I211),2)</f>
        <v>34.9</v>
      </c>
      <c r="K211" s="195"/>
    </row>
    <row r="212" spans="1:11" x14ac:dyDescent="0.2">
      <c r="A212" s="206"/>
      <c r="B212" s="206"/>
      <c r="C212" s="207"/>
      <c r="D212" s="221"/>
      <c r="E212" s="182"/>
      <c r="F212" s="220"/>
      <c r="G212" s="220"/>
      <c r="H212" s="220"/>
      <c r="I212" s="218" t="str">
        <f>"Total item "&amp;A209</f>
        <v>Total item 1.5.5</v>
      </c>
      <c r="J212" s="217">
        <f>SUM(J211:J211)</f>
        <v>34.9</v>
      </c>
      <c r="K212" s="195"/>
    </row>
    <row r="213" spans="1:11" s="50" customFormat="1" x14ac:dyDescent="0.2">
      <c r="A213" s="206"/>
      <c r="B213" s="206"/>
      <c r="C213" s="207"/>
      <c r="D213" s="208"/>
      <c r="E213" s="206"/>
      <c r="F213" s="209"/>
      <c r="G213" s="209"/>
      <c r="H213" s="209"/>
      <c r="I213" s="210"/>
      <c r="J213" s="209"/>
      <c r="K213" s="200"/>
    </row>
    <row r="214" spans="1:11" s="51" customFormat="1" x14ac:dyDescent="0.2">
      <c r="A214" s="214" t="str">
        <f>'ORÇAMENTO COM DESON'!A38</f>
        <v>1.5.6</v>
      </c>
      <c r="B214" s="214"/>
      <c r="C214" s="215"/>
      <c r="D214" s="216" t="str">
        <f>'ORÇAMENTO COM DESON'!D38</f>
        <v>PINGADOR METÁLICO/ALUMÍNIO ( 1 X 1)cm P/ FACHADAS</v>
      </c>
      <c r="E214" s="214" t="str">
        <f>'ORÇAMENTO COM DESON'!E38</f>
        <v>m</v>
      </c>
      <c r="F214" s="217"/>
      <c r="G214" s="217"/>
      <c r="H214" s="217"/>
      <c r="I214" s="218"/>
      <c r="J214" s="217"/>
      <c r="K214" s="202"/>
    </row>
    <row r="215" spans="1:11" x14ac:dyDescent="0.2">
      <c r="A215" s="206"/>
      <c r="B215" s="206"/>
      <c r="C215" s="207"/>
      <c r="D215" s="219"/>
      <c r="E215" s="182"/>
      <c r="F215" s="185" t="s">
        <v>149</v>
      </c>
      <c r="G215" s="185"/>
      <c r="H215" s="185"/>
      <c r="I215" s="185"/>
      <c r="J215" s="220"/>
      <c r="K215" s="195"/>
    </row>
    <row r="216" spans="1:11" x14ac:dyDescent="0.2">
      <c r="A216" s="206"/>
      <c r="B216" s="206"/>
      <c r="C216" s="207"/>
      <c r="D216" s="219" t="s">
        <v>414</v>
      </c>
      <c r="E216" s="182" t="s">
        <v>21</v>
      </c>
      <c r="F216" s="185">
        <f>F211</f>
        <v>34.9</v>
      </c>
      <c r="G216" s="185"/>
      <c r="H216" s="220"/>
      <c r="I216" s="222"/>
      <c r="J216" s="220">
        <f>ROUND(PRODUCT(F216:I216),2)</f>
        <v>34.9</v>
      </c>
      <c r="K216" s="195"/>
    </row>
    <row r="217" spans="1:11" x14ac:dyDescent="0.2">
      <c r="A217" s="206"/>
      <c r="B217" s="206"/>
      <c r="C217" s="207"/>
      <c r="D217" s="221"/>
      <c r="E217" s="182"/>
      <c r="F217" s="220"/>
      <c r="G217" s="220"/>
      <c r="H217" s="220"/>
      <c r="I217" s="218" t="str">
        <f>"Total item "&amp;A214</f>
        <v>Total item 1.5.6</v>
      </c>
      <c r="J217" s="217">
        <f>SUM(J216:J216)</f>
        <v>34.9</v>
      </c>
      <c r="K217" s="195"/>
    </row>
    <row r="218" spans="1:11" s="50" customFormat="1" x14ac:dyDescent="0.2">
      <c r="A218" s="206"/>
      <c r="B218" s="206"/>
      <c r="C218" s="207"/>
      <c r="D218" s="208"/>
      <c r="E218" s="206"/>
      <c r="F218" s="209"/>
      <c r="G218" s="209"/>
      <c r="H218" s="209"/>
      <c r="I218" s="210"/>
      <c r="J218" s="209"/>
      <c r="K218" s="200"/>
    </row>
    <row r="219" spans="1:11" s="69" customFormat="1" x14ac:dyDescent="0.2">
      <c r="A219" s="175" t="str">
        <f>'ORÇAMENTO COM DESON'!A39</f>
        <v>1.6</v>
      </c>
      <c r="B219" s="176"/>
      <c r="C219" s="177"/>
      <c r="D219" s="211" t="str">
        <f>'ORÇAMENTO COM DESON'!D39</f>
        <v>IMPERMEABILIZAÇÃO</v>
      </c>
      <c r="E219" s="176"/>
      <c r="F219" s="212"/>
      <c r="G219" s="212"/>
      <c r="H219" s="212"/>
      <c r="I219" s="213"/>
      <c r="J219" s="212"/>
      <c r="K219" s="201"/>
    </row>
    <row r="220" spans="1:11" s="50" customFormat="1" x14ac:dyDescent="0.2">
      <c r="A220" s="206"/>
      <c r="B220" s="206"/>
      <c r="C220" s="207"/>
      <c r="D220" s="208"/>
      <c r="E220" s="206"/>
      <c r="F220" s="209"/>
      <c r="G220" s="209"/>
      <c r="H220" s="209"/>
      <c r="I220" s="210"/>
      <c r="J220" s="209"/>
      <c r="K220" s="200"/>
    </row>
    <row r="221" spans="1:11" s="51" customFormat="1" ht="20.399999999999999" x14ac:dyDescent="0.2">
      <c r="A221" s="214" t="str">
        <f>'ORÇAMENTO COM DESON'!A40</f>
        <v>1.6.1</v>
      </c>
      <c r="B221" s="214"/>
      <c r="C221" s="215"/>
      <c r="D221" s="216" t="str">
        <f>'ORÇAMENTO COM DESON'!D40</f>
        <v>IMPERMEABILIZAÇÃO DE SUPERFÍCIE COM EMULSÃO ASFÁLTICA, 2 DEMÃOS AF_06/2018</v>
      </c>
      <c r="E221" s="214" t="str">
        <f>'ORÇAMENTO COM DESON'!E40</f>
        <v>m²</v>
      </c>
      <c r="F221" s="217"/>
      <c r="G221" s="217"/>
      <c r="H221" s="217"/>
      <c r="I221" s="218"/>
      <c r="J221" s="217"/>
      <c r="K221" s="202"/>
    </row>
    <row r="222" spans="1:11" x14ac:dyDescent="0.2">
      <c r="A222" s="206"/>
      <c r="B222" s="206"/>
      <c r="C222" s="207"/>
      <c r="D222" s="219"/>
      <c r="E222" s="182"/>
      <c r="F222" s="185" t="s">
        <v>156</v>
      </c>
      <c r="G222" s="185"/>
      <c r="H222" s="185" t="s">
        <v>159</v>
      </c>
      <c r="I222" s="185"/>
      <c r="J222" s="220"/>
      <c r="K222" s="195"/>
    </row>
    <row r="223" spans="1:11" x14ac:dyDescent="0.2">
      <c r="A223" s="206"/>
      <c r="B223" s="206"/>
      <c r="C223" s="207"/>
      <c r="D223" s="233" t="s">
        <v>304</v>
      </c>
      <c r="E223" s="182" t="s">
        <v>8</v>
      </c>
      <c r="F223" s="185"/>
      <c r="G223" s="185"/>
      <c r="H223" s="185"/>
      <c r="I223" s="222"/>
      <c r="J223" s="220"/>
      <c r="K223" s="195"/>
    </row>
    <row r="224" spans="1:11" x14ac:dyDescent="0.2">
      <c r="A224" s="206"/>
      <c r="B224" s="206"/>
      <c r="C224" s="207"/>
      <c r="D224" s="219" t="s">
        <v>296</v>
      </c>
      <c r="E224" s="182"/>
      <c r="F224" s="185">
        <v>9.9600000000000009</v>
      </c>
      <c r="G224" s="234"/>
      <c r="H224" s="185">
        <f>0.12+0.3+0.3</f>
        <v>0.72</v>
      </c>
      <c r="I224" s="222"/>
      <c r="J224" s="220">
        <f t="shared" ref="J224:J232" si="19">ROUND(PRODUCT(F224:I224),2)</f>
        <v>7.17</v>
      </c>
      <c r="K224" s="195"/>
    </row>
    <row r="225" spans="1:11" x14ac:dyDescent="0.2">
      <c r="A225" s="206"/>
      <c r="B225" s="206"/>
      <c r="C225" s="207"/>
      <c r="D225" s="219" t="s">
        <v>297</v>
      </c>
      <c r="E225" s="182"/>
      <c r="F225" s="185">
        <v>9.9600000000000009</v>
      </c>
      <c r="G225" s="234"/>
      <c r="H225" s="185">
        <f t="shared" ref="H225:H232" si="20">0.12+0.3+0.3</f>
        <v>0.72</v>
      </c>
      <c r="I225" s="222"/>
      <c r="J225" s="220">
        <f t="shared" si="19"/>
        <v>7.17</v>
      </c>
      <c r="K225" s="195"/>
    </row>
    <row r="226" spans="1:11" x14ac:dyDescent="0.2">
      <c r="A226" s="206"/>
      <c r="B226" s="206"/>
      <c r="C226" s="207"/>
      <c r="D226" s="219" t="s">
        <v>298</v>
      </c>
      <c r="E226" s="182"/>
      <c r="F226" s="185">
        <v>3.5</v>
      </c>
      <c r="G226" s="234"/>
      <c r="H226" s="185">
        <f t="shared" si="20"/>
        <v>0.72</v>
      </c>
      <c r="I226" s="222"/>
      <c r="J226" s="220">
        <f t="shared" si="19"/>
        <v>2.52</v>
      </c>
      <c r="K226" s="195"/>
    </row>
    <row r="227" spans="1:11" x14ac:dyDescent="0.2">
      <c r="A227" s="206"/>
      <c r="B227" s="206"/>
      <c r="C227" s="207"/>
      <c r="D227" s="219" t="s">
        <v>95</v>
      </c>
      <c r="E227" s="182"/>
      <c r="F227" s="185">
        <v>5.26</v>
      </c>
      <c r="G227" s="234"/>
      <c r="H227" s="185">
        <f t="shared" si="20"/>
        <v>0.72</v>
      </c>
      <c r="I227" s="222"/>
      <c r="J227" s="220">
        <f t="shared" si="19"/>
        <v>3.79</v>
      </c>
      <c r="K227" s="195"/>
    </row>
    <row r="228" spans="1:11" x14ac:dyDescent="0.2">
      <c r="A228" s="206"/>
      <c r="B228" s="206"/>
      <c r="C228" s="207"/>
      <c r="D228" s="219" t="s">
        <v>96</v>
      </c>
      <c r="E228" s="182"/>
      <c r="F228" s="185">
        <v>5.26</v>
      </c>
      <c r="G228" s="234"/>
      <c r="H228" s="185">
        <f t="shared" si="20"/>
        <v>0.72</v>
      </c>
      <c r="I228" s="222"/>
      <c r="J228" s="220">
        <f t="shared" si="19"/>
        <v>3.79</v>
      </c>
      <c r="K228" s="195"/>
    </row>
    <row r="229" spans="1:11" x14ac:dyDescent="0.2">
      <c r="A229" s="206"/>
      <c r="B229" s="206"/>
      <c r="C229" s="207"/>
      <c r="D229" s="219" t="s">
        <v>299</v>
      </c>
      <c r="E229" s="182"/>
      <c r="F229" s="185">
        <v>1.8</v>
      </c>
      <c r="G229" s="234"/>
      <c r="H229" s="185">
        <f t="shared" si="20"/>
        <v>0.72</v>
      </c>
      <c r="I229" s="222"/>
      <c r="J229" s="220">
        <f>ROUND(PRODUCT(F229:I229),2)</f>
        <v>1.3</v>
      </c>
      <c r="K229" s="195"/>
    </row>
    <row r="230" spans="1:11" x14ac:dyDescent="0.2">
      <c r="A230" s="206"/>
      <c r="B230" s="206"/>
      <c r="C230" s="207"/>
      <c r="D230" s="219" t="s">
        <v>300</v>
      </c>
      <c r="E230" s="182"/>
      <c r="F230" s="185">
        <v>6.85</v>
      </c>
      <c r="G230" s="234"/>
      <c r="H230" s="185">
        <f t="shared" si="20"/>
        <v>0.72</v>
      </c>
      <c r="I230" s="222"/>
      <c r="J230" s="220">
        <f t="shared" si="19"/>
        <v>4.93</v>
      </c>
      <c r="K230" s="195"/>
    </row>
    <row r="231" spans="1:11" x14ac:dyDescent="0.2">
      <c r="A231" s="206"/>
      <c r="B231" s="206"/>
      <c r="C231" s="207"/>
      <c r="D231" s="219" t="s">
        <v>302</v>
      </c>
      <c r="E231" s="182"/>
      <c r="F231" s="185">
        <v>6.85</v>
      </c>
      <c r="G231" s="234"/>
      <c r="H231" s="185">
        <f t="shared" si="20"/>
        <v>0.72</v>
      </c>
      <c r="I231" s="222"/>
      <c r="J231" s="220">
        <f t="shared" si="19"/>
        <v>4.93</v>
      </c>
      <c r="K231" s="195"/>
    </row>
    <row r="232" spans="1:11" x14ac:dyDescent="0.2">
      <c r="A232" s="206"/>
      <c r="B232" s="206"/>
      <c r="C232" s="207"/>
      <c r="D232" s="219" t="s">
        <v>301</v>
      </c>
      <c r="E232" s="182"/>
      <c r="F232" s="185">
        <v>3.9</v>
      </c>
      <c r="G232" s="234"/>
      <c r="H232" s="185">
        <f t="shared" si="20"/>
        <v>0.72</v>
      </c>
      <c r="I232" s="222"/>
      <c r="J232" s="220">
        <f t="shared" si="19"/>
        <v>2.81</v>
      </c>
      <c r="K232" s="195"/>
    </row>
    <row r="233" spans="1:11" x14ac:dyDescent="0.2">
      <c r="A233" s="206"/>
      <c r="B233" s="206"/>
      <c r="C233" s="207"/>
      <c r="D233" s="182"/>
      <c r="E233" s="182"/>
      <c r="F233" s="220"/>
      <c r="G233" s="220"/>
      <c r="H233" s="220"/>
      <c r="I233" s="218" t="str">
        <f>"Total item "&amp;A221</f>
        <v>Total item 1.6.1</v>
      </c>
      <c r="J233" s="217">
        <f>SUM(J223:J232)</f>
        <v>38.409999999999997</v>
      </c>
      <c r="K233" s="195"/>
    </row>
    <row r="234" spans="1:11" s="50" customFormat="1" x14ac:dyDescent="0.2">
      <c r="A234" s="206"/>
      <c r="B234" s="206"/>
      <c r="C234" s="207"/>
      <c r="D234" s="182"/>
      <c r="E234" s="206"/>
      <c r="F234" s="209"/>
      <c r="G234" s="209"/>
      <c r="H234" s="209"/>
      <c r="I234" s="210"/>
      <c r="J234" s="209"/>
      <c r="K234" s="200"/>
    </row>
    <row r="235" spans="1:11" s="69" customFormat="1" x14ac:dyDescent="0.2">
      <c r="A235" s="175" t="str">
        <f>'ORÇAMENTO COM DESON'!A41</f>
        <v>1.7</v>
      </c>
      <c r="B235" s="176"/>
      <c r="C235" s="177"/>
      <c r="D235" s="211" t="str">
        <f>'ORÇAMENTO COM DESON'!D41</f>
        <v>ALVENARIA DE VEDAÇÃO</v>
      </c>
      <c r="E235" s="176"/>
      <c r="F235" s="212"/>
      <c r="G235" s="212"/>
      <c r="H235" s="212"/>
      <c r="I235" s="213"/>
      <c r="J235" s="212"/>
      <c r="K235" s="201"/>
    </row>
    <row r="236" spans="1:11" s="50" customFormat="1" x14ac:dyDescent="0.2">
      <c r="A236" s="206"/>
      <c r="B236" s="206"/>
      <c r="C236" s="207"/>
      <c r="D236" s="208"/>
      <c r="E236" s="206"/>
      <c r="F236" s="209"/>
      <c r="G236" s="209"/>
      <c r="H236" s="209"/>
      <c r="I236" s="210"/>
      <c r="J236" s="209"/>
      <c r="K236" s="200"/>
    </row>
    <row r="237" spans="1:11" s="51" customFormat="1" ht="40.799999999999997" x14ac:dyDescent="0.2">
      <c r="A237" s="214" t="str">
        <f>'ORÇAMENTO COM DESON'!A42</f>
        <v>1.7.1</v>
      </c>
      <c r="B237" s="214"/>
      <c r="C237" s="215"/>
      <c r="D237" s="216" t="str">
        <f>'ORÇAMENTO COM DESON'!D42</f>
        <v>ALVENARIA DE VEDAÇÃO DE BLOCOS CERÂMICOS FURADOS NA HORIZONTAL DE 9X19 X29 CM (ESPESSURA 9 CM) E ARGAMASSA DE ASSENTAMENTO COM PREPARO EM BETONEIRA. AF_12/2021</v>
      </c>
      <c r="E237" s="214" t="str">
        <f>'ORÇAMENTO COM DESON'!E42</f>
        <v>m²</v>
      </c>
      <c r="F237" s="217"/>
      <c r="G237" s="217"/>
      <c r="H237" s="217"/>
      <c r="I237" s="218"/>
      <c r="J237" s="217"/>
      <c r="K237" s="202"/>
    </row>
    <row r="238" spans="1:11" ht="30.6" x14ac:dyDescent="0.2">
      <c r="A238" s="206"/>
      <c r="B238" s="206"/>
      <c r="C238" s="207"/>
      <c r="D238" s="219"/>
      <c r="E238" s="182"/>
      <c r="F238" s="185" t="s">
        <v>156</v>
      </c>
      <c r="G238" s="185" t="s">
        <v>155</v>
      </c>
      <c r="H238" s="224" t="s">
        <v>402</v>
      </c>
      <c r="I238" s="224" t="s">
        <v>403</v>
      </c>
      <c r="J238" s="220"/>
      <c r="K238" s="195"/>
    </row>
    <row r="239" spans="1:11" x14ac:dyDescent="0.2">
      <c r="A239" s="206"/>
      <c r="B239" s="206"/>
      <c r="C239" s="207"/>
      <c r="D239" s="233"/>
      <c r="E239" s="182"/>
      <c r="F239" s="185"/>
      <c r="G239" s="185"/>
      <c r="H239" s="224"/>
      <c r="I239" s="185"/>
      <c r="J239" s="220"/>
      <c r="K239" s="195"/>
    </row>
    <row r="240" spans="1:11" x14ac:dyDescent="0.2">
      <c r="A240" s="206"/>
      <c r="B240" s="206"/>
      <c r="C240" s="207"/>
      <c r="D240" s="219" t="s">
        <v>296</v>
      </c>
      <c r="E240" s="182" t="s">
        <v>8</v>
      </c>
      <c r="F240" s="185">
        <f t="shared" ref="F240:F248" si="21">F76</f>
        <v>9.9600000000000009</v>
      </c>
      <c r="G240" s="185">
        <v>2.7</v>
      </c>
      <c r="H240" s="220">
        <f>1.2*1</f>
        <v>1.2</v>
      </c>
      <c r="I240" s="222">
        <f>0.9*2.1</f>
        <v>1.8900000000000001</v>
      </c>
      <c r="J240" s="220">
        <f>ROUND(((PRODUCT(F240:G240))-H240-I240),2)</f>
        <v>23.8</v>
      </c>
      <c r="K240" s="195"/>
    </row>
    <row r="241" spans="1:14" x14ac:dyDescent="0.2">
      <c r="A241" s="206"/>
      <c r="B241" s="206"/>
      <c r="C241" s="207"/>
      <c r="D241" s="219" t="s">
        <v>297</v>
      </c>
      <c r="E241" s="182" t="s">
        <v>8</v>
      </c>
      <c r="F241" s="185">
        <f t="shared" si="21"/>
        <v>9.9600000000000009</v>
      </c>
      <c r="G241" s="185">
        <v>2.7</v>
      </c>
      <c r="H241" s="220">
        <f>1.2*1</f>
        <v>1.2</v>
      </c>
      <c r="I241" s="222">
        <f>0.9*2.1</f>
        <v>1.8900000000000001</v>
      </c>
      <c r="J241" s="220">
        <f t="shared" ref="J241:J249" si="22">ROUND(((PRODUCT(F241:G241))-H241-I241),2)</f>
        <v>23.8</v>
      </c>
      <c r="K241" s="195"/>
    </row>
    <row r="242" spans="1:14" x14ac:dyDescent="0.2">
      <c r="A242" s="206"/>
      <c r="B242" s="206"/>
      <c r="C242" s="207"/>
      <c r="D242" s="219" t="s">
        <v>298</v>
      </c>
      <c r="E242" s="182" t="s">
        <v>8</v>
      </c>
      <c r="F242" s="185">
        <f t="shared" si="21"/>
        <v>3.5</v>
      </c>
      <c r="G242" s="185">
        <v>2.7</v>
      </c>
      <c r="H242" s="220"/>
      <c r="I242" s="222"/>
      <c r="J242" s="220">
        <f t="shared" si="22"/>
        <v>9.4499999999999993</v>
      </c>
      <c r="K242" s="195"/>
      <c r="N242" s="49"/>
    </row>
    <row r="243" spans="1:14" x14ac:dyDescent="0.2">
      <c r="A243" s="206"/>
      <c r="B243" s="206"/>
      <c r="C243" s="207"/>
      <c r="D243" s="219" t="s">
        <v>95</v>
      </c>
      <c r="E243" s="182" t="s">
        <v>8</v>
      </c>
      <c r="F243" s="185">
        <f t="shared" si="21"/>
        <v>5.26</v>
      </c>
      <c r="G243" s="185">
        <v>2.7</v>
      </c>
      <c r="H243" s="220">
        <f>0.8*0.5</f>
        <v>0.4</v>
      </c>
      <c r="I243" s="222">
        <f t="shared" ref="I243:I244" si="23">0.8*2.1</f>
        <v>1.6800000000000002</v>
      </c>
      <c r="J243" s="220">
        <f t="shared" si="22"/>
        <v>12.12</v>
      </c>
      <c r="K243" s="195"/>
    </row>
    <row r="244" spans="1:14" x14ac:dyDescent="0.2">
      <c r="A244" s="206"/>
      <c r="B244" s="206"/>
      <c r="C244" s="207"/>
      <c r="D244" s="219" t="s">
        <v>96</v>
      </c>
      <c r="E244" s="182" t="s">
        <v>8</v>
      </c>
      <c r="F244" s="185">
        <f t="shared" si="21"/>
        <v>5.26</v>
      </c>
      <c r="G244" s="185">
        <v>2.7</v>
      </c>
      <c r="H244" s="220">
        <f>0.8*0.5</f>
        <v>0.4</v>
      </c>
      <c r="I244" s="222">
        <f t="shared" si="23"/>
        <v>1.6800000000000002</v>
      </c>
      <c r="J244" s="220">
        <f t="shared" si="22"/>
        <v>12.12</v>
      </c>
      <c r="K244" s="195"/>
    </row>
    <row r="245" spans="1:14" x14ac:dyDescent="0.2">
      <c r="A245" s="206"/>
      <c r="B245" s="206"/>
      <c r="C245" s="207"/>
      <c r="D245" s="219" t="s">
        <v>299</v>
      </c>
      <c r="E245" s="182" t="s">
        <v>8</v>
      </c>
      <c r="F245" s="185">
        <f t="shared" si="21"/>
        <v>1.8</v>
      </c>
      <c r="G245" s="185">
        <v>2.7</v>
      </c>
      <c r="H245" s="220"/>
      <c r="I245" s="222"/>
      <c r="J245" s="220">
        <f>ROUND(((PRODUCT(F245:G245))-H245-I245),2)</f>
        <v>4.8600000000000003</v>
      </c>
      <c r="K245" s="195"/>
    </row>
    <row r="246" spans="1:14" x14ac:dyDescent="0.2">
      <c r="A246" s="206"/>
      <c r="B246" s="206"/>
      <c r="C246" s="207"/>
      <c r="D246" s="219" t="s">
        <v>300</v>
      </c>
      <c r="E246" s="182" t="s">
        <v>8</v>
      </c>
      <c r="F246" s="185">
        <f t="shared" si="21"/>
        <v>6.85</v>
      </c>
      <c r="G246" s="185">
        <v>2.7</v>
      </c>
      <c r="H246" s="220">
        <f>2*0.8*0.5</f>
        <v>0.8</v>
      </c>
      <c r="I246" s="222">
        <f>0.9*2.1</f>
        <v>1.8900000000000001</v>
      </c>
      <c r="J246" s="220">
        <f>ROUND(((PRODUCT(F246:G246))-H246-I246),2)</f>
        <v>15.81</v>
      </c>
      <c r="K246" s="195"/>
    </row>
    <row r="247" spans="1:14" x14ac:dyDescent="0.2">
      <c r="A247" s="206"/>
      <c r="B247" s="206"/>
      <c r="C247" s="207"/>
      <c r="D247" s="219" t="s">
        <v>302</v>
      </c>
      <c r="E247" s="182" t="s">
        <v>8</v>
      </c>
      <c r="F247" s="185">
        <f t="shared" si="21"/>
        <v>6.85</v>
      </c>
      <c r="G247" s="185">
        <v>2.7</v>
      </c>
      <c r="H247" s="220">
        <f>(1.35*1.7)+(1.75*1.7)</f>
        <v>5.27</v>
      </c>
      <c r="I247" s="222"/>
      <c r="J247" s="220">
        <f t="shared" si="22"/>
        <v>13.23</v>
      </c>
      <c r="K247" s="195"/>
    </row>
    <row r="248" spans="1:14" x14ac:dyDescent="0.2">
      <c r="A248" s="206"/>
      <c r="B248" s="206"/>
      <c r="C248" s="207"/>
      <c r="D248" s="219" t="s">
        <v>301</v>
      </c>
      <c r="E248" s="182" t="s">
        <v>8</v>
      </c>
      <c r="F248" s="185">
        <f t="shared" si="21"/>
        <v>3.9</v>
      </c>
      <c r="G248" s="185">
        <v>2.7</v>
      </c>
      <c r="H248" s="220"/>
      <c r="I248" s="222">
        <f t="shared" ref="I248" si="24">0.8*2.1</f>
        <v>1.6800000000000002</v>
      </c>
      <c r="J248" s="220">
        <f t="shared" si="22"/>
        <v>8.85</v>
      </c>
      <c r="K248" s="195"/>
    </row>
    <row r="249" spans="1:14" x14ac:dyDescent="0.2">
      <c r="A249" s="206"/>
      <c r="B249" s="206"/>
      <c r="C249" s="207"/>
      <c r="D249" s="219" t="s">
        <v>552</v>
      </c>
      <c r="E249" s="182" t="s">
        <v>8</v>
      </c>
      <c r="F249" s="185">
        <v>36.1</v>
      </c>
      <c r="G249" s="185">
        <v>0.7</v>
      </c>
      <c r="H249" s="220"/>
      <c r="I249" s="222"/>
      <c r="J249" s="220">
        <f t="shared" si="22"/>
        <v>25.27</v>
      </c>
      <c r="K249" s="195"/>
    </row>
    <row r="250" spans="1:14" x14ac:dyDescent="0.2">
      <c r="A250" s="206"/>
      <c r="B250" s="206"/>
      <c r="C250" s="207"/>
      <c r="D250" s="219"/>
      <c r="E250" s="47"/>
      <c r="F250" s="220"/>
      <c r="G250" s="220"/>
      <c r="H250" s="220"/>
      <c r="I250" s="218" t="str">
        <f>"Total item "&amp;A237</f>
        <v>Total item 1.7.1</v>
      </c>
      <c r="J250" s="217">
        <f>SUM(J240:J249)</f>
        <v>149.31</v>
      </c>
      <c r="K250" s="195"/>
    </row>
    <row r="251" spans="1:14" s="50" customFormat="1" x14ac:dyDescent="0.2">
      <c r="A251" s="206"/>
      <c r="B251" s="206"/>
      <c r="C251" s="207"/>
      <c r="D251" s="219"/>
      <c r="E251" s="206"/>
      <c r="F251" s="209"/>
      <c r="G251" s="209"/>
      <c r="H251" s="209"/>
      <c r="I251" s="210"/>
      <c r="J251" s="209"/>
      <c r="K251" s="200"/>
    </row>
    <row r="252" spans="1:14" s="51" customFormat="1" ht="20.399999999999999" x14ac:dyDescent="0.2">
      <c r="A252" s="214" t="str">
        <f>'ORÇAMENTO COM DESON'!A43</f>
        <v>1.7.2</v>
      </c>
      <c r="B252" s="214"/>
      <c r="C252" s="215"/>
      <c r="D252" s="216" t="str">
        <f>'ORÇAMENTO COM DESON'!D43</f>
        <v>VERGA PRÉ-MOLDADA PARA JANELAS COM ATÉ 1,5 M DE VÃO. AF_03/2016</v>
      </c>
      <c r="E252" s="214" t="str">
        <f>'ORÇAMENTO COM DESON'!E43</f>
        <v>m</v>
      </c>
      <c r="F252" s="217"/>
      <c r="G252" s="217"/>
      <c r="H252" s="217"/>
      <c r="I252" s="218"/>
      <c r="J252" s="217"/>
      <c r="K252" s="202"/>
    </row>
    <row r="253" spans="1:14" x14ac:dyDescent="0.2">
      <c r="A253" s="206"/>
      <c r="B253" s="206"/>
      <c r="C253" s="207"/>
      <c r="D253" s="233" t="s">
        <v>397</v>
      </c>
      <c r="E253" s="182"/>
      <c r="F253" s="185" t="s">
        <v>209</v>
      </c>
      <c r="G253" s="220" t="s">
        <v>206</v>
      </c>
      <c r="H253" s="156"/>
      <c r="I253" s="185"/>
      <c r="J253" s="220"/>
      <c r="K253" s="195"/>
    </row>
    <row r="254" spans="1:14" x14ac:dyDescent="0.2">
      <c r="A254" s="206"/>
      <c r="B254" s="206"/>
      <c r="C254" s="207"/>
      <c r="D254" s="219" t="s">
        <v>395</v>
      </c>
      <c r="E254" s="182" t="s">
        <v>21</v>
      </c>
      <c r="F254" s="185">
        <f>0.8+0.3+0.3</f>
        <v>1.4000000000000001</v>
      </c>
      <c r="G254" s="220">
        <v>1</v>
      </c>
      <c r="H254" s="156"/>
      <c r="I254" s="222"/>
      <c r="J254" s="220">
        <f>ROUND(PRODUCT(F254:I254),2)</f>
        <v>1.4</v>
      </c>
      <c r="K254" s="195"/>
    </row>
    <row r="255" spans="1:14" x14ac:dyDescent="0.2">
      <c r="A255" s="206"/>
      <c r="B255" s="206"/>
      <c r="C255" s="207"/>
      <c r="D255" s="219" t="s">
        <v>396</v>
      </c>
      <c r="E255" s="182" t="s">
        <v>21</v>
      </c>
      <c r="F255" s="185">
        <f t="shared" ref="F255:F256" si="25">0.8+0.3+0.3</f>
        <v>1.4000000000000001</v>
      </c>
      <c r="G255" s="220">
        <v>1</v>
      </c>
      <c r="H255" s="156"/>
      <c r="I255" s="222"/>
      <c r="J255" s="220">
        <f t="shared" ref="J255:J259" si="26">ROUND(PRODUCT(F255:I255),2)</f>
        <v>1.4</v>
      </c>
      <c r="K255" s="195"/>
    </row>
    <row r="256" spans="1:14" x14ac:dyDescent="0.2">
      <c r="A256" s="206"/>
      <c r="B256" s="206"/>
      <c r="C256" s="207"/>
      <c r="D256" s="219" t="s">
        <v>300</v>
      </c>
      <c r="E256" s="182" t="s">
        <v>21</v>
      </c>
      <c r="F256" s="185">
        <f t="shared" si="25"/>
        <v>1.4000000000000001</v>
      </c>
      <c r="G256" s="220">
        <v>2</v>
      </c>
      <c r="H256" s="156"/>
      <c r="I256" s="222"/>
      <c r="J256" s="220">
        <f t="shared" si="26"/>
        <v>2.8</v>
      </c>
      <c r="K256" s="195"/>
    </row>
    <row r="257" spans="1:11" s="6" customFormat="1" x14ac:dyDescent="0.2">
      <c r="A257" s="2"/>
      <c r="B257" s="2"/>
      <c r="C257" s="3"/>
      <c r="D257" s="233" t="s">
        <v>400</v>
      </c>
      <c r="E257" s="182"/>
      <c r="F257" s="185"/>
      <c r="G257" s="220"/>
      <c r="H257" s="156"/>
      <c r="I257" s="222"/>
      <c r="J257" s="220"/>
    </row>
    <row r="258" spans="1:11" s="6" customFormat="1" x14ac:dyDescent="0.2">
      <c r="A258" s="2"/>
      <c r="B258" s="2"/>
      <c r="C258" s="3"/>
      <c r="D258" s="219" t="s">
        <v>296</v>
      </c>
      <c r="E258" s="182" t="s">
        <v>21</v>
      </c>
      <c r="F258" s="185">
        <f>1.2+0.3+0.3</f>
        <v>1.8</v>
      </c>
      <c r="G258" s="220">
        <v>1</v>
      </c>
      <c r="H258" s="156"/>
      <c r="I258" s="222"/>
      <c r="J258" s="220">
        <f t="shared" si="26"/>
        <v>1.8</v>
      </c>
    </row>
    <row r="259" spans="1:11" x14ac:dyDescent="0.2">
      <c r="A259" s="206"/>
      <c r="B259" s="206"/>
      <c r="C259" s="241"/>
      <c r="D259" s="219" t="s">
        <v>297</v>
      </c>
      <c r="E259" s="182" t="s">
        <v>21</v>
      </c>
      <c r="F259" s="185">
        <f>1.2+0.3+0.3</f>
        <v>1.8</v>
      </c>
      <c r="G259" s="220">
        <v>1</v>
      </c>
      <c r="H259" s="156"/>
      <c r="I259" s="222"/>
      <c r="J259" s="220">
        <f t="shared" si="26"/>
        <v>1.8</v>
      </c>
      <c r="K259" s="195"/>
    </row>
    <row r="260" spans="1:11" x14ac:dyDescent="0.2">
      <c r="A260" s="206"/>
      <c r="B260" s="206"/>
      <c r="C260" s="207"/>
      <c r="D260" s="221"/>
      <c r="E260" s="182"/>
      <c r="F260" s="220"/>
      <c r="G260" s="220"/>
      <c r="H260" s="220"/>
      <c r="I260" s="218" t="str">
        <f>"Total item "&amp;A252</f>
        <v>Total item 1.7.2</v>
      </c>
      <c r="J260" s="217">
        <f>SUM(J254:J259)</f>
        <v>9.1999999999999993</v>
      </c>
      <c r="K260" s="195"/>
    </row>
    <row r="261" spans="1:11" s="50" customFormat="1" x14ac:dyDescent="0.2">
      <c r="A261" s="206"/>
      <c r="B261" s="206"/>
      <c r="C261" s="207"/>
      <c r="D261" s="208"/>
      <c r="E261" s="206"/>
      <c r="F261" s="209"/>
      <c r="G261" s="209"/>
      <c r="H261" s="209"/>
      <c r="I261" s="210"/>
      <c r="J261" s="209"/>
      <c r="K261" s="200"/>
    </row>
    <row r="262" spans="1:11" s="51" customFormat="1" ht="20.399999999999999" x14ac:dyDescent="0.2">
      <c r="A262" s="214" t="str">
        <f>'ORÇAMENTO COM DESON'!A44</f>
        <v>1.7.3</v>
      </c>
      <c r="B262" s="214"/>
      <c r="C262" s="215"/>
      <c r="D262" s="216" t="str">
        <f>'ORÇAMENTO COM DESON'!D44</f>
        <v xml:space="preserve">VERGA PRÉ-MOLDADA PARA PORTAS COM ATÉ 1,5 M DE VÃO. AF_03/2016 </v>
      </c>
      <c r="E262" s="214" t="str">
        <f>'ORÇAMENTO COM DESON'!E44</f>
        <v>m</v>
      </c>
      <c r="F262" s="217"/>
      <c r="G262" s="217"/>
      <c r="H262" s="217"/>
      <c r="I262" s="218"/>
      <c r="J262" s="217"/>
      <c r="K262" s="202"/>
    </row>
    <row r="263" spans="1:11" x14ac:dyDescent="0.2">
      <c r="A263" s="206"/>
      <c r="B263" s="206"/>
      <c r="C263" s="207"/>
      <c r="D263" s="219"/>
      <c r="E263" s="182"/>
      <c r="F263" s="185" t="s">
        <v>209</v>
      </c>
      <c r="G263" s="185" t="s">
        <v>206</v>
      </c>
      <c r="H263" s="156"/>
      <c r="I263" s="185"/>
      <c r="J263" s="220"/>
      <c r="K263" s="195"/>
    </row>
    <row r="264" spans="1:11" x14ac:dyDescent="0.2">
      <c r="A264" s="206"/>
      <c r="B264" s="206"/>
      <c r="C264" s="207"/>
      <c r="D264" s="233" t="s">
        <v>398</v>
      </c>
      <c r="E264" s="182"/>
      <c r="F264" s="185"/>
      <c r="G264" s="185"/>
      <c r="H264" s="156"/>
      <c r="I264" s="185"/>
      <c r="J264" s="220"/>
      <c r="K264" s="195"/>
    </row>
    <row r="265" spans="1:11" x14ac:dyDescent="0.2">
      <c r="A265" s="206"/>
      <c r="B265" s="206"/>
      <c r="C265" s="207"/>
      <c r="D265" s="219" t="s">
        <v>296</v>
      </c>
      <c r="E265" s="182" t="s">
        <v>21</v>
      </c>
      <c r="F265" s="185">
        <f>0.9+0.3+0.3</f>
        <v>1.5</v>
      </c>
      <c r="G265" s="185">
        <v>1</v>
      </c>
      <c r="H265" s="156"/>
      <c r="I265" s="222"/>
      <c r="J265" s="220">
        <f>ROUND(PRODUCT(F265:I265),2)</f>
        <v>1.5</v>
      </c>
      <c r="K265" s="195"/>
    </row>
    <row r="266" spans="1:11" x14ac:dyDescent="0.2">
      <c r="A266" s="206"/>
      <c r="B266" s="206"/>
      <c r="C266" s="207"/>
      <c r="D266" s="219" t="s">
        <v>297</v>
      </c>
      <c r="E266" s="182" t="s">
        <v>21</v>
      </c>
      <c r="F266" s="185">
        <f>0.9+0.3+0.3</f>
        <v>1.5</v>
      </c>
      <c r="G266" s="185">
        <v>1</v>
      </c>
      <c r="H266" s="156"/>
      <c r="I266" s="222"/>
      <c r="J266" s="220">
        <f t="shared" ref="J266:J271" si="27">ROUND(PRODUCT(F266:I266),2)</f>
        <v>1.5</v>
      </c>
      <c r="K266" s="195"/>
    </row>
    <row r="267" spans="1:11" x14ac:dyDescent="0.2">
      <c r="A267" s="206"/>
      <c r="B267" s="206"/>
      <c r="C267" s="207"/>
      <c r="D267" s="219" t="s">
        <v>300</v>
      </c>
      <c r="E267" s="182" t="s">
        <v>21</v>
      </c>
      <c r="F267" s="185">
        <f>0.9+0.3+0.3</f>
        <v>1.5</v>
      </c>
      <c r="G267" s="185">
        <v>1</v>
      </c>
      <c r="H267" s="156"/>
      <c r="I267" s="222"/>
      <c r="J267" s="220">
        <f t="shared" si="27"/>
        <v>1.5</v>
      </c>
      <c r="K267" s="195"/>
    </row>
    <row r="268" spans="1:11" x14ac:dyDescent="0.2">
      <c r="A268" s="206"/>
      <c r="B268" s="206"/>
      <c r="C268" s="207"/>
      <c r="D268" s="233" t="s">
        <v>399</v>
      </c>
      <c r="E268" s="182"/>
      <c r="F268" s="185"/>
      <c r="G268" s="185"/>
      <c r="H268" s="156"/>
      <c r="I268" s="222"/>
      <c r="J268" s="220"/>
      <c r="K268" s="195"/>
    </row>
    <row r="269" spans="1:11" x14ac:dyDescent="0.2">
      <c r="A269" s="206"/>
      <c r="B269" s="206"/>
      <c r="C269" s="207"/>
      <c r="D269" s="219" t="s">
        <v>395</v>
      </c>
      <c r="E269" s="182" t="s">
        <v>21</v>
      </c>
      <c r="F269" s="185">
        <f t="shared" ref="F269:F271" si="28">0.8+0.3+0.3</f>
        <v>1.4000000000000001</v>
      </c>
      <c r="G269" s="185">
        <v>1</v>
      </c>
      <c r="H269" s="156"/>
      <c r="I269" s="222"/>
      <c r="J269" s="220">
        <f t="shared" si="27"/>
        <v>1.4</v>
      </c>
      <c r="K269" s="195"/>
    </row>
    <row r="270" spans="1:11" x14ac:dyDescent="0.2">
      <c r="A270" s="206"/>
      <c r="B270" s="206"/>
      <c r="C270" s="207"/>
      <c r="D270" s="219" t="s">
        <v>396</v>
      </c>
      <c r="E270" s="182" t="s">
        <v>21</v>
      </c>
      <c r="F270" s="185">
        <f t="shared" si="28"/>
        <v>1.4000000000000001</v>
      </c>
      <c r="G270" s="185">
        <v>1</v>
      </c>
      <c r="H270" s="156"/>
      <c r="I270" s="222"/>
      <c r="J270" s="220">
        <f t="shared" si="27"/>
        <v>1.4</v>
      </c>
      <c r="K270" s="195"/>
    </row>
    <row r="271" spans="1:11" x14ac:dyDescent="0.2">
      <c r="A271" s="206"/>
      <c r="B271" s="206"/>
      <c r="C271" s="207"/>
      <c r="D271" s="219" t="s">
        <v>301</v>
      </c>
      <c r="E271" s="182" t="s">
        <v>21</v>
      </c>
      <c r="F271" s="185">
        <f t="shared" si="28"/>
        <v>1.4000000000000001</v>
      </c>
      <c r="G271" s="185">
        <v>1</v>
      </c>
      <c r="H271" s="156"/>
      <c r="I271" s="222"/>
      <c r="J271" s="220">
        <f t="shared" si="27"/>
        <v>1.4</v>
      </c>
      <c r="K271" s="195"/>
    </row>
    <row r="272" spans="1:11" x14ac:dyDescent="0.2">
      <c r="A272" s="206"/>
      <c r="B272" s="206"/>
      <c r="C272" s="207"/>
      <c r="D272" s="221"/>
      <c r="E272" s="182"/>
      <c r="F272" s="220"/>
      <c r="G272" s="220"/>
      <c r="H272" s="220"/>
      <c r="I272" s="218" t="str">
        <f>"Total item "&amp;A262</f>
        <v>Total item 1.7.3</v>
      </c>
      <c r="J272" s="217">
        <f>SUM(J265:J271)</f>
        <v>8.7000000000000011</v>
      </c>
      <c r="K272" s="195"/>
    </row>
    <row r="273" spans="1:11" s="50" customFormat="1" x14ac:dyDescent="0.2">
      <c r="A273" s="206"/>
      <c r="B273" s="206"/>
      <c r="C273" s="207"/>
      <c r="D273" s="208"/>
      <c r="E273" s="206"/>
      <c r="F273" s="209"/>
      <c r="G273" s="209"/>
      <c r="H273" s="209"/>
      <c r="I273" s="210"/>
      <c r="J273" s="209"/>
      <c r="K273" s="200"/>
    </row>
    <row r="274" spans="1:11" s="51" customFormat="1" ht="20.399999999999999" x14ac:dyDescent="0.2">
      <c r="A274" s="214" t="str">
        <f>'ORÇAMENTO COM DESON'!A45</f>
        <v>1.7.4</v>
      </c>
      <c r="B274" s="214"/>
      <c r="C274" s="215"/>
      <c r="D274" s="216" t="str">
        <f>'ORÇAMENTO COM DESON'!D45</f>
        <v>CONTRAVERGA PRÉ-MOLDADA PARA VÃOS DE ATÉ 1,5 M DE COMPRIMENTO. 016</v>
      </c>
      <c r="E274" s="214" t="str">
        <f>'ORÇAMENTO COM DESON'!E45</f>
        <v>m</v>
      </c>
      <c r="F274" s="217"/>
      <c r="G274" s="217"/>
      <c r="H274" s="217"/>
      <c r="I274" s="218"/>
      <c r="J274" s="217"/>
      <c r="K274" s="202"/>
    </row>
    <row r="275" spans="1:11" x14ac:dyDescent="0.2">
      <c r="A275" s="206"/>
      <c r="B275" s="206"/>
      <c r="C275" s="207"/>
      <c r="D275" s="219"/>
      <c r="E275" s="182"/>
      <c r="F275" s="185" t="s">
        <v>209</v>
      </c>
      <c r="G275" s="220" t="s">
        <v>206</v>
      </c>
      <c r="H275" s="156"/>
      <c r="I275" s="185"/>
      <c r="J275" s="220"/>
      <c r="K275" s="195"/>
    </row>
    <row r="276" spans="1:11" x14ac:dyDescent="0.2">
      <c r="A276" s="206"/>
      <c r="B276" s="206"/>
      <c r="C276" s="207"/>
      <c r="D276" s="233" t="s">
        <v>397</v>
      </c>
      <c r="E276" s="182"/>
      <c r="F276" s="185"/>
      <c r="G276" s="220"/>
      <c r="H276" s="156"/>
      <c r="I276" s="185"/>
      <c r="J276" s="220"/>
      <c r="K276" s="195"/>
    </row>
    <row r="277" spans="1:11" x14ac:dyDescent="0.2">
      <c r="A277" s="206"/>
      <c r="B277" s="206"/>
      <c r="C277" s="207"/>
      <c r="D277" s="219" t="s">
        <v>395</v>
      </c>
      <c r="E277" s="182" t="s">
        <v>21</v>
      </c>
      <c r="F277" s="185">
        <f>0.8+0.3+0.3</f>
        <v>1.4000000000000001</v>
      </c>
      <c r="G277" s="220">
        <v>1</v>
      </c>
      <c r="H277" s="156"/>
      <c r="I277" s="222"/>
      <c r="J277" s="220">
        <f>ROUND(PRODUCT(F277:I277),2)</f>
        <v>1.4</v>
      </c>
      <c r="K277" s="195"/>
    </row>
    <row r="278" spans="1:11" x14ac:dyDescent="0.2">
      <c r="A278" s="206"/>
      <c r="B278" s="206"/>
      <c r="C278" s="207"/>
      <c r="D278" s="219" t="s">
        <v>396</v>
      </c>
      <c r="E278" s="182" t="s">
        <v>21</v>
      </c>
      <c r="F278" s="185">
        <f t="shared" ref="F278:F279" si="29">0.8+0.3+0.3</f>
        <v>1.4000000000000001</v>
      </c>
      <c r="G278" s="220">
        <v>1</v>
      </c>
      <c r="H278" s="156"/>
      <c r="I278" s="222"/>
      <c r="J278" s="220">
        <f t="shared" ref="J278:J279" si="30">ROUND(PRODUCT(F278:I278),2)</f>
        <v>1.4</v>
      </c>
      <c r="K278" s="195"/>
    </row>
    <row r="279" spans="1:11" x14ac:dyDescent="0.2">
      <c r="A279" s="206"/>
      <c r="B279" s="206"/>
      <c r="C279" s="207"/>
      <c r="D279" s="219" t="s">
        <v>300</v>
      </c>
      <c r="E279" s="182" t="s">
        <v>21</v>
      </c>
      <c r="F279" s="185">
        <f t="shared" si="29"/>
        <v>1.4000000000000001</v>
      </c>
      <c r="G279" s="220">
        <v>2</v>
      </c>
      <c r="H279" s="156"/>
      <c r="I279" s="222"/>
      <c r="J279" s="220">
        <f t="shared" si="30"/>
        <v>2.8</v>
      </c>
      <c r="K279" s="195"/>
    </row>
    <row r="280" spans="1:11" s="6" customFormat="1" x14ac:dyDescent="0.2">
      <c r="A280" s="2"/>
      <c r="B280" s="2"/>
      <c r="C280" s="3"/>
      <c r="D280" s="233" t="s">
        <v>400</v>
      </c>
      <c r="E280" s="182"/>
      <c r="F280" s="185"/>
      <c r="G280" s="220"/>
      <c r="H280" s="156"/>
      <c r="I280" s="222"/>
      <c r="J280" s="220"/>
    </row>
    <row r="281" spans="1:11" s="6" customFormat="1" x14ac:dyDescent="0.2">
      <c r="A281" s="2"/>
      <c r="B281" s="2"/>
      <c r="C281" s="3"/>
      <c r="D281" s="219" t="s">
        <v>296</v>
      </c>
      <c r="E281" s="182" t="s">
        <v>21</v>
      </c>
      <c r="F281" s="185">
        <f>1.2+0.3+0.3</f>
        <v>1.8</v>
      </c>
      <c r="G281" s="220">
        <v>1</v>
      </c>
      <c r="H281" s="156"/>
      <c r="I281" s="222"/>
      <c r="J281" s="220">
        <f t="shared" ref="J281:J282" si="31">ROUND(PRODUCT(F281:I281),2)</f>
        <v>1.8</v>
      </c>
    </row>
    <row r="282" spans="1:11" x14ac:dyDescent="0.2">
      <c r="A282" s="206"/>
      <c r="B282" s="206"/>
      <c r="C282" s="241"/>
      <c r="D282" s="219" t="s">
        <v>297</v>
      </c>
      <c r="E282" s="182" t="s">
        <v>21</v>
      </c>
      <c r="F282" s="185">
        <f>1.2+0.3+0.3</f>
        <v>1.8</v>
      </c>
      <c r="G282" s="220">
        <v>1</v>
      </c>
      <c r="H282" s="156"/>
      <c r="I282" s="222"/>
      <c r="J282" s="220">
        <f t="shared" si="31"/>
        <v>1.8</v>
      </c>
      <c r="K282" s="195"/>
    </row>
    <row r="283" spans="1:11" x14ac:dyDescent="0.2">
      <c r="A283" s="206"/>
      <c r="B283" s="206"/>
      <c r="C283" s="207"/>
      <c r="D283" s="221"/>
      <c r="E283" s="182"/>
      <c r="F283" s="220"/>
      <c r="G283" s="220"/>
      <c r="H283" s="220"/>
      <c r="I283" s="218" t="str">
        <f>"Total item "&amp;A274</f>
        <v>Total item 1.7.4</v>
      </c>
      <c r="J283" s="217">
        <f>SUM(J276:J282)</f>
        <v>9.1999999999999993</v>
      </c>
      <c r="K283" s="195"/>
    </row>
    <row r="284" spans="1:11" s="50" customFormat="1" x14ac:dyDescent="0.2">
      <c r="A284" s="206"/>
      <c r="B284" s="206"/>
      <c r="C284" s="207"/>
      <c r="D284" s="208"/>
      <c r="E284" s="206"/>
      <c r="F284" s="209"/>
      <c r="G284" s="209"/>
      <c r="H284" s="209"/>
      <c r="I284" s="210"/>
      <c r="J284" s="209"/>
      <c r="K284" s="200"/>
    </row>
    <row r="285" spans="1:11" s="51" customFormat="1" ht="30.6" x14ac:dyDescent="0.2">
      <c r="A285" s="214" t="str">
        <f>'ORÇAMENTO COM DESON'!A46</f>
        <v>1.7.5</v>
      </c>
      <c r="B285" s="214"/>
      <c r="C285" s="215"/>
      <c r="D285" s="216" t="str">
        <f>'ORÇAMENTO COM DESON'!D46</f>
        <v>ALVENARIA DE VEDAÇÃO COM ELEMENTO VAZADO DE CONCRETO (COBOGÓ) DE 7X50X50CM E ARGAMASSA DE ASSENTAMENTO COM PREPARO EM BETONEIRA. AF_05/2020</v>
      </c>
      <c r="E285" s="214" t="str">
        <f>'ORÇAMENTO COM DESON'!E46</f>
        <v>m²</v>
      </c>
      <c r="F285" s="217"/>
      <c r="G285" s="217"/>
      <c r="H285" s="217"/>
      <c r="I285" s="218"/>
      <c r="J285" s="217"/>
      <c r="K285" s="202"/>
    </row>
    <row r="286" spans="1:11" x14ac:dyDescent="0.2">
      <c r="A286" s="206"/>
      <c r="B286" s="206"/>
      <c r="C286" s="207"/>
      <c r="D286" s="219"/>
      <c r="E286" s="182"/>
      <c r="F286" s="185" t="s">
        <v>209</v>
      </c>
      <c r="G286" s="220" t="s">
        <v>158</v>
      </c>
      <c r="H286" s="156"/>
      <c r="I286" s="185"/>
      <c r="J286" s="220"/>
      <c r="K286" s="195"/>
    </row>
    <row r="287" spans="1:11" x14ac:dyDescent="0.2">
      <c r="A287" s="206"/>
      <c r="B287" s="206"/>
      <c r="C287" s="207"/>
      <c r="D287" s="219" t="s">
        <v>137</v>
      </c>
      <c r="E287" s="182" t="s">
        <v>21</v>
      </c>
      <c r="F287" s="185">
        <v>1.35</v>
      </c>
      <c r="G287" s="185">
        <v>1.7</v>
      </c>
      <c r="H287" s="156"/>
      <c r="I287" s="222"/>
      <c r="J287" s="220">
        <f>ROUND(PRODUCT(F287:I287),2)</f>
        <v>2.2999999999999998</v>
      </c>
      <c r="K287" s="195"/>
    </row>
    <row r="288" spans="1:11" x14ac:dyDescent="0.2">
      <c r="A288" s="206"/>
      <c r="B288" s="206"/>
      <c r="C288" s="207"/>
      <c r="D288" s="219" t="s">
        <v>401</v>
      </c>
      <c r="E288" s="182"/>
      <c r="F288" s="185">
        <v>1.75</v>
      </c>
      <c r="G288" s="185">
        <v>1.7</v>
      </c>
      <c r="H288" s="156"/>
      <c r="I288" s="222"/>
      <c r="J288" s="220">
        <f>ROUND(PRODUCT(F288:I288),2)</f>
        <v>2.98</v>
      </c>
      <c r="K288" s="195"/>
    </row>
    <row r="289" spans="1:11" x14ac:dyDescent="0.2">
      <c r="A289" s="206"/>
      <c r="B289" s="206"/>
      <c r="C289" s="207"/>
      <c r="D289" s="221"/>
      <c r="E289" s="182"/>
      <c r="F289" s="220"/>
      <c r="G289" s="220"/>
      <c r="H289" s="220"/>
      <c r="I289" s="218" t="str">
        <f>"Total item "&amp;A285</f>
        <v>Total item 1.7.5</v>
      </c>
      <c r="J289" s="217">
        <f>SUM(J287:J288)</f>
        <v>5.2799999999999994</v>
      </c>
      <c r="K289" s="195"/>
    </row>
    <row r="290" spans="1:11" s="50" customFormat="1" x14ac:dyDescent="0.2">
      <c r="A290" s="206"/>
      <c r="B290" s="206"/>
      <c r="C290" s="207"/>
      <c r="D290" s="208"/>
      <c r="E290" s="206"/>
      <c r="F290" s="209"/>
      <c r="G290" s="209"/>
      <c r="H290" s="209"/>
      <c r="I290" s="210"/>
      <c r="J290" s="209"/>
      <c r="K290" s="200"/>
    </row>
    <row r="291" spans="1:11" s="69" customFormat="1" x14ac:dyDescent="0.2">
      <c r="A291" s="175" t="str">
        <f>'ORÇAMENTO COM DESON'!A47</f>
        <v>1.8</v>
      </c>
      <c r="B291" s="176"/>
      <c r="C291" s="177"/>
      <c r="D291" s="211" t="str">
        <f>'ORÇAMENTO COM DESON'!D47</f>
        <v>REVESTIMENTOS</v>
      </c>
      <c r="E291" s="176"/>
      <c r="F291" s="212"/>
      <c r="G291" s="212"/>
      <c r="H291" s="212"/>
      <c r="I291" s="213"/>
      <c r="J291" s="212"/>
      <c r="K291" s="201"/>
    </row>
    <row r="292" spans="1:11" s="50" customFormat="1" x14ac:dyDescent="0.2">
      <c r="A292" s="206"/>
      <c r="B292" s="206"/>
      <c r="C292" s="207"/>
      <c r="D292" s="208"/>
      <c r="E292" s="206"/>
      <c r="F292" s="209"/>
      <c r="G292" s="209"/>
      <c r="H292" s="209"/>
      <c r="I292" s="210"/>
      <c r="J292" s="209"/>
      <c r="K292" s="200"/>
    </row>
    <row r="293" spans="1:11" s="51" customFormat="1" ht="40.799999999999997" x14ac:dyDescent="0.2">
      <c r="A293" s="214" t="str">
        <f>'ORÇAMENTO COM DESON'!A48</f>
        <v>1.8.1</v>
      </c>
      <c r="B293" s="214"/>
      <c r="C293" s="215"/>
      <c r="D293" s="216" t="str">
        <f>'ORÇAMENTO COM DESON'!D48</f>
        <v>CHAPISCO APLICADO EM ALVENARIAS E ESTRUTURAS DE CONCRETO INTERNAS, COM COLHER DE PEDREIRO. ARGAMASSA TRAÇO 1:3 COM PREPARO EM BETONEIRA 400 L. AF_06/2014</v>
      </c>
      <c r="E293" s="214" t="str">
        <f>'ORÇAMENTO COM DESON'!E48</f>
        <v>m²</v>
      </c>
      <c r="F293" s="217"/>
      <c r="G293" s="217"/>
      <c r="H293" s="217"/>
      <c r="I293" s="218"/>
      <c r="J293" s="217"/>
      <c r="K293" s="202"/>
    </row>
    <row r="294" spans="1:11" x14ac:dyDescent="0.2">
      <c r="A294" s="206"/>
      <c r="B294" s="206"/>
      <c r="C294" s="207"/>
      <c r="D294" s="219"/>
      <c r="E294" s="182"/>
      <c r="F294" s="185" t="s">
        <v>406</v>
      </c>
      <c r="G294" s="185" t="s">
        <v>158</v>
      </c>
      <c r="H294" s="185" t="s">
        <v>173</v>
      </c>
      <c r="I294" s="185" t="s">
        <v>404</v>
      </c>
      <c r="J294" s="220"/>
      <c r="K294" s="195"/>
    </row>
    <row r="295" spans="1:11" x14ac:dyDescent="0.2">
      <c r="A295" s="206"/>
      <c r="B295" s="206"/>
      <c r="C295" s="207"/>
      <c r="D295" s="233" t="s">
        <v>441</v>
      </c>
      <c r="E295" s="182"/>
      <c r="F295" s="185"/>
      <c r="G295" s="185"/>
      <c r="H295" s="185"/>
      <c r="I295" s="185"/>
      <c r="J295" s="220"/>
      <c r="K295" s="195"/>
    </row>
    <row r="296" spans="1:11" x14ac:dyDescent="0.2">
      <c r="A296" s="206"/>
      <c r="B296" s="206"/>
      <c r="C296" s="207"/>
      <c r="D296" s="219" t="s">
        <v>296</v>
      </c>
      <c r="E296" s="182"/>
      <c r="F296" s="185">
        <f>3.2+3</f>
        <v>6.2</v>
      </c>
      <c r="G296" s="185">
        <v>3</v>
      </c>
      <c r="H296" s="185">
        <v>2</v>
      </c>
      <c r="I296" s="185">
        <f>(0.9*2.1)+(1.2*1)</f>
        <v>3.09</v>
      </c>
      <c r="J296" s="220">
        <f>ROUND((PRODUCT(F296:H296))-I296,2)</f>
        <v>34.11</v>
      </c>
      <c r="K296" s="195"/>
    </row>
    <row r="297" spans="1:11" x14ac:dyDescent="0.2">
      <c r="A297" s="206"/>
      <c r="B297" s="206"/>
      <c r="C297" s="207"/>
      <c r="D297" s="219" t="s">
        <v>297</v>
      </c>
      <c r="E297" s="182"/>
      <c r="F297" s="185">
        <f>3.2+3</f>
        <v>6.2</v>
      </c>
      <c r="G297" s="185">
        <v>3</v>
      </c>
      <c r="H297" s="185">
        <v>2</v>
      </c>
      <c r="I297" s="185">
        <f>(0.9*2.1)+(1.2*1)</f>
        <v>3.09</v>
      </c>
      <c r="J297" s="220">
        <f t="shared" ref="J297:J300" si="32">ROUND((PRODUCT(F297:H297))-I297,2)</f>
        <v>34.11</v>
      </c>
      <c r="K297" s="195"/>
    </row>
    <row r="298" spans="1:11" x14ac:dyDescent="0.2">
      <c r="A298" s="206"/>
      <c r="B298" s="206"/>
      <c r="C298" s="207"/>
      <c r="D298" s="219" t="s">
        <v>95</v>
      </c>
      <c r="E298" s="182"/>
      <c r="F298" s="185">
        <f>1.5+1.5</f>
        <v>3</v>
      </c>
      <c r="G298" s="185">
        <v>3</v>
      </c>
      <c r="H298" s="185">
        <v>2</v>
      </c>
      <c r="I298" s="223">
        <f>(0.8*2.1)+(0.8*0.5)</f>
        <v>2.08</v>
      </c>
      <c r="J298" s="220">
        <f t="shared" si="32"/>
        <v>15.92</v>
      </c>
      <c r="K298" s="195"/>
    </row>
    <row r="299" spans="1:11" x14ac:dyDescent="0.2">
      <c r="A299" s="206"/>
      <c r="B299" s="206"/>
      <c r="C299" s="207"/>
      <c r="D299" s="219" t="s">
        <v>96</v>
      </c>
      <c r="E299" s="182"/>
      <c r="F299" s="185">
        <f>1.5+1.5</f>
        <v>3</v>
      </c>
      <c r="G299" s="185">
        <v>3</v>
      </c>
      <c r="H299" s="185">
        <v>2</v>
      </c>
      <c r="I299" s="223">
        <f>(0.8*2.1)+(0.8*0.5)</f>
        <v>2.08</v>
      </c>
      <c r="J299" s="220">
        <f t="shared" si="32"/>
        <v>15.92</v>
      </c>
      <c r="K299" s="195"/>
    </row>
    <row r="300" spans="1:11" x14ac:dyDescent="0.2">
      <c r="A300" s="206"/>
      <c r="B300" s="206"/>
      <c r="C300" s="207"/>
      <c r="D300" s="219" t="s">
        <v>300</v>
      </c>
      <c r="E300" s="182"/>
      <c r="F300" s="185">
        <f>1.5+2</f>
        <v>3.5</v>
      </c>
      <c r="G300" s="185">
        <v>3</v>
      </c>
      <c r="H300" s="185">
        <v>2</v>
      </c>
      <c r="I300" s="223">
        <f>(0.9*2.1)+(0.8*0.5*2)</f>
        <v>2.6900000000000004</v>
      </c>
      <c r="J300" s="220">
        <f t="shared" si="32"/>
        <v>18.309999999999999</v>
      </c>
      <c r="K300" s="195"/>
    </row>
    <row r="301" spans="1:11" x14ac:dyDescent="0.2">
      <c r="A301" s="206"/>
      <c r="B301" s="206"/>
      <c r="C301" s="207"/>
      <c r="D301" s="219" t="s">
        <v>302</v>
      </c>
      <c r="E301" s="182"/>
      <c r="F301" s="185">
        <v>21.9</v>
      </c>
      <c r="G301" s="185">
        <v>3</v>
      </c>
      <c r="H301" s="185"/>
      <c r="I301" s="223">
        <f>(3*0.9*2.1)+(3*0.8*2.1)+(1.35*1.7)+(1.75*1.7)</f>
        <v>15.98</v>
      </c>
      <c r="J301" s="220">
        <f>ROUND((PRODUCT(F301:H301))-I301,2)</f>
        <v>49.72</v>
      </c>
      <c r="K301" s="195"/>
    </row>
    <row r="302" spans="1:11" x14ac:dyDescent="0.2">
      <c r="A302" s="206"/>
      <c r="B302" s="206"/>
      <c r="C302" s="207"/>
      <c r="D302" s="219" t="s">
        <v>301</v>
      </c>
      <c r="E302" s="182"/>
      <c r="F302" s="185">
        <f>3+0.9</f>
        <v>3.9</v>
      </c>
      <c r="G302" s="185">
        <v>3</v>
      </c>
      <c r="H302" s="185">
        <v>2</v>
      </c>
      <c r="I302" s="223">
        <f>0.8*2.1</f>
        <v>1.6800000000000002</v>
      </c>
      <c r="J302" s="220">
        <f>ROUND((PRODUCT(F302:H302))-I302,2)</f>
        <v>21.72</v>
      </c>
      <c r="K302" s="195"/>
    </row>
    <row r="303" spans="1:11" x14ac:dyDescent="0.2">
      <c r="A303" s="206"/>
      <c r="B303" s="206"/>
      <c r="C303" s="207"/>
      <c r="D303" s="221"/>
      <c r="E303" s="182"/>
      <c r="F303" s="220"/>
      <c r="G303" s="220"/>
      <c r="H303" s="220"/>
      <c r="I303" s="218" t="str">
        <f>"Total item "&amp;A293</f>
        <v>Total item 1.8.1</v>
      </c>
      <c r="J303" s="217">
        <f>SUM(J296:J302)</f>
        <v>189.81</v>
      </c>
      <c r="K303" s="195"/>
    </row>
    <row r="304" spans="1:11" s="50" customFormat="1" x14ac:dyDescent="0.2">
      <c r="A304" s="206"/>
      <c r="B304" s="206"/>
      <c r="C304" s="207"/>
      <c r="D304" s="208"/>
      <c r="E304" s="206"/>
      <c r="F304" s="209"/>
      <c r="G304" s="209"/>
      <c r="H304" s="209"/>
      <c r="I304" s="210"/>
      <c r="J304" s="209"/>
      <c r="K304" s="200"/>
    </row>
    <row r="305" spans="1:11" s="51" customFormat="1" ht="40.799999999999997" x14ac:dyDescent="0.2">
      <c r="A305" s="214" t="str">
        <f>'ORÇAMENTO COM DESON'!A49</f>
        <v>1.8.2</v>
      </c>
      <c r="B305" s="214"/>
      <c r="C305" s="215"/>
      <c r="D305" s="216" t="str">
        <f>'ORÇAMENTO COM DESON'!D49</f>
        <v>CHAPISCO APLICADO EM ALVENARIA (COM PRESENÇA DE VÃOS) E ESTRUTURAS DE CONCRETO DE FACHADA, COM COLHER DE PEDREIRO. ARGAMASSA TRAÇO 1:3 COM  PREPARO EM BETONEIRA 400L. AF_06/2014</v>
      </c>
      <c r="E305" s="214" t="str">
        <f>'ORÇAMENTO COM DESON'!E49</f>
        <v>m²</v>
      </c>
      <c r="F305" s="217"/>
      <c r="G305" s="217"/>
      <c r="H305" s="217"/>
      <c r="I305" s="218"/>
      <c r="J305" s="217"/>
      <c r="K305" s="202"/>
    </row>
    <row r="306" spans="1:11" ht="30.6" x14ac:dyDescent="0.2">
      <c r="A306" s="206"/>
      <c r="B306" s="206"/>
      <c r="C306" s="207"/>
      <c r="D306" s="219"/>
      <c r="E306" s="182"/>
      <c r="F306" s="185" t="s">
        <v>199</v>
      </c>
      <c r="G306" s="185" t="s">
        <v>158</v>
      </c>
      <c r="H306" s="224" t="s">
        <v>407</v>
      </c>
      <c r="I306" s="185"/>
      <c r="J306" s="220"/>
      <c r="K306" s="195"/>
    </row>
    <row r="307" spans="1:11" x14ac:dyDescent="0.2">
      <c r="A307" s="206"/>
      <c r="B307" s="206"/>
      <c r="C307" s="207"/>
      <c r="D307" s="219" t="s">
        <v>405</v>
      </c>
      <c r="E307" s="182" t="s">
        <v>8</v>
      </c>
      <c r="F307" s="185">
        <f>36.1-6.3</f>
        <v>29.8</v>
      </c>
      <c r="G307" s="185">
        <v>3</v>
      </c>
      <c r="H307" s="185">
        <f>(1.2*1)+(1.2*1)+(0.8*0.5)+(0.8*0.5)+(0.8*0.5*2)+(1.35*1.7)+(1.75*1.7)</f>
        <v>9.27</v>
      </c>
      <c r="I307" s="222"/>
      <c r="J307" s="220">
        <f>ROUND((PRODUCT(F307:G307))-H307,2)</f>
        <v>80.13</v>
      </c>
      <c r="K307" s="185"/>
    </row>
    <row r="308" spans="1:11" x14ac:dyDescent="0.2">
      <c r="A308" s="206"/>
      <c r="B308" s="206"/>
      <c r="C308" s="207"/>
      <c r="D308" s="221"/>
      <c r="E308" s="182"/>
      <c r="F308" s="220"/>
      <c r="G308" s="220"/>
      <c r="H308" s="220"/>
      <c r="I308" s="218" t="str">
        <f>"Total item "&amp;A305</f>
        <v>Total item 1.8.2</v>
      </c>
      <c r="J308" s="217">
        <f>SUM(J307:J307)</f>
        <v>80.13</v>
      </c>
      <c r="K308" s="185"/>
    </row>
    <row r="309" spans="1:11" s="50" customFormat="1" x14ac:dyDescent="0.2">
      <c r="A309" s="206"/>
      <c r="B309" s="206"/>
      <c r="C309" s="207"/>
      <c r="D309" s="208"/>
      <c r="E309" s="206"/>
      <c r="F309" s="209"/>
      <c r="G309" s="209"/>
      <c r="H309" s="209"/>
      <c r="I309" s="210"/>
      <c r="J309" s="209"/>
      <c r="K309" s="223"/>
    </row>
    <row r="310" spans="1:11" s="51" customFormat="1" ht="20.399999999999999" x14ac:dyDescent="0.2">
      <c r="A310" s="214" t="str">
        <f>'ORÇAMENTO COM DESON'!A50</f>
        <v>1.8.3</v>
      </c>
      <c r="B310" s="214"/>
      <c r="C310" s="215"/>
      <c r="D310" s="216" t="str">
        <f>'ORÇAMENTO COM DESON'!D50</f>
        <v>REBOCO C/ ARGAMASSA DE CIMENTO E AREIA PENEIRADA, TRAÇO 1:6</v>
      </c>
      <c r="E310" s="214" t="str">
        <f>'ORÇAMENTO COM DESON'!E50</f>
        <v>m²</v>
      </c>
      <c r="F310" s="217"/>
      <c r="G310" s="217"/>
      <c r="H310" s="217"/>
      <c r="I310" s="218"/>
      <c r="J310" s="217"/>
      <c r="K310" s="223"/>
    </row>
    <row r="311" spans="1:11" x14ac:dyDescent="0.2">
      <c r="A311" s="206"/>
      <c r="B311" s="206"/>
      <c r="C311" s="207"/>
      <c r="D311" s="219"/>
      <c r="E311" s="182"/>
      <c r="F311" s="185" t="s">
        <v>199</v>
      </c>
      <c r="G311" s="185" t="s">
        <v>158</v>
      </c>
      <c r="H311" s="185" t="s">
        <v>173</v>
      </c>
      <c r="I311" s="185" t="s">
        <v>404</v>
      </c>
      <c r="J311" s="220"/>
      <c r="K311" s="223"/>
    </row>
    <row r="312" spans="1:11" x14ac:dyDescent="0.2">
      <c r="A312" s="206"/>
      <c r="B312" s="206"/>
      <c r="C312" s="207"/>
      <c r="D312" s="219" t="s">
        <v>405</v>
      </c>
      <c r="E312" s="182" t="s">
        <v>8</v>
      </c>
      <c r="F312" s="185">
        <f>F307</f>
        <v>29.8</v>
      </c>
      <c r="G312" s="185">
        <v>1.3</v>
      </c>
      <c r="H312" s="185"/>
      <c r="I312" s="185">
        <f>(1.2*0.4)+(1.2*0.4)+(0.8*0.4)+(0.8*0.4)+(0.8*0.4*2)+(1.35*0.4)+(1.75*0.4)</f>
        <v>3.4800000000000004</v>
      </c>
      <c r="J312" s="220">
        <f>ROUND(PRODUCT(F312:H312),2)-I312</f>
        <v>35.260000000000005</v>
      </c>
      <c r="K312" s="223"/>
    </row>
    <row r="313" spans="1:11" x14ac:dyDescent="0.2">
      <c r="A313" s="206"/>
      <c r="B313" s="206"/>
      <c r="C313" s="207"/>
      <c r="D313" s="219" t="s">
        <v>296</v>
      </c>
      <c r="E313" s="182" t="s">
        <v>8</v>
      </c>
      <c r="F313" s="185">
        <f>F296</f>
        <v>6.2</v>
      </c>
      <c r="G313" s="185">
        <v>1.3</v>
      </c>
      <c r="H313" s="185"/>
      <c r="I313" s="223">
        <f>(0.4*1.2)+(0.9*0.4)</f>
        <v>0.84000000000000008</v>
      </c>
      <c r="J313" s="220">
        <f>ROUND((PRODUCT(F313:H313))-I313,2)</f>
        <v>7.22</v>
      </c>
      <c r="K313" s="195"/>
    </row>
    <row r="314" spans="1:11" x14ac:dyDescent="0.2">
      <c r="A314" s="206"/>
      <c r="B314" s="206"/>
      <c r="C314" s="207"/>
      <c r="D314" s="219" t="s">
        <v>297</v>
      </c>
      <c r="E314" s="182" t="s">
        <v>8</v>
      </c>
      <c r="F314" s="185">
        <f>F297</f>
        <v>6.2</v>
      </c>
      <c r="G314" s="185">
        <v>1.3</v>
      </c>
      <c r="H314" s="185"/>
      <c r="I314" s="223">
        <f>(0.4*1.2)+(0.9*0.4)</f>
        <v>0.84000000000000008</v>
      </c>
      <c r="J314" s="220">
        <f t="shared" ref="J314:J316" si="33">ROUND((PRODUCT(F314:H314))-I314,2)</f>
        <v>7.22</v>
      </c>
      <c r="K314" s="195"/>
    </row>
    <row r="315" spans="1:11" x14ac:dyDescent="0.2">
      <c r="A315" s="206"/>
      <c r="B315" s="206"/>
      <c r="C315" s="207"/>
      <c r="D315" s="219" t="s">
        <v>302</v>
      </c>
      <c r="E315" s="182" t="s">
        <v>8</v>
      </c>
      <c r="F315" s="185">
        <f>F301</f>
        <v>21.9</v>
      </c>
      <c r="G315" s="185">
        <v>1.3</v>
      </c>
      <c r="H315" s="185"/>
      <c r="I315" s="223">
        <f>(3*0.9*0.4)+(3*0.8*0.4)+(1.35*0.4)+(1.75*0.4)</f>
        <v>3.2800000000000002</v>
      </c>
      <c r="J315" s="220">
        <f t="shared" si="33"/>
        <v>25.19</v>
      </c>
      <c r="K315" s="195"/>
    </row>
    <row r="316" spans="1:11" x14ac:dyDescent="0.2">
      <c r="A316" s="206"/>
      <c r="B316" s="206"/>
      <c r="C316" s="207"/>
      <c r="D316" s="219" t="s">
        <v>301</v>
      </c>
      <c r="E316" s="182" t="s">
        <v>8</v>
      </c>
      <c r="F316" s="185">
        <f>F302</f>
        <v>3.9</v>
      </c>
      <c r="G316" s="185">
        <v>1.3</v>
      </c>
      <c r="H316" s="185"/>
      <c r="I316" s="223">
        <f>0.4*0.8</f>
        <v>0.32000000000000006</v>
      </c>
      <c r="J316" s="220">
        <f t="shared" si="33"/>
        <v>4.75</v>
      </c>
      <c r="K316" s="195"/>
    </row>
    <row r="317" spans="1:11" x14ac:dyDescent="0.2">
      <c r="A317" s="206"/>
      <c r="B317" s="206"/>
      <c r="C317" s="207"/>
      <c r="D317" s="233" t="s">
        <v>426</v>
      </c>
      <c r="E317" s="182"/>
      <c r="F317" s="185" t="s">
        <v>199</v>
      </c>
      <c r="G317" s="185" t="s">
        <v>159</v>
      </c>
      <c r="H317" s="185" t="s">
        <v>173</v>
      </c>
      <c r="I317" s="223"/>
      <c r="J317" s="220"/>
      <c r="K317" s="6"/>
    </row>
    <row r="318" spans="1:11" x14ac:dyDescent="0.2">
      <c r="A318" s="206"/>
      <c r="B318" s="206"/>
      <c r="C318" s="207"/>
      <c r="D318" s="219" t="s">
        <v>427</v>
      </c>
      <c r="E318" s="182"/>
      <c r="F318" s="185">
        <f>1+2.1+2.1</f>
        <v>5.2</v>
      </c>
      <c r="G318" s="185">
        <v>0.15</v>
      </c>
      <c r="H318" s="185"/>
      <c r="I318" s="223"/>
      <c r="J318" s="220">
        <f>ROUND(PRODUCT(F318:I318),2)</f>
        <v>0.78</v>
      </c>
      <c r="K318" s="6"/>
    </row>
    <row r="319" spans="1:11" x14ac:dyDescent="0.2">
      <c r="A319" s="206"/>
      <c r="B319" s="206"/>
      <c r="C319" s="207"/>
      <c r="D319" s="219" t="s">
        <v>428</v>
      </c>
      <c r="E319" s="182"/>
      <c r="F319" s="185">
        <f t="shared" ref="F319:F320" si="34">1.2+1.2+1+1</f>
        <v>4.4000000000000004</v>
      </c>
      <c r="G319" s="185">
        <v>0.15</v>
      </c>
      <c r="H319" s="185"/>
      <c r="I319" s="223"/>
      <c r="J319" s="220">
        <f t="shared" ref="J319:J323" si="35">ROUND(PRODUCT(F319:I319),2)</f>
        <v>0.66</v>
      </c>
      <c r="K319" s="6"/>
    </row>
    <row r="320" spans="1:11" x14ac:dyDescent="0.2">
      <c r="A320" s="206"/>
      <c r="B320" s="206"/>
      <c r="C320" s="207"/>
      <c r="D320" s="219" t="s">
        <v>429</v>
      </c>
      <c r="E320" s="182"/>
      <c r="F320" s="185">
        <f t="shared" si="34"/>
        <v>4.4000000000000004</v>
      </c>
      <c r="G320" s="185">
        <v>0.15</v>
      </c>
      <c r="H320" s="185"/>
      <c r="I320" s="223"/>
      <c r="J320" s="220">
        <f>ROUND(PRODUCT(F320:I320),2)</f>
        <v>0.66</v>
      </c>
      <c r="K320" s="6"/>
    </row>
    <row r="321" spans="1:11" x14ac:dyDescent="0.2">
      <c r="A321" s="206"/>
      <c r="B321" s="206"/>
      <c r="C321" s="207"/>
      <c r="D321" s="219" t="s">
        <v>430</v>
      </c>
      <c r="E321" s="182"/>
      <c r="F321" s="185">
        <f>0.8+0.8+0.5+0.5</f>
        <v>2.6</v>
      </c>
      <c r="G321" s="185">
        <v>0.15</v>
      </c>
      <c r="H321" s="185"/>
      <c r="I321" s="223"/>
      <c r="J321" s="220">
        <f t="shared" si="35"/>
        <v>0.39</v>
      </c>
      <c r="K321" s="6"/>
    </row>
    <row r="322" spans="1:11" x14ac:dyDescent="0.2">
      <c r="A322" s="206"/>
      <c r="B322" s="206"/>
      <c r="C322" s="207"/>
      <c r="D322" s="219" t="s">
        <v>431</v>
      </c>
      <c r="E322" s="182"/>
      <c r="F322" s="185">
        <f>0.8+0.8+0.5+0.5</f>
        <v>2.6</v>
      </c>
      <c r="G322" s="185">
        <v>0.15</v>
      </c>
      <c r="H322" s="185"/>
      <c r="I322" s="223"/>
      <c r="J322" s="220">
        <f t="shared" si="35"/>
        <v>0.39</v>
      </c>
      <c r="K322" s="6"/>
    </row>
    <row r="323" spans="1:11" x14ac:dyDescent="0.2">
      <c r="A323" s="206"/>
      <c r="B323" s="206"/>
      <c r="C323" s="207"/>
      <c r="D323" s="219" t="s">
        <v>432</v>
      </c>
      <c r="E323" s="182"/>
      <c r="F323" s="185">
        <f>0.8+0.8+0.5+0.5</f>
        <v>2.6</v>
      </c>
      <c r="G323" s="185">
        <v>0.15</v>
      </c>
      <c r="H323" s="185">
        <v>2</v>
      </c>
      <c r="I323" s="223"/>
      <c r="J323" s="220">
        <f t="shared" si="35"/>
        <v>0.78</v>
      </c>
      <c r="K323" s="6"/>
    </row>
    <row r="324" spans="1:11" x14ac:dyDescent="0.2">
      <c r="A324" s="206"/>
      <c r="B324" s="206"/>
      <c r="C324" s="207"/>
      <c r="D324" s="221"/>
      <c r="E324" s="182"/>
      <c r="F324" s="220"/>
      <c r="G324" s="220"/>
      <c r="H324" s="220"/>
      <c r="I324" s="218" t="str">
        <f>"Total item "&amp;A310</f>
        <v>Total item 1.8.3</v>
      </c>
      <c r="J324" s="217">
        <f>SUM(J312:J323)</f>
        <v>83.3</v>
      </c>
      <c r="K324" s="223"/>
    </row>
    <row r="325" spans="1:11" s="50" customFormat="1" x14ac:dyDescent="0.2">
      <c r="A325" s="206"/>
      <c r="B325" s="206"/>
      <c r="C325" s="207"/>
      <c r="D325" s="208"/>
      <c r="E325" s="206"/>
      <c r="F325" s="209"/>
      <c r="G325" s="209"/>
      <c r="H325" s="209"/>
      <c r="I325" s="210"/>
      <c r="J325" s="209"/>
      <c r="K325" s="200"/>
    </row>
    <row r="326" spans="1:11" s="51" customFormat="1" ht="46.5" customHeight="1" x14ac:dyDescent="0.2">
      <c r="A326" s="214" t="str">
        <f>'ORÇAMENTO COM DESON'!A51</f>
        <v>1.8.4</v>
      </c>
      <c r="B326" s="214"/>
      <c r="C326" s="215"/>
      <c r="D326" s="216" t="str">
        <f>'ORÇAMENTO COM DESON'!D51</f>
        <v>EMBOÇO OU MASSA ÚNICA EM ARGAMASSA TRAÇO 1:2:8, PREPARO MECÂNICO COM BETONEIRA 400 L, APLICADA MANUALMENTE EM PANOS DE FACHADA COM PRESENÇA DE VÃOS, ESPESSURA DE 25 MM. AF_08/2022</v>
      </c>
      <c r="E326" s="214" t="str">
        <f>'ORÇAMENTO COM DESON'!E51</f>
        <v>m²</v>
      </c>
      <c r="F326" s="217"/>
      <c r="G326" s="217"/>
      <c r="H326" s="217"/>
      <c r="I326" s="218"/>
      <c r="J326" s="217"/>
      <c r="K326" s="223"/>
    </row>
    <row r="327" spans="1:11" x14ac:dyDescent="0.2">
      <c r="A327" s="206"/>
      <c r="B327" s="206"/>
      <c r="C327" s="207"/>
      <c r="D327" s="219"/>
      <c r="E327" s="182"/>
      <c r="F327" s="185" t="s">
        <v>199</v>
      </c>
      <c r="G327" s="185" t="s">
        <v>158</v>
      </c>
      <c r="H327" s="185" t="s">
        <v>173</v>
      </c>
      <c r="I327" s="185" t="s">
        <v>404</v>
      </c>
      <c r="J327" s="220"/>
      <c r="K327" s="223"/>
    </row>
    <row r="328" spans="1:11" x14ac:dyDescent="0.2">
      <c r="A328" s="206"/>
      <c r="B328" s="206"/>
      <c r="C328" s="207"/>
      <c r="D328" s="219" t="str">
        <f>D307</f>
        <v>Perímetro da área externa</v>
      </c>
      <c r="E328" s="182" t="s">
        <v>8</v>
      </c>
      <c r="F328" s="185">
        <f>F307</f>
        <v>29.8</v>
      </c>
      <c r="G328" s="185">
        <v>1.7</v>
      </c>
      <c r="H328" s="185"/>
      <c r="I328" s="185">
        <f>(1.2*0.6)+(1.2*0.6)+(0.8*0.1)+(0.8*0.1)+(0.8*0.1*2)+(1.35*1.3)+(1.75*1.3)</f>
        <v>5.7900000000000009</v>
      </c>
      <c r="J328" s="220">
        <f>ROUND(PRODUCT(F328:H328),2)-I328</f>
        <v>44.87</v>
      </c>
      <c r="K328" s="223"/>
    </row>
    <row r="329" spans="1:11" x14ac:dyDescent="0.2">
      <c r="A329" s="206"/>
      <c r="B329" s="206"/>
      <c r="C329" s="207"/>
      <c r="D329" s="221"/>
      <c r="E329" s="182"/>
      <c r="F329" s="220"/>
      <c r="G329" s="220"/>
      <c r="H329" s="220"/>
      <c r="I329" s="218" t="str">
        <f>"Total item "&amp;A326</f>
        <v>Total item 1.8.4</v>
      </c>
      <c r="J329" s="217">
        <f>SUM(J328:J328)</f>
        <v>44.87</v>
      </c>
      <c r="K329" s="223"/>
    </row>
    <row r="330" spans="1:11" s="50" customFormat="1" x14ac:dyDescent="0.2">
      <c r="A330" s="206"/>
      <c r="B330" s="206"/>
      <c r="C330" s="207"/>
      <c r="D330" s="208"/>
      <c r="E330" s="206"/>
      <c r="F330" s="209"/>
      <c r="G330" s="209"/>
      <c r="H330" s="209"/>
      <c r="I330" s="210"/>
      <c r="J330" s="209"/>
      <c r="K330" s="200"/>
    </row>
    <row r="331" spans="1:11" s="51" customFormat="1" ht="61.2" x14ac:dyDescent="0.2">
      <c r="A331" s="214" t="str">
        <f>'ORÇAMENTO COM DESON'!A52</f>
        <v>1.8.5</v>
      </c>
      <c r="B331" s="214"/>
      <c r="C331" s="215"/>
      <c r="D331" s="216" t="str">
        <f>'ORÇAMENTO COM DESON'!D52</f>
        <v>EMBOÇO, PARA RECEBIMENTO DE CERÂMICA, EM ARGAMASSA TRAÇO 1:2:8, PREPARO MECÂNICO COM BETONEIRA 400L, APLICADO MANUALMENTE EM FACES INTERNAS DE PAREDES, PARA AMBIENTE COM ÁREA ENTRE 5M2 E 10M2, ESPESSURA DE 20MM , COM EXECUÇÃO DE TALISCAS. AF_06/2014</v>
      </c>
      <c r="E331" s="214" t="str">
        <f>'ORÇAMENTO COM DESON'!E52</f>
        <v>m²</v>
      </c>
      <c r="F331" s="217"/>
      <c r="G331" s="217"/>
      <c r="H331" s="217"/>
      <c r="I331" s="218"/>
      <c r="J331" s="217"/>
      <c r="K331" s="202"/>
    </row>
    <row r="332" spans="1:11" x14ac:dyDescent="0.2">
      <c r="A332" s="206"/>
      <c r="B332" s="206"/>
      <c r="C332" s="207"/>
      <c r="D332" s="219"/>
      <c r="E332" s="182"/>
      <c r="F332" s="185" t="s">
        <v>33</v>
      </c>
      <c r="G332" s="185" t="s">
        <v>34</v>
      </c>
      <c r="H332" s="185" t="s">
        <v>198</v>
      </c>
      <c r="I332" s="185" t="s">
        <v>404</v>
      </c>
      <c r="J332" s="220"/>
      <c r="K332" s="195"/>
    </row>
    <row r="333" spans="1:11" x14ac:dyDescent="0.2">
      <c r="A333" s="206"/>
      <c r="B333" s="206"/>
      <c r="C333" s="207"/>
      <c r="D333" s="219" t="str">
        <f>D296</f>
        <v>Consultório 1</v>
      </c>
      <c r="E333" s="182" t="s">
        <v>8</v>
      </c>
      <c r="F333" s="185">
        <f>F296</f>
        <v>6.2</v>
      </c>
      <c r="G333" s="185"/>
      <c r="H333" s="185">
        <v>1.7</v>
      </c>
      <c r="I333" s="223">
        <f>(0.6*1.2)+(0.9*1.7)</f>
        <v>2.25</v>
      </c>
      <c r="J333" s="220">
        <f>ROUND((PRODUCT(F333:H333))-I333,2)</f>
        <v>8.2899999999999991</v>
      </c>
      <c r="K333" s="195"/>
    </row>
    <row r="334" spans="1:11" x14ac:dyDescent="0.2">
      <c r="A334" s="206"/>
      <c r="B334" s="206"/>
      <c r="C334" s="207"/>
      <c r="D334" s="219" t="str">
        <f>D297</f>
        <v>Consultório 2</v>
      </c>
      <c r="E334" s="182" t="s">
        <v>8</v>
      </c>
      <c r="F334" s="185">
        <f>F297</f>
        <v>6.2</v>
      </c>
      <c r="G334" s="185"/>
      <c r="H334" s="185">
        <v>1.7</v>
      </c>
      <c r="I334" s="223">
        <f>(0.6*1.2)+(0.9*1.7)</f>
        <v>2.25</v>
      </c>
      <c r="J334" s="220">
        <f t="shared" ref="J334:J335" si="36">ROUND((PRODUCT(F334:H334))-I334,2)</f>
        <v>8.2899999999999991</v>
      </c>
      <c r="K334" s="195"/>
    </row>
    <row r="335" spans="1:11" x14ac:dyDescent="0.2">
      <c r="A335" s="206"/>
      <c r="B335" s="206"/>
      <c r="C335" s="207"/>
      <c r="D335" s="219" t="str">
        <f>D301</f>
        <v>Hall + sala de curativo</v>
      </c>
      <c r="E335" s="182" t="s">
        <v>8</v>
      </c>
      <c r="F335" s="185">
        <f>F301</f>
        <v>21.9</v>
      </c>
      <c r="G335" s="185"/>
      <c r="H335" s="185">
        <v>1.7</v>
      </c>
      <c r="I335" s="223">
        <f>(3*0.9*1.7)+(3*0.8*1.7)+(1.35*1.3)+(1.75*1.3)</f>
        <v>12.700000000000001</v>
      </c>
      <c r="J335" s="220">
        <f t="shared" si="36"/>
        <v>24.53</v>
      </c>
      <c r="K335" s="195"/>
    </row>
    <row r="336" spans="1:11" x14ac:dyDescent="0.2">
      <c r="A336" s="206"/>
      <c r="B336" s="206"/>
      <c r="C336" s="207"/>
      <c r="D336" s="221"/>
      <c r="E336" s="182"/>
      <c r="F336" s="220"/>
      <c r="G336" s="220"/>
      <c r="H336" s="220"/>
      <c r="I336" s="218" t="str">
        <f>"Total item "&amp;A331</f>
        <v>Total item 1.8.5</v>
      </c>
      <c r="J336" s="217">
        <f>SUM(J333:J335)</f>
        <v>41.11</v>
      </c>
      <c r="K336" s="195"/>
    </row>
    <row r="337" spans="1:11" s="50" customFormat="1" x14ac:dyDescent="0.2">
      <c r="A337" s="206"/>
      <c r="B337" s="206"/>
      <c r="C337" s="207"/>
      <c r="D337" s="208"/>
      <c r="E337" s="206"/>
      <c r="F337" s="209"/>
      <c r="G337" s="209"/>
      <c r="H337" s="209"/>
      <c r="I337" s="210"/>
      <c r="J337" s="209"/>
      <c r="K337" s="200"/>
    </row>
    <row r="338" spans="1:11" s="51" customFormat="1" ht="51" x14ac:dyDescent="0.2">
      <c r="A338" s="214" t="str">
        <f>'ORÇAMENTO COM DESON'!A53</f>
        <v>1.8.6</v>
      </c>
      <c r="B338" s="214"/>
      <c r="C338" s="215"/>
      <c r="D338" s="216" t="str">
        <f>'ORÇAMENTO COM DESON'!D53</f>
        <v>EMBOÇO, PARA RECEBIMENTO DE CERÂMICA, EM ARGAMASSA TRAÇO 1:2:8, PREPARO MANUAL, APLICADO MANUALMENTE EM FACES INTERNAS DE PAREDES, PARA AMBIENTE COM ÁREA MENOR QUE 5M2, ESPESSURA DE 20MM, COM EXECUÇÃO DE TALISCAS. AF_06/2014</v>
      </c>
      <c r="E338" s="214" t="str">
        <f>'ORÇAMENTO COM DESON'!E53</f>
        <v>m²</v>
      </c>
      <c r="F338" s="217"/>
      <c r="G338" s="217"/>
      <c r="H338" s="217"/>
      <c r="I338" s="218"/>
      <c r="J338" s="217"/>
      <c r="K338" s="202"/>
    </row>
    <row r="339" spans="1:11" ht="30.6" x14ac:dyDescent="0.2">
      <c r="A339" s="206"/>
      <c r="B339" s="206"/>
      <c r="C339" s="207"/>
      <c r="D339" s="219"/>
      <c r="E339" s="182"/>
      <c r="F339" s="185" t="s">
        <v>33</v>
      </c>
      <c r="G339" s="185" t="s">
        <v>198</v>
      </c>
      <c r="H339" s="224"/>
      <c r="I339" s="224" t="s">
        <v>408</v>
      </c>
      <c r="J339" s="220"/>
      <c r="K339" s="195"/>
    </row>
    <row r="340" spans="1:11" x14ac:dyDescent="0.2">
      <c r="A340" s="206"/>
      <c r="B340" s="206"/>
      <c r="C340" s="207"/>
      <c r="D340" s="242" t="s">
        <v>395</v>
      </c>
      <c r="E340" s="182"/>
      <c r="F340" s="185">
        <v>3</v>
      </c>
      <c r="G340" s="185">
        <v>2.9</v>
      </c>
      <c r="H340" s="223"/>
      <c r="I340" s="223">
        <v>1.9200000000000002</v>
      </c>
      <c r="J340" s="220">
        <f t="shared" ref="J340" si="37">ROUND((PRODUCT(F340:H340))-I340,2)</f>
        <v>6.78</v>
      </c>
      <c r="K340" s="195"/>
    </row>
    <row r="341" spans="1:11" x14ac:dyDescent="0.2">
      <c r="A341" s="206"/>
      <c r="B341" s="206"/>
      <c r="C341" s="207"/>
      <c r="D341" s="242" t="s">
        <v>396</v>
      </c>
      <c r="E341" s="182"/>
      <c r="F341" s="185">
        <v>3</v>
      </c>
      <c r="G341" s="185">
        <v>2.9</v>
      </c>
      <c r="H341" s="223"/>
      <c r="I341" s="223">
        <v>1.9200000000000002</v>
      </c>
      <c r="J341" s="220">
        <f>ROUND((PRODUCT(F341:H341))-I341,2)</f>
        <v>6.78</v>
      </c>
      <c r="K341" s="195"/>
    </row>
    <row r="342" spans="1:11" x14ac:dyDescent="0.2">
      <c r="A342" s="206"/>
      <c r="B342" s="206"/>
      <c r="C342" s="207"/>
      <c r="D342" s="242" t="s">
        <v>300</v>
      </c>
      <c r="E342" s="182"/>
      <c r="F342" s="185">
        <v>3.5</v>
      </c>
      <c r="G342" s="185">
        <v>2.9</v>
      </c>
      <c r="H342" s="223"/>
      <c r="I342" s="223">
        <v>2.4400000000000004</v>
      </c>
      <c r="J342" s="220">
        <f t="shared" ref="J342:J343" si="38">ROUND((PRODUCT(F342:H342))-I342,2)</f>
        <v>7.71</v>
      </c>
      <c r="K342" s="195"/>
    </row>
    <row r="343" spans="1:11" x14ac:dyDescent="0.2">
      <c r="A343" s="206"/>
      <c r="B343" s="206"/>
      <c r="C343" s="207"/>
      <c r="D343" s="242" t="s">
        <v>301</v>
      </c>
      <c r="E343" s="182"/>
      <c r="F343" s="185">
        <v>3.9</v>
      </c>
      <c r="G343" s="185">
        <v>1.6</v>
      </c>
      <c r="H343" s="223"/>
      <c r="I343" s="223">
        <v>1.2800000000000002</v>
      </c>
      <c r="J343" s="220">
        <f t="shared" si="38"/>
        <v>4.96</v>
      </c>
      <c r="K343" s="195"/>
    </row>
    <row r="344" spans="1:11" x14ac:dyDescent="0.2">
      <c r="A344" s="206"/>
      <c r="B344" s="206"/>
      <c r="C344" s="207"/>
      <c r="D344" s="221"/>
      <c r="E344" s="182"/>
      <c r="F344" s="220"/>
      <c r="G344" s="220"/>
      <c r="H344" s="220"/>
      <c r="I344" s="218" t="str">
        <f>"Total item "&amp;A338</f>
        <v>Total item 1.8.6</v>
      </c>
      <c r="J344" s="217">
        <f>SUM(J340:J343)</f>
        <v>26.23</v>
      </c>
      <c r="K344" s="195"/>
    </row>
    <row r="345" spans="1:11" s="50" customFormat="1" x14ac:dyDescent="0.2">
      <c r="A345" s="206"/>
      <c r="B345" s="206"/>
      <c r="C345" s="207"/>
      <c r="D345" s="208"/>
      <c r="E345" s="206"/>
      <c r="F345" s="209"/>
      <c r="G345" s="209"/>
      <c r="H345" s="209"/>
      <c r="I345" s="210"/>
      <c r="J345" s="209"/>
      <c r="K345" s="200"/>
    </row>
    <row r="346" spans="1:11" s="51" customFormat="1" ht="30.6" x14ac:dyDescent="0.2">
      <c r="A346" s="214" t="str">
        <f>'ORÇAMENTO COM DESON'!A54</f>
        <v>1.8.7</v>
      </c>
      <c r="B346" s="214"/>
      <c r="C346" s="215"/>
      <c r="D346" s="216" t="str">
        <f>'ORÇAMENTO COM DESON'!D54</f>
        <v>REVESTIMENTO CERÂMICO COM PLACAS TIPO ESMALTADA TIPO A DE DIMENSÕES 46X46 CM APLICADAS EM PAREDE INTERNA.</v>
      </c>
      <c r="E346" s="214" t="str">
        <f>'ORÇAMENTO COM DESON'!E54</f>
        <v>m²</v>
      </c>
      <c r="F346" s="217"/>
      <c r="G346" s="217"/>
      <c r="H346" s="217"/>
      <c r="I346" s="218"/>
      <c r="J346" s="217"/>
      <c r="K346" s="202"/>
    </row>
    <row r="347" spans="1:11" ht="30.6" x14ac:dyDescent="0.2">
      <c r="A347" s="206"/>
      <c r="B347" s="206"/>
      <c r="C347" s="207"/>
      <c r="D347" s="219"/>
      <c r="E347" s="182"/>
      <c r="F347" s="185" t="s">
        <v>33</v>
      </c>
      <c r="G347" s="185" t="s">
        <v>198</v>
      </c>
      <c r="H347" s="224"/>
      <c r="I347" s="224" t="s">
        <v>408</v>
      </c>
      <c r="J347" s="220"/>
      <c r="K347" s="195"/>
    </row>
    <row r="348" spans="1:11" x14ac:dyDescent="0.2">
      <c r="A348" s="206"/>
      <c r="B348" s="206"/>
      <c r="C348" s="207"/>
      <c r="D348" s="219" t="s">
        <v>296</v>
      </c>
      <c r="E348" s="182"/>
      <c r="F348" s="185">
        <f t="shared" ref="F348:F354" si="39">F296</f>
        <v>6.2</v>
      </c>
      <c r="G348" s="185">
        <v>1.6</v>
      </c>
      <c r="H348" s="223"/>
      <c r="I348" s="223">
        <f>(0.5*1.2)+(0.9*1.6)</f>
        <v>2.04</v>
      </c>
      <c r="J348" s="220">
        <f t="shared" ref="J348:J354" si="40">ROUND((PRODUCT(F348:H348))-I348,2)</f>
        <v>7.88</v>
      </c>
      <c r="K348" s="195"/>
    </row>
    <row r="349" spans="1:11" x14ac:dyDescent="0.2">
      <c r="A349" s="206"/>
      <c r="B349" s="206"/>
      <c r="C349" s="207"/>
      <c r="D349" s="219" t="s">
        <v>297</v>
      </c>
      <c r="E349" s="182"/>
      <c r="F349" s="185">
        <f t="shared" si="39"/>
        <v>6.2</v>
      </c>
      <c r="G349" s="185">
        <v>1.6</v>
      </c>
      <c r="H349" s="223"/>
      <c r="I349" s="223">
        <f>(0.5*1.2)+(0.9*1.6)</f>
        <v>2.04</v>
      </c>
      <c r="J349" s="220">
        <f t="shared" si="40"/>
        <v>7.88</v>
      </c>
      <c r="K349" s="195"/>
    </row>
    <row r="350" spans="1:11" x14ac:dyDescent="0.2">
      <c r="A350" s="206"/>
      <c r="B350" s="206"/>
      <c r="C350" s="207"/>
      <c r="D350" s="219" t="s">
        <v>95</v>
      </c>
      <c r="E350" s="182"/>
      <c r="F350" s="185">
        <f t="shared" si="39"/>
        <v>3</v>
      </c>
      <c r="G350" s="185">
        <v>1.6</v>
      </c>
      <c r="H350" s="223"/>
      <c r="I350" s="223">
        <v>1.9200000000000002</v>
      </c>
      <c r="J350" s="220">
        <f t="shared" si="40"/>
        <v>2.88</v>
      </c>
      <c r="K350" s="195"/>
    </row>
    <row r="351" spans="1:11" x14ac:dyDescent="0.2">
      <c r="A351" s="206"/>
      <c r="B351" s="206"/>
      <c r="C351" s="207"/>
      <c r="D351" s="219" t="s">
        <v>96</v>
      </c>
      <c r="E351" s="182"/>
      <c r="F351" s="185">
        <f t="shared" si="39"/>
        <v>3</v>
      </c>
      <c r="G351" s="185">
        <v>1.6</v>
      </c>
      <c r="H351" s="223"/>
      <c r="I351" s="223">
        <v>1.9200000000000002</v>
      </c>
      <c r="J351" s="220">
        <f>ROUND((PRODUCT(F351:H351))-I351,2)</f>
        <v>2.88</v>
      </c>
      <c r="K351" s="195"/>
    </row>
    <row r="352" spans="1:11" x14ac:dyDescent="0.2">
      <c r="A352" s="206"/>
      <c r="B352" s="206"/>
      <c r="C352" s="207"/>
      <c r="D352" s="219" t="s">
        <v>300</v>
      </c>
      <c r="E352" s="182"/>
      <c r="F352" s="185">
        <f t="shared" si="39"/>
        <v>3.5</v>
      </c>
      <c r="G352" s="185">
        <v>1.6</v>
      </c>
      <c r="H352" s="223"/>
      <c r="I352" s="223">
        <v>2.4400000000000004</v>
      </c>
      <c r="J352" s="220">
        <f t="shared" si="40"/>
        <v>3.16</v>
      </c>
      <c r="K352" s="195"/>
    </row>
    <row r="353" spans="1:11" x14ac:dyDescent="0.2">
      <c r="A353" s="206"/>
      <c r="B353" s="206"/>
      <c r="C353" s="207"/>
      <c r="D353" s="219" t="s">
        <v>302</v>
      </c>
      <c r="E353" s="182"/>
      <c r="F353" s="185">
        <f t="shared" si="39"/>
        <v>21.9</v>
      </c>
      <c r="G353" s="185">
        <v>1.6</v>
      </c>
      <c r="H353" s="223"/>
      <c r="I353" s="223">
        <f>(3*0.9*1.6)+(3*0.8*1.6)+(1.35*1.2)+(1.75*1.2)</f>
        <v>11.88</v>
      </c>
      <c r="J353" s="220">
        <f t="shared" si="40"/>
        <v>23.16</v>
      </c>
      <c r="K353" s="195"/>
    </row>
    <row r="354" spans="1:11" x14ac:dyDescent="0.2">
      <c r="A354" s="206"/>
      <c r="B354" s="206"/>
      <c r="C354" s="207"/>
      <c r="D354" s="219" t="s">
        <v>301</v>
      </c>
      <c r="E354" s="182"/>
      <c r="F354" s="185">
        <f t="shared" si="39"/>
        <v>3.9</v>
      </c>
      <c r="G354" s="185">
        <v>1.6</v>
      </c>
      <c r="H354" s="223"/>
      <c r="I354" s="223">
        <v>1.2800000000000002</v>
      </c>
      <c r="J354" s="220">
        <f t="shared" si="40"/>
        <v>4.96</v>
      </c>
      <c r="K354" s="195"/>
    </row>
    <row r="355" spans="1:11" x14ac:dyDescent="0.2">
      <c r="A355" s="206"/>
      <c r="B355" s="206"/>
      <c r="C355" s="207"/>
      <c r="D355" s="221"/>
      <c r="E355" s="182"/>
      <c r="F355" s="220"/>
      <c r="G355" s="220"/>
      <c r="H355" s="220"/>
      <c r="I355" s="218" t="str">
        <f>"Total item "&amp;A346</f>
        <v>Total item 1.8.7</v>
      </c>
      <c r="J355" s="217">
        <f>SUM(J348:J354)</f>
        <v>52.800000000000004</v>
      </c>
      <c r="K355" s="195"/>
    </row>
    <row r="356" spans="1:11" s="50" customFormat="1" x14ac:dyDescent="0.2">
      <c r="A356" s="206"/>
      <c r="B356" s="206"/>
      <c r="C356" s="207"/>
      <c r="D356" s="208"/>
      <c r="E356" s="206"/>
      <c r="F356" s="209"/>
      <c r="G356" s="209"/>
      <c r="H356" s="209"/>
      <c r="I356" s="210"/>
      <c r="J356" s="209"/>
      <c r="K356" s="200"/>
    </row>
    <row r="357" spans="1:11" s="51" customFormat="1" ht="20.399999999999999" x14ac:dyDescent="0.2">
      <c r="A357" s="214" t="str">
        <f>'ORÇAMENTO COM DESON'!A55</f>
        <v>1.8.8</v>
      </c>
      <c r="B357" s="214"/>
      <c r="C357" s="215"/>
      <c r="D357" s="216" t="str">
        <f>'ORÇAMENTO COM DESON'!D55</f>
        <v>REVESTIMENTO CERÂMICO COM PLACAS TIPO ESMALTADA EXTRA DE DIMENSÕES 10X10</v>
      </c>
      <c r="E357" s="214" t="str">
        <f>'ORÇAMENTO COM DESON'!E55</f>
        <v>m²</v>
      </c>
      <c r="F357" s="217"/>
      <c r="G357" s="217"/>
      <c r="H357" s="217"/>
      <c r="I357" s="218"/>
      <c r="J357" s="217"/>
      <c r="K357" s="202"/>
    </row>
    <row r="358" spans="1:11" x14ac:dyDescent="0.2">
      <c r="A358" s="206"/>
      <c r="B358" s="206"/>
      <c r="C358" s="207"/>
      <c r="D358" s="219"/>
      <c r="E358" s="182"/>
      <c r="F358" s="185" t="s">
        <v>33</v>
      </c>
      <c r="G358" s="185" t="s">
        <v>198</v>
      </c>
      <c r="H358" s="185" t="s">
        <v>404</v>
      </c>
      <c r="I358" s="185" t="s">
        <v>404</v>
      </c>
      <c r="J358" s="220"/>
      <c r="K358" s="195"/>
    </row>
    <row r="359" spans="1:11" x14ac:dyDescent="0.2">
      <c r="A359" s="206"/>
      <c r="B359" s="206"/>
      <c r="C359" s="207"/>
      <c r="D359" s="219" t="str">
        <f>D328</f>
        <v>Perímetro da área externa</v>
      </c>
      <c r="E359" s="182"/>
      <c r="F359" s="185">
        <f>F328</f>
        <v>29.8</v>
      </c>
      <c r="G359" s="185">
        <v>1.7</v>
      </c>
      <c r="H359" s="185"/>
      <c r="I359" s="223">
        <f>I328</f>
        <v>5.7900000000000009</v>
      </c>
      <c r="J359" s="220">
        <f t="shared" ref="J359:J366" si="41">ROUND((PRODUCT(F359:H359))-I359,2)</f>
        <v>44.87</v>
      </c>
      <c r="K359" s="195"/>
    </row>
    <row r="360" spans="1:11" x14ac:dyDescent="0.2">
      <c r="A360" s="206"/>
      <c r="B360" s="206"/>
      <c r="C360" s="207"/>
      <c r="D360" s="242" t="str">
        <f>D348</f>
        <v>Consultório 1</v>
      </c>
      <c r="E360" s="182"/>
      <c r="F360" s="185">
        <f>F348</f>
        <v>6.2</v>
      </c>
      <c r="G360" s="185">
        <v>0.1</v>
      </c>
      <c r="H360" s="185"/>
      <c r="I360" s="223">
        <f>(0.1*1.2)+(0.1*0.9)</f>
        <v>0.21000000000000002</v>
      </c>
      <c r="J360" s="220">
        <f t="shared" si="41"/>
        <v>0.41</v>
      </c>
      <c r="K360" s="195"/>
    </row>
    <row r="361" spans="1:11" x14ac:dyDescent="0.2">
      <c r="A361" s="206"/>
      <c r="B361" s="206"/>
      <c r="C361" s="207"/>
      <c r="D361" s="242" t="str">
        <f>D349</f>
        <v>Consultório 2</v>
      </c>
      <c r="E361" s="182"/>
      <c r="F361" s="185">
        <f t="shared" ref="F361:F366" si="42">F349</f>
        <v>6.2</v>
      </c>
      <c r="G361" s="185">
        <v>0.1</v>
      </c>
      <c r="H361" s="185"/>
      <c r="I361" s="223">
        <f>(0.1*1.2)+(0.1*0.9)</f>
        <v>0.21000000000000002</v>
      </c>
      <c r="J361" s="220">
        <f t="shared" si="41"/>
        <v>0.41</v>
      </c>
      <c r="K361" s="195"/>
    </row>
    <row r="362" spans="1:11" x14ac:dyDescent="0.2">
      <c r="A362" s="206"/>
      <c r="B362" s="206"/>
      <c r="C362" s="207"/>
      <c r="D362" s="242" t="str">
        <f>D340</f>
        <v>WC feminino</v>
      </c>
      <c r="E362" s="182"/>
      <c r="F362" s="185">
        <f t="shared" si="42"/>
        <v>3</v>
      </c>
      <c r="G362" s="185">
        <v>0.1</v>
      </c>
      <c r="H362" s="185"/>
      <c r="I362" s="223">
        <f>(0.1*0.8)+(0.1*0.8)</f>
        <v>0.16000000000000003</v>
      </c>
      <c r="J362" s="220">
        <f t="shared" si="41"/>
        <v>0.14000000000000001</v>
      </c>
      <c r="K362" s="195"/>
    </row>
    <row r="363" spans="1:11" x14ac:dyDescent="0.2">
      <c r="A363" s="206"/>
      <c r="B363" s="206"/>
      <c r="C363" s="207"/>
      <c r="D363" s="242" t="str">
        <f>D341</f>
        <v>WC masculino</v>
      </c>
      <c r="E363" s="182"/>
      <c r="F363" s="185">
        <f t="shared" si="42"/>
        <v>3</v>
      </c>
      <c r="G363" s="185">
        <v>0.1</v>
      </c>
      <c r="H363" s="185"/>
      <c r="I363" s="223">
        <f>(0.1*0.8)+(0.1*0.8)</f>
        <v>0.16000000000000003</v>
      </c>
      <c r="J363" s="220">
        <f t="shared" si="41"/>
        <v>0.14000000000000001</v>
      </c>
      <c r="K363" s="195"/>
    </row>
    <row r="364" spans="1:11" x14ac:dyDescent="0.2">
      <c r="A364" s="206"/>
      <c r="B364" s="206"/>
      <c r="C364" s="207"/>
      <c r="D364" s="242" t="str">
        <f>D342</f>
        <v>WC acessível</v>
      </c>
      <c r="E364" s="182"/>
      <c r="F364" s="185">
        <f t="shared" si="42"/>
        <v>3.5</v>
      </c>
      <c r="G364" s="185">
        <v>0.1</v>
      </c>
      <c r="H364" s="185"/>
      <c r="I364" s="223">
        <f>(2*0.1*0.8)+(0.1*0.9)</f>
        <v>0.25000000000000006</v>
      </c>
      <c r="J364" s="220">
        <f t="shared" si="41"/>
        <v>0.1</v>
      </c>
      <c r="K364" s="195"/>
    </row>
    <row r="365" spans="1:11" x14ac:dyDescent="0.2">
      <c r="A365" s="206"/>
      <c r="B365" s="206"/>
      <c r="C365" s="207"/>
      <c r="D365" s="219" t="s">
        <v>302</v>
      </c>
      <c r="E365" s="182"/>
      <c r="F365" s="185">
        <f t="shared" si="42"/>
        <v>21.9</v>
      </c>
      <c r="G365" s="185">
        <v>0.1</v>
      </c>
      <c r="H365" s="185"/>
      <c r="I365" s="223">
        <f>(3*0.9*0.1)+(3*0.8*0.1)+(1.35*0.1)+(1.75*0.1)</f>
        <v>0.82000000000000006</v>
      </c>
      <c r="J365" s="220">
        <f t="shared" si="41"/>
        <v>1.37</v>
      </c>
      <c r="K365" s="195"/>
    </row>
    <row r="366" spans="1:11" ht="12" customHeight="1" x14ac:dyDescent="0.2">
      <c r="A366" s="206"/>
      <c r="B366" s="206"/>
      <c r="C366" s="207"/>
      <c r="D366" s="242" t="str">
        <f>D343</f>
        <v>DML</v>
      </c>
      <c r="E366" s="182"/>
      <c r="F366" s="185">
        <f t="shared" si="42"/>
        <v>3.9</v>
      </c>
      <c r="G366" s="185">
        <v>0.1</v>
      </c>
      <c r="H366" s="185"/>
      <c r="I366" s="223">
        <f>(0.1*0.8)</f>
        <v>8.0000000000000016E-2</v>
      </c>
      <c r="J366" s="220">
        <f t="shared" si="41"/>
        <v>0.31</v>
      </c>
      <c r="K366" s="195"/>
    </row>
    <row r="367" spans="1:11" x14ac:dyDescent="0.2">
      <c r="A367" s="206"/>
      <c r="B367" s="206"/>
      <c r="C367" s="207"/>
      <c r="D367" s="221"/>
      <c r="E367" s="182"/>
      <c r="F367" s="220"/>
      <c r="G367" s="220"/>
      <c r="H367" s="220"/>
      <c r="I367" s="218" t="str">
        <f>"Total item "&amp;A357</f>
        <v>Total item 1.8.8</v>
      </c>
      <c r="J367" s="217">
        <f>SUM(J359:J366)</f>
        <v>47.749999999999993</v>
      </c>
      <c r="K367" s="195"/>
    </row>
    <row r="368" spans="1:11" s="50" customFormat="1" x14ac:dyDescent="0.2">
      <c r="A368" s="206"/>
      <c r="B368" s="206"/>
      <c r="C368" s="207"/>
      <c r="D368" s="208"/>
      <c r="E368" s="206"/>
      <c r="F368" s="209"/>
      <c r="G368" s="209"/>
      <c r="H368" s="209"/>
      <c r="I368" s="210"/>
      <c r="J368" s="209"/>
      <c r="K368" s="200"/>
    </row>
    <row r="369" spans="1:11" s="69" customFormat="1" x14ac:dyDescent="0.2">
      <c r="A369" s="175" t="str">
        <f>'ORÇAMENTO COM DESON'!A56</f>
        <v>1.9</v>
      </c>
      <c r="B369" s="176"/>
      <c r="C369" s="177"/>
      <c r="D369" s="211" t="str">
        <f>'ORÇAMENTO COM DESON'!D56</f>
        <v>PISO/ PASSEIO</v>
      </c>
      <c r="E369" s="176"/>
      <c r="F369" s="212"/>
      <c r="G369" s="212"/>
      <c r="H369" s="212"/>
      <c r="I369" s="213"/>
      <c r="J369" s="212"/>
      <c r="K369" s="201"/>
    </row>
    <row r="370" spans="1:11" s="50" customFormat="1" x14ac:dyDescent="0.2">
      <c r="A370" s="206"/>
      <c r="B370" s="206"/>
      <c r="C370" s="207"/>
      <c r="D370" s="208"/>
      <c r="E370" s="206"/>
      <c r="F370" s="209"/>
      <c r="G370" s="209"/>
      <c r="H370" s="209"/>
      <c r="I370" s="210"/>
      <c r="J370" s="209"/>
      <c r="K370" s="200"/>
    </row>
    <row r="371" spans="1:11" s="51" customFormat="1" ht="20.399999999999999" x14ac:dyDescent="0.2">
      <c r="A371" s="214" t="str">
        <f>'ORÇAMENTO COM DESON'!A57</f>
        <v>1.9.1</v>
      </c>
      <c r="B371" s="214"/>
      <c r="C371" s="215"/>
      <c r="D371" s="216" t="str">
        <f>'ORÇAMENTO COM DESON'!D57</f>
        <v>LASTRO DE CONCRETO MAGRO, APLICADO EM PISOS, LAJES SOBRE SOLO OU RADIERS, ESPESSURA DE 5 CM. AF_07/2016</v>
      </c>
      <c r="E371" s="214" t="str">
        <f>'ORÇAMENTO COM DESON'!E57</f>
        <v>m²</v>
      </c>
      <c r="F371" s="217"/>
      <c r="G371" s="217"/>
      <c r="H371" s="217"/>
      <c r="I371" s="218"/>
      <c r="J371" s="217"/>
      <c r="K371" s="202"/>
    </row>
    <row r="372" spans="1:11" x14ac:dyDescent="0.2">
      <c r="A372" s="206"/>
      <c r="B372" s="206"/>
      <c r="C372" s="207"/>
      <c r="D372" s="219"/>
      <c r="E372" s="182"/>
      <c r="F372" s="223" t="s">
        <v>18</v>
      </c>
      <c r="G372" s="185"/>
      <c r="H372" s="185"/>
      <c r="I372" s="223"/>
      <c r="J372" s="220"/>
      <c r="K372" s="195"/>
    </row>
    <row r="373" spans="1:11" x14ac:dyDescent="0.2">
      <c r="A373" s="206"/>
      <c r="B373" s="206"/>
      <c r="C373" s="207"/>
      <c r="D373" s="219" t="str">
        <f>D385</f>
        <v>Consultório 1</v>
      </c>
      <c r="E373" s="182"/>
      <c r="F373" s="185">
        <f>F385</f>
        <v>9.6</v>
      </c>
      <c r="G373" s="185"/>
      <c r="H373" s="185"/>
      <c r="I373" s="223"/>
      <c r="J373" s="220">
        <f>ROUND(PRODUCT(F373:I373),2)</f>
        <v>9.6</v>
      </c>
      <c r="K373" s="195"/>
    </row>
    <row r="374" spans="1:11" x14ac:dyDescent="0.2">
      <c r="A374" s="206"/>
      <c r="B374" s="206"/>
      <c r="C374" s="207"/>
      <c r="D374" s="219" t="str">
        <f>D386</f>
        <v>Consultório 2</v>
      </c>
      <c r="E374" s="182"/>
      <c r="F374" s="185">
        <f>F386</f>
        <v>9.6</v>
      </c>
      <c r="G374" s="185"/>
      <c r="H374" s="185"/>
      <c r="I374" s="223"/>
      <c r="J374" s="220">
        <f>ROUND(PRODUCT(F374:I374),2)</f>
        <v>9.6</v>
      </c>
      <c r="K374" s="195"/>
    </row>
    <row r="375" spans="1:11" x14ac:dyDescent="0.2">
      <c r="A375" s="206"/>
      <c r="B375" s="206"/>
      <c r="C375" s="207"/>
      <c r="D375" s="219" t="str">
        <f>D387</f>
        <v>Hall + sala de curativo</v>
      </c>
      <c r="E375" s="182"/>
      <c r="F375" s="185">
        <f>F387</f>
        <v>16.93</v>
      </c>
      <c r="G375" s="185"/>
      <c r="H375" s="185"/>
      <c r="I375" s="223"/>
      <c r="J375" s="220">
        <f>ROUND(PRODUCT(F375:I375),2)</f>
        <v>16.93</v>
      </c>
      <c r="K375" s="195"/>
    </row>
    <row r="376" spans="1:11" x14ac:dyDescent="0.2">
      <c r="A376" s="206"/>
      <c r="B376" s="206"/>
      <c r="C376" s="207"/>
      <c r="D376" s="219" t="str">
        <f>D388</f>
        <v>DML</v>
      </c>
      <c r="E376" s="182"/>
      <c r="F376" s="185">
        <f>F388</f>
        <v>2.7</v>
      </c>
      <c r="G376" s="185"/>
      <c r="H376" s="185"/>
      <c r="I376" s="223"/>
      <c r="J376" s="220">
        <f t="shared" ref="J376:J380" si="43">ROUND(PRODUCT(F376:I376),2)</f>
        <v>2.7</v>
      </c>
      <c r="K376" s="195"/>
    </row>
    <row r="377" spans="1:11" x14ac:dyDescent="0.2">
      <c r="A377" s="206"/>
      <c r="B377" s="206"/>
      <c r="C377" s="207"/>
      <c r="D377" s="219" t="s">
        <v>95</v>
      </c>
      <c r="E377" s="182"/>
      <c r="F377" s="185">
        <v>2.25</v>
      </c>
      <c r="G377" s="185"/>
      <c r="H377" s="185"/>
      <c r="I377" s="223"/>
      <c r="J377" s="220">
        <f t="shared" si="43"/>
        <v>2.25</v>
      </c>
      <c r="K377" s="195"/>
    </row>
    <row r="378" spans="1:11" x14ac:dyDescent="0.2">
      <c r="A378" s="206"/>
      <c r="B378" s="206"/>
      <c r="C378" s="207"/>
      <c r="D378" s="219" t="s">
        <v>96</v>
      </c>
      <c r="E378" s="182"/>
      <c r="F378" s="185">
        <v>2.25</v>
      </c>
      <c r="G378" s="185"/>
      <c r="H378" s="185"/>
      <c r="I378" s="223"/>
      <c r="J378" s="220">
        <f t="shared" si="43"/>
        <v>2.25</v>
      </c>
      <c r="K378" s="195"/>
    </row>
    <row r="379" spans="1:11" x14ac:dyDescent="0.2">
      <c r="A379" s="206"/>
      <c r="B379" s="206"/>
      <c r="C379" s="207"/>
      <c r="D379" s="219" t="s">
        <v>300</v>
      </c>
      <c r="E379" s="182"/>
      <c r="F379" s="185">
        <v>2.97</v>
      </c>
      <c r="G379" s="185"/>
      <c r="H379" s="185"/>
      <c r="I379" s="223"/>
      <c r="J379" s="220">
        <f t="shared" si="43"/>
        <v>2.97</v>
      </c>
      <c r="K379" s="195"/>
    </row>
    <row r="380" spans="1:11" x14ac:dyDescent="0.2">
      <c r="A380" s="206"/>
      <c r="B380" s="206"/>
      <c r="C380" s="207"/>
      <c r="D380" s="219" t="s">
        <v>500</v>
      </c>
      <c r="E380" s="182"/>
      <c r="F380" s="185">
        <v>11</v>
      </c>
      <c r="G380" s="185"/>
      <c r="H380" s="185"/>
      <c r="I380" s="223"/>
      <c r="J380" s="220">
        <f t="shared" si="43"/>
        <v>11</v>
      </c>
      <c r="K380" s="195"/>
    </row>
    <row r="381" spans="1:11" x14ac:dyDescent="0.2">
      <c r="A381" s="206"/>
      <c r="B381" s="206"/>
      <c r="C381" s="207"/>
      <c r="D381" s="221"/>
      <c r="E381" s="182"/>
      <c r="F381" s="220"/>
      <c r="G381" s="220"/>
      <c r="H381" s="220"/>
      <c r="I381" s="218" t="str">
        <f>"Total item "&amp;A371</f>
        <v>Total item 1.9.1</v>
      </c>
      <c r="J381" s="217">
        <f>SUM(J373:J380)</f>
        <v>57.3</v>
      </c>
      <c r="K381" s="195"/>
    </row>
    <row r="382" spans="1:11" s="50" customFormat="1" x14ac:dyDescent="0.2">
      <c r="A382" s="206"/>
      <c r="B382" s="206"/>
      <c r="C382" s="207"/>
      <c r="D382" s="208"/>
      <c r="E382" s="206"/>
      <c r="F382" s="209"/>
      <c r="G382" s="209"/>
      <c r="H382" s="209"/>
      <c r="I382" s="210"/>
      <c r="J382" s="209"/>
      <c r="K382" s="200"/>
    </row>
    <row r="383" spans="1:11" s="51" customFormat="1" ht="51" x14ac:dyDescent="0.2">
      <c r="A383" s="214" t="str">
        <f>'ORÇAMENTO COM DESON'!A58</f>
        <v>1.9.2</v>
      </c>
      <c r="B383" s="214"/>
      <c r="C383" s="215"/>
      <c r="D383" s="216" t="str">
        <f>'ORÇAMENTO COM DESON'!D58</f>
        <v>CONTRAPISO EM ARGAMASSA TRAÇO 1:4 (CIMENTO E AREIA), PREPARO MECÂNICO COM BETONEIRA 400 L, APLICADO EM ÁREAS SECAS SOBRE LAJE, ADERIDO, ACABAMENTO NÃO REFORÇADO, ESPESSURA 2CM. AF_07/2021</v>
      </c>
      <c r="E383" s="214" t="str">
        <f>'ORÇAMENTO COM DESON'!E58</f>
        <v>m²</v>
      </c>
      <c r="F383" s="217"/>
      <c r="G383" s="217"/>
      <c r="H383" s="217"/>
      <c r="I383" s="218"/>
      <c r="J383" s="217"/>
      <c r="K383" s="202"/>
    </row>
    <row r="384" spans="1:11" x14ac:dyDescent="0.2">
      <c r="A384" s="206"/>
      <c r="B384" s="206"/>
      <c r="C384" s="207"/>
      <c r="D384" s="219"/>
      <c r="E384" s="182"/>
      <c r="F384" s="223" t="s">
        <v>18</v>
      </c>
      <c r="G384" s="185"/>
      <c r="H384" s="185"/>
      <c r="I384" s="223"/>
      <c r="J384" s="220"/>
      <c r="K384" s="195"/>
    </row>
    <row r="385" spans="1:11" x14ac:dyDescent="0.2">
      <c r="A385" s="206"/>
      <c r="B385" s="206"/>
      <c r="C385" s="207"/>
      <c r="D385" s="219" t="str">
        <f>D401</f>
        <v>Consultório 1</v>
      </c>
      <c r="E385" s="182"/>
      <c r="F385" s="185">
        <f>F401</f>
        <v>9.6</v>
      </c>
      <c r="G385" s="185"/>
      <c r="H385" s="185"/>
      <c r="I385" s="223"/>
      <c r="J385" s="220">
        <f>ROUND(PRODUCT(F385:I385),2)</f>
        <v>9.6</v>
      </c>
      <c r="K385" s="195"/>
    </row>
    <row r="386" spans="1:11" x14ac:dyDescent="0.2">
      <c r="A386" s="206"/>
      <c r="B386" s="206"/>
      <c r="C386" s="207"/>
      <c r="D386" s="219" t="str">
        <f>D402</f>
        <v>Consultório 2</v>
      </c>
      <c r="E386" s="182"/>
      <c r="F386" s="185">
        <f>F402</f>
        <v>9.6</v>
      </c>
      <c r="G386" s="185"/>
      <c r="H386" s="185"/>
      <c r="I386" s="223"/>
      <c r="J386" s="220">
        <f>ROUND(PRODUCT(F386:I386),2)</f>
        <v>9.6</v>
      </c>
      <c r="K386" s="195"/>
    </row>
    <row r="387" spans="1:11" x14ac:dyDescent="0.2">
      <c r="A387" s="206"/>
      <c r="B387" s="206"/>
      <c r="C387" s="207"/>
      <c r="D387" s="219" t="str">
        <f>D403</f>
        <v>Hall + sala de curativo</v>
      </c>
      <c r="E387" s="182"/>
      <c r="F387" s="185">
        <f>F403</f>
        <v>16.93</v>
      </c>
      <c r="G387" s="185"/>
      <c r="H387" s="185"/>
      <c r="I387" s="223"/>
      <c r="J387" s="220">
        <f>ROUND(PRODUCT(F387:I387),2)</f>
        <v>16.93</v>
      </c>
      <c r="K387" s="195"/>
    </row>
    <row r="388" spans="1:11" x14ac:dyDescent="0.2">
      <c r="A388" s="206"/>
      <c r="B388" s="206"/>
      <c r="C388" s="207"/>
      <c r="D388" s="219" t="str">
        <f>D404</f>
        <v>DML</v>
      </c>
      <c r="E388" s="182"/>
      <c r="F388" s="185">
        <f>F404</f>
        <v>2.7</v>
      </c>
      <c r="G388" s="185"/>
      <c r="H388" s="185"/>
      <c r="I388" s="223"/>
      <c r="J388" s="220">
        <f>ROUND(PRODUCT(F388:I388),2)</f>
        <v>2.7</v>
      </c>
      <c r="K388" s="195"/>
    </row>
    <row r="389" spans="1:11" x14ac:dyDescent="0.2">
      <c r="A389" s="206"/>
      <c r="B389" s="206"/>
      <c r="C389" s="207"/>
      <c r="D389" s="221"/>
      <c r="E389" s="182"/>
      <c r="F389" s="220"/>
      <c r="G389" s="220"/>
      <c r="H389" s="220"/>
      <c r="I389" s="218" t="str">
        <f>"Total item "&amp;A383</f>
        <v>Total item 1.9.2</v>
      </c>
      <c r="J389" s="217">
        <f>SUM(J385:J388)</f>
        <v>38.83</v>
      </c>
      <c r="K389" s="195"/>
    </row>
    <row r="390" spans="1:11" s="50" customFormat="1" x14ac:dyDescent="0.2">
      <c r="A390" s="206"/>
      <c r="B390" s="206"/>
      <c r="C390" s="207"/>
      <c r="D390" s="208"/>
      <c r="E390" s="206"/>
      <c r="F390" s="209"/>
      <c r="G390" s="209"/>
      <c r="H390" s="209"/>
      <c r="I390" s="210"/>
      <c r="J390" s="209"/>
      <c r="K390" s="200"/>
    </row>
    <row r="391" spans="1:11" s="51" customFormat="1" ht="33.75" customHeight="1" x14ac:dyDescent="0.2">
      <c r="A391" s="214" t="str">
        <f>'ORÇAMENTO COM DESON'!A59</f>
        <v>1.9.3</v>
      </c>
      <c r="B391" s="214"/>
      <c r="C391" s="215"/>
      <c r="D391" s="216" t="str">
        <f>'ORÇAMENTO COM DESON'!D59</f>
        <v>CONTRAPISO EM ARGAMASSA TRAÇO 1:4 (CIMENTO E AREIA), PREPARO MECÂNICO COM BETONEIRA 400 L, APLICADO EM ÁREAS MOLHADAS SOBRE LAJE, ADERIDO, ACABAMENTO NÃO REFORÇADO, ESPESSURA 2CM. AF_07/2021</v>
      </c>
      <c r="E391" s="214" t="str">
        <f>'ORÇAMENTO COM DESON'!E59</f>
        <v>m²</v>
      </c>
      <c r="F391" s="217"/>
      <c r="G391" s="217"/>
      <c r="H391" s="217"/>
      <c r="I391" s="218"/>
      <c r="J391" s="217"/>
      <c r="K391" s="202"/>
    </row>
    <row r="392" spans="1:11" x14ac:dyDescent="0.2">
      <c r="A392" s="206"/>
      <c r="B392" s="206"/>
      <c r="C392" s="207"/>
      <c r="D392" s="219"/>
      <c r="E392" s="182"/>
      <c r="F392" s="223" t="s">
        <v>18</v>
      </c>
      <c r="G392" s="185"/>
      <c r="H392" s="185"/>
      <c r="I392" s="223"/>
      <c r="J392" s="220"/>
      <c r="K392" s="195"/>
    </row>
    <row r="393" spans="1:11" x14ac:dyDescent="0.2">
      <c r="A393" s="206"/>
      <c r="B393" s="206"/>
      <c r="C393" s="207"/>
      <c r="D393" s="219" t="s">
        <v>95</v>
      </c>
      <c r="E393" s="182"/>
      <c r="F393" s="185">
        <v>2.25</v>
      </c>
      <c r="G393" s="185"/>
      <c r="H393" s="185"/>
      <c r="I393" s="223"/>
      <c r="J393" s="220">
        <f>ROUND(PRODUCT(F393:I393),2)</f>
        <v>2.25</v>
      </c>
      <c r="K393" s="195"/>
    </row>
    <row r="394" spans="1:11" x14ac:dyDescent="0.2">
      <c r="A394" s="206"/>
      <c r="B394" s="206"/>
      <c r="C394" s="207"/>
      <c r="D394" s="219" t="s">
        <v>96</v>
      </c>
      <c r="E394" s="182"/>
      <c r="F394" s="185">
        <v>2.25</v>
      </c>
      <c r="G394" s="185"/>
      <c r="H394" s="185"/>
      <c r="I394" s="223"/>
      <c r="J394" s="220">
        <f>ROUND(PRODUCT(F394:I394),2)</f>
        <v>2.25</v>
      </c>
      <c r="K394" s="195"/>
    </row>
    <row r="395" spans="1:11" x14ac:dyDescent="0.2">
      <c r="A395" s="206"/>
      <c r="B395" s="206"/>
      <c r="C395" s="207"/>
      <c r="D395" s="219" t="s">
        <v>300</v>
      </c>
      <c r="E395" s="182"/>
      <c r="F395" s="185">
        <v>2.97</v>
      </c>
      <c r="G395" s="185"/>
      <c r="H395" s="185"/>
      <c r="I395" s="223"/>
      <c r="J395" s="220">
        <f>ROUND(PRODUCT(F395:I395),2)</f>
        <v>2.97</v>
      </c>
      <c r="K395" s="195"/>
    </row>
    <row r="396" spans="1:11" x14ac:dyDescent="0.2">
      <c r="A396" s="206"/>
      <c r="B396" s="206"/>
      <c r="C396" s="207"/>
      <c r="D396" s="219" t="s">
        <v>500</v>
      </c>
      <c r="E396" s="182"/>
      <c r="F396" s="185">
        <v>11</v>
      </c>
      <c r="G396" s="185"/>
      <c r="H396" s="185"/>
      <c r="I396" s="223"/>
      <c r="J396" s="220">
        <f t="shared" ref="J396" si="44">ROUND(PRODUCT(F396:I396),2)</f>
        <v>11</v>
      </c>
      <c r="K396" s="195"/>
    </row>
    <row r="397" spans="1:11" x14ac:dyDescent="0.2">
      <c r="A397" s="206"/>
      <c r="B397" s="206"/>
      <c r="C397" s="207"/>
      <c r="D397" s="221"/>
      <c r="E397" s="182"/>
      <c r="F397" s="220"/>
      <c r="G397" s="220"/>
      <c r="H397" s="220"/>
      <c r="I397" s="218" t="str">
        <f>"Total item "&amp;A391</f>
        <v>Total item 1.9.3</v>
      </c>
      <c r="J397" s="217">
        <f>SUM(J393:J396)</f>
        <v>18.47</v>
      </c>
      <c r="K397" s="195"/>
    </row>
    <row r="398" spans="1:11" s="50" customFormat="1" x14ac:dyDescent="0.2">
      <c r="A398" s="206"/>
      <c r="B398" s="206"/>
      <c r="C398" s="207"/>
      <c r="D398" s="208"/>
      <c r="E398" s="206"/>
      <c r="F398" s="209"/>
      <c r="G398" s="209"/>
      <c r="H398" s="209"/>
      <c r="I398" s="210"/>
      <c r="J398" s="209"/>
      <c r="K398" s="200"/>
    </row>
    <row r="399" spans="1:11" s="51" customFormat="1" ht="33.75" customHeight="1" x14ac:dyDescent="0.2">
      <c r="A399" s="214" t="str">
        <f>'ORÇAMENTO COM DESON'!A60</f>
        <v>1.9.4</v>
      </c>
      <c r="B399" s="214"/>
      <c r="C399" s="215"/>
      <c r="D399" s="216" t="str">
        <f>'ORÇAMENTO COM DESON'!D60</f>
        <v>REVESTIMENTO CERÂMICO COM PLACAS TIPO ESMALTADA TIPO A DE DIMENSÕES 46X46 CM APLICADAS EM PISO.</v>
      </c>
      <c r="E399" s="214" t="str">
        <f>'ORÇAMENTO COM DESON'!E60</f>
        <v>m²</v>
      </c>
      <c r="F399" s="217"/>
      <c r="G399" s="217"/>
      <c r="H399" s="217"/>
      <c r="I399" s="218"/>
      <c r="J399" s="217"/>
      <c r="K399" s="202"/>
    </row>
    <row r="400" spans="1:11" x14ac:dyDescent="0.2">
      <c r="A400" s="206"/>
      <c r="B400" s="206"/>
      <c r="C400" s="207"/>
      <c r="D400" s="219"/>
      <c r="E400" s="182"/>
      <c r="F400" s="185" t="s">
        <v>18</v>
      </c>
      <c r="G400" s="185"/>
      <c r="H400" s="185"/>
      <c r="I400" s="223"/>
      <c r="J400" s="220"/>
      <c r="K400" s="195"/>
    </row>
    <row r="401" spans="1:11" x14ac:dyDescent="0.2">
      <c r="A401" s="206"/>
      <c r="B401" s="206"/>
      <c r="C401" s="207"/>
      <c r="D401" s="219" t="s">
        <v>296</v>
      </c>
      <c r="E401" s="182"/>
      <c r="F401" s="185">
        <v>9.6</v>
      </c>
      <c r="G401" s="185"/>
      <c r="H401" s="185"/>
      <c r="I401" s="223"/>
      <c r="J401" s="220">
        <f>ROUND(PRODUCT(F401:I401),2)</f>
        <v>9.6</v>
      </c>
      <c r="K401" s="195"/>
    </row>
    <row r="402" spans="1:11" x14ac:dyDescent="0.2">
      <c r="A402" s="206"/>
      <c r="B402" s="206"/>
      <c r="C402" s="207"/>
      <c r="D402" s="219" t="s">
        <v>297</v>
      </c>
      <c r="E402" s="182"/>
      <c r="F402" s="185">
        <v>9.6</v>
      </c>
      <c r="G402" s="185"/>
      <c r="H402" s="185"/>
      <c r="I402" s="223"/>
      <c r="J402" s="220">
        <f>ROUND(PRODUCT(F402:I402),2)</f>
        <v>9.6</v>
      </c>
      <c r="K402" s="195"/>
    </row>
    <row r="403" spans="1:11" x14ac:dyDescent="0.2">
      <c r="A403" s="206"/>
      <c r="B403" s="206"/>
      <c r="C403" s="207"/>
      <c r="D403" s="219" t="s">
        <v>302</v>
      </c>
      <c r="E403" s="182"/>
      <c r="F403" s="185">
        <v>16.93</v>
      </c>
      <c r="G403" s="185"/>
      <c r="H403" s="185"/>
      <c r="I403" s="223"/>
      <c r="J403" s="220">
        <f>ROUND(PRODUCT(F403:I403),2)</f>
        <v>16.93</v>
      </c>
      <c r="K403" s="195"/>
    </row>
    <row r="404" spans="1:11" x14ac:dyDescent="0.2">
      <c r="A404" s="206"/>
      <c r="B404" s="206"/>
      <c r="C404" s="207"/>
      <c r="D404" s="219" t="s">
        <v>301</v>
      </c>
      <c r="E404" s="182"/>
      <c r="F404" s="185">
        <v>2.7</v>
      </c>
      <c r="G404" s="185"/>
      <c r="H404" s="185"/>
      <c r="I404" s="223"/>
      <c r="J404" s="220">
        <f t="shared" ref="J404" si="45">ROUND(PRODUCT(F404:I404),2)</f>
        <v>2.7</v>
      </c>
      <c r="K404" s="195"/>
    </row>
    <row r="405" spans="1:11" x14ac:dyDescent="0.2">
      <c r="A405" s="206"/>
      <c r="B405" s="206"/>
      <c r="C405" s="207"/>
      <c r="D405" s="219" t="s">
        <v>95</v>
      </c>
      <c r="E405" s="182"/>
      <c r="F405" s="185">
        <v>2.25</v>
      </c>
      <c r="G405" s="185"/>
      <c r="H405" s="185"/>
      <c r="I405" s="223"/>
      <c r="J405" s="220">
        <f>ROUND(PRODUCT(F405:I405),2)</f>
        <v>2.25</v>
      </c>
      <c r="K405" s="195"/>
    </row>
    <row r="406" spans="1:11" x14ac:dyDescent="0.2">
      <c r="A406" s="206"/>
      <c r="B406" s="206"/>
      <c r="C406" s="207"/>
      <c r="D406" s="219" t="s">
        <v>96</v>
      </c>
      <c r="E406" s="182"/>
      <c r="F406" s="185">
        <v>2.25</v>
      </c>
      <c r="G406" s="185"/>
      <c r="H406" s="185"/>
      <c r="I406" s="223"/>
      <c r="J406" s="220">
        <f>ROUND(PRODUCT(F406:I406),2)</f>
        <v>2.25</v>
      </c>
      <c r="K406" s="195"/>
    </row>
    <row r="407" spans="1:11" x14ac:dyDescent="0.2">
      <c r="A407" s="206"/>
      <c r="B407" s="206"/>
      <c r="C407" s="207"/>
      <c r="D407" s="219" t="s">
        <v>300</v>
      </c>
      <c r="E407" s="182"/>
      <c r="F407" s="185">
        <v>2.97</v>
      </c>
      <c r="G407" s="185"/>
      <c r="H407" s="185"/>
      <c r="I407" s="223"/>
      <c r="J407" s="220">
        <f>ROUND(PRODUCT(F407:I407),2)</f>
        <v>2.97</v>
      </c>
      <c r="K407" s="195"/>
    </row>
    <row r="408" spans="1:11" x14ac:dyDescent="0.2">
      <c r="A408" s="206"/>
      <c r="B408" s="206"/>
      <c r="C408" s="207"/>
      <c r="D408" s="221"/>
      <c r="E408" s="182"/>
      <c r="F408" s="220"/>
      <c r="G408" s="220"/>
      <c r="H408" s="220"/>
      <c r="I408" s="218" t="str">
        <f>"Total item "&amp;A399</f>
        <v>Total item 1.9.4</v>
      </c>
      <c r="J408" s="217">
        <f>SUM(J401:J407)</f>
        <v>46.3</v>
      </c>
      <c r="K408" s="195"/>
    </row>
    <row r="409" spans="1:11" s="50" customFormat="1" x14ac:dyDescent="0.2">
      <c r="A409" s="206"/>
      <c r="B409" s="206"/>
      <c r="C409" s="207"/>
      <c r="D409" s="208"/>
      <c r="E409" s="206"/>
      <c r="F409" s="209"/>
      <c r="G409" s="209"/>
      <c r="H409" s="209"/>
      <c r="I409" s="210"/>
      <c r="J409" s="209"/>
      <c r="K409" s="200"/>
    </row>
    <row r="410" spans="1:11" s="51" customFormat="1" ht="20.399999999999999" x14ac:dyDescent="0.2">
      <c r="A410" s="214" t="str">
        <f>'ORÇAMENTO COM DESON'!A61</f>
        <v>1.9.5</v>
      </c>
      <c r="B410" s="214"/>
      <c r="C410" s="215"/>
      <c r="D410" s="216" t="str">
        <f>'ORÇAMENTO COM DESON'!D61</f>
        <v xml:space="preserve">SOLEIRA EM GRANITO, LARGURA 15 CM, ESPESSURA 2,0 CM. AF_09/2020 </v>
      </c>
      <c r="E410" s="214" t="str">
        <f>'ORÇAMENTO COM DESON'!E61</f>
        <v>m</v>
      </c>
      <c r="F410" s="217"/>
      <c r="G410" s="217"/>
      <c r="H410" s="217"/>
      <c r="I410" s="218"/>
      <c r="J410" s="217"/>
      <c r="K410" s="202"/>
    </row>
    <row r="411" spans="1:11" x14ac:dyDescent="0.2">
      <c r="A411" s="206"/>
      <c r="B411" s="206"/>
      <c r="C411" s="207"/>
      <c r="D411" s="219"/>
      <c r="E411" s="182"/>
      <c r="F411" s="185" t="s">
        <v>149</v>
      </c>
      <c r="G411" s="185"/>
      <c r="H411" s="185"/>
      <c r="I411" s="222"/>
      <c r="J411" s="220"/>
      <c r="K411" s="195"/>
    </row>
    <row r="412" spans="1:11" x14ac:dyDescent="0.2">
      <c r="A412" s="206"/>
      <c r="B412" s="206"/>
      <c r="C412" s="207"/>
      <c r="D412" s="219" t="s">
        <v>296</v>
      </c>
      <c r="E412" s="182" t="s">
        <v>21</v>
      </c>
      <c r="F412" s="185">
        <v>0.9</v>
      </c>
      <c r="G412" s="185"/>
      <c r="H412" s="185"/>
      <c r="I412" s="222"/>
      <c r="J412" s="220">
        <f>ROUND(PRODUCT(F412:I412),2)</f>
        <v>0.9</v>
      </c>
      <c r="K412" s="195"/>
    </row>
    <row r="413" spans="1:11" x14ac:dyDescent="0.2">
      <c r="A413" s="206"/>
      <c r="B413" s="206"/>
      <c r="C413" s="207"/>
      <c r="D413" s="219" t="s">
        <v>297</v>
      </c>
      <c r="E413" s="182" t="s">
        <v>21</v>
      </c>
      <c r="F413" s="185">
        <v>0.9</v>
      </c>
      <c r="G413" s="185"/>
      <c r="H413" s="185"/>
      <c r="I413" s="222"/>
      <c r="J413" s="220">
        <f>ROUND(PRODUCT(F413:I413),2)</f>
        <v>0.9</v>
      </c>
      <c r="K413" s="195"/>
    </row>
    <row r="414" spans="1:11" x14ac:dyDescent="0.2">
      <c r="A414" s="206"/>
      <c r="B414" s="206"/>
      <c r="C414" s="207"/>
      <c r="D414" s="219" t="s">
        <v>302</v>
      </c>
      <c r="E414" s="182" t="s">
        <v>21</v>
      </c>
      <c r="F414" s="185">
        <v>1</v>
      </c>
      <c r="G414" s="185"/>
      <c r="H414" s="185"/>
      <c r="I414" s="222"/>
      <c r="J414" s="220">
        <f t="shared" ref="J414:J418" si="46">ROUND(PRODUCT(F414:I414),2)</f>
        <v>1</v>
      </c>
      <c r="K414" s="195"/>
    </row>
    <row r="415" spans="1:11" x14ac:dyDescent="0.2">
      <c r="A415" s="206"/>
      <c r="B415" s="206"/>
      <c r="C415" s="207"/>
      <c r="D415" s="219" t="s">
        <v>301</v>
      </c>
      <c r="E415" s="182" t="s">
        <v>21</v>
      </c>
      <c r="F415" s="185">
        <v>0.8</v>
      </c>
      <c r="G415" s="185"/>
      <c r="H415" s="185"/>
      <c r="I415" s="222"/>
      <c r="J415" s="220">
        <f t="shared" si="46"/>
        <v>0.8</v>
      </c>
      <c r="K415" s="195"/>
    </row>
    <row r="416" spans="1:11" x14ac:dyDescent="0.2">
      <c r="A416" s="206"/>
      <c r="B416" s="206"/>
      <c r="C416" s="207"/>
      <c r="D416" s="219" t="s">
        <v>95</v>
      </c>
      <c r="E416" s="182" t="s">
        <v>21</v>
      </c>
      <c r="F416" s="185">
        <v>0.8</v>
      </c>
      <c r="G416" s="185"/>
      <c r="H416" s="185"/>
      <c r="I416" s="222"/>
      <c r="J416" s="220">
        <f t="shared" si="46"/>
        <v>0.8</v>
      </c>
      <c r="K416" s="195"/>
    </row>
    <row r="417" spans="1:11" x14ac:dyDescent="0.2">
      <c r="A417" s="206"/>
      <c r="B417" s="206"/>
      <c r="C417" s="207"/>
      <c r="D417" s="219" t="s">
        <v>96</v>
      </c>
      <c r="E417" s="182" t="s">
        <v>21</v>
      </c>
      <c r="F417" s="185">
        <v>0.8</v>
      </c>
      <c r="G417" s="185"/>
      <c r="H417" s="185"/>
      <c r="I417" s="222"/>
      <c r="J417" s="220">
        <f t="shared" si="46"/>
        <v>0.8</v>
      </c>
      <c r="K417" s="195"/>
    </row>
    <row r="418" spans="1:11" x14ac:dyDescent="0.2">
      <c r="A418" s="206"/>
      <c r="B418" s="206"/>
      <c r="C418" s="207"/>
      <c r="D418" s="219" t="s">
        <v>300</v>
      </c>
      <c r="E418" s="182" t="s">
        <v>21</v>
      </c>
      <c r="F418" s="185">
        <v>0.9</v>
      </c>
      <c r="G418" s="185"/>
      <c r="H418" s="185"/>
      <c r="I418" s="222"/>
      <c r="J418" s="220">
        <f t="shared" si="46"/>
        <v>0.9</v>
      </c>
      <c r="K418" s="195"/>
    </row>
    <row r="419" spans="1:11" x14ac:dyDescent="0.2">
      <c r="A419" s="206"/>
      <c r="B419" s="206"/>
      <c r="C419" s="207"/>
      <c r="D419" s="219"/>
      <c r="E419" s="182"/>
      <c r="F419" s="220"/>
      <c r="G419" s="220"/>
      <c r="H419" s="220"/>
      <c r="I419" s="218" t="str">
        <f>"Total item "&amp;A410</f>
        <v>Total item 1.9.5</v>
      </c>
      <c r="J419" s="217">
        <f>SUM(J412:J418)</f>
        <v>6.1</v>
      </c>
      <c r="K419" s="195"/>
    </row>
    <row r="420" spans="1:11" s="50" customFormat="1" x14ac:dyDescent="0.2">
      <c r="A420" s="206"/>
      <c r="B420" s="206"/>
      <c r="C420" s="207"/>
      <c r="D420" s="219"/>
      <c r="E420" s="206"/>
      <c r="F420" s="209"/>
      <c r="G420" s="209"/>
      <c r="H420" s="209"/>
      <c r="I420" s="210"/>
      <c r="J420" s="209"/>
      <c r="K420" s="200"/>
    </row>
    <row r="421" spans="1:11" s="51" customFormat="1" ht="20.399999999999999" x14ac:dyDescent="0.2">
      <c r="A421" s="214" t="str">
        <f>'ORÇAMENTO COM DESON'!A62</f>
        <v>1.9.6</v>
      </c>
      <c r="B421" s="214"/>
      <c r="C421" s="215"/>
      <c r="D421" s="216" t="str">
        <f>'ORÇAMENTO COM DESON'!D62</f>
        <v xml:space="preserve">PISO CIMENTADO COM ARGAMASSA DE CIMENTO E AREIA S/ PENEIRAR ESP. 2,0 cm </v>
      </c>
      <c r="E421" s="214" t="str">
        <f>'ORÇAMENTO COM DESON'!E62</f>
        <v>m²</v>
      </c>
      <c r="F421" s="217"/>
      <c r="G421" s="217"/>
      <c r="H421" s="217"/>
      <c r="I421" s="218"/>
      <c r="J421" s="217"/>
      <c r="K421" s="202"/>
    </row>
    <row r="422" spans="1:11" x14ac:dyDescent="0.2">
      <c r="A422" s="206"/>
      <c r="B422" s="206"/>
      <c r="C422" s="207"/>
      <c r="D422" s="219"/>
      <c r="E422" s="182"/>
      <c r="F422" s="185" t="s">
        <v>18</v>
      </c>
      <c r="G422" s="185"/>
      <c r="H422" s="185"/>
      <c r="I422" s="222"/>
      <c r="J422" s="220"/>
      <c r="K422" s="195"/>
    </row>
    <row r="423" spans="1:11" x14ac:dyDescent="0.2">
      <c r="A423" s="206"/>
      <c r="B423" s="206"/>
      <c r="C423" s="207"/>
      <c r="D423" s="219" t="s">
        <v>500</v>
      </c>
      <c r="E423" s="182"/>
      <c r="F423" s="185">
        <v>11</v>
      </c>
      <c r="G423" s="185"/>
      <c r="H423" s="185"/>
      <c r="I423" s="222"/>
      <c r="J423" s="220">
        <f>ROUND(PRODUCT(F423:I423),2)</f>
        <v>11</v>
      </c>
      <c r="K423" s="195"/>
    </row>
    <row r="424" spans="1:11" x14ac:dyDescent="0.2">
      <c r="A424" s="206"/>
      <c r="B424" s="206"/>
      <c r="C424" s="207"/>
      <c r="D424" s="219"/>
      <c r="E424" s="182"/>
      <c r="F424" s="220"/>
      <c r="G424" s="220"/>
      <c r="H424" s="220"/>
      <c r="I424" s="218" t="str">
        <f>"Total item "&amp;A421</f>
        <v>Total item 1.9.6</v>
      </c>
      <c r="J424" s="217">
        <f>SUM(J423:J423)</f>
        <v>11</v>
      </c>
      <c r="K424" s="195"/>
    </row>
    <row r="425" spans="1:11" s="50" customFormat="1" x14ac:dyDescent="0.2">
      <c r="A425" s="206"/>
      <c r="B425" s="206"/>
      <c r="C425" s="207"/>
      <c r="D425" s="219"/>
      <c r="E425" s="206"/>
      <c r="F425" s="209"/>
      <c r="G425" s="209"/>
      <c r="H425" s="209"/>
      <c r="I425" s="210"/>
      <c r="J425" s="209"/>
      <c r="K425" s="200"/>
    </row>
    <row r="426" spans="1:11" s="69" customFormat="1" x14ac:dyDescent="0.2">
      <c r="A426" s="175" t="str">
        <f>'ORÇAMENTO COM DESON'!A63</f>
        <v>1.10</v>
      </c>
      <c r="B426" s="176"/>
      <c r="C426" s="177"/>
      <c r="D426" s="211" t="str">
        <f>'ORÇAMENTO COM DESON'!D63</f>
        <v>FORRO</v>
      </c>
      <c r="E426" s="176"/>
      <c r="F426" s="212"/>
      <c r="G426" s="212"/>
      <c r="H426" s="212"/>
      <c r="I426" s="213"/>
      <c r="J426" s="212"/>
      <c r="K426" s="201"/>
    </row>
    <row r="427" spans="1:11" s="50" customFormat="1" x14ac:dyDescent="0.2">
      <c r="A427" s="206"/>
      <c r="B427" s="206"/>
      <c r="C427" s="207"/>
      <c r="D427" s="208"/>
      <c r="E427" s="206"/>
      <c r="F427" s="209"/>
      <c r="G427" s="209"/>
      <c r="H427" s="209"/>
      <c r="I427" s="210"/>
      <c r="J427" s="209"/>
      <c r="K427" s="200"/>
    </row>
    <row r="428" spans="1:11" s="51" customFormat="1" ht="20.399999999999999" x14ac:dyDescent="0.2">
      <c r="A428" s="214" t="str">
        <f>'ORÇAMENTO COM DESON'!A64</f>
        <v>1.10.1</v>
      </c>
      <c r="B428" s="214"/>
      <c r="C428" s="215"/>
      <c r="D428" s="216" t="str">
        <f>'ORÇAMENTO COM DESON'!D64</f>
        <v>FORRO EM PLACAS DE GESSO, PARA AMBIENTES COMERCIAIS. AF_05/2017_PS</v>
      </c>
      <c r="E428" s="214" t="str">
        <f>'ORÇAMENTO COM DESON'!E64</f>
        <v>m²</v>
      </c>
      <c r="F428" s="217"/>
      <c r="G428" s="217"/>
      <c r="H428" s="217"/>
      <c r="I428" s="218"/>
      <c r="J428" s="217"/>
      <c r="K428" s="202"/>
    </row>
    <row r="429" spans="1:11" x14ac:dyDescent="0.2">
      <c r="A429" s="206"/>
      <c r="B429" s="206"/>
      <c r="C429" s="207"/>
      <c r="D429" s="219"/>
      <c r="E429" s="182"/>
      <c r="F429" s="223" t="s">
        <v>18</v>
      </c>
      <c r="G429" s="185"/>
      <c r="H429" s="185"/>
      <c r="I429" s="223"/>
      <c r="J429" s="220"/>
      <c r="K429" s="195"/>
    </row>
    <row r="430" spans="1:11" x14ac:dyDescent="0.2">
      <c r="A430" s="206"/>
      <c r="B430" s="206"/>
      <c r="C430" s="207"/>
      <c r="D430" s="219" t="s">
        <v>296</v>
      </c>
      <c r="E430" s="182"/>
      <c r="F430" s="223">
        <v>9.6</v>
      </c>
      <c r="G430" s="185"/>
      <c r="H430" s="185"/>
      <c r="I430" s="223"/>
      <c r="J430" s="220">
        <f>ROUND(PRODUCT(F430:I430),2)</f>
        <v>9.6</v>
      </c>
      <c r="K430" s="195"/>
    </row>
    <row r="431" spans="1:11" x14ac:dyDescent="0.2">
      <c r="A431" s="206"/>
      <c r="B431" s="206"/>
      <c r="C431" s="207"/>
      <c r="D431" s="219" t="s">
        <v>297</v>
      </c>
      <c r="E431" s="182"/>
      <c r="F431" s="223">
        <v>9.6</v>
      </c>
      <c r="G431" s="185"/>
      <c r="H431" s="185"/>
      <c r="I431" s="223"/>
      <c r="J431" s="220">
        <f>ROUND(PRODUCT(F431:I431),2)</f>
        <v>9.6</v>
      </c>
      <c r="K431" s="195"/>
    </row>
    <row r="432" spans="1:11" x14ac:dyDescent="0.2">
      <c r="A432" s="206"/>
      <c r="B432" s="206"/>
      <c r="C432" s="207"/>
      <c r="D432" s="219" t="s">
        <v>302</v>
      </c>
      <c r="E432" s="182"/>
      <c r="F432" s="185">
        <v>16.93</v>
      </c>
      <c r="G432" s="185"/>
      <c r="H432" s="185"/>
      <c r="I432" s="223"/>
      <c r="J432" s="220">
        <f>ROUND(PRODUCT(F432:I432),2)</f>
        <v>16.93</v>
      </c>
      <c r="K432" s="195"/>
    </row>
    <row r="433" spans="1:11" x14ac:dyDescent="0.2">
      <c r="A433" s="206"/>
      <c r="B433" s="206"/>
      <c r="C433" s="207"/>
      <c r="D433" s="219" t="s">
        <v>301</v>
      </c>
      <c r="E433" s="182"/>
      <c r="F433" s="185">
        <v>2.7</v>
      </c>
      <c r="G433" s="185"/>
      <c r="H433" s="185"/>
      <c r="I433" s="223"/>
      <c r="J433" s="220">
        <f t="shared" ref="J433:J436" si="47">ROUND(PRODUCT(F433:I433),2)</f>
        <v>2.7</v>
      </c>
      <c r="K433" s="195"/>
    </row>
    <row r="434" spans="1:11" x14ac:dyDescent="0.2">
      <c r="A434" s="206"/>
      <c r="B434" s="206"/>
      <c r="C434" s="207"/>
      <c r="D434" s="219" t="s">
        <v>95</v>
      </c>
      <c r="E434" s="182"/>
      <c r="F434" s="185">
        <v>2.25</v>
      </c>
      <c r="G434" s="185"/>
      <c r="H434" s="185"/>
      <c r="I434" s="223"/>
      <c r="J434" s="220">
        <f t="shared" si="47"/>
        <v>2.25</v>
      </c>
      <c r="K434" s="195"/>
    </row>
    <row r="435" spans="1:11" x14ac:dyDescent="0.2">
      <c r="A435" s="206"/>
      <c r="B435" s="206"/>
      <c r="C435" s="207"/>
      <c r="D435" s="219" t="s">
        <v>96</v>
      </c>
      <c r="E435" s="182"/>
      <c r="F435" s="185">
        <v>2.25</v>
      </c>
      <c r="G435" s="185"/>
      <c r="H435" s="185"/>
      <c r="I435" s="223"/>
      <c r="J435" s="220">
        <f t="shared" si="47"/>
        <v>2.25</v>
      </c>
      <c r="K435" s="195"/>
    </row>
    <row r="436" spans="1:11" x14ac:dyDescent="0.2">
      <c r="A436" s="206"/>
      <c r="B436" s="206"/>
      <c r="C436" s="207"/>
      <c r="D436" s="219" t="s">
        <v>300</v>
      </c>
      <c r="E436" s="182"/>
      <c r="F436" s="185">
        <v>2.97</v>
      </c>
      <c r="G436" s="185"/>
      <c r="H436" s="185"/>
      <c r="I436" s="223"/>
      <c r="J436" s="220">
        <f t="shared" si="47"/>
        <v>2.97</v>
      </c>
      <c r="K436" s="195"/>
    </row>
    <row r="437" spans="1:11" x14ac:dyDescent="0.2">
      <c r="A437" s="206"/>
      <c r="B437" s="206"/>
      <c r="C437" s="207"/>
      <c r="D437" s="221"/>
      <c r="E437" s="182"/>
      <c r="F437" s="220"/>
      <c r="G437" s="220"/>
      <c r="H437" s="220"/>
      <c r="I437" s="218" t="str">
        <f>"Total item "&amp;A428</f>
        <v>Total item 1.10.1</v>
      </c>
      <c r="J437" s="217">
        <f>SUM(J430:J436)</f>
        <v>46.3</v>
      </c>
      <c r="K437" s="195"/>
    </row>
    <row r="438" spans="1:11" s="50" customFormat="1" x14ac:dyDescent="0.2">
      <c r="A438" s="206"/>
      <c r="B438" s="206"/>
      <c r="C438" s="207"/>
      <c r="D438" s="208"/>
      <c r="E438" s="206"/>
      <c r="F438" s="209"/>
      <c r="G438" s="209"/>
      <c r="H438" s="209"/>
      <c r="I438" s="210"/>
      <c r="J438" s="209"/>
      <c r="K438" s="200"/>
    </row>
    <row r="439" spans="1:11" x14ac:dyDescent="0.2">
      <c r="A439" s="175" t="str">
        <f>'ORÇAMENTO COM DESON'!A65</f>
        <v>1.11</v>
      </c>
      <c r="B439" s="176"/>
      <c r="C439" s="228"/>
      <c r="D439" s="211" t="str">
        <f>'ORÇAMENTO COM DESON'!D65</f>
        <v>PINTURA</v>
      </c>
      <c r="E439" s="176"/>
      <c r="F439" s="212"/>
      <c r="G439" s="212"/>
      <c r="H439" s="212"/>
      <c r="I439" s="213"/>
      <c r="J439" s="212"/>
      <c r="K439" s="195"/>
    </row>
    <row r="440" spans="1:11" x14ac:dyDescent="0.2">
      <c r="A440" s="206"/>
      <c r="B440" s="206"/>
      <c r="C440" s="229"/>
      <c r="D440" s="219"/>
      <c r="E440" s="182"/>
      <c r="F440" s="220"/>
      <c r="G440" s="220"/>
      <c r="H440" s="220"/>
      <c r="I440" s="210"/>
      <c r="J440" s="209"/>
      <c r="K440" s="195"/>
    </row>
    <row r="441" spans="1:11" ht="20.399999999999999" x14ac:dyDescent="0.2">
      <c r="A441" s="214" t="str">
        <f>'ORÇAMENTO COM DESON'!A66</f>
        <v>1.11.1</v>
      </c>
      <c r="B441" s="230"/>
      <c r="C441" s="231"/>
      <c r="D441" s="232" t="str">
        <f>'ORÇAMENTO COM DESON'!D66</f>
        <v>EMASSAMENTO DE PAREDES EXTERNAS 2 DEMÃOS C/MASSA ACRÍLICA</v>
      </c>
      <c r="E441" s="214" t="str">
        <f>'ORÇAMENTO COM DESON'!E66</f>
        <v>m²</v>
      </c>
      <c r="F441" s="217"/>
      <c r="G441" s="217"/>
      <c r="H441" s="217"/>
      <c r="I441" s="218"/>
      <c r="J441" s="217"/>
      <c r="K441" s="195"/>
    </row>
    <row r="442" spans="1:11" x14ac:dyDescent="0.2">
      <c r="A442" s="206"/>
      <c r="B442" s="206"/>
      <c r="C442" s="229"/>
      <c r="D442" s="219" t="s">
        <v>405</v>
      </c>
      <c r="E442" s="182" t="s">
        <v>8</v>
      </c>
      <c r="F442" s="185">
        <v>29.8</v>
      </c>
      <c r="G442" s="185">
        <v>1.3</v>
      </c>
      <c r="H442" s="185"/>
      <c r="I442" s="223">
        <v>3.4800000000000004</v>
      </c>
      <c r="J442" s="220">
        <f>ROUND(PRODUCT(F442:H442),2)-I442</f>
        <v>35.260000000000005</v>
      </c>
      <c r="K442" s="195"/>
    </row>
    <row r="443" spans="1:11" x14ac:dyDescent="0.2">
      <c r="A443" s="206"/>
      <c r="B443" s="206"/>
      <c r="C443" s="229"/>
      <c r="D443" s="219"/>
      <c r="E443" s="182"/>
      <c r="F443" s="220"/>
      <c r="G443" s="220"/>
      <c r="H443" s="220"/>
      <c r="I443" s="218" t="str">
        <f>"Total item "&amp;A441</f>
        <v>Total item 1.11.1</v>
      </c>
      <c r="J443" s="217">
        <f>ROUND(SUM(J442:J442),2)</f>
        <v>35.26</v>
      </c>
      <c r="K443" s="203"/>
    </row>
    <row r="444" spans="1:11" x14ac:dyDescent="0.2">
      <c r="A444" s="206"/>
      <c r="B444" s="206"/>
      <c r="C444" s="229"/>
      <c r="D444" s="219"/>
      <c r="E444" s="182"/>
      <c r="F444" s="220"/>
      <c r="G444" s="220"/>
      <c r="H444" s="220"/>
      <c r="I444" s="210"/>
      <c r="J444" s="209"/>
      <c r="K444" s="195"/>
    </row>
    <row r="445" spans="1:11" ht="20.399999999999999" x14ac:dyDescent="0.2">
      <c r="A445" s="214" t="str">
        <f>'ORÇAMENTO COM DESON'!A67</f>
        <v>1.11.2</v>
      </c>
      <c r="B445" s="230"/>
      <c r="C445" s="231"/>
      <c r="D445" s="232" t="str">
        <f>'ORÇAMENTO COM DESON'!D67</f>
        <v>APLICAÇÃO MANUAL DE FUNDO SELADOR ACRÍLICO EM PAREDES EXTERNAS DE CASAS. AF_06/2014</v>
      </c>
      <c r="E445" s="214" t="str">
        <f>'ORÇAMENTO COM DESON'!E67</f>
        <v>m²</v>
      </c>
      <c r="F445" s="217"/>
      <c r="G445" s="217"/>
      <c r="H445" s="217"/>
      <c r="I445" s="218"/>
      <c r="J445" s="217"/>
      <c r="K445" s="195"/>
    </row>
    <row r="446" spans="1:11" x14ac:dyDescent="0.2">
      <c r="A446" s="206"/>
      <c r="B446" s="206"/>
      <c r="C446" s="229"/>
      <c r="D446" s="219"/>
      <c r="E446" s="182"/>
      <c r="F446" s="185"/>
      <c r="G446" s="185"/>
      <c r="H446" s="185"/>
      <c r="I446" s="223"/>
      <c r="J446" s="220"/>
      <c r="K446" s="195"/>
    </row>
    <row r="447" spans="1:11" x14ac:dyDescent="0.2">
      <c r="A447" s="206"/>
      <c r="B447" s="206"/>
      <c r="C447" s="229"/>
      <c r="D447" s="242" t="str">
        <f>I443</f>
        <v>Total item 1.11.1</v>
      </c>
      <c r="E447" s="182" t="s">
        <v>8</v>
      </c>
      <c r="F447" s="185">
        <f>J443</f>
        <v>35.26</v>
      </c>
      <c r="G447" s="185"/>
      <c r="H447" s="185"/>
      <c r="I447" s="223"/>
      <c r="J447" s="220">
        <f t="shared" ref="J447" si="48">ROUND(PRODUCT(F447:I447),2)</f>
        <v>35.26</v>
      </c>
      <c r="K447" s="195"/>
    </row>
    <row r="448" spans="1:11" x14ac:dyDescent="0.2">
      <c r="A448" s="206"/>
      <c r="B448" s="206"/>
      <c r="C448" s="229"/>
      <c r="D448" s="219"/>
      <c r="E448" s="182"/>
      <c r="F448" s="220"/>
      <c r="G448" s="220"/>
      <c r="H448" s="220"/>
      <c r="I448" s="218" t="str">
        <f>"Total item "&amp;A445</f>
        <v>Total item 1.11.2</v>
      </c>
      <c r="J448" s="217">
        <f>ROUND(SUM(J447:J447),2)</f>
        <v>35.26</v>
      </c>
      <c r="K448" s="203"/>
    </row>
    <row r="449" spans="1:11" x14ac:dyDescent="0.2">
      <c r="A449" s="206"/>
      <c r="B449" s="206"/>
      <c r="C449" s="229"/>
      <c r="D449" s="219"/>
      <c r="E449" s="182"/>
      <c r="F449" s="220"/>
      <c r="G449" s="220"/>
      <c r="H449" s="220"/>
      <c r="I449" s="210"/>
      <c r="J449" s="209"/>
      <c r="K449" s="195"/>
    </row>
    <row r="450" spans="1:11" ht="20.399999999999999" x14ac:dyDescent="0.2">
      <c r="A450" s="214" t="str">
        <f>'ORÇAMENTO COM DESON'!A68</f>
        <v>1.11.3</v>
      </c>
      <c r="B450" s="230"/>
      <c r="C450" s="231"/>
      <c r="D450" s="232" t="str">
        <f>'ORÇAMENTO COM DESON'!D68</f>
        <v>APLICAÇÃO MANUAL DE PINTURA COM TINTA LÁTEX ACRÍLICA EM PAREDES, DUAS DEMÃOS. AF_06/2014</v>
      </c>
      <c r="E450" s="214" t="str">
        <f>'ORÇAMENTO COM DESON'!E68</f>
        <v>m²</v>
      </c>
      <c r="F450" s="217"/>
      <c r="G450" s="217"/>
      <c r="H450" s="217"/>
      <c r="I450" s="218"/>
      <c r="J450" s="217"/>
      <c r="K450" s="195"/>
    </row>
    <row r="451" spans="1:11" x14ac:dyDescent="0.2">
      <c r="A451" s="206"/>
      <c r="B451" s="206"/>
      <c r="C451" s="229"/>
      <c r="D451" s="219"/>
      <c r="E451" s="182"/>
      <c r="F451" s="185"/>
      <c r="G451" s="185"/>
      <c r="H451" s="185"/>
      <c r="I451" s="223"/>
      <c r="J451" s="220"/>
      <c r="K451" s="195"/>
    </row>
    <row r="452" spans="1:11" x14ac:dyDescent="0.2">
      <c r="A452" s="206"/>
      <c r="B452" s="206"/>
      <c r="C452" s="229"/>
      <c r="D452" s="242" t="str">
        <f>I448</f>
        <v>Total item 1.11.2</v>
      </c>
      <c r="E452" s="182"/>
      <c r="F452" s="185">
        <f>J448</f>
        <v>35.26</v>
      </c>
      <c r="G452" s="185"/>
      <c r="H452" s="185"/>
      <c r="I452" s="223"/>
      <c r="J452" s="220">
        <f t="shared" ref="J452" si="49">ROUND(PRODUCT(F452:I452),2)</f>
        <v>35.26</v>
      </c>
      <c r="K452" s="195"/>
    </row>
    <row r="453" spans="1:11" x14ac:dyDescent="0.2">
      <c r="A453" s="206"/>
      <c r="B453" s="206"/>
      <c r="C453" s="229"/>
      <c r="D453" s="219"/>
      <c r="E453" s="182"/>
      <c r="F453" s="220"/>
      <c r="G453" s="220"/>
      <c r="H453" s="220"/>
      <c r="I453" s="218" t="str">
        <f>"Total item "&amp;A450</f>
        <v>Total item 1.11.3</v>
      </c>
      <c r="J453" s="217">
        <f>ROUND(SUM(J452:J452),2)</f>
        <v>35.26</v>
      </c>
      <c r="K453" s="203"/>
    </row>
    <row r="454" spans="1:11" x14ac:dyDescent="0.2">
      <c r="A454" s="206"/>
      <c r="B454" s="206"/>
      <c r="C454" s="229"/>
      <c r="D454" s="219"/>
      <c r="E454" s="182"/>
      <c r="F454" s="220"/>
      <c r="G454" s="220"/>
      <c r="H454" s="220"/>
      <c r="I454" s="210"/>
      <c r="J454" s="209"/>
      <c r="K454" s="195"/>
    </row>
    <row r="455" spans="1:11" ht="30.6" x14ac:dyDescent="0.2">
      <c r="A455" s="214" t="str">
        <f>'ORÇAMENTO COM DESON'!A69</f>
        <v>1.11.4</v>
      </c>
      <c r="B455" s="230"/>
      <c r="C455" s="231"/>
      <c r="D455" s="232" t="str">
        <f>'ORÇAMENTO COM DESON'!D69</f>
        <v>APLICAÇÃO MASSA ACRÍLICA PARA MADEIRA, PARA PINTURA COM TINTA DE ACABAMENTO (PIGMENTADA). AF_01/2021</v>
      </c>
      <c r="E455" s="214" t="str">
        <f>'ORÇAMENTO COM DESON'!E69</f>
        <v>m²</v>
      </c>
      <c r="F455" s="217"/>
      <c r="G455" s="217"/>
      <c r="H455" s="217"/>
      <c r="I455" s="218"/>
      <c r="J455" s="217"/>
      <c r="K455" s="195"/>
    </row>
    <row r="456" spans="1:11" x14ac:dyDescent="0.2">
      <c r="A456" s="206"/>
      <c r="B456" s="206"/>
      <c r="C456" s="229"/>
      <c r="D456" s="219"/>
      <c r="E456" s="182"/>
      <c r="F456" s="185" t="s">
        <v>206</v>
      </c>
      <c r="G456" s="185" t="s">
        <v>209</v>
      </c>
      <c r="H456" s="185" t="s">
        <v>158</v>
      </c>
      <c r="I456" s="223" t="s">
        <v>173</v>
      </c>
      <c r="J456" s="220"/>
      <c r="K456" s="195"/>
    </row>
    <row r="457" spans="1:11" x14ac:dyDescent="0.2">
      <c r="A457" s="206"/>
      <c r="B457" s="206"/>
      <c r="C457" s="229"/>
      <c r="D457" s="219" t="s">
        <v>296</v>
      </c>
      <c r="E457" s="182" t="s">
        <v>8</v>
      </c>
      <c r="F457" s="185">
        <v>1</v>
      </c>
      <c r="G457" s="185">
        <v>0.9</v>
      </c>
      <c r="H457" s="185">
        <v>2.1</v>
      </c>
      <c r="I457" s="223">
        <v>3</v>
      </c>
      <c r="J457" s="220">
        <f>ROUND(PRODUCT(F457:I457),2)</f>
        <v>5.67</v>
      </c>
      <c r="K457" s="195"/>
    </row>
    <row r="458" spans="1:11" x14ac:dyDescent="0.2">
      <c r="A458" s="206"/>
      <c r="B458" s="206"/>
      <c r="C458" s="229"/>
      <c r="D458" s="219" t="s">
        <v>297</v>
      </c>
      <c r="E458" s="182" t="s">
        <v>8</v>
      </c>
      <c r="F458" s="185">
        <v>1</v>
      </c>
      <c r="G458" s="185">
        <v>0.9</v>
      </c>
      <c r="H458" s="185">
        <v>2.1</v>
      </c>
      <c r="I458" s="223">
        <v>3</v>
      </c>
      <c r="J458" s="220">
        <f>ROUND(PRODUCT(F458:I458),2)</f>
        <v>5.67</v>
      </c>
      <c r="K458" s="195"/>
    </row>
    <row r="459" spans="1:11" x14ac:dyDescent="0.2">
      <c r="A459" s="206"/>
      <c r="B459" s="206"/>
      <c r="C459" s="229"/>
      <c r="D459" s="219" t="s">
        <v>301</v>
      </c>
      <c r="E459" s="182" t="s">
        <v>8</v>
      </c>
      <c r="F459" s="185">
        <v>1</v>
      </c>
      <c r="G459" s="185">
        <v>0.8</v>
      </c>
      <c r="H459" s="185">
        <v>2.1</v>
      </c>
      <c r="I459" s="223">
        <v>3</v>
      </c>
      <c r="J459" s="220">
        <f t="shared" ref="J459:J462" si="50">ROUND(PRODUCT(F459:I459),2)</f>
        <v>5.04</v>
      </c>
      <c r="K459" s="195"/>
    </row>
    <row r="460" spans="1:11" x14ac:dyDescent="0.2">
      <c r="A460" s="206"/>
      <c r="B460" s="206"/>
      <c r="C460" s="229"/>
      <c r="D460" s="219" t="s">
        <v>95</v>
      </c>
      <c r="E460" s="182" t="s">
        <v>8</v>
      </c>
      <c r="F460" s="185">
        <v>1</v>
      </c>
      <c r="G460" s="185">
        <v>0.8</v>
      </c>
      <c r="H460" s="185">
        <v>2.1</v>
      </c>
      <c r="I460" s="223">
        <v>3</v>
      </c>
      <c r="J460" s="220">
        <f t="shared" si="50"/>
        <v>5.04</v>
      </c>
      <c r="K460" s="195"/>
    </row>
    <row r="461" spans="1:11" x14ac:dyDescent="0.2">
      <c r="A461" s="206"/>
      <c r="B461" s="206"/>
      <c r="C461" s="229"/>
      <c r="D461" s="219" t="s">
        <v>96</v>
      </c>
      <c r="E461" s="182" t="s">
        <v>8</v>
      </c>
      <c r="F461" s="185">
        <v>1</v>
      </c>
      <c r="G461" s="185">
        <v>0.8</v>
      </c>
      <c r="H461" s="185">
        <v>2.1</v>
      </c>
      <c r="I461" s="223">
        <v>3</v>
      </c>
      <c r="J461" s="220">
        <f t="shared" si="50"/>
        <v>5.04</v>
      </c>
      <c r="K461" s="195"/>
    </row>
    <row r="462" spans="1:11" x14ac:dyDescent="0.2">
      <c r="A462" s="206"/>
      <c r="B462" s="206"/>
      <c r="C462" s="229"/>
      <c r="D462" s="219" t="s">
        <v>300</v>
      </c>
      <c r="E462" s="182" t="s">
        <v>8</v>
      </c>
      <c r="F462" s="185">
        <v>1</v>
      </c>
      <c r="G462" s="185">
        <v>0.9</v>
      </c>
      <c r="H462" s="185">
        <v>2.1</v>
      </c>
      <c r="I462" s="223">
        <v>3</v>
      </c>
      <c r="J462" s="220">
        <f t="shared" si="50"/>
        <v>5.67</v>
      </c>
      <c r="K462" s="195"/>
    </row>
    <row r="463" spans="1:11" x14ac:dyDescent="0.2">
      <c r="A463" s="206"/>
      <c r="B463" s="206"/>
      <c r="C463" s="229"/>
      <c r="D463" s="219"/>
      <c r="E463" s="182"/>
      <c r="F463" s="220"/>
      <c r="G463" s="220"/>
      <c r="H463" s="220"/>
      <c r="I463" s="218" t="str">
        <f>"Total item "&amp;A455</f>
        <v>Total item 1.11.4</v>
      </c>
      <c r="J463" s="217">
        <f>ROUND(SUM(J457:J462),2)</f>
        <v>32.130000000000003</v>
      </c>
      <c r="K463" s="203"/>
    </row>
    <row r="464" spans="1:11" x14ac:dyDescent="0.2">
      <c r="A464" s="206"/>
      <c r="B464" s="206"/>
      <c r="C464" s="229"/>
      <c r="D464" s="219"/>
      <c r="E464" s="182"/>
      <c r="F464" s="220"/>
      <c r="G464" s="220"/>
      <c r="H464" s="220"/>
      <c r="I464" s="210"/>
      <c r="J464" s="209"/>
      <c r="K464" s="195"/>
    </row>
    <row r="465" spans="1:11" ht="20.399999999999999" x14ac:dyDescent="0.2">
      <c r="A465" s="214" t="str">
        <f>'ORÇAMENTO COM DESON'!A70</f>
        <v>1.11.5</v>
      </c>
      <c r="B465" s="230"/>
      <c r="C465" s="231"/>
      <c r="D465" s="232" t="str">
        <f>'ORÇAMENTO COM DESON'!D70</f>
        <v>PINTURA TINTA DE ACABAMENTO (PIGMENTADA) A ÓLEO EM MADEIRA, 1 DEMÃO. AF_01/2021</v>
      </c>
      <c r="E465" s="214" t="str">
        <f>'ORÇAMENTO COM DESON'!E70</f>
        <v>m²</v>
      </c>
      <c r="F465" s="217"/>
      <c r="G465" s="217"/>
      <c r="H465" s="217"/>
      <c r="I465" s="218"/>
      <c r="J465" s="217"/>
      <c r="K465" s="195"/>
    </row>
    <row r="466" spans="1:11" x14ac:dyDescent="0.2">
      <c r="A466" s="206"/>
      <c r="B466" s="206"/>
      <c r="C466" s="229"/>
      <c r="D466" s="219"/>
      <c r="E466" s="182"/>
      <c r="F466" s="185" t="s">
        <v>206</v>
      </c>
      <c r="G466" s="185" t="s">
        <v>209</v>
      </c>
      <c r="H466" s="185" t="s">
        <v>158</v>
      </c>
      <c r="I466" s="223" t="s">
        <v>173</v>
      </c>
      <c r="J466" s="220"/>
      <c r="K466" s="195"/>
    </row>
    <row r="467" spans="1:11" x14ac:dyDescent="0.2">
      <c r="A467" s="206"/>
      <c r="B467" s="206"/>
      <c r="C467" s="229"/>
      <c r="D467" s="242" t="str">
        <f>I463</f>
        <v>Total item 1.11.4</v>
      </c>
      <c r="E467" s="182"/>
      <c r="F467" s="185">
        <f>J463</f>
        <v>32.130000000000003</v>
      </c>
      <c r="G467" s="185"/>
      <c r="H467" s="185"/>
      <c r="I467" s="223"/>
      <c r="J467" s="220">
        <f>ROUND(PRODUCT(F467:I467),2)</f>
        <v>32.130000000000003</v>
      </c>
      <c r="K467" s="195"/>
    </row>
    <row r="468" spans="1:11" x14ac:dyDescent="0.2">
      <c r="A468" s="206"/>
      <c r="B468" s="206"/>
      <c r="C468" s="229"/>
      <c r="D468" s="219"/>
      <c r="E468" s="182"/>
      <c r="F468" s="220"/>
      <c r="G468" s="220"/>
      <c r="H468" s="220"/>
      <c r="I468" s="218" t="str">
        <f>"Total item "&amp;A465</f>
        <v>Total item 1.11.5</v>
      </c>
      <c r="J468" s="217">
        <f>ROUND(SUM(J467:J467),2)</f>
        <v>32.130000000000003</v>
      </c>
      <c r="K468" s="203"/>
    </row>
    <row r="469" spans="1:11" x14ac:dyDescent="0.2">
      <c r="A469" s="206"/>
      <c r="B469" s="206"/>
      <c r="C469" s="229"/>
      <c r="D469" s="219"/>
      <c r="E469" s="182"/>
      <c r="F469" s="220"/>
      <c r="G469" s="220"/>
      <c r="H469" s="220"/>
      <c r="I469" s="210"/>
      <c r="J469" s="209"/>
      <c r="K469" s="195"/>
    </row>
    <row r="470" spans="1:11" s="51" customFormat="1" ht="20.399999999999999" x14ac:dyDescent="0.2">
      <c r="A470" s="214" t="str">
        <f>'ORÇAMENTO COM DESON'!A71</f>
        <v>1.11.6</v>
      </c>
      <c r="B470" s="214"/>
      <c r="C470" s="215"/>
      <c r="D470" s="216" t="str">
        <f>'ORÇAMENTO COM DESON'!D71</f>
        <v>APLICAÇÃO DE FUNDO SELADOR ACRÍLICO EM TETO, UMA DEMÃO. AF_06/2014</v>
      </c>
      <c r="E470" s="214" t="str">
        <f>'ORÇAMENTO COM DESON'!E71</f>
        <v>m²</v>
      </c>
      <c r="F470" s="217"/>
      <c r="G470" s="217"/>
      <c r="H470" s="217"/>
      <c r="I470" s="218"/>
      <c r="J470" s="217"/>
      <c r="K470" s="202"/>
    </row>
    <row r="471" spans="1:11" x14ac:dyDescent="0.2">
      <c r="A471" s="206"/>
      <c r="B471" s="206"/>
      <c r="C471" s="207"/>
      <c r="D471" s="219"/>
      <c r="E471" s="182"/>
      <c r="F471" s="223" t="s">
        <v>18</v>
      </c>
      <c r="G471" s="185"/>
      <c r="H471" s="185"/>
      <c r="I471" s="223"/>
      <c r="J471" s="220"/>
      <c r="K471" s="195"/>
    </row>
    <row r="472" spans="1:11" x14ac:dyDescent="0.2">
      <c r="A472" s="206"/>
      <c r="B472" s="206"/>
      <c r="C472" s="207"/>
      <c r="D472" s="219" t="s">
        <v>296</v>
      </c>
      <c r="E472" s="182"/>
      <c r="F472" s="223">
        <v>9.6</v>
      </c>
      <c r="G472" s="185"/>
      <c r="H472" s="185"/>
      <c r="I472" s="223"/>
      <c r="J472" s="220">
        <f>ROUND(PRODUCT(F472:I472),2)</f>
        <v>9.6</v>
      </c>
      <c r="K472" s="195"/>
    </row>
    <row r="473" spans="1:11" x14ac:dyDescent="0.2">
      <c r="A473" s="206"/>
      <c r="B473" s="206"/>
      <c r="C473" s="207"/>
      <c r="D473" s="219" t="s">
        <v>297</v>
      </c>
      <c r="E473" s="182"/>
      <c r="F473" s="223">
        <v>9.6</v>
      </c>
      <c r="G473" s="185"/>
      <c r="H473" s="185"/>
      <c r="I473" s="223"/>
      <c r="J473" s="220">
        <f>ROUND(PRODUCT(F473:I473),2)</f>
        <v>9.6</v>
      </c>
      <c r="K473" s="195"/>
    </row>
    <row r="474" spans="1:11" x14ac:dyDescent="0.2">
      <c r="A474" s="206"/>
      <c r="B474" s="206"/>
      <c r="C474" s="207"/>
      <c r="D474" s="219" t="s">
        <v>302</v>
      </c>
      <c r="E474" s="182"/>
      <c r="F474" s="185">
        <v>16.93</v>
      </c>
      <c r="G474" s="185"/>
      <c r="H474" s="185"/>
      <c r="I474" s="223"/>
      <c r="J474" s="220">
        <f>ROUND(PRODUCT(F474:I474),2)</f>
        <v>16.93</v>
      </c>
      <c r="K474" s="195"/>
    </row>
    <row r="475" spans="1:11" x14ac:dyDescent="0.2">
      <c r="A475" s="206"/>
      <c r="B475" s="206"/>
      <c r="C475" s="207"/>
      <c r="D475" s="219" t="s">
        <v>301</v>
      </c>
      <c r="E475" s="182"/>
      <c r="F475" s="185">
        <v>2.7</v>
      </c>
      <c r="G475" s="185"/>
      <c r="H475" s="185"/>
      <c r="I475" s="223"/>
      <c r="J475" s="220">
        <f t="shared" ref="J475:J478" si="51">ROUND(PRODUCT(F475:I475),2)</f>
        <v>2.7</v>
      </c>
      <c r="K475" s="195"/>
    </row>
    <row r="476" spans="1:11" x14ac:dyDescent="0.2">
      <c r="A476" s="206"/>
      <c r="B476" s="206"/>
      <c r="C476" s="207"/>
      <c r="D476" s="219" t="s">
        <v>95</v>
      </c>
      <c r="E476" s="182"/>
      <c r="F476" s="185">
        <v>2.25</v>
      </c>
      <c r="G476" s="185"/>
      <c r="H476" s="185"/>
      <c r="I476" s="223"/>
      <c r="J476" s="220">
        <f t="shared" si="51"/>
        <v>2.25</v>
      </c>
      <c r="K476" s="195"/>
    </row>
    <row r="477" spans="1:11" x14ac:dyDescent="0.2">
      <c r="A477" s="206"/>
      <c r="B477" s="206"/>
      <c r="C477" s="207"/>
      <c r="D477" s="219" t="s">
        <v>96</v>
      </c>
      <c r="E477" s="182"/>
      <c r="F477" s="185">
        <v>2.25</v>
      </c>
      <c r="G477" s="185"/>
      <c r="H477" s="185"/>
      <c r="I477" s="223"/>
      <c r="J477" s="220">
        <f t="shared" si="51"/>
        <v>2.25</v>
      </c>
      <c r="K477" s="195"/>
    </row>
    <row r="478" spans="1:11" x14ac:dyDescent="0.2">
      <c r="A478" s="206"/>
      <c r="B478" s="206"/>
      <c r="C478" s="207"/>
      <c r="D478" s="219" t="s">
        <v>300</v>
      </c>
      <c r="E478" s="182"/>
      <c r="F478" s="185">
        <v>2.97</v>
      </c>
      <c r="G478" s="185"/>
      <c r="H478" s="185"/>
      <c r="I478" s="223"/>
      <c r="J478" s="220">
        <f t="shared" si="51"/>
        <v>2.97</v>
      </c>
      <c r="K478" s="195"/>
    </row>
    <row r="479" spans="1:11" x14ac:dyDescent="0.2">
      <c r="A479" s="206"/>
      <c r="B479" s="206"/>
      <c r="C479" s="207"/>
      <c r="D479" s="221"/>
      <c r="E479" s="182"/>
      <c r="F479" s="220"/>
      <c r="G479" s="220"/>
      <c r="H479" s="220"/>
      <c r="I479" s="218" t="str">
        <f>"Total item "&amp;A470</f>
        <v>Total item 1.11.6</v>
      </c>
      <c r="J479" s="217">
        <f>SUM(J472:J478)</f>
        <v>46.3</v>
      </c>
      <c r="K479" s="195"/>
    </row>
    <row r="480" spans="1:11" s="50" customFormat="1" x14ac:dyDescent="0.2">
      <c r="A480" s="206"/>
      <c r="B480" s="206"/>
      <c r="C480" s="207"/>
      <c r="D480" s="208"/>
      <c r="E480" s="206"/>
      <c r="F480" s="209"/>
      <c r="G480" s="209"/>
      <c r="H480" s="209"/>
      <c r="I480" s="210"/>
      <c r="J480" s="209"/>
      <c r="K480" s="200"/>
    </row>
    <row r="481" spans="1:11" s="51" customFormat="1" ht="20.399999999999999" x14ac:dyDescent="0.2">
      <c r="A481" s="214" t="str">
        <f>'ORÇAMENTO COM DESON'!A72</f>
        <v>1.11.7</v>
      </c>
      <c r="B481" s="214"/>
      <c r="C481" s="215"/>
      <c r="D481" s="216" t="str">
        <f>'ORÇAMENTO COM DESON'!D72</f>
        <v>APLICAÇÃO E LIXAMENTO DE MASSA LÁTEX EM TETO, UMA DEMÃO. AF_06/2014</v>
      </c>
      <c r="E481" s="214" t="str">
        <f>'ORÇAMENTO COM DESON'!E72</f>
        <v>m²</v>
      </c>
      <c r="F481" s="217"/>
      <c r="G481" s="217"/>
      <c r="H481" s="217"/>
      <c r="I481" s="218"/>
      <c r="J481" s="217"/>
      <c r="K481" s="202"/>
    </row>
    <row r="482" spans="1:11" x14ac:dyDescent="0.2">
      <c r="A482" s="206"/>
      <c r="B482" s="206"/>
      <c r="C482" s="207"/>
      <c r="D482" s="219"/>
      <c r="E482" s="182"/>
      <c r="F482" s="223" t="s">
        <v>18</v>
      </c>
      <c r="G482" s="185"/>
      <c r="H482" s="185"/>
      <c r="I482" s="223"/>
      <c r="J482" s="220"/>
      <c r="K482" s="195"/>
    </row>
    <row r="483" spans="1:11" x14ac:dyDescent="0.2">
      <c r="A483" s="206"/>
      <c r="B483" s="206"/>
      <c r="C483" s="207"/>
      <c r="D483" s="219" t="s">
        <v>296</v>
      </c>
      <c r="E483" s="182"/>
      <c r="F483" s="223">
        <v>9.6</v>
      </c>
      <c r="G483" s="185"/>
      <c r="H483" s="185"/>
      <c r="I483" s="223"/>
      <c r="J483" s="220">
        <f>ROUND(PRODUCT(F483:I483),2)</f>
        <v>9.6</v>
      </c>
      <c r="K483" s="195"/>
    </row>
    <row r="484" spans="1:11" x14ac:dyDescent="0.2">
      <c r="A484" s="206"/>
      <c r="B484" s="206"/>
      <c r="C484" s="207"/>
      <c r="D484" s="219" t="s">
        <v>297</v>
      </c>
      <c r="E484" s="182"/>
      <c r="F484" s="223">
        <v>9.6</v>
      </c>
      <c r="G484" s="185"/>
      <c r="H484" s="185"/>
      <c r="I484" s="223"/>
      <c r="J484" s="220">
        <f>ROUND(PRODUCT(F484:I484),2)</f>
        <v>9.6</v>
      </c>
      <c r="K484" s="195"/>
    </row>
    <row r="485" spans="1:11" x14ac:dyDescent="0.2">
      <c r="A485" s="206"/>
      <c r="B485" s="206"/>
      <c r="C485" s="207"/>
      <c r="D485" s="219" t="s">
        <v>302</v>
      </c>
      <c r="E485" s="182"/>
      <c r="F485" s="185">
        <v>16.93</v>
      </c>
      <c r="G485" s="185"/>
      <c r="H485" s="185"/>
      <c r="I485" s="223"/>
      <c r="J485" s="220">
        <f>ROUND(PRODUCT(F485:I485),2)</f>
        <v>16.93</v>
      </c>
      <c r="K485" s="195"/>
    </row>
    <row r="486" spans="1:11" x14ac:dyDescent="0.2">
      <c r="A486" s="206"/>
      <c r="B486" s="206"/>
      <c r="C486" s="207"/>
      <c r="D486" s="219" t="s">
        <v>301</v>
      </c>
      <c r="E486" s="182"/>
      <c r="F486" s="185">
        <v>2.7</v>
      </c>
      <c r="G486" s="185"/>
      <c r="H486" s="185"/>
      <c r="I486" s="223"/>
      <c r="J486" s="220">
        <f t="shared" ref="J486:J489" si="52">ROUND(PRODUCT(F486:I486),2)</f>
        <v>2.7</v>
      </c>
      <c r="K486" s="195"/>
    </row>
    <row r="487" spans="1:11" x14ac:dyDescent="0.2">
      <c r="A487" s="206"/>
      <c r="B487" s="206"/>
      <c r="C487" s="207"/>
      <c r="D487" s="219" t="s">
        <v>95</v>
      </c>
      <c r="E487" s="182"/>
      <c r="F487" s="185">
        <v>2.25</v>
      </c>
      <c r="G487" s="185"/>
      <c r="H487" s="185"/>
      <c r="I487" s="223"/>
      <c r="J487" s="220">
        <f t="shared" si="52"/>
        <v>2.25</v>
      </c>
      <c r="K487" s="195"/>
    </row>
    <row r="488" spans="1:11" x14ac:dyDescent="0.2">
      <c r="A488" s="206"/>
      <c r="B488" s="206"/>
      <c r="C488" s="207"/>
      <c r="D488" s="219" t="s">
        <v>96</v>
      </c>
      <c r="E488" s="182"/>
      <c r="F488" s="185">
        <v>2.25</v>
      </c>
      <c r="G488" s="185"/>
      <c r="H488" s="185"/>
      <c r="I488" s="223"/>
      <c r="J488" s="220">
        <f t="shared" si="52"/>
        <v>2.25</v>
      </c>
      <c r="K488" s="195"/>
    </row>
    <row r="489" spans="1:11" x14ac:dyDescent="0.2">
      <c r="A489" s="206"/>
      <c r="B489" s="206"/>
      <c r="C489" s="207"/>
      <c r="D489" s="219" t="s">
        <v>300</v>
      </c>
      <c r="E489" s="182"/>
      <c r="F489" s="185">
        <v>2.97</v>
      </c>
      <c r="G489" s="185"/>
      <c r="H489" s="185"/>
      <c r="I489" s="223"/>
      <c r="J489" s="220">
        <f t="shared" si="52"/>
        <v>2.97</v>
      </c>
      <c r="K489" s="195"/>
    </row>
    <row r="490" spans="1:11" x14ac:dyDescent="0.2">
      <c r="A490" s="206"/>
      <c r="B490" s="206"/>
      <c r="C490" s="207"/>
      <c r="D490" s="221"/>
      <c r="E490" s="182"/>
      <c r="F490" s="220"/>
      <c r="G490" s="220"/>
      <c r="H490" s="220"/>
      <c r="I490" s="218" t="str">
        <f>"Total item "&amp;A481</f>
        <v>Total item 1.11.7</v>
      </c>
      <c r="J490" s="217">
        <f>SUM(J483:J489)</f>
        <v>46.3</v>
      </c>
      <c r="K490" s="195"/>
    </row>
    <row r="491" spans="1:11" s="50" customFormat="1" x14ac:dyDescent="0.2">
      <c r="A491" s="206"/>
      <c r="B491" s="206"/>
      <c r="C491" s="207"/>
      <c r="D491" s="208"/>
      <c r="E491" s="206"/>
      <c r="F491" s="209"/>
      <c r="G491" s="209"/>
      <c r="H491" s="209"/>
      <c r="I491" s="210"/>
      <c r="J491" s="209"/>
      <c r="K491" s="200"/>
    </row>
    <row r="492" spans="1:11" s="51" customFormat="1" ht="20.399999999999999" x14ac:dyDescent="0.2">
      <c r="A492" s="214" t="str">
        <f>'ORÇAMENTO COM DESON'!A73</f>
        <v>1.11.8</v>
      </c>
      <c r="B492" s="214"/>
      <c r="C492" s="215"/>
      <c r="D492" s="216" t="str">
        <f>'ORÇAMENTO COM DESON'!D73</f>
        <v>APLICAÇÃO MANUAL DE PINTURA COM TINTA LÁTEX ACRÍLICA EM TETO, DUAS DEMÃOS. AF_06/2014</v>
      </c>
      <c r="E492" s="214" t="str">
        <f>'ORÇAMENTO COM DESON'!E73</f>
        <v>m²</v>
      </c>
      <c r="F492" s="217"/>
      <c r="G492" s="217"/>
      <c r="H492" s="217"/>
      <c r="I492" s="218"/>
      <c r="J492" s="217"/>
      <c r="K492" s="202"/>
    </row>
    <row r="493" spans="1:11" x14ac:dyDescent="0.2">
      <c r="A493" s="206"/>
      <c r="B493" s="206"/>
      <c r="C493" s="207"/>
      <c r="D493" s="219"/>
      <c r="E493" s="182"/>
      <c r="F493" s="223" t="s">
        <v>18</v>
      </c>
      <c r="G493" s="185"/>
      <c r="H493" s="185"/>
      <c r="I493" s="223"/>
      <c r="J493" s="220"/>
      <c r="K493" s="195"/>
    </row>
    <row r="494" spans="1:11" x14ac:dyDescent="0.2">
      <c r="A494" s="206"/>
      <c r="B494" s="206"/>
      <c r="C494" s="207"/>
      <c r="D494" s="219" t="s">
        <v>296</v>
      </c>
      <c r="E494" s="182"/>
      <c r="F494" s="223">
        <v>9.6</v>
      </c>
      <c r="G494" s="185"/>
      <c r="H494" s="185"/>
      <c r="I494" s="223"/>
      <c r="J494" s="220">
        <f>ROUND(PRODUCT(F494:I494),2)</f>
        <v>9.6</v>
      </c>
      <c r="K494" s="195"/>
    </row>
    <row r="495" spans="1:11" x14ac:dyDescent="0.2">
      <c r="A495" s="206"/>
      <c r="B495" s="206"/>
      <c r="C495" s="207"/>
      <c r="D495" s="219" t="s">
        <v>297</v>
      </c>
      <c r="E495" s="182"/>
      <c r="F495" s="223">
        <v>9.6</v>
      </c>
      <c r="G495" s="185"/>
      <c r="H495" s="185"/>
      <c r="I495" s="223"/>
      <c r="J495" s="220">
        <f>ROUND(PRODUCT(F495:I495),2)</f>
        <v>9.6</v>
      </c>
      <c r="K495" s="195"/>
    </row>
    <row r="496" spans="1:11" x14ac:dyDescent="0.2">
      <c r="A496" s="206"/>
      <c r="B496" s="206"/>
      <c r="C496" s="207"/>
      <c r="D496" s="219" t="s">
        <v>302</v>
      </c>
      <c r="E496" s="182"/>
      <c r="F496" s="185">
        <v>16.93</v>
      </c>
      <c r="G496" s="185"/>
      <c r="H496" s="185"/>
      <c r="I496" s="223"/>
      <c r="J496" s="220">
        <f>ROUND(PRODUCT(F496:I496),2)</f>
        <v>16.93</v>
      </c>
      <c r="K496" s="195"/>
    </row>
    <row r="497" spans="1:11" x14ac:dyDescent="0.2">
      <c r="A497" s="206"/>
      <c r="B497" s="206"/>
      <c r="C497" s="207"/>
      <c r="D497" s="219" t="s">
        <v>301</v>
      </c>
      <c r="E497" s="182"/>
      <c r="F497" s="185">
        <v>2.7</v>
      </c>
      <c r="G497" s="185"/>
      <c r="H497" s="185"/>
      <c r="I497" s="223"/>
      <c r="J497" s="220">
        <f t="shared" ref="J497:J500" si="53">ROUND(PRODUCT(F497:I497),2)</f>
        <v>2.7</v>
      </c>
      <c r="K497" s="195"/>
    </row>
    <row r="498" spans="1:11" x14ac:dyDescent="0.2">
      <c r="A498" s="206"/>
      <c r="B498" s="206"/>
      <c r="C498" s="207"/>
      <c r="D498" s="219" t="s">
        <v>95</v>
      </c>
      <c r="E498" s="182"/>
      <c r="F498" s="185">
        <v>2.25</v>
      </c>
      <c r="G498" s="185"/>
      <c r="H498" s="185"/>
      <c r="I498" s="223"/>
      <c r="J498" s="220">
        <f t="shared" si="53"/>
        <v>2.25</v>
      </c>
      <c r="K498" s="195"/>
    </row>
    <row r="499" spans="1:11" x14ac:dyDescent="0.2">
      <c r="A499" s="206"/>
      <c r="B499" s="206"/>
      <c r="C499" s="207"/>
      <c r="D499" s="219" t="s">
        <v>96</v>
      </c>
      <c r="E499" s="182"/>
      <c r="F499" s="185">
        <v>2.25</v>
      </c>
      <c r="G499" s="185"/>
      <c r="H499" s="185"/>
      <c r="I499" s="223"/>
      <c r="J499" s="220">
        <f t="shared" si="53"/>
        <v>2.25</v>
      </c>
      <c r="K499" s="195"/>
    </row>
    <row r="500" spans="1:11" x14ac:dyDescent="0.2">
      <c r="A500" s="206"/>
      <c r="B500" s="206"/>
      <c r="C500" s="207"/>
      <c r="D500" s="219" t="s">
        <v>300</v>
      </c>
      <c r="E500" s="182"/>
      <c r="F500" s="185">
        <v>2.97</v>
      </c>
      <c r="G500" s="185"/>
      <c r="H500" s="185"/>
      <c r="I500" s="223"/>
      <c r="J500" s="220">
        <f t="shared" si="53"/>
        <v>2.97</v>
      </c>
      <c r="K500" s="195"/>
    </row>
    <row r="501" spans="1:11" x14ac:dyDescent="0.2">
      <c r="A501" s="206"/>
      <c r="B501" s="206"/>
      <c r="C501" s="207"/>
      <c r="D501" s="221"/>
      <c r="E501" s="182"/>
      <c r="F501" s="220"/>
      <c r="G501" s="220"/>
      <c r="H501" s="220"/>
      <c r="I501" s="218" t="str">
        <f>"Total item "&amp;A492</f>
        <v>Total item 1.11.8</v>
      </c>
      <c r="J501" s="217">
        <f>SUM(J494:J500)</f>
        <v>46.3</v>
      </c>
      <c r="K501" s="195"/>
    </row>
    <row r="502" spans="1:11" x14ac:dyDescent="0.2">
      <c r="A502" s="206"/>
      <c r="B502" s="206"/>
      <c r="C502" s="229"/>
      <c r="D502" s="219"/>
      <c r="E502" s="182"/>
      <c r="F502" s="220"/>
      <c r="G502" s="220"/>
      <c r="H502" s="220"/>
      <c r="I502" s="210"/>
      <c r="J502" s="209"/>
      <c r="K502" s="195"/>
    </row>
    <row r="503" spans="1:11" x14ac:dyDescent="0.2">
      <c r="A503" s="175" t="str">
        <f>'ORÇAMENTO COM DESON'!A74</f>
        <v>1.12</v>
      </c>
      <c r="B503" s="176"/>
      <c r="C503" s="228"/>
      <c r="D503" s="211" t="str">
        <f>'ORÇAMENTO COM DESON'!D74</f>
        <v>INSTALAÇÕES HIDRÁULICAS</v>
      </c>
      <c r="E503" s="176"/>
      <c r="F503" s="212"/>
      <c r="G503" s="212"/>
      <c r="H503" s="212"/>
      <c r="I503" s="213"/>
      <c r="J503" s="212"/>
      <c r="K503" s="195"/>
    </row>
    <row r="504" spans="1:11" x14ac:dyDescent="0.2">
      <c r="A504" s="206"/>
      <c r="B504" s="206"/>
      <c r="C504" s="229"/>
      <c r="D504" s="219"/>
      <c r="E504" s="182"/>
      <c r="F504" s="220"/>
      <c r="G504" s="220"/>
      <c r="H504" s="220"/>
      <c r="I504" s="210"/>
      <c r="J504" s="209"/>
      <c r="K504" s="195"/>
    </row>
    <row r="505" spans="1:11" ht="51" x14ac:dyDescent="0.2">
      <c r="A505" s="214" t="str">
        <f>'ORÇAMENTO COM DESON'!A75</f>
        <v>1.12.1</v>
      </c>
      <c r="B505" s="230"/>
      <c r="C505" s="231"/>
      <c r="D505" s="232" t="str">
        <f>'ORÇAMENTO COM DESON'!D75</f>
        <v>LAVATÓRIO LOUÇA BRANCA SUSPENSO, 29,5 X 39CM OU EQUIVALENTE, PADRÃO POPULAR, INCLUSO SIFÃO FLEXÍVEL EM PVC, VÁLVULA E ENGATE FLEXÍVEL 30CM EM PLÁSTICO E TORNEIRA CROMADA DE MESA, PADRÃO POPULAR - FORNECIMENTO E INSTALAÇÃO. AF_01/2020</v>
      </c>
      <c r="E505" s="214" t="str">
        <f>'ORÇAMENTO COM DESON'!E75</f>
        <v>un</v>
      </c>
      <c r="F505" s="217"/>
      <c r="G505" s="217"/>
      <c r="H505" s="217"/>
      <c r="I505" s="218"/>
      <c r="J505" s="217"/>
      <c r="K505" s="195"/>
    </row>
    <row r="506" spans="1:11" x14ac:dyDescent="0.2">
      <c r="A506" s="206"/>
      <c r="B506" s="206"/>
      <c r="C506" s="229"/>
      <c r="D506" s="219"/>
      <c r="E506" s="182"/>
      <c r="F506" s="185" t="s">
        <v>139</v>
      </c>
      <c r="G506" s="185"/>
      <c r="H506" s="185"/>
      <c r="I506" s="223"/>
      <c r="J506" s="220"/>
      <c r="K506" s="195"/>
    </row>
    <row r="507" spans="1:11" x14ac:dyDescent="0.2">
      <c r="A507" s="206"/>
      <c r="B507" s="206"/>
      <c r="C507" s="229"/>
      <c r="D507" s="219"/>
      <c r="E507" s="182"/>
      <c r="F507" s="185">
        <v>3</v>
      </c>
      <c r="G507" s="185"/>
      <c r="H507" s="185"/>
      <c r="I507" s="223"/>
      <c r="J507" s="220">
        <f>ROUND(PRODUCT(F507:I507),2)</f>
        <v>3</v>
      </c>
      <c r="K507" s="195"/>
    </row>
    <row r="508" spans="1:11" x14ac:dyDescent="0.2">
      <c r="A508" s="206"/>
      <c r="B508" s="206"/>
      <c r="C508" s="229"/>
      <c r="D508" s="219"/>
      <c r="E508" s="182"/>
      <c r="F508" s="220"/>
      <c r="G508" s="220"/>
      <c r="H508" s="220"/>
      <c r="I508" s="218" t="str">
        <f>"Total item "&amp;A505</f>
        <v>Total item 1.12.1</v>
      </c>
      <c r="J508" s="217">
        <f>ROUND(SUM(J507:J507),2)</f>
        <v>3</v>
      </c>
      <c r="K508" s="203"/>
    </row>
    <row r="509" spans="1:11" x14ac:dyDescent="0.2">
      <c r="A509" s="206"/>
      <c r="B509" s="206"/>
      <c r="C509" s="229"/>
      <c r="D509" s="219"/>
      <c r="E509" s="182"/>
      <c r="F509" s="220"/>
      <c r="G509" s="220"/>
      <c r="H509" s="220"/>
      <c r="I509" s="210"/>
      <c r="J509" s="209"/>
      <c r="K509" s="195"/>
    </row>
    <row r="510" spans="1:11" ht="40.799999999999997" x14ac:dyDescent="0.2">
      <c r="A510" s="214" t="str">
        <f>'ORÇAMENTO COM DESON'!A76</f>
        <v>1.12.2</v>
      </c>
      <c r="B510" s="230"/>
      <c r="C510" s="231"/>
      <c r="D510" s="232" t="str">
        <f>'ORÇAMENTO COM DESON'!D76</f>
        <v>VASO SANITÁRIO SIFONADO COM CAIXA ACOPLADA LOUÇA BRANCA, INCLUSO ENGATE FLEXÍVEL EM PLÁSTICO BRANCO, 1/2 X 40CM - FORNECIMENTO E INSTALAÇÃO. AF_01/2020</v>
      </c>
      <c r="E510" s="214" t="str">
        <f>'ORÇAMENTO COM DESON'!E76</f>
        <v>un</v>
      </c>
      <c r="F510" s="217"/>
      <c r="G510" s="217"/>
      <c r="H510" s="217"/>
      <c r="I510" s="218"/>
      <c r="J510" s="217"/>
      <c r="K510" s="195"/>
    </row>
    <row r="511" spans="1:11" x14ac:dyDescent="0.2">
      <c r="A511" s="206"/>
      <c r="B511" s="206"/>
      <c r="C511" s="229"/>
      <c r="D511" s="219"/>
      <c r="E511" s="182"/>
      <c r="F511" s="185" t="s">
        <v>139</v>
      </c>
      <c r="G511" s="185"/>
      <c r="H511" s="185"/>
      <c r="I511" s="223"/>
      <c r="J511" s="220"/>
      <c r="K511" s="195"/>
    </row>
    <row r="512" spans="1:11" x14ac:dyDescent="0.2">
      <c r="A512" s="206"/>
      <c r="B512" s="206"/>
      <c r="C512" s="229"/>
      <c r="D512" s="219"/>
      <c r="E512" s="182"/>
      <c r="F512" s="185">
        <v>2</v>
      </c>
      <c r="G512" s="185"/>
      <c r="H512" s="185"/>
      <c r="I512" s="223"/>
      <c r="J512" s="220">
        <f>ROUND(PRODUCT(F512:I512),2)</f>
        <v>2</v>
      </c>
      <c r="K512" s="195"/>
    </row>
    <row r="513" spans="1:11" x14ac:dyDescent="0.2">
      <c r="A513" s="206"/>
      <c r="B513" s="206"/>
      <c r="C513" s="229"/>
      <c r="D513" s="219"/>
      <c r="E513" s="182"/>
      <c r="F513" s="220"/>
      <c r="G513" s="220"/>
      <c r="H513" s="220"/>
      <c r="I513" s="218" t="str">
        <f>"Total item "&amp;A510</f>
        <v>Total item 1.12.2</v>
      </c>
      <c r="J513" s="217">
        <f>ROUND(SUM(J512:J512),2)</f>
        <v>2</v>
      </c>
      <c r="K513" s="203"/>
    </row>
    <row r="514" spans="1:11" x14ac:dyDescent="0.2">
      <c r="A514" s="206"/>
      <c r="B514" s="206"/>
      <c r="C514" s="229"/>
      <c r="D514" s="219"/>
      <c r="E514" s="182"/>
      <c r="F514" s="220"/>
      <c r="G514" s="220"/>
      <c r="H514" s="220"/>
      <c r="I514" s="210"/>
      <c r="J514" s="209"/>
      <c r="K514" s="195"/>
    </row>
    <row r="515" spans="1:11" ht="30.6" x14ac:dyDescent="0.2">
      <c r="A515" s="214" t="str">
        <f>'ORÇAMENTO COM DESON'!A77</f>
        <v>1.12.3</v>
      </c>
      <c r="B515" s="230"/>
      <c r="C515" s="231"/>
      <c r="D515" s="232" t="str">
        <f>'ORÇAMENTO COM DESON'!D77</f>
        <v>VASO SANITARIO SIFONADO CONVENCIONAL PARA PCD SEM FURO FRONTAL COM LOUÇA BRANCA SEM ASSENTO - FORNECIMENTO E INSTALAÇÃO. AF_01/2020</v>
      </c>
      <c r="E515" s="214" t="str">
        <f>'ORÇAMENTO COM DESON'!E77</f>
        <v>un</v>
      </c>
      <c r="F515" s="217"/>
      <c r="G515" s="217"/>
      <c r="H515" s="217"/>
      <c r="I515" s="218"/>
      <c r="J515" s="217"/>
      <c r="K515" s="195"/>
    </row>
    <row r="516" spans="1:11" x14ac:dyDescent="0.2">
      <c r="A516" s="206"/>
      <c r="B516" s="206"/>
      <c r="C516" s="229"/>
      <c r="D516" s="219"/>
      <c r="E516" s="182"/>
      <c r="F516" s="185" t="s">
        <v>139</v>
      </c>
      <c r="G516" s="185"/>
      <c r="H516" s="185"/>
      <c r="I516" s="223"/>
      <c r="J516" s="220"/>
      <c r="K516" s="195"/>
    </row>
    <row r="517" spans="1:11" x14ac:dyDescent="0.2">
      <c r="A517" s="206"/>
      <c r="B517" s="206"/>
      <c r="C517" s="229"/>
      <c r="D517" s="219"/>
      <c r="E517" s="182"/>
      <c r="F517" s="185">
        <v>1</v>
      </c>
      <c r="G517" s="185"/>
      <c r="H517" s="185"/>
      <c r="I517" s="223"/>
      <c r="J517" s="220">
        <f>ROUND(PRODUCT(F517:I517),2)</f>
        <v>1</v>
      </c>
      <c r="K517" s="195"/>
    </row>
    <row r="518" spans="1:11" x14ac:dyDescent="0.2">
      <c r="A518" s="206"/>
      <c r="B518" s="206"/>
      <c r="C518" s="229"/>
      <c r="D518" s="219"/>
      <c r="E518" s="182"/>
      <c r="F518" s="220"/>
      <c r="G518" s="220"/>
      <c r="H518" s="220"/>
      <c r="I518" s="218" t="str">
        <f>"Total item "&amp;A515</f>
        <v>Total item 1.12.3</v>
      </c>
      <c r="J518" s="217">
        <f>ROUND(SUM(J517:J517),2)</f>
        <v>1</v>
      </c>
      <c r="K518" s="203"/>
    </row>
    <row r="519" spans="1:11" x14ac:dyDescent="0.2">
      <c r="A519" s="206"/>
      <c r="B519" s="206"/>
      <c r="C519" s="229"/>
      <c r="D519" s="219"/>
      <c r="E519" s="182"/>
      <c r="F519" s="220"/>
      <c r="G519" s="220"/>
      <c r="H519" s="220"/>
      <c r="I519" s="210"/>
      <c r="J519" s="209"/>
      <c r="K519" s="195"/>
    </row>
    <row r="520" spans="1:11" ht="20.399999999999999" x14ac:dyDescent="0.2">
      <c r="A520" s="214" t="str">
        <f>'ORÇAMENTO COM DESON'!A78</f>
        <v>1.12.4</v>
      </c>
      <c r="B520" s="230"/>
      <c r="C520" s="231"/>
      <c r="D520" s="232" t="str">
        <f>'ORÇAMENTO COM DESON'!D78</f>
        <v>ASSENTO SANITÁRIO CONVENCIONAL - FORNECIMENTO E INSTALACAO. AF_01/2020</v>
      </c>
      <c r="E520" s="214" t="str">
        <f>'ORÇAMENTO COM DESON'!E78</f>
        <v>un</v>
      </c>
      <c r="F520" s="217"/>
      <c r="G520" s="217"/>
      <c r="H520" s="217"/>
      <c r="I520" s="218"/>
      <c r="J520" s="217"/>
      <c r="K520" s="195"/>
    </row>
    <row r="521" spans="1:11" x14ac:dyDescent="0.2">
      <c r="A521" s="206"/>
      <c r="B521" s="206"/>
      <c r="C521" s="229"/>
      <c r="D521" s="219"/>
      <c r="E521" s="182"/>
      <c r="F521" s="185" t="s">
        <v>139</v>
      </c>
      <c r="G521" s="185"/>
      <c r="H521" s="185"/>
      <c r="I521" s="223"/>
      <c r="J521" s="220"/>
      <c r="K521" s="195"/>
    </row>
    <row r="522" spans="1:11" x14ac:dyDescent="0.2">
      <c r="A522" s="206"/>
      <c r="B522" s="206"/>
      <c r="C522" s="229"/>
      <c r="D522" s="219"/>
      <c r="E522" s="182"/>
      <c r="F522" s="185">
        <v>3</v>
      </c>
      <c r="G522" s="185"/>
      <c r="H522" s="185"/>
      <c r="I522" s="223"/>
      <c r="J522" s="220">
        <f>ROUND(PRODUCT(F522:I522),2)</f>
        <v>3</v>
      </c>
      <c r="K522" s="195"/>
    </row>
    <row r="523" spans="1:11" x14ac:dyDescent="0.2">
      <c r="A523" s="206"/>
      <c r="B523" s="206"/>
      <c r="C523" s="229"/>
      <c r="D523" s="219"/>
      <c r="E523" s="182"/>
      <c r="F523" s="220"/>
      <c r="G523" s="220"/>
      <c r="H523" s="220"/>
      <c r="I523" s="218" t="str">
        <f>"Total item "&amp;A520</f>
        <v>Total item 1.12.4</v>
      </c>
      <c r="J523" s="217">
        <f>ROUND(SUM(J522:J522),2)</f>
        <v>3</v>
      </c>
      <c r="K523" s="203"/>
    </row>
    <row r="524" spans="1:11" x14ac:dyDescent="0.2">
      <c r="A524" s="206"/>
      <c r="B524" s="206"/>
      <c r="C524" s="229"/>
      <c r="D524" s="219"/>
      <c r="E524" s="182"/>
      <c r="F524" s="220"/>
      <c r="G524" s="220"/>
      <c r="H524" s="220"/>
      <c r="I524" s="210"/>
      <c r="J524" s="209"/>
      <c r="K524" s="195"/>
    </row>
    <row r="525" spans="1:11" ht="51" x14ac:dyDescent="0.2">
      <c r="A525" s="214" t="str">
        <f>'ORÇAMENTO COM DESON'!A79</f>
        <v>1.12.5</v>
      </c>
      <c r="B525" s="230"/>
      <c r="C525" s="231"/>
      <c r="D525" s="232" t="str">
        <f>'ORÇAMENTO COM DESON'!D79</f>
        <v>ADAPTADOR COM FLANGE E ANEL DE VEDAÇÃO, PVC, SOLDÁVEL, DN 25 MM X 3/4, INSTALADO EM RESERVAÇÃO DE ÁGUA DE EDIFICAÇÃO QUE POSSUA RESERVATÓRIO DE FIBRA/FIBROCIMENTO FORNECIMENTO E INSTALAÇÃO. AF_06/2016</v>
      </c>
      <c r="E525" s="214" t="str">
        <f>'ORÇAMENTO COM DESON'!E79</f>
        <v>un</v>
      </c>
      <c r="F525" s="217"/>
      <c r="G525" s="217"/>
      <c r="H525" s="217"/>
      <c r="I525" s="218"/>
      <c r="J525" s="217"/>
      <c r="K525" s="195"/>
    </row>
    <row r="526" spans="1:11" x14ac:dyDescent="0.2">
      <c r="A526" s="206"/>
      <c r="B526" s="206"/>
      <c r="C526" s="229"/>
      <c r="D526" s="219"/>
      <c r="E526" s="182"/>
      <c r="F526" s="185" t="s">
        <v>139</v>
      </c>
      <c r="G526" s="185"/>
      <c r="H526" s="185"/>
      <c r="I526" s="223"/>
      <c r="J526" s="220"/>
      <c r="K526" s="195"/>
    </row>
    <row r="527" spans="1:11" x14ac:dyDescent="0.2">
      <c r="A527" s="206"/>
      <c r="B527" s="206"/>
      <c r="C527" s="229"/>
      <c r="D527" s="219"/>
      <c r="E527" s="182"/>
      <c r="F527" s="185">
        <v>1</v>
      </c>
      <c r="G527" s="185"/>
      <c r="H527" s="185"/>
      <c r="I527" s="223"/>
      <c r="J527" s="220">
        <f>ROUND(PRODUCT(F527:I527),2)</f>
        <v>1</v>
      </c>
      <c r="K527" s="195"/>
    </row>
    <row r="528" spans="1:11" x14ac:dyDescent="0.2">
      <c r="A528" s="206"/>
      <c r="B528" s="206"/>
      <c r="C528" s="229"/>
      <c r="D528" s="219"/>
      <c r="E528" s="182"/>
      <c r="F528" s="220"/>
      <c r="G528" s="220"/>
      <c r="H528" s="220"/>
      <c r="I528" s="218" t="str">
        <f>"Total item "&amp;A525</f>
        <v>Total item 1.12.5</v>
      </c>
      <c r="J528" s="217">
        <f>ROUND(SUM(J527:J527),2)</f>
        <v>1</v>
      </c>
      <c r="K528" s="203"/>
    </row>
    <row r="529" spans="1:11" x14ac:dyDescent="0.2">
      <c r="A529" s="206"/>
      <c r="B529" s="206"/>
      <c r="C529" s="229"/>
      <c r="D529" s="219"/>
      <c r="E529" s="182"/>
      <c r="F529" s="220"/>
      <c r="G529" s="220"/>
      <c r="H529" s="220"/>
      <c r="I529" s="210"/>
      <c r="J529" s="209"/>
      <c r="K529" s="195"/>
    </row>
    <row r="530" spans="1:11" ht="20.399999999999999" x14ac:dyDescent="0.2">
      <c r="A530" s="214" t="str">
        <f>'ORÇAMENTO COM DESON'!A80</f>
        <v>1.12.6</v>
      </c>
      <c r="B530" s="230"/>
      <c r="C530" s="231"/>
      <c r="D530" s="232" t="str">
        <f>'ORÇAMENTO COM DESON'!D80</f>
        <v>REGISTRO DE GAVETA BRUTO, LATÃO, ROSCÁVEL, 3/4" - FORNECIMENTO E INSTALAÇÃO. AF_08/2021</v>
      </c>
      <c r="E530" s="214" t="str">
        <f>'ORÇAMENTO COM DESON'!E80</f>
        <v>un</v>
      </c>
      <c r="F530" s="217"/>
      <c r="G530" s="217"/>
      <c r="H530" s="217"/>
      <c r="I530" s="218"/>
      <c r="J530" s="217"/>
      <c r="K530" s="195"/>
    </row>
    <row r="531" spans="1:11" x14ac:dyDescent="0.2">
      <c r="A531" s="206"/>
      <c r="B531" s="206"/>
      <c r="C531" s="229"/>
      <c r="D531" s="219"/>
      <c r="E531" s="182"/>
      <c r="F531" s="185" t="s">
        <v>139</v>
      </c>
      <c r="G531" s="185"/>
      <c r="H531" s="185"/>
      <c r="I531" s="223"/>
      <c r="J531" s="220"/>
      <c r="K531" s="195"/>
    </row>
    <row r="532" spans="1:11" x14ac:dyDescent="0.2">
      <c r="A532" s="206"/>
      <c r="B532" s="206"/>
      <c r="C532" s="229"/>
      <c r="D532" s="219"/>
      <c r="E532" s="182"/>
      <c r="F532" s="185">
        <v>3</v>
      </c>
      <c r="G532" s="185"/>
      <c r="H532" s="185"/>
      <c r="I532" s="223"/>
      <c r="J532" s="220">
        <f>ROUND(PRODUCT(F532:I532),2)</f>
        <v>3</v>
      </c>
      <c r="K532" s="195"/>
    </row>
    <row r="533" spans="1:11" x14ac:dyDescent="0.2">
      <c r="A533" s="206"/>
      <c r="B533" s="206"/>
      <c r="C533" s="229"/>
      <c r="D533" s="219"/>
      <c r="E533" s="182"/>
      <c r="F533" s="220"/>
      <c r="G533" s="220"/>
      <c r="H533" s="220"/>
      <c r="I533" s="218" t="str">
        <f>"Total item "&amp;A530</f>
        <v>Total item 1.12.6</v>
      </c>
      <c r="J533" s="217">
        <f>ROUND(SUM(J532:J532),2)</f>
        <v>3</v>
      </c>
      <c r="K533" s="203"/>
    </row>
    <row r="534" spans="1:11" x14ac:dyDescent="0.2">
      <c r="A534" s="206"/>
      <c r="B534" s="206"/>
      <c r="C534" s="229"/>
      <c r="D534" s="219"/>
      <c r="E534" s="182"/>
      <c r="F534" s="220"/>
      <c r="G534" s="220"/>
      <c r="H534" s="220"/>
      <c r="I534" s="210"/>
      <c r="J534" s="209"/>
      <c r="K534" s="195"/>
    </row>
    <row r="535" spans="1:11" ht="30.6" x14ac:dyDescent="0.2">
      <c r="A535" s="214" t="str">
        <f>'ORÇAMENTO COM DESON'!A81</f>
        <v>1.12.7</v>
      </c>
      <c r="B535" s="230"/>
      <c r="C535" s="231"/>
      <c r="D535" s="232" t="str">
        <f>'ORÇAMENTO COM DESON'!D81</f>
        <v>JOELHO 90 GRAUS, PVC, SOLDÁVEL, DN 25MM, INSTALADO EM RAMAL OU SUB-RAMAL DE ÁGUA - FORNECIMENTO E INSTALAÇÃO. AF_06/2022</v>
      </c>
      <c r="E535" s="214" t="str">
        <f>'ORÇAMENTO COM DESON'!E81</f>
        <v>un</v>
      </c>
      <c r="F535" s="217"/>
      <c r="G535" s="217"/>
      <c r="H535" s="217"/>
      <c r="I535" s="218"/>
      <c r="J535" s="217"/>
      <c r="K535" s="195"/>
    </row>
    <row r="536" spans="1:11" x14ac:dyDescent="0.2">
      <c r="A536" s="206"/>
      <c r="B536" s="206"/>
      <c r="C536" s="229"/>
      <c r="D536" s="219"/>
      <c r="E536" s="182"/>
      <c r="F536" s="185" t="s">
        <v>139</v>
      </c>
      <c r="G536" s="185"/>
      <c r="H536" s="185"/>
      <c r="I536" s="223"/>
      <c r="J536" s="220"/>
      <c r="K536" s="195"/>
    </row>
    <row r="537" spans="1:11" x14ac:dyDescent="0.2">
      <c r="A537" s="206"/>
      <c r="B537" s="206"/>
      <c r="C537" s="229"/>
      <c r="D537" s="219"/>
      <c r="E537" s="182"/>
      <c r="F537" s="185">
        <v>3</v>
      </c>
      <c r="G537" s="185"/>
      <c r="H537" s="185"/>
      <c r="I537" s="223"/>
      <c r="J537" s="220">
        <f>ROUND(PRODUCT(F537:I537),2)</f>
        <v>3</v>
      </c>
      <c r="K537" s="195"/>
    </row>
    <row r="538" spans="1:11" x14ac:dyDescent="0.2">
      <c r="A538" s="206"/>
      <c r="B538" s="206"/>
      <c r="C538" s="229"/>
      <c r="D538" s="219"/>
      <c r="E538" s="182"/>
      <c r="F538" s="185">
        <v>6</v>
      </c>
      <c r="G538" s="185"/>
      <c r="H538" s="185"/>
      <c r="I538" s="223"/>
      <c r="J538" s="220">
        <f>ROUND(PRODUCT(F538:I538),2)</f>
        <v>6</v>
      </c>
      <c r="K538" s="195"/>
    </row>
    <row r="539" spans="1:11" x14ac:dyDescent="0.2">
      <c r="A539" s="206"/>
      <c r="B539" s="206"/>
      <c r="C539" s="229"/>
      <c r="D539" s="219"/>
      <c r="E539" s="182"/>
      <c r="F539" s="185">
        <v>3</v>
      </c>
      <c r="G539" s="185"/>
      <c r="H539" s="185"/>
      <c r="I539" s="223"/>
      <c r="J539" s="220">
        <f>ROUND(PRODUCT(F539:I539),2)</f>
        <v>3</v>
      </c>
      <c r="K539" s="195"/>
    </row>
    <row r="540" spans="1:11" x14ac:dyDescent="0.2">
      <c r="A540" s="206"/>
      <c r="B540" s="206"/>
      <c r="C540" s="229"/>
      <c r="D540" s="219"/>
      <c r="E540" s="182"/>
      <c r="F540" s="220"/>
      <c r="G540" s="220"/>
      <c r="H540" s="220"/>
      <c r="I540" s="218" t="str">
        <f>"Total item "&amp;A535</f>
        <v>Total item 1.12.7</v>
      </c>
      <c r="J540" s="217">
        <f>ROUND(SUM(J537:J539),2)</f>
        <v>12</v>
      </c>
      <c r="K540" s="203"/>
    </row>
    <row r="541" spans="1:11" x14ac:dyDescent="0.2">
      <c r="A541" s="206"/>
      <c r="B541" s="206"/>
      <c r="C541" s="229"/>
      <c r="D541" s="219"/>
      <c r="E541" s="182"/>
      <c r="F541" s="220"/>
      <c r="G541" s="220"/>
      <c r="H541" s="220"/>
      <c r="I541" s="210"/>
      <c r="J541" s="209"/>
      <c r="K541" s="195"/>
    </row>
    <row r="542" spans="1:11" x14ac:dyDescent="0.2">
      <c r="A542" s="214" t="str">
        <f>'ORÇAMENTO COM DESON'!A82</f>
        <v>1.12.8</v>
      </c>
      <c r="B542" s="230"/>
      <c r="C542" s="231"/>
      <c r="D542" s="232" t="str">
        <f>'ORÇAMENTO COM DESON'!D82</f>
        <v>LUVA PVC SOLD./ROSCA. D=25mmX1/2"</v>
      </c>
      <c r="E542" s="214" t="str">
        <f>'ORÇAMENTO COM DESON'!E82</f>
        <v>un</v>
      </c>
      <c r="F542" s="217"/>
      <c r="G542" s="217"/>
      <c r="H542" s="217"/>
      <c r="I542" s="218"/>
      <c r="J542" s="217"/>
      <c r="K542" s="195"/>
    </row>
    <row r="543" spans="1:11" x14ac:dyDescent="0.2">
      <c r="A543" s="206"/>
      <c r="B543" s="206"/>
      <c r="C543" s="229"/>
      <c r="D543" s="219"/>
      <c r="E543" s="182"/>
      <c r="F543" s="185" t="s">
        <v>139</v>
      </c>
      <c r="G543" s="185"/>
      <c r="H543" s="185"/>
      <c r="I543" s="223"/>
      <c r="J543" s="220"/>
      <c r="K543" s="195"/>
    </row>
    <row r="544" spans="1:11" x14ac:dyDescent="0.2">
      <c r="A544" s="206"/>
      <c r="B544" s="206"/>
      <c r="C544" s="229"/>
      <c r="D544" s="219"/>
      <c r="E544" s="182"/>
      <c r="F544" s="185">
        <v>3</v>
      </c>
      <c r="G544" s="185"/>
      <c r="H544" s="185"/>
      <c r="I544" s="223"/>
      <c r="J544" s="220">
        <f>ROUND(PRODUCT(F544:I544),2)</f>
        <v>3</v>
      </c>
      <c r="K544" s="195"/>
    </row>
    <row r="545" spans="1:11" x14ac:dyDescent="0.2">
      <c r="A545" s="206"/>
      <c r="B545" s="206"/>
      <c r="C545" s="229"/>
      <c r="D545" s="219"/>
      <c r="E545" s="182"/>
      <c r="F545" s="185">
        <v>3</v>
      </c>
      <c r="G545" s="185"/>
      <c r="H545" s="185"/>
      <c r="I545" s="223"/>
      <c r="J545" s="220">
        <f>ROUND(PRODUCT(F545:I545),2)</f>
        <v>3</v>
      </c>
      <c r="K545" s="195"/>
    </row>
    <row r="546" spans="1:11" x14ac:dyDescent="0.2">
      <c r="A546" s="206"/>
      <c r="B546" s="206"/>
      <c r="C546" s="229"/>
      <c r="D546" s="219"/>
      <c r="E546" s="182"/>
      <c r="F546" s="220"/>
      <c r="G546" s="220"/>
      <c r="H546" s="220"/>
      <c r="I546" s="218" t="str">
        <f>"Total item "&amp;A542</f>
        <v>Total item 1.12.8</v>
      </c>
      <c r="J546" s="217">
        <f>ROUND(SUM(J544:J545),2)</f>
        <v>6</v>
      </c>
      <c r="K546" s="203"/>
    </row>
    <row r="547" spans="1:11" x14ac:dyDescent="0.2">
      <c r="A547" s="206"/>
      <c r="B547" s="206"/>
      <c r="C547" s="229"/>
      <c r="D547" s="219"/>
      <c r="E547" s="182"/>
      <c r="F547" s="220"/>
      <c r="G547" s="220"/>
      <c r="H547" s="220"/>
      <c r="I547" s="210"/>
      <c r="J547" s="209"/>
      <c r="K547" s="195"/>
    </row>
    <row r="548" spans="1:11" x14ac:dyDescent="0.2">
      <c r="A548" s="214" t="str">
        <f>'ORÇAMENTO COM DESON'!A83</f>
        <v>1.12.9</v>
      </c>
      <c r="B548" s="230"/>
      <c r="C548" s="231"/>
      <c r="D548" s="232" t="str">
        <f>'ORÇAMENTO COM DESON'!D83</f>
        <v xml:space="preserve">CAP PVC SOLD. MARROM D= 25mm (3/4") </v>
      </c>
      <c r="E548" s="214" t="str">
        <f>'ORÇAMENTO COM DESON'!E83</f>
        <v>un</v>
      </c>
      <c r="F548" s="217"/>
      <c r="G548" s="217"/>
      <c r="H548" s="217"/>
      <c r="I548" s="218"/>
      <c r="J548" s="217"/>
      <c r="K548" s="195"/>
    </row>
    <row r="549" spans="1:11" x14ac:dyDescent="0.2">
      <c r="A549" s="206"/>
      <c r="B549" s="206"/>
      <c r="C549" s="229"/>
      <c r="D549" s="219"/>
      <c r="E549" s="182"/>
      <c r="F549" s="185" t="s">
        <v>139</v>
      </c>
      <c r="G549" s="185"/>
      <c r="H549" s="185"/>
      <c r="I549" s="223"/>
      <c r="J549" s="220"/>
      <c r="K549" s="195"/>
    </row>
    <row r="550" spans="1:11" x14ac:dyDescent="0.2">
      <c r="A550" s="206"/>
      <c r="B550" s="206"/>
      <c r="C550" s="229"/>
      <c r="D550" s="219"/>
      <c r="E550" s="182"/>
      <c r="F550" s="185">
        <v>2</v>
      </c>
      <c r="G550" s="185"/>
      <c r="H550" s="185"/>
      <c r="I550" s="223"/>
      <c r="J550" s="220">
        <f>ROUND(PRODUCT(F550:I550),2)</f>
        <v>2</v>
      </c>
      <c r="K550" s="195"/>
    </row>
    <row r="551" spans="1:11" x14ac:dyDescent="0.2">
      <c r="A551" s="206"/>
      <c r="B551" s="206"/>
      <c r="C551" s="229"/>
      <c r="D551" s="219"/>
      <c r="E551" s="182"/>
      <c r="F551" s="220"/>
      <c r="G551" s="220"/>
      <c r="H551" s="220"/>
      <c r="I551" s="218" t="str">
        <f>"Total item "&amp;A548</f>
        <v>Total item 1.12.9</v>
      </c>
      <c r="J551" s="217">
        <f>ROUND(SUM(J550:J550),2)</f>
        <v>2</v>
      </c>
      <c r="K551" s="203"/>
    </row>
    <row r="552" spans="1:11" x14ac:dyDescent="0.2">
      <c r="A552" s="206"/>
      <c r="B552" s="206"/>
      <c r="C552" s="229"/>
      <c r="D552" s="219"/>
      <c r="E552" s="182"/>
      <c r="F552" s="220"/>
      <c r="G552" s="220"/>
      <c r="H552" s="220"/>
      <c r="I552" s="210"/>
      <c r="J552" s="209"/>
      <c r="K552" s="195"/>
    </row>
    <row r="553" spans="1:11" x14ac:dyDescent="0.2">
      <c r="A553" s="214" t="str">
        <f>'ORÇAMENTO COM DESON'!A84</f>
        <v>1.12.10</v>
      </c>
      <c r="B553" s="230"/>
      <c r="C553" s="231"/>
      <c r="D553" s="232" t="str">
        <f>'ORÇAMENTO COM DESON'!D84</f>
        <v>CAP PVC SOLD. MARROM D= 40mm (1 1/4")</v>
      </c>
      <c r="E553" s="214" t="str">
        <f>'ORÇAMENTO COM DESON'!E84</f>
        <v>un</v>
      </c>
      <c r="F553" s="217"/>
      <c r="G553" s="217"/>
      <c r="H553" s="217"/>
      <c r="I553" s="218"/>
      <c r="J553" s="217"/>
      <c r="K553" s="195"/>
    </row>
    <row r="554" spans="1:11" x14ac:dyDescent="0.2">
      <c r="A554" s="206"/>
      <c r="B554" s="206"/>
      <c r="C554" s="229"/>
      <c r="D554" s="219"/>
      <c r="E554" s="182"/>
      <c r="F554" s="185" t="s">
        <v>139</v>
      </c>
      <c r="G554" s="185"/>
      <c r="H554" s="185"/>
      <c r="I554" s="223"/>
      <c r="J554" s="220"/>
      <c r="K554" s="195"/>
    </row>
    <row r="555" spans="1:11" x14ac:dyDescent="0.2">
      <c r="A555" s="206"/>
      <c r="B555" s="206"/>
      <c r="C555" s="229"/>
      <c r="D555" s="219"/>
      <c r="E555" s="182"/>
      <c r="F555" s="185">
        <v>2</v>
      </c>
      <c r="G555" s="185"/>
      <c r="H555" s="185"/>
      <c r="I555" s="223"/>
      <c r="J555" s="220">
        <f>ROUND(PRODUCT(F555:I555),2)</f>
        <v>2</v>
      </c>
      <c r="K555" s="195"/>
    </row>
    <row r="556" spans="1:11" x14ac:dyDescent="0.2">
      <c r="A556" s="206"/>
      <c r="B556" s="206"/>
      <c r="C556" s="229"/>
      <c r="D556" s="219"/>
      <c r="E556" s="182"/>
      <c r="F556" s="220"/>
      <c r="G556" s="220"/>
      <c r="H556" s="220"/>
      <c r="I556" s="218" t="str">
        <f>"Total item "&amp;A553</f>
        <v>Total item 1.12.10</v>
      </c>
      <c r="J556" s="217">
        <f>ROUND(SUM(J555:J555),2)</f>
        <v>2</v>
      </c>
      <c r="K556" s="203"/>
    </row>
    <row r="557" spans="1:11" x14ac:dyDescent="0.2">
      <c r="A557" s="206"/>
      <c r="B557" s="206"/>
      <c r="C557" s="229"/>
      <c r="D557" s="219"/>
      <c r="E557" s="182"/>
      <c r="F557" s="220"/>
      <c r="G557" s="220"/>
      <c r="H557" s="220"/>
      <c r="I557" s="210"/>
      <c r="J557" s="209"/>
      <c r="K557" s="195"/>
    </row>
    <row r="558" spans="1:11" ht="30.6" x14ac:dyDescent="0.2">
      <c r="A558" s="214" t="str">
        <f>'ORÇAMENTO COM DESON'!A85</f>
        <v>1.12.11</v>
      </c>
      <c r="B558" s="230"/>
      <c r="C558" s="231"/>
      <c r="D558" s="232" t="str">
        <f>'ORÇAMENTO COM DESON'!D85</f>
        <v>TUBO, PVC, SOLDÁVEL, DN 20MM, INSTALADO EM RAMAL OU SUB-RAMAL DE ÁGUA - FORNECIMENTO E INSTALAÇÃO. AF_06/2022</v>
      </c>
      <c r="E558" s="214" t="str">
        <f>'ORÇAMENTO COM DESON'!E85</f>
        <v>m</v>
      </c>
      <c r="F558" s="217"/>
      <c r="G558" s="217"/>
      <c r="H558" s="217"/>
      <c r="I558" s="218"/>
      <c r="J558" s="217"/>
      <c r="K558" s="195"/>
    </row>
    <row r="559" spans="1:11" x14ac:dyDescent="0.2">
      <c r="A559" s="206"/>
      <c r="B559" s="206"/>
      <c r="C559" s="229"/>
      <c r="D559" s="219"/>
      <c r="E559" s="182"/>
      <c r="F559" s="185" t="s">
        <v>156</v>
      </c>
      <c r="G559" s="185"/>
      <c r="H559" s="185"/>
      <c r="I559" s="223"/>
      <c r="J559" s="220"/>
      <c r="K559" s="195"/>
    </row>
    <row r="560" spans="1:11" x14ac:dyDescent="0.2">
      <c r="A560" s="206"/>
      <c r="B560" s="206"/>
      <c r="C560" s="229"/>
      <c r="D560" s="219" t="s">
        <v>718</v>
      </c>
      <c r="E560" s="182"/>
      <c r="F560" s="185">
        <v>1</v>
      </c>
      <c r="G560" s="185"/>
      <c r="H560" s="185"/>
      <c r="I560" s="223"/>
      <c r="J560" s="220">
        <f>ROUND(PRODUCT(F560:I560),2)</f>
        <v>1</v>
      </c>
      <c r="K560" s="195"/>
    </row>
    <row r="561" spans="1:11" x14ac:dyDescent="0.2">
      <c r="A561" s="206"/>
      <c r="B561" s="206"/>
      <c r="C561" s="229"/>
      <c r="D561" s="219" t="s">
        <v>719</v>
      </c>
      <c r="E561" s="182"/>
      <c r="F561" s="185">
        <v>28</v>
      </c>
      <c r="G561" s="185"/>
      <c r="H561" s="185"/>
      <c r="I561" s="223"/>
      <c r="J561" s="220">
        <f>ROUND(PRODUCT(F561:I561),2)</f>
        <v>28</v>
      </c>
      <c r="K561" s="195"/>
    </row>
    <row r="562" spans="1:11" x14ac:dyDescent="0.2">
      <c r="A562" s="206"/>
      <c r="B562" s="206"/>
      <c r="C562" s="229"/>
      <c r="D562" s="219"/>
      <c r="E562" s="182"/>
      <c r="F562" s="220"/>
      <c r="G562" s="220"/>
      <c r="H562" s="220"/>
      <c r="I562" s="218" t="str">
        <f>"Total item "&amp;A558</f>
        <v>Total item 1.12.11</v>
      </c>
      <c r="J562" s="217">
        <f>ROUND(SUM(J560:J561),2)</f>
        <v>29</v>
      </c>
      <c r="K562" s="203"/>
    </row>
    <row r="563" spans="1:11" x14ac:dyDescent="0.2">
      <c r="A563" s="206"/>
      <c r="B563" s="206"/>
      <c r="C563" s="229"/>
      <c r="D563" s="219"/>
      <c r="E563" s="182"/>
      <c r="F563" s="220"/>
      <c r="G563" s="220"/>
      <c r="H563" s="220"/>
      <c r="I563" s="210"/>
      <c r="J563" s="209"/>
      <c r="K563" s="195"/>
    </row>
    <row r="564" spans="1:11" ht="30.6" x14ac:dyDescent="0.2">
      <c r="A564" s="214" t="str">
        <f>'ORÇAMENTO COM DESON'!A86</f>
        <v>1.12.12</v>
      </c>
      <c r="B564" s="230"/>
      <c r="C564" s="231"/>
      <c r="D564" s="232" t="str">
        <f>'ORÇAMENTO COM DESON'!D86</f>
        <v>TUBO, PVC, SOLDÁVEL, DN 25MM, INSTALADO EM RAMAL OU SUB-RAMAL DE ÁGUA - FORNECIMENTO E INSTALAÇÃO. AF_06/2022</v>
      </c>
      <c r="E564" s="214" t="str">
        <f>'ORÇAMENTO COM DESON'!E86</f>
        <v>m</v>
      </c>
      <c r="F564" s="217"/>
      <c r="G564" s="217"/>
      <c r="H564" s="217"/>
      <c r="I564" s="218"/>
      <c r="J564" s="217"/>
      <c r="K564" s="195"/>
    </row>
    <row r="565" spans="1:11" x14ac:dyDescent="0.2">
      <c r="A565" s="206"/>
      <c r="B565" s="206"/>
      <c r="C565" s="229"/>
      <c r="D565" s="219"/>
      <c r="E565" s="182"/>
      <c r="F565" s="185" t="s">
        <v>156</v>
      </c>
      <c r="G565" s="185"/>
      <c r="H565" s="185"/>
      <c r="I565" s="223"/>
      <c r="J565" s="220"/>
      <c r="K565" s="195"/>
    </row>
    <row r="566" spans="1:11" x14ac:dyDescent="0.2">
      <c r="A566" s="206"/>
      <c r="B566" s="206"/>
      <c r="C566" s="229"/>
      <c r="D566" s="219" t="s">
        <v>718</v>
      </c>
      <c r="E566" s="182"/>
      <c r="F566" s="185">
        <v>23</v>
      </c>
      <c r="G566" s="185"/>
      <c r="H566" s="185"/>
      <c r="I566" s="223"/>
      <c r="J566" s="220">
        <f>ROUND(PRODUCT(F566:I566),2)</f>
        <v>23</v>
      </c>
      <c r="K566" s="195"/>
    </row>
    <row r="567" spans="1:11" x14ac:dyDescent="0.2">
      <c r="A567" s="206"/>
      <c r="B567" s="206"/>
      <c r="C567" s="229"/>
      <c r="D567" s="219" t="s">
        <v>540</v>
      </c>
      <c r="E567" s="182"/>
      <c r="F567" s="185">
        <v>7</v>
      </c>
      <c r="G567" s="185"/>
      <c r="H567" s="185"/>
      <c r="I567" s="223"/>
      <c r="J567" s="220">
        <f>ROUND(PRODUCT(F567:I567),2)</f>
        <v>7</v>
      </c>
      <c r="K567" s="195"/>
    </row>
    <row r="568" spans="1:11" x14ac:dyDescent="0.2">
      <c r="A568" s="206"/>
      <c r="B568" s="206"/>
      <c r="C568" s="229"/>
      <c r="D568" s="219"/>
      <c r="E568" s="182"/>
      <c r="F568" s="220"/>
      <c r="G568" s="220"/>
      <c r="H568" s="220"/>
      <c r="I568" s="218" t="str">
        <f>"Total item "&amp;A564</f>
        <v>Total item 1.12.12</v>
      </c>
      <c r="J568" s="217">
        <f>ROUND(SUM(J566:J567),2)</f>
        <v>30</v>
      </c>
      <c r="K568" s="203"/>
    </row>
    <row r="569" spans="1:11" x14ac:dyDescent="0.2">
      <c r="A569" s="206"/>
      <c r="B569" s="206"/>
      <c r="C569" s="229"/>
      <c r="D569" s="219"/>
      <c r="E569" s="182"/>
      <c r="F569" s="220"/>
      <c r="G569" s="220"/>
      <c r="H569" s="220"/>
      <c r="I569" s="210"/>
      <c r="J569" s="209"/>
      <c r="K569" s="195"/>
    </row>
    <row r="570" spans="1:11" ht="30.6" x14ac:dyDescent="0.2">
      <c r="A570" s="214" t="str">
        <f>'ORÇAMENTO COM DESON'!A87</f>
        <v>1.12.13</v>
      </c>
      <c r="B570" s="230"/>
      <c r="C570" s="231"/>
      <c r="D570" s="232" t="str">
        <f>'ORÇAMENTO COM DESON'!D87</f>
        <v>TE, PVC, SOLDÁVEL, DN 25MM, INSTALADO EM RAMAL OU SUB-RAMAL DE ÁGUA - FORNECIMENTO E INSTALAÇÃO. AF_06/2022</v>
      </c>
      <c r="E570" s="214" t="str">
        <f>'ORÇAMENTO COM DESON'!E87</f>
        <v>un</v>
      </c>
      <c r="F570" s="217"/>
      <c r="G570" s="217"/>
      <c r="H570" s="217"/>
      <c r="I570" s="218"/>
      <c r="J570" s="217"/>
      <c r="K570" s="195"/>
    </row>
    <row r="571" spans="1:11" x14ac:dyDescent="0.2">
      <c r="A571" s="206"/>
      <c r="B571" s="206"/>
      <c r="C571" s="229"/>
      <c r="D571" s="219"/>
      <c r="E571" s="182"/>
      <c r="F571" s="185" t="s">
        <v>139</v>
      </c>
      <c r="G571" s="185"/>
      <c r="H571" s="185"/>
      <c r="I571" s="223"/>
      <c r="J571" s="220"/>
      <c r="K571" s="195"/>
    </row>
    <row r="572" spans="1:11" x14ac:dyDescent="0.2">
      <c r="A572" s="206"/>
      <c r="B572" s="206"/>
      <c r="C572" s="229"/>
      <c r="D572" s="219"/>
      <c r="E572" s="182"/>
      <c r="F572" s="185">
        <v>3</v>
      </c>
      <c r="G572" s="185"/>
      <c r="H572" s="185"/>
      <c r="I572" s="223"/>
      <c r="J572" s="220">
        <f>ROUND(PRODUCT(F572:I572),2)</f>
        <v>3</v>
      </c>
      <c r="K572" s="195"/>
    </row>
    <row r="573" spans="1:11" x14ac:dyDescent="0.2">
      <c r="A573" s="206"/>
      <c r="B573" s="206"/>
      <c r="C573" s="229"/>
      <c r="D573" s="219" t="s">
        <v>540</v>
      </c>
      <c r="E573" s="182"/>
      <c r="F573" s="185">
        <v>2</v>
      </c>
      <c r="G573" s="185"/>
      <c r="H573" s="185"/>
      <c r="I573" s="223"/>
      <c r="J573" s="220">
        <f>ROUND(PRODUCT(F573:I573),2)</f>
        <v>2</v>
      </c>
      <c r="K573" s="195"/>
    </row>
    <row r="574" spans="1:11" x14ac:dyDescent="0.2">
      <c r="A574" s="206"/>
      <c r="B574" s="206"/>
      <c r="C574" s="229"/>
      <c r="D574" s="219"/>
      <c r="E574" s="182"/>
      <c r="F574" s="220"/>
      <c r="G574" s="220"/>
      <c r="H574" s="220"/>
      <c r="I574" s="218" t="str">
        <f>"Total item "&amp;A570</f>
        <v>Total item 1.12.13</v>
      </c>
      <c r="J574" s="217">
        <f>ROUND(SUM(J572:J573),2)</f>
        <v>5</v>
      </c>
      <c r="K574" s="203"/>
    </row>
    <row r="575" spans="1:11" x14ac:dyDescent="0.2">
      <c r="A575" s="206"/>
      <c r="B575" s="206"/>
      <c r="C575" s="229"/>
      <c r="D575" s="219"/>
      <c r="E575" s="182"/>
      <c r="F575" s="220"/>
      <c r="G575" s="220"/>
      <c r="H575" s="220"/>
      <c r="I575" s="210"/>
      <c r="J575" s="209"/>
      <c r="K575" s="195"/>
    </row>
    <row r="576" spans="1:11" x14ac:dyDescent="0.2">
      <c r="A576" s="175" t="str">
        <f>'ORÇAMENTO COM DESON'!A88</f>
        <v>1.13</v>
      </c>
      <c r="B576" s="176"/>
      <c r="C576" s="228"/>
      <c r="D576" s="211" t="str">
        <f>'ORÇAMENTO COM DESON'!D88</f>
        <v>INSTALAÇÕES SANITÁRIAS</v>
      </c>
      <c r="E576" s="176"/>
      <c r="F576" s="212"/>
      <c r="G576" s="212"/>
      <c r="H576" s="212"/>
      <c r="I576" s="213"/>
      <c r="J576" s="212"/>
      <c r="K576" s="195"/>
    </row>
    <row r="577" spans="1:11" ht="20.399999999999999" x14ac:dyDescent="0.2">
      <c r="A577" s="214" t="str">
        <f>'ORÇAMENTO COM DESON'!A89</f>
        <v>1.13.1</v>
      </c>
      <c r="B577" s="230"/>
      <c r="C577" s="231"/>
      <c r="D577" s="232" t="str">
        <f>'ORÇAMENTO COM DESON'!D89</f>
        <v>CAIXA EM ALVENARIA (60X60X60cm) DE 1/2 TIJOLO COMUM, LASTRO DE CONCRETO E TAMPA DE CONCRETO</v>
      </c>
      <c r="E577" s="214" t="str">
        <f>'ORÇAMENTO COM DESON'!E89</f>
        <v>un</v>
      </c>
      <c r="F577" s="217"/>
      <c r="G577" s="217"/>
      <c r="H577" s="217"/>
      <c r="I577" s="218"/>
      <c r="J577" s="217"/>
      <c r="K577" s="195"/>
    </row>
    <row r="578" spans="1:11" x14ac:dyDescent="0.2">
      <c r="A578" s="206"/>
      <c r="B578" s="206"/>
      <c r="C578" s="229"/>
      <c r="D578" s="47"/>
      <c r="E578" s="182"/>
      <c r="F578" s="185" t="s">
        <v>139</v>
      </c>
      <c r="G578" s="185"/>
      <c r="H578" s="185"/>
      <c r="I578" s="223"/>
      <c r="J578" s="220"/>
      <c r="K578" s="195"/>
    </row>
    <row r="579" spans="1:11" x14ac:dyDescent="0.2">
      <c r="A579" s="206"/>
      <c r="B579" s="206"/>
      <c r="C579" s="229"/>
      <c r="D579" s="219"/>
      <c r="E579" s="182"/>
      <c r="F579" s="185">
        <v>2</v>
      </c>
      <c r="G579" s="185"/>
      <c r="H579" s="185"/>
      <c r="I579" s="223"/>
      <c r="J579" s="220">
        <f>ROUND(PRODUCT(F579:I579),2)</f>
        <v>2</v>
      </c>
      <c r="K579" s="195"/>
    </row>
    <row r="580" spans="1:11" x14ac:dyDescent="0.2">
      <c r="A580" s="206"/>
      <c r="B580" s="206"/>
      <c r="C580" s="229"/>
      <c r="D580" s="219"/>
      <c r="E580" s="182"/>
      <c r="F580" s="220"/>
      <c r="G580" s="220"/>
      <c r="H580" s="220"/>
      <c r="I580" s="218" t="str">
        <f>"Total item "&amp;A577</f>
        <v>Total item 1.13.1</v>
      </c>
      <c r="J580" s="217">
        <f>ROUND(SUM(J579:J579),2)</f>
        <v>2</v>
      </c>
      <c r="K580" s="203"/>
    </row>
    <row r="581" spans="1:11" x14ac:dyDescent="0.2">
      <c r="A581" s="206"/>
      <c r="B581" s="206"/>
      <c r="C581" s="229"/>
      <c r="D581" s="219"/>
      <c r="E581" s="182"/>
      <c r="F581" s="220"/>
      <c r="G581" s="220"/>
      <c r="H581" s="220"/>
      <c r="I581" s="210"/>
      <c r="J581" s="209"/>
      <c r="K581" s="195"/>
    </row>
    <row r="582" spans="1:11" ht="20.399999999999999" x14ac:dyDescent="0.2">
      <c r="A582" s="214" t="str">
        <f>'ORÇAMENTO COM DESON'!A90</f>
        <v>1.13.2</v>
      </c>
      <c r="B582" s="230"/>
      <c r="C582" s="231"/>
      <c r="D582" s="232" t="str">
        <f>'ORÇAMENTO COM DESON'!D90</f>
        <v>SIFÃO DO TIPO FLEXÍVEL EM PVC 1 X 1.1/2 - FORNECIMENTO E INSTALAÇÃO. AF_01/2020</v>
      </c>
      <c r="E582" s="214" t="str">
        <f>'ORÇAMENTO COM DESON'!E90</f>
        <v>un</v>
      </c>
      <c r="F582" s="217"/>
      <c r="G582" s="217"/>
      <c r="H582" s="217"/>
      <c r="I582" s="218"/>
      <c r="J582" s="217"/>
      <c r="K582" s="195"/>
    </row>
    <row r="583" spans="1:11" x14ac:dyDescent="0.2">
      <c r="A583" s="206"/>
      <c r="B583" s="206"/>
      <c r="C583" s="229"/>
      <c r="D583" s="219"/>
      <c r="E583" s="182"/>
      <c r="F583" s="185" t="s">
        <v>139</v>
      </c>
      <c r="G583" s="185"/>
      <c r="H583" s="185"/>
      <c r="I583" s="223"/>
      <c r="J583" s="220"/>
      <c r="K583" s="195"/>
    </row>
    <row r="584" spans="1:11" x14ac:dyDescent="0.2">
      <c r="A584" s="206"/>
      <c r="B584" s="206"/>
      <c r="C584" s="229"/>
      <c r="D584" s="219"/>
      <c r="E584" s="182"/>
      <c r="F584" s="185">
        <v>3</v>
      </c>
      <c r="G584" s="185"/>
      <c r="H584" s="185"/>
      <c r="I584" s="223"/>
      <c r="J584" s="220">
        <f>ROUND(PRODUCT(F584:I584),2)</f>
        <v>3</v>
      </c>
      <c r="K584" s="195"/>
    </row>
    <row r="585" spans="1:11" x14ac:dyDescent="0.2">
      <c r="A585" s="206"/>
      <c r="B585" s="206"/>
      <c r="C585" s="229"/>
      <c r="D585" s="219"/>
      <c r="E585" s="182"/>
      <c r="F585" s="220"/>
      <c r="G585" s="220"/>
      <c r="H585" s="220"/>
      <c r="I585" s="218" t="str">
        <f>"Total item "&amp;A582</f>
        <v>Total item 1.13.2</v>
      </c>
      <c r="J585" s="217">
        <f>ROUND(SUM(J584:J584),2)</f>
        <v>3</v>
      </c>
      <c r="K585" s="203"/>
    </row>
    <row r="586" spans="1:11" x14ac:dyDescent="0.2">
      <c r="A586" s="206"/>
      <c r="B586" s="206"/>
      <c r="C586" s="229"/>
      <c r="D586" s="219"/>
      <c r="E586" s="182"/>
      <c r="F586" s="220"/>
      <c r="G586" s="220"/>
      <c r="H586" s="220"/>
      <c r="I586" s="210"/>
      <c r="J586" s="209"/>
      <c r="K586" s="195"/>
    </row>
    <row r="587" spans="1:11" ht="30.6" x14ac:dyDescent="0.2">
      <c r="A587" s="214" t="str">
        <f>'ORÇAMENTO COM DESON'!A91</f>
        <v>1.13.3</v>
      </c>
      <c r="B587" s="230"/>
      <c r="C587" s="231"/>
      <c r="D587" s="232" t="str">
        <f>'ORÇAMENTO COM DESON'!D91</f>
        <v>VÁLVULA EM PLÁSTICO 1 PARA PIA, TANQUE OU LAVATÓRIO, COM OU SEM LADRÃO - FORNECIMENTO E INSTALAÇÃO. AF_01/2020</v>
      </c>
      <c r="E587" s="214" t="str">
        <f>'ORÇAMENTO COM DESON'!E91</f>
        <v>un</v>
      </c>
      <c r="F587" s="217"/>
      <c r="G587" s="217"/>
      <c r="H587" s="217"/>
      <c r="I587" s="218"/>
      <c r="J587" s="217"/>
      <c r="K587" s="195"/>
    </row>
    <row r="588" spans="1:11" x14ac:dyDescent="0.2">
      <c r="A588" s="206"/>
      <c r="B588" s="206"/>
      <c r="C588" s="229"/>
      <c r="D588" s="219"/>
      <c r="E588" s="182"/>
      <c r="F588" s="185" t="s">
        <v>139</v>
      </c>
      <c r="G588" s="185"/>
      <c r="H588" s="185"/>
      <c r="I588" s="223"/>
      <c r="J588" s="220"/>
      <c r="K588" s="195"/>
    </row>
    <row r="589" spans="1:11" x14ac:dyDescent="0.2">
      <c r="A589" s="206"/>
      <c r="B589" s="206"/>
      <c r="C589" s="229"/>
      <c r="D589" s="219"/>
      <c r="E589" s="182"/>
      <c r="F589" s="185">
        <v>3</v>
      </c>
      <c r="G589" s="185"/>
      <c r="H589" s="185"/>
      <c r="I589" s="223"/>
      <c r="J589" s="220">
        <f>ROUND(PRODUCT(F589:I589),2)</f>
        <v>3</v>
      </c>
      <c r="K589" s="195"/>
    </row>
    <row r="590" spans="1:11" x14ac:dyDescent="0.2">
      <c r="A590" s="206"/>
      <c r="B590" s="206"/>
      <c r="C590" s="229"/>
      <c r="D590" s="219"/>
      <c r="E590" s="182"/>
      <c r="F590" s="220"/>
      <c r="G590" s="220"/>
      <c r="H590" s="220"/>
      <c r="I590" s="218" t="str">
        <f>"Total item "&amp;A587</f>
        <v>Total item 1.13.3</v>
      </c>
      <c r="J590" s="217">
        <f>ROUND(SUM(J589:J589),2)</f>
        <v>3</v>
      </c>
      <c r="K590" s="203"/>
    </row>
    <row r="591" spans="1:11" x14ac:dyDescent="0.2">
      <c r="A591" s="206"/>
      <c r="B591" s="206"/>
      <c r="C591" s="229"/>
      <c r="D591" s="219"/>
      <c r="E591" s="182"/>
      <c r="F591" s="220"/>
      <c r="G591" s="220"/>
      <c r="H591" s="220"/>
      <c r="I591" s="210"/>
      <c r="J591" s="209"/>
      <c r="K591" s="195"/>
    </row>
    <row r="592" spans="1:11" ht="40.799999999999997" x14ac:dyDescent="0.2">
      <c r="A592" s="214" t="str">
        <f>'ORÇAMENTO COM DESON'!A92</f>
        <v>1.13.4</v>
      </c>
      <c r="B592" s="230"/>
      <c r="C592" s="231"/>
      <c r="D592" s="232" t="str">
        <f>'ORÇAMENTO COM DESON'!D92</f>
        <v>CURVA CURTA 90 GRAUS, PVC, SERIE NORMAL, ESGOTO PREDIAL, DN 40 MM, JUNTA SOLDÁVEL, FORNECIDO E INSTALADO EM RAMAL DE DESCARGA OU RAMAL DE ESGOTO SANITÁRIO. AF_08/2022</v>
      </c>
      <c r="E592" s="214" t="str">
        <f>'ORÇAMENTO COM DESON'!E92</f>
        <v>un</v>
      </c>
      <c r="F592" s="217"/>
      <c r="G592" s="217"/>
      <c r="H592" s="217"/>
      <c r="I592" s="218"/>
      <c r="J592" s="217"/>
      <c r="K592" s="195"/>
    </row>
    <row r="593" spans="1:11" x14ac:dyDescent="0.2">
      <c r="A593" s="206"/>
      <c r="B593" s="206"/>
      <c r="C593" s="229"/>
      <c r="D593" s="219"/>
      <c r="E593" s="182"/>
      <c r="F593" s="185" t="s">
        <v>139</v>
      </c>
      <c r="G593" s="185"/>
      <c r="H593" s="185"/>
      <c r="I593" s="223"/>
      <c r="J593" s="220"/>
      <c r="K593" s="195"/>
    </row>
    <row r="594" spans="1:11" x14ac:dyDescent="0.2">
      <c r="A594" s="206"/>
      <c r="B594" s="206"/>
      <c r="C594" s="229"/>
      <c r="D594" s="219"/>
      <c r="E594" s="182"/>
      <c r="F594" s="185">
        <v>3</v>
      </c>
      <c r="G594" s="185"/>
      <c r="H594" s="185"/>
      <c r="I594" s="223"/>
      <c r="J594" s="220">
        <f>ROUND(PRODUCT(F594:I594),2)</f>
        <v>3</v>
      </c>
      <c r="K594" s="195"/>
    </row>
    <row r="595" spans="1:11" x14ac:dyDescent="0.2">
      <c r="A595" s="206"/>
      <c r="B595" s="206"/>
      <c r="C595" s="229"/>
      <c r="D595" s="219"/>
      <c r="E595" s="182"/>
      <c r="F595" s="220"/>
      <c r="G595" s="220"/>
      <c r="H595" s="220"/>
      <c r="I595" s="218" t="str">
        <f>"Total item "&amp;A592</f>
        <v>Total item 1.13.4</v>
      </c>
      <c r="J595" s="217">
        <f>ROUND(SUM(J594:J594),2)</f>
        <v>3</v>
      </c>
      <c r="K595" s="203"/>
    </row>
    <row r="596" spans="1:11" x14ac:dyDescent="0.2">
      <c r="A596" s="206"/>
      <c r="B596" s="206"/>
      <c r="C596" s="229"/>
      <c r="D596" s="219"/>
      <c r="E596" s="182"/>
      <c r="F596" s="220"/>
      <c r="G596" s="220"/>
      <c r="H596" s="220"/>
      <c r="I596" s="210"/>
      <c r="J596" s="209"/>
      <c r="K596" s="195"/>
    </row>
    <row r="597" spans="1:11" ht="40.799999999999997" x14ac:dyDescent="0.2">
      <c r="A597" s="214" t="str">
        <f>'ORÇAMENTO COM DESON'!A93</f>
        <v>1.13.5</v>
      </c>
      <c r="B597" s="230"/>
      <c r="C597" s="231"/>
      <c r="D597" s="232" t="str">
        <f>'ORÇAMENTO COM DESON'!D93</f>
        <v>JOELHO 45 GRAUS, PVC, SERIE NORMAL, ESGOTO PREDIAL, DN 100 MM, JUNTA ELÁSTICA, FORNECIDO E INSTALADO EM RAMAL DE DESCARGA OU RAMAL DE ESGOTO SANITÁRIO. AF_08/2022</v>
      </c>
      <c r="E597" s="214" t="str">
        <f>'ORÇAMENTO COM DESON'!E93</f>
        <v>un</v>
      </c>
      <c r="F597" s="217"/>
      <c r="G597" s="217"/>
      <c r="H597" s="217"/>
      <c r="I597" s="218"/>
      <c r="J597" s="217"/>
      <c r="K597" s="195"/>
    </row>
    <row r="598" spans="1:11" x14ac:dyDescent="0.2">
      <c r="A598" s="206"/>
      <c r="B598" s="206"/>
      <c r="C598" s="229"/>
      <c r="D598" s="219"/>
      <c r="E598" s="182"/>
      <c r="F598" s="185" t="s">
        <v>139</v>
      </c>
      <c r="G598" s="185"/>
      <c r="H598" s="185"/>
      <c r="I598" s="223"/>
      <c r="J598" s="220"/>
      <c r="K598" s="195"/>
    </row>
    <row r="599" spans="1:11" x14ac:dyDescent="0.2">
      <c r="A599" s="206"/>
      <c r="B599" s="206"/>
      <c r="C599" s="229"/>
      <c r="D599" s="219"/>
      <c r="E599" s="182"/>
      <c r="F599" s="185">
        <v>3</v>
      </c>
      <c r="G599" s="185"/>
      <c r="H599" s="185"/>
      <c r="I599" s="223"/>
      <c r="J599" s="220">
        <f>ROUND(PRODUCT(F599:I599),2)</f>
        <v>3</v>
      </c>
      <c r="K599" s="195"/>
    </row>
    <row r="600" spans="1:11" x14ac:dyDescent="0.2">
      <c r="A600" s="206"/>
      <c r="B600" s="206"/>
      <c r="C600" s="229"/>
      <c r="D600" s="219"/>
      <c r="E600" s="182"/>
      <c r="F600" s="220"/>
      <c r="G600" s="220"/>
      <c r="H600" s="220"/>
      <c r="I600" s="218" t="str">
        <f>"Total item "&amp;A597</f>
        <v>Total item 1.13.5</v>
      </c>
      <c r="J600" s="217">
        <f>ROUND(SUM(J599:J599),2)</f>
        <v>3</v>
      </c>
      <c r="K600" s="203"/>
    </row>
    <row r="601" spans="1:11" x14ac:dyDescent="0.2">
      <c r="A601" s="206"/>
      <c r="B601" s="206"/>
      <c r="C601" s="229"/>
      <c r="D601" s="219"/>
      <c r="E601" s="182"/>
      <c r="F601" s="220"/>
      <c r="G601" s="220"/>
      <c r="H601" s="220"/>
      <c r="I601" s="210"/>
      <c r="J601" s="209"/>
      <c r="K601" s="195"/>
    </row>
    <row r="602" spans="1:11" ht="40.799999999999997" x14ac:dyDescent="0.2">
      <c r="A602" s="214" t="str">
        <f>'ORÇAMENTO COM DESON'!A94</f>
        <v>1.13.6</v>
      </c>
      <c r="B602" s="230"/>
      <c r="C602" s="231"/>
      <c r="D602" s="232" t="str">
        <f>'ORÇAMENTO COM DESON'!D94</f>
        <v>JOELHO 90 GRAUS, PVC, SERIE NORMAL, ESGOTO PREDIAL, DN 100 MM, JUNTA ELÁSTICA, FORNECIDO E INSTALADO EM PRUMADA DE ESGOTO SANITÁRIO OU VENTILAÇÃO. AF_08/2022</v>
      </c>
      <c r="E602" s="214" t="str">
        <f>'ORÇAMENTO COM DESON'!E94</f>
        <v>un</v>
      </c>
      <c r="F602" s="217"/>
      <c r="G602" s="217"/>
      <c r="H602" s="217"/>
      <c r="I602" s="218"/>
      <c r="J602" s="217"/>
      <c r="K602" s="195"/>
    </row>
    <row r="603" spans="1:11" x14ac:dyDescent="0.2">
      <c r="A603" s="206"/>
      <c r="B603" s="206"/>
      <c r="C603" s="229"/>
      <c r="D603" s="219"/>
      <c r="E603" s="182"/>
      <c r="F603" s="185" t="s">
        <v>139</v>
      </c>
      <c r="G603" s="185"/>
      <c r="H603" s="185"/>
      <c r="I603" s="223"/>
      <c r="J603" s="220"/>
      <c r="K603" s="195"/>
    </row>
    <row r="604" spans="1:11" x14ac:dyDescent="0.2">
      <c r="A604" s="206"/>
      <c r="B604" s="206"/>
      <c r="C604" s="229"/>
      <c r="D604" s="219"/>
      <c r="E604" s="182"/>
      <c r="F604" s="185">
        <v>10</v>
      </c>
      <c r="G604" s="185"/>
      <c r="H604" s="185"/>
      <c r="I604" s="223"/>
      <c r="J604" s="220">
        <f>ROUND(PRODUCT(F604:I604),2)</f>
        <v>10</v>
      </c>
      <c r="K604" s="195"/>
    </row>
    <row r="605" spans="1:11" x14ac:dyDescent="0.2">
      <c r="A605" s="206"/>
      <c r="B605" s="206"/>
      <c r="C605" s="229"/>
      <c r="D605" s="219"/>
      <c r="E605" s="182"/>
      <c r="F605" s="220"/>
      <c r="G605" s="220"/>
      <c r="H605" s="220"/>
      <c r="I605" s="218" t="str">
        <f>"Total item "&amp;A602</f>
        <v>Total item 1.13.6</v>
      </c>
      <c r="J605" s="217">
        <f>ROUND(SUM(J604:J604),2)</f>
        <v>10</v>
      </c>
      <c r="K605" s="203"/>
    </row>
    <row r="606" spans="1:11" x14ac:dyDescent="0.2">
      <c r="A606" s="206"/>
      <c r="B606" s="206"/>
      <c r="C606" s="229"/>
      <c r="D606" s="219"/>
      <c r="E606" s="182"/>
      <c r="F606" s="220"/>
      <c r="G606" s="220"/>
      <c r="H606" s="220"/>
      <c r="I606" s="210"/>
      <c r="J606" s="209"/>
      <c r="K606" s="195"/>
    </row>
    <row r="607" spans="1:11" ht="20.399999999999999" x14ac:dyDescent="0.2">
      <c r="A607" s="214" t="str">
        <f>'ORÇAMENTO COM DESON'!A95</f>
        <v>1.13.7</v>
      </c>
      <c r="B607" s="230"/>
      <c r="C607" s="231"/>
      <c r="D607" s="232" t="str">
        <f>'ORÇAMENTO COM DESON'!D95</f>
        <v>JOELHO 90 GRAUS COM VISITA - FORNECIMENTO E INSTALAÇÃO</v>
      </c>
      <c r="E607" s="214" t="str">
        <f>'ORÇAMENTO COM DESON'!E95</f>
        <v>un</v>
      </c>
      <c r="F607" s="217"/>
      <c r="G607" s="217"/>
      <c r="H607" s="217"/>
      <c r="I607" s="218"/>
      <c r="J607" s="217"/>
      <c r="K607" s="195"/>
    </row>
    <row r="608" spans="1:11" x14ac:dyDescent="0.2">
      <c r="A608" s="206"/>
      <c r="B608" s="206"/>
      <c r="C608" s="229"/>
      <c r="D608" s="219"/>
      <c r="E608" s="182"/>
      <c r="F608" s="185" t="s">
        <v>139</v>
      </c>
      <c r="G608" s="185"/>
      <c r="H608" s="185"/>
      <c r="I608" s="223"/>
      <c r="J608" s="220"/>
      <c r="K608" s="195"/>
    </row>
    <row r="609" spans="1:11" x14ac:dyDescent="0.2">
      <c r="A609" s="206"/>
      <c r="B609" s="206"/>
      <c r="C609" s="229"/>
      <c r="D609" s="219"/>
      <c r="E609" s="182"/>
      <c r="F609" s="185">
        <v>1</v>
      </c>
      <c r="G609" s="185"/>
      <c r="H609" s="185"/>
      <c r="I609" s="223"/>
      <c r="J609" s="220">
        <f>ROUND(PRODUCT(F609:I609),2)</f>
        <v>1</v>
      </c>
      <c r="K609" s="195"/>
    </row>
    <row r="610" spans="1:11" x14ac:dyDescent="0.2">
      <c r="A610" s="206"/>
      <c r="B610" s="206"/>
      <c r="C610" s="229"/>
      <c r="D610" s="219"/>
      <c r="E610" s="182"/>
      <c r="F610" s="220"/>
      <c r="G610" s="220"/>
      <c r="H610" s="220"/>
      <c r="I610" s="218" t="str">
        <f>"Total item "&amp;A607</f>
        <v>Total item 1.13.7</v>
      </c>
      <c r="J610" s="217">
        <f>ROUND(SUM(J609:J609),2)</f>
        <v>1</v>
      </c>
      <c r="K610" s="203"/>
    </row>
    <row r="611" spans="1:11" x14ac:dyDescent="0.2">
      <c r="A611" s="206"/>
      <c r="B611" s="206"/>
      <c r="C611" s="229"/>
      <c r="D611" s="219"/>
      <c r="E611" s="182"/>
      <c r="F611" s="220"/>
      <c r="G611" s="220"/>
      <c r="H611" s="220"/>
      <c r="I611" s="210"/>
      <c r="J611" s="209"/>
      <c r="K611" s="195"/>
    </row>
    <row r="612" spans="1:11" ht="30.6" x14ac:dyDescent="0.2">
      <c r="A612" s="214" t="str">
        <f>'ORÇAMENTO COM DESON'!A96</f>
        <v>1.13.8</v>
      </c>
      <c r="B612" s="230"/>
      <c r="C612" s="231"/>
      <c r="D612" s="232" t="str">
        <f>'ORÇAMENTO COM DESON'!D96</f>
        <v>TUBO PVC, SERIE NORMAL, ESGOTO PREDIAL, DN 100 MM, FORNECIDO E INSTALADO EM RAMAL DE DESCARGA OU RAMAL DE ESGOTO SANITÁRIO. AF_08/2022</v>
      </c>
      <c r="E612" s="214" t="str">
        <f>'ORÇAMENTO COM DESON'!E96</f>
        <v>m</v>
      </c>
      <c r="F612" s="217"/>
      <c r="G612" s="217"/>
      <c r="H612" s="217"/>
      <c r="I612" s="218"/>
      <c r="J612" s="217"/>
      <c r="K612" s="195"/>
    </row>
    <row r="613" spans="1:11" x14ac:dyDescent="0.2">
      <c r="A613" s="206"/>
      <c r="B613" s="206"/>
      <c r="C613" s="229"/>
      <c r="D613" s="219"/>
      <c r="E613" s="182"/>
      <c r="F613" s="185" t="s">
        <v>139</v>
      </c>
      <c r="G613" s="185"/>
      <c r="H613" s="185"/>
      <c r="I613" s="223"/>
      <c r="J613" s="220"/>
      <c r="K613" s="195"/>
    </row>
    <row r="614" spans="1:11" x14ac:dyDescent="0.2">
      <c r="A614" s="206"/>
      <c r="B614" s="206"/>
      <c r="C614" s="229"/>
      <c r="D614" s="219"/>
      <c r="E614" s="182"/>
      <c r="F614" s="185">
        <f>20+4.29</f>
        <v>24.29</v>
      </c>
      <c r="G614" s="185"/>
      <c r="H614" s="185"/>
      <c r="I614" s="223"/>
      <c r="J614" s="220">
        <f>ROUND(PRODUCT(F614:I614),2)</f>
        <v>24.29</v>
      </c>
      <c r="K614" s="195"/>
    </row>
    <row r="615" spans="1:11" x14ac:dyDescent="0.2">
      <c r="A615" s="206"/>
      <c r="B615" s="206"/>
      <c r="C615" s="229"/>
      <c r="D615" s="219"/>
      <c r="E615" s="182"/>
      <c r="F615" s="220"/>
      <c r="G615" s="220"/>
      <c r="H615" s="220"/>
      <c r="I615" s="218" t="str">
        <f>"Total item "&amp;A612</f>
        <v>Total item 1.13.8</v>
      </c>
      <c r="J615" s="217">
        <f>ROUND(SUM(J614:J614),2)</f>
        <v>24.29</v>
      </c>
      <c r="K615" s="203"/>
    </row>
    <row r="616" spans="1:11" x14ac:dyDescent="0.2">
      <c r="A616" s="206"/>
      <c r="B616" s="206"/>
      <c r="C616" s="229"/>
      <c r="D616" s="219"/>
      <c r="E616" s="182"/>
      <c r="F616" s="220"/>
      <c r="G616" s="220"/>
      <c r="H616" s="220"/>
      <c r="I616" s="210"/>
      <c r="J616" s="209"/>
      <c r="K616" s="195"/>
    </row>
    <row r="617" spans="1:11" ht="30.6" x14ac:dyDescent="0.2">
      <c r="A617" s="214" t="str">
        <f>'ORÇAMENTO COM DESON'!A97</f>
        <v>1.13.9</v>
      </c>
      <c r="B617" s="230"/>
      <c r="C617" s="231"/>
      <c r="D617" s="232" t="str">
        <f>'ORÇAMENTO COM DESON'!D97</f>
        <v>TUBO PVC, SERIE NORMAL, ESGOTO PREDIAL, DN 40 MM, FORNECIDO E INSTALADO EM RAMAL DE DESCARGA OU RAMAL DE ESGOTO SANITÁRIO. AF_08/2022</v>
      </c>
      <c r="E617" s="214" t="str">
        <f>'ORÇAMENTO COM DESON'!E97</f>
        <v>m</v>
      </c>
      <c r="F617" s="217"/>
      <c r="G617" s="217"/>
      <c r="H617" s="217"/>
      <c r="I617" s="218"/>
      <c r="J617" s="217"/>
      <c r="K617" s="195"/>
    </row>
    <row r="618" spans="1:11" x14ac:dyDescent="0.2">
      <c r="A618" s="206"/>
      <c r="B618" s="206"/>
      <c r="C618" s="229"/>
      <c r="D618" s="219"/>
      <c r="E618" s="182"/>
      <c r="F618" s="185" t="s">
        <v>139</v>
      </c>
      <c r="G618" s="185"/>
      <c r="H618" s="185"/>
      <c r="I618" s="223"/>
      <c r="J618" s="220"/>
      <c r="K618" s="195"/>
    </row>
    <row r="619" spans="1:11" x14ac:dyDescent="0.2">
      <c r="A619" s="206"/>
      <c r="B619" s="206"/>
      <c r="C619" s="229"/>
      <c r="D619" s="219"/>
      <c r="E619" s="182"/>
      <c r="F619" s="185">
        <v>5.22</v>
      </c>
      <c r="G619" s="185"/>
      <c r="H619" s="185"/>
      <c r="I619" s="223"/>
      <c r="J619" s="220">
        <f>ROUND(PRODUCT(F619:I619),2)</f>
        <v>5.22</v>
      </c>
      <c r="K619" s="195"/>
    </row>
    <row r="620" spans="1:11" x14ac:dyDescent="0.2">
      <c r="A620" s="206"/>
      <c r="B620" s="206"/>
      <c r="C620" s="229"/>
      <c r="D620" s="219"/>
      <c r="E620" s="182"/>
      <c r="F620" s="220"/>
      <c r="G620" s="220"/>
      <c r="H620" s="220"/>
      <c r="I620" s="218" t="str">
        <f>"Total item "&amp;A617</f>
        <v>Total item 1.13.9</v>
      </c>
      <c r="J620" s="217">
        <f>ROUND(SUM(J619:J619),2)</f>
        <v>5.22</v>
      </c>
      <c r="K620" s="203"/>
    </row>
    <row r="621" spans="1:11" x14ac:dyDescent="0.2">
      <c r="A621" s="206"/>
      <c r="B621" s="206"/>
      <c r="C621" s="229"/>
      <c r="D621" s="219"/>
      <c r="E621" s="182"/>
      <c r="F621" s="220"/>
      <c r="G621" s="220"/>
      <c r="H621" s="220"/>
      <c r="I621" s="210"/>
      <c r="J621" s="209"/>
      <c r="K621" s="195"/>
    </row>
    <row r="622" spans="1:11" ht="30.6" x14ac:dyDescent="0.2">
      <c r="A622" s="214" t="str">
        <f>'ORÇAMENTO COM DESON'!A98</f>
        <v>1.13.10</v>
      </c>
      <c r="B622" s="230"/>
      <c r="C622" s="231"/>
      <c r="D622" s="232" t="str">
        <f>'ORÇAMENTO COM DESON'!D98</f>
        <v>TUBO PVC, SERIE NORMAL, ESGOTO PREDIAL, DN 50 MM, FORNECIDO E INSTALADO EM RAMAL DE DESCARGA OU RAMAL DE ESGOTO SANITÁRIO. AF_08/2022</v>
      </c>
      <c r="E622" s="214" t="str">
        <f>'ORÇAMENTO COM DESON'!E98</f>
        <v>m</v>
      </c>
      <c r="F622" s="217"/>
      <c r="G622" s="217"/>
      <c r="H622" s="217"/>
      <c r="I622" s="218"/>
      <c r="J622" s="217"/>
      <c r="K622" s="195"/>
    </row>
    <row r="623" spans="1:11" x14ac:dyDescent="0.2">
      <c r="A623" s="206"/>
      <c r="B623" s="206"/>
      <c r="C623" s="229"/>
      <c r="D623" s="219"/>
      <c r="E623" s="182"/>
      <c r="F623" s="185" t="s">
        <v>139</v>
      </c>
      <c r="G623" s="185"/>
      <c r="H623" s="185"/>
      <c r="I623" s="223"/>
      <c r="J623" s="220"/>
      <c r="K623" s="195"/>
    </row>
    <row r="624" spans="1:11" x14ac:dyDescent="0.2">
      <c r="A624" s="206"/>
      <c r="B624" s="206"/>
      <c r="C624" s="229"/>
      <c r="D624" s="219"/>
      <c r="E624" s="182"/>
      <c r="F624" s="185">
        <v>0.78</v>
      </c>
      <c r="G624" s="185"/>
      <c r="H624" s="185"/>
      <c r="I624" s="223"/>
      <c r="J624" s="220">
        <f>ROUND(PRODUCT(F624:I624),2)</f>
        <v>0.78</v>
      </c>
      <c r="K624" s="195"/>
    </row>
    <row r="625" spans="1:11" x14ac:dyDescent="0.2">
      <c r="A625" s="206"/>
      <c r="B625" s="206"/>
      <c r="C625" s="229"/>
      <c r="D625" s="219" t="s">
        <v>736</v>
      </c>
      <c r="E625" s="182"/>
      <c r="F625" s="185">
        <v>1.2</v>
      </c>
      <c r="G625" s="185"/>
      <c r="H625" s="185"/>
      <c r="I625" s="223"/>
      <c r="J625" s="220">
        <f>ROUND(PRODUCT(F625:I625),2)</f>
        <v>1.2</v>
      </c>
      <c r="K625" s="195"/>
    </row>
    <row r="626" spans="1:11" x14ac:dyDescent="0.2">
      <c r="A626" s="206"/>
      <c r="B626" s="206"/>
      <c r="C626" s="229"/>
      <c r="D626" s="219"/>
      <c r="E626" s="182"/>
      <c r="F626" s="220"/>
      <c r="G626" s="220"/>
      <c r="H626" s="220"/>
      <c r="I626" s="218" t="str">
        <f>"Total item "&amp;A622</f>
        <v>Total item 1.13.10</v>
      </c>
      <c r="J626" s="217">
        <f>ROUND(SUM(J624:J625),2)</f>
        <v>1.98</v>
      </c>
      <c r="K626" s="203"/>
    </row>
    <row r="627" spans="1:11" x14ac:dyDescent="0.2">
      <c r="A627" s="206"/>
      <c r="B627" s="206"/>
      <c r="C627" s="229"/>
      <c r="D627" s="219"/>
      <c r="E627" s="182"/>
      <c r="F627" s="220"/>
      <c r="G627" s="220"/>
      <c r="H627" s="220"/>
      <c r="I627" s="210"/>
      <c r="J627" s="209"/>
      <c r="K627" s="195"/>
    </row>
    <row r="628" spans="1:11" ht="40.799999999999997" x14ac:dyDescent="0.2">
      <c r="A628" s="214" t="str">
        <f>'ORÇAMENTO COM DESON'!A99</f>
        <v>1.13.11</v>
      </c>
      <c r="B628" s="230"/>
      <c r="C628" s="231"/>
      <c r="D628" s="232" t="str">
        <f>'ORÇAMENTO COM DESON'!D99</f>
        <v>TE, PVC, SERIE NORMAL, ESGOTO PREDIAL, DN 100 X 100 MM, JUNTA ELÁSTICA, FORNECIDO E INSTALADO EM RAMAL DE DESCARGA OU RAMAL DE ESGOTO SANITÁRIO. AF_08/2022</v>
      </c>
      <c r="E628" s="214" t="str">
        <f>'ORÇAMENTO COM DESON'!E99</f>
        <v>un</v>
      </c>
      <c r="F628" s="217"/>
      <c r="G628" s="217"/>
      <c r="H628" s="217"/>
      <c r="I628" s="218"/>
      <c r="J628" s="217"/>
      <c r="K628" s="195"/>
    </row>
    <row r="629" spans="1:11" x14ac:dyDescent="0.2">
      <c r="A629" s="206"/>
      <c r="B629" s="206"/>
      <c r="C629" s="229"/>
      <c r="D629" s="219"/>
      <c r="E629" s="182"/>
      <c r="F629" s="185" t="s">
        <v>139</v>
      </c>
      <c r="G629" s="185"/>
      <c r="H629" s="185"/>
      <c r="I629" s="223"/>
      <c r="J629" s="220"/>
      <c r="K629" s="195"/>
    </row>
    <row r="630" spans="1:11" x14ac:dyDescent="0.2">
      <c r="A630" s="206"/>
      <c r="B630" s="206"/>
      <c r="C630" s="229"/>
      <c r="D630" s="219"/>
      <c r="E630" s="182"/>
      <c r="F630" s="185">
        <v>1</v>
      </c>
      <c r="G630" s="185"/>
      <c r="H630" s="185"/>
      <c r="I630" s="223"/>
      <c r="J630" s="220">
        <f>ROUND(PRODUCT(F630:I630),2)</f>
        <v>1</v>
      </c>
      <c r="K630" s="195"/>
    </row>
    <row r="631" spans="1:11" x14ac:dyDescent="0.2">
      <c r="A631" s="206"/>
      <c r="B631" s="206"/>
      <c r="C631" s="229"/>
      <c r="D631" s="219"/>
      <c r="E631" s="182"/>
      <c r="F631" s="220"/>
      <c r="G631" s="220"/>
      <c r="H631" s="220"/>
      <c r="I631" s="218" t="str">
        <f>"Total item "&amp;A628</f>
        <v>Total item 1.13.11</v>
      </c>
      <c r="J631" s="217">
        <f>ROUND(SUM(J630:J630),2)</f>
        <v>1</v>
      </c>
      <c r="K631" s="203"/>
    </row>
    <row r="632" spans="1:11" x14ac:dyDescent="0.2">
      <c r="A632" s="206"/>
      <c r="B632" s="206"/>
      <c r="C632" s="229"/>
      <c r="D632" s="219"/>
      <c r="E632" s="182"/>
      <c r="F632" s="220"/>
      <c r="G632" s="220"/>
      <c r="H632" s="220"/>
      <c r="I632" s="210"/>
      <c r="J632" s="209"/>
      <c r="K632" s="195"/>
    </row>
    <row r="633" spans="1:11" ht="30.6" x14ac:dyDescent="0.2">
      <c r="A633" s="214" t="str">
        <f>'ORÇAMENTO COM DESON'!A100</f>
        <v>1.13.12</v>
      </c>
      <c r="B633" s="230"/>
      <c r="C633" s="231"/>
      <c r="D633" s="232" t="str">
        <f>'ORÇAMENTO COM DESON'!D100</f>
        <v>TE, PVC, SÉRIE NORMAL, ESGOTO PREDIAL, DN 100 X 50 MM, JUNTA ELÁSTICA, FORNECIDO E INSTALADO EM RAMAL DE DESCARGA OU RAMAL DE ESGOTO SANITÁRIO. AF_08/2022</v>
      </c>
      <c r="E633" s="214" t="str">
        <f>'ORÇAMENTO COM DESON'!E100</f>
        <v>un</v>
      </c>
      <c r="F633" s="217"/>
      <c r="G633" s="217"/>
      <c r="H633" s="217"/>
      <c r="I633" s="218"/>
      <c r="J633" s="217"/>
      <c r="K633" s="195"/>
    </row>
    <row r="634" spans="1:11" x14ac:dyDescent="0.2">
      <c r="A634" s="206"/>
      <c r="B634" s="206"/>
      <c r="C634" s="229"/>
      <c r="D634" s="219"/>
      <c r="E634" s="182"/>
      <c r="F634" s="185" t="s">
        <v>139</v>
      </c>
      <c r="G634" s="185"/>
      <c r="H634" s="185"/>
      <c r="I634" s="223"/>
      <c r="J634" s="220"/>
      <c r="K634" s="195"/>
    </row>
    <row r="635" spans="1:11" x14ac:dyDescent="0.2">
      <c r="A635" s="206"/>
      <c r="B635" s="206"/>
      <c r="C635" s="229"/>
      <c r="D635" s="219"/>
      <c r="E635" s="182"/>
      <c r="F635" s="185">
        <v>3</v>
      </c>
      <c r="G635" s="185"/>
      <c r="H635" s="185"/>
      <c r="I635" s="223"/>
      <c r="J635" s="220">
        <f>ROUND(PRODUCT(F635:I635),2)</f>
        <v>3</v>
      </c>
      <c r="K635" s="195"/>
    </row>
    <row r="636" spans="1:11" x14ac:dyDescent="0.2">
      <c r="A636" s="206"/>
      <c r="B636" s="206"/>
      <c r="C636" s="229"/>
      <c r="D636" s="219"/>
      <c r="E636" s="182"/>
      <c r="F636" s="220"/>
      <c r="G636" s="220"/>
      <c r="H636" s="220"/>
      <c r="I636" s="218" t="str">
        <f>"Total item "&amp;A633</f>
        <v>Total item 1.13.12</v>
      </c>
      <c r="J636" s="217">
        <f>ROUND(SUM(J635:J635),2)</f>
        <v>3</v>
      </c>
      <c r="K636" s="203"/>
    </row>
    <row r="637" spans="1:11" x14ac:dyDescent="0.2">
      <c r="A637" s="206"/>
      <c r="B637" s="206"/>
      <c r="C637" s="229"/>
      <c r="D637" s="219"/>
      <c r="E637" s="182"/>
      <c r="F637" s="220"/>
      <c r="G637" s="220"/>
      <c r="H637" s="220"/>
      <c r="I637" s="210"/>
      <c r="J637" s="209"/>
      <c r="K637" s="195"/>
    </row>
    <row r="638" spans="1:11" ht="40.799999999999997" x14ac:dyDescent="0.2">
      <c r="A638" s="214" t="str">
        <f>'ORÇAMENTO COM DESON'!A101</f>
        <v>1.13.13</v>
      </c>
      <c r="B638" s="230"/>
      <c r="C638" s="231"/>
      <c r="D638" s="232" t="str">
        <f>'ORÇAMENTO COM DESON'!D101</f>
        <v>TANQUE SÉPTICO RETANGULAR, EM ALVENARIA COM TIJOLOS CERÂMICOS MACIÇOS, DIMENSÕES INTERNAS: 1,2 X 2,4 X H=1,6 M, VOLUME ÚTIL: 3456 L (PARA 13CONTRIBUINTES). AF_12/2020</v>
      </c>
      <c r="E638" s="214" t="str">
        <f>'ORÇAMENTO COM DESON'!E101</f>
        <v>un</v>
      </c>
      <c r="F638" s="217"/>
      <c r="G638" s="217"/>
      <c r="H638" s="217"/>
      <c r="I638" s="218"/>
      <c r="J638" s="217"/>
      <c r="K638" s="195"/>
    </row>
    <row r="639" spans="1:11" x14ac:dyDescent="0.2">
      <c r="A639" s="206"/>
      <c r="B639" s="206"/>
      <c r="C639" s="229"/>
      <c r="D639" s="219"/>
      <c r="E639" s="182"/>
      <c r="F639" s="185" t="s">
        <v>275</v>
      </c>
      <c r="G639" s="185"/>
      <c r="H639" s="185"/>
      <c r="I639" s="223"/>
      <c r="J639" s="220"/>
      <c r="K639" s="195"/>
    </row>
    <row r="640" spans="1:11" x14ac:dyDescent="0.2">
      <c r="A640" s="206"/>
      <c r="B640" s="206"/>
      <c r="C640" s="229"/>
      <c r="D640" s="219" t="s">
        <v>89</v>
      </c>
      <c r="E640" s="182"/>
      <c r="F640" s="185">
        <v>1</v>
      </c>
      <c r="G640" s="185"/>
      <c r="H640" s="185"/>
      <c r="I640" s="223"/>
      <c r="J640" s="220">
        <f>ROUND(PRODUCT(F640:I640),2)</f>
        <v>1</v>
      </c>
      <c r="K640" s="195"/>
    </row>
    <row r="641" spans="1:11" x14ac:dyDescent="0.2">
      <c r="A641" s="206"/>
      <c r="B641" s="206"/>
      <c r="C641" s="229"/>
      <c r="D641" s="219"/>
      <c r="E641" s="182"/>
      <c r="F641" s="220"/>
      <c r="G641" s="220"/>
      <c r="H641" s="220"/>
      <c r="I641" s="218" t="str">
        <f>"Total item "&amp;A638</f>
        <v>Total item 1.13.13</v>
      </c>
      <c r="J641" s="217">
        <f>ROUND(SUM(J640:J640),2)</f>
        <v>1</v>
      </c>
      <c r="K641" s="203"/>
    </row>
    <row r="642" spans="1:11" x14ac:dyDescent="0.2">
      <c r="A642" s="206"/>
      <c r="B642" s="206"/>
      <c r="C642" s="229"/>
      <c r="D642" s="219"/>
      <c r="E642" s="182"/>
      <c r="F642" s="220"/>
      <c r="G642" s="220"/>
      <c r="H642" s="220"/>
      <c r="I642" s="210"/>
      <c r="J642" s="209"/>
      <c r="K642" s="203"/>
    </row>
    <row r="643" spans="1:11" ht="20.399999999999999" x14ac:dyDescent="0.2">
      <c r="A643" s="214" t="str">
        <f>'ORÇAMENTO COM DESON'!A102</f>
        <v>1.13.14</v>
      </c>
      <c r="B643" s="230"/>
      <c r="C643" s="231"/>
      <c r="D643" s="232" t="str">
        <f>'ORÇAMENTO COM DESON'!D102</f>
        <v>SUMIDOURO CIRCULAR, EM ALVENARIA COM TIJOLOS CERÂMICOS MACIÇOS, DIAMETRO: 1,0 M, H=2,25 M.</v>
      </c>
      <c r="E643" s="214" t="str">
        <f>'ORÇAMENTO COM DESON'!E102</f>
        <v>un</v>
      </c>
      <c r="F643" s="217"/>
      <c r="G643" s="217"/>
      <c r="H643" s="217"/>
      <c r="I643" s="218"/>
      <c r="J643" s="217"/>
      <c r="K643" s="195"/>
    </row>
    <row r="644" spans="1:11" x14ac:dyDescent="0.2">
      <c r="A644" s="206"/>
      <c r="B644" s="206"/>
      <c r="C644" s="229"/>
      <c r="D644" s="219"/>
      <c r="E644" s="182"/>
      <c r="F644" s="185" t="s">
        <v>275</v>
      </c>
      <c r="G644" s="185"/>
      <c r="H644" s="185"/>
      <c r="I644" s="223"/>
      <c r="J644" s="220"/>
      <c r="K644" s="195"/>
    </row>
    <row r="645" spans="1:11" x14ac:dyDescent="0.2">
      <c r="A645" s="206"/>
      <c r="B645" s="206"/>
      <c r="C645" s="229"/>
      <c r="D645" s="219" t="s">
        <v>466</v>
      </c>
      <c r="E645" s="182"/>
      <c r="F645" s="185">
        <v>2</v>
      </c>
      <c r="G645" s="185"/>
      <c r="H645" s="185"/>
      <c r="I645" s="223"/>
      <c r="J645" s="220">
        <f>ROUND(PRODUCT(F645:I645),2)</f>
        <v>2</v>
      </c>
      <c r="K645" s="195"/>
    </row>
    <row r="646" spans="1:11" x14ac:dyDescent="0.2">
      <c r="A646" s="206"/>
      <c r="B646" s="206"/>
      <c r="C646" s="229"/>
      <c r="D646" s="219"/>
      <c r="E646" s="182"/>
      <c r="F646" s="220"/>
      <c r="G646" s="220"/>
      <c r="H646" s="220"/>
      <c r="I646" s="218" t="str">
        <f>"Total item "&amp;A643</f>
        <v>Total item 1.13.14</v>
      </c>
      <c r="J646" s="217">
        <f>ROUND(SUM(J645:J645),2)</f>
        <v>2</v>
      </c>
      <c r="K646" s="203"/>
    </row>
    <row r="647" spans="1:11" x14ac:dyDescent="0.2">
      <c r="A647" s="206"/>
      <c r="B647" s="206"/>
      <c r="C647" s="229"/>
      <c r="D647" s="219"/>
      <c r="E647" s="182"/>
      <c r="F647" s="220"/>
      <c r="G647" s="220"/>
      <c r="H647" s="220"/>
      <c r="I647" s="210"/>
      <c r="J647" s="209"/>
      <c r="K647" s="203"/>
    </row>
    <row r="648" spans="1:11" ht="40.799999999999997" x14ac:dyDescent="0.2">
      <c r="A648" s="214" t="str">
        <f>'ORÇAMENTO COM DESON'!A103</f>
        <v>1.13.15</v>
      </c>
      <c r="B648" s="230"/>
      <c r="C648" s="231"/>
      <c r="D648" s="232" t="str">
        <f>'ORÇAMENTO COM DESON'!D103</f>
        <v>CAIXA SIFONADA, PVC, DN 100 X 100 X 50 MM, JUNTA ELÁSTICA, FORNECIDA E INSTALADA EM RAMAL DE DESCARGA OU EM RAMAL DE ESGOTO SANITÁRIO. AF_08/2022</v>
      </c>
      <c r="E648" s="214" t="str">
        <f>'ORÇAMENTO COM DESON'!E103</f>
        <v>un</v>
      </c>
      <c r="F648" s="217"/>
      <c r="G648" s="217"/>
      <c r="H648" s="217"/>
      <c r="I648" s="218"/>
      <c r="J648" s="217"/>
      <c r="K648" s="195"/>
    </row>
    <row r="649" spans="1:11" x14ac:dyDescent="0.2">
      <c r="A649" s="206"/>
      <c r="B649" s="206"/>
      <c r="C649" s="229"/>
      <c r="D649" s="219"/>
      <c r="E649" s="182"/>
      <c r="F649" s="185"/>
      <c r="G649" s="185"/>
      <c r="H649" s="185"/>
      <c r="I649" s="223"/>
      <c r="J649" s="220"/>
      <c r="K649" s="195"/>
    </row>
    <row r="650" spans="1:11" x14ac:dyDescent="0.2">
      <c r="A650" s="206"/>
      <c r="B650" s="206"/>
      <c r="C650" s="229"/>
      <c r="D650" s="219"/>
      <c r="E650" s="182"/>
      <c r="F650" s="185">
        <v>3</v>
      </c>
      <c r="G650" s="185"/>
      <c r="H650" s="185"/>
      <c r="I650" s="223"/>
      <c r="J650" s="220">
        <f>ROUND(PRODUCT(F650:I650),2)</f>
        <v>3</v>
      </c>
      <c r="K650" s="195"/>
    </row>
    <row r="651" spans="1:11" x14ac:dyDescent="0.2">
      <c r="A651" s="206"/>
      <c r="B651" s="206"/>
      <c r="C651" s="229"/>
      <c r="D651" s="219" t="s">
        <v>544</v>
      </c>
      <c r="E651" s="182"/>
      <c r="F651" s="185">
        <v>1</v>
      </c>
      <c r="G651" s="185"/>
      <c r="H651" s="185"/>
      <c r="I651" s="223"/>
      <c r="J651" s="220">
        <f>ROUND(PRODUCT(F651:I651),2)</f>
        <v>1</v>
      </c>
      <c r="K651" s="195"/>
    </row>
    <row r="652" spans="1:11" x14ac:dyDescent="0.2">
      <c r="A652" s="206"/>
      <c r="B652" s="206"/>
      <c r="C652" s="229"/>
      <c r="D652" s="219"/>
      <c r="E652" s="182"/>
      <c r="F652" s="220"/>
      <c r="G652" s="220"/>
      <c r="H652" s="220"/>
      <c r="I652" s="218" t="str">
        <f>"Total item "&amp;A648</f>
        <v>Total item 1.13.15</v>
      </c>
      <c r="J652" s="217">
        <f>ROUND(SUM(J650:J651),2)</f>
        <v>4</v>
      </c>
      <c r="K652" s="203"/>
    </row>
    <row r="653" spans="1:11" x14ac:dyDescent="0.2">
      <c r="A653" s="206"/>
      <c r="B653" s="206"/>
      <c r="C653" s="229"/>
      <c r="D653" s="219"/>
      <c r="E653" s="182"/>
      <c r="F653" s="220"/>
      <c r="G653" s="220"/>
      <c r="H653" s="220"/>
      <c r="I653" s="210"/>
      <c r="J653" s="209"/>
      <c r="K653" s="203"/>
    </row>
    <row r="654" spans="1:11" x14ac:dyDescent="0.2">
      <c r="A654" s="214" t="str">
        <f>'ORÇAMENTO COM DESON'!A104</f>
        <v>1.13.16</v>
      </c>
      <c r="B654" s="230"/>
      <c r="C654" s="231"/>
      <c r="D654" s="232" t="str">
        <f>'ORÇAMENTO COM DESON'!D104</f>
        <v>JOELHO PVC BRANCO P/ESGOTO D=40mm (1 1/2")</v>
      </c>
      <c r="E654" s="214" t="str">
        <f>'ORÇAMENTO COM DESON'!E104</f>
        <v>un</v>
      </c>
      <c r="F654" s="217"/>
      <c r="G654" s="217"/>
      <c r="H654" s="217"/>
      <c r="I654" s="218"/>
      <c r="J654" s="217"/>
      <c r="K654" s="195"/>
    </row>
    <row r="655" spans="1:11" x14ac:dyDescent="0.2">
      <c r="A655" s="206"/>
      <c r="B655" s="206"/>
      <c r="C655" s="229"/>
      <c r="D655" s="219"/>
      <c r="E655" s="182"/>
      <c r="F655" s="185" t="s">
        <v>139</v>
      </c>
      <c r="G655" s="185"/>
      <c r="H655" s="185"/>
      <c r="I655" s="223"/>
      <c r="J655" s="220"/>
      <c r="K655" s="195"/>
    </row>
    <row r="656" spans="1:11" x14ac:dyDescent="0.2">
      <c r="A656" s="206"/>
      <c r="B656" s="206"/>
      <c r="C656" s="229"/>
      <c r="D656" s="219"/>
      <c r="E656" s="182"/>
      <c r="F656" s="185">
        <v>3</v>
      </c>
      <c r="G656" s="185"/>
      <c r="H656" s="185"/>
      <c r="I656" s="223"/>
      <c r="J656" s="220">
        <f>ROUND(PRODUCT(F656:I656),2)</f>
        <v>3</v>
      </c>
      <c r="K656" s="195"/>
    </row>
    <row r="657" spans="1:11" x14ac:dyDescent="0.2">
      <c r="A657" s="206"/>
      <c r="B657" s="206"/>
      <c r="C657" s="229"/>
      <c r="D657" s="219"/>
      <c r="E657" s="182"/>
      <c r="F657" s="220"/>
      <c r="G657" s="220"/>
      <c r="H657" s="220"/>
      <c r="I657" s="218" t="str">
        <f>"Total item "&amp;A654</f>
        <v>Total item 1.13.16</v>
      </c>
      <c r="J657" s="217">
        <f>ROUND(SUM(J656:J656),2)</f>
        <v>3</v>
      </c>
      <c r="K657" s="203"/>
    </row>
    <row r="658" spans="1:11" x14ac:dyDescent="0.2">
      <c r="A658" s="206"/>
      <c r="B658" s="206"/>
      <c r="C658" s="229"/>
      <c r="D658" s="219"/>
      <c r="E658" s="182"/>
      <c r="F658" s="220"/>
      <c r="G658" s="220"/>
      <c r="H658" s="220"/>
      <c r="I658" s="210"/>
      <c r="J658" s="209"/>
      <c r="K658" s="203"/>
    </row>
    <row r="659" spans="1:11" ht="40.799999999999997" x14ac:dyDescent="0.2">
      <c r="A659" s="214" t="str">
        <f>'ORÇAMENTO COM DESON'!A105</f>
        <v>1.13.17</v>
      </c>
      <c r="B659" s="230"/>
      <c r="C659" s="231"/>
      <c r="D659" s="232" t="str">
        <f>'ORÇAMENTO COM DESON'!D105</f>
        <v>JOELHO 45 GRAUS, PVC, SERIE NORMAL, ESGOTO PREDIAL, DN 50 MM, JUNTA ELÁSTICA, FORNECIDO E INSTALADO EM RAMAL DE DESCARGA OU RAMAL DE ESGOTO SANITÁRIO. AF_08/2022</v>
      </c>
      <c r="E659" s="214" t="str">
        <f>'ORÇAMENTO COM DESON'!E105</f>
        <v>un</v>
      </c>
      <c r="F659" s="217"/>
      <c r="G659" s="217"/>
      <c r="H659" s="217"/>
      <c r="I659" s="218"/>
      <c r="J659" s="217"/>
      <c r="K659" s="195"/>
    </row>
    <row r="660" spans="1:11" x14ac:dyDescent="0.2">
      <c r="A660" s="206"/>
      <c r="B660" s="206"/>
      <c r="C660" s="229"/>
      <c r="D660" s="219"/>
      <c r="E660" s="182"/>
      <c r="F660" s="185" t="s">
        <v>139</v>
      </c>
      <c r="G660" s="185"/>
      <c r="H660" s="185"/>
      <c r="I660" s="223"/>
      <c r="J660" s="220"/>
      <c r="K660" s="195"/>
    </row>
    <row r="661" spans="1:11" x14ac:dyDescent="0.2">
      <c r="A661" s="206"/>
      <c r="B661" s="206"/>
      <c r="C661" s="229"/>
      <c r="D661" s="219" t="s">
        <v>736</v>
      </c>
      <c r="E661" s="182"/>
      <c r="F661" s="185">
        <v>1</v>
      </c>
      <c r="G661" s="185"/>
      <c r="H661" s="185"/>
      <c r="I661" s="223"/>
      <c r="J661" s="220">
        <f>ROUND(PRODUCT(F661:I661),2)</f>
        <v>1</v>
      </c>
      <c r="K661" s="195"/>
    </row>
    <row r="662" spans="1:11" x14ac:dyDescent="0.2">
      <c r="A662" s="206"/>
      <c r="B662" s="206"/>
      <c r="C662" s="229"/>
      <c r="D662" s="219"/>
      <c r="E662" s="182"/>
      <c r="F662" s="220"/>
      <c r="G662" s="220"/>
      <c r="H662" s="220"/>
      <c r="I662" s="218" t="str">
        <f>"Total item "&amp;A659</f>
        <v>Total item 1.13.17</v>
      </c>
      <c r="J662" s="217">
        <f>ROUND(SUM(J661:J661),2)</f>
        <v>1</v>
      </c>
      <c r="K662" s="203"/>
    </row>
    <row r="663" spans="1:11" x14ac:dyDescent="0.2">
      <c r="A663" s="206"/>
      <c r="B663" s="206"/>
      <c r="C663" s="229"/>
      <c r="D663" s="219"/>
      <c r="E663" s="182"/>
      <c r="F663" s="220"/>
      <c r="G663" s="220"/>
      <c r="H663" s="220"/>
      <c r="I663" s="210"/>
      <c r="J663" s="209"/>
      <c r="K663" s="195"/>
    </row>
    <row r="664" spans="1:11" ht="40.799999999999997" x14ac:dyDescent="0.2">
      <c r="A664" s="214" t="str">
        <f>'ORÇAMENTO COM DESON'!A106</f>
        <v>1.13.18</v>
      </c>
      <c r="B664" s="230"/>
      <c r="C664" s="231"/>
      <c r="D664" s="232" t="str">
        <f>'ORÇAMENTO COM DESON'!D106</f>
        <v>JOELHO 90 GRAUS, PVC, SERIE NORMAL, ESGOTO PREDIAL, DN 50 MM, JUNTA ELÁSTICA, FORNECIDO E INSTALADO EM PRUMADA DE ESGOTO SANITÁRIO OU VENTILAÇÃO. AF_08/2022</v>
      </c>
      <c r="E664" s="214" t="str">
        <f>'ORÇAMENTO COM DESON'!E106</f>
        <v>un</v>
      </c>
      <c r="F664" s="217"/>
      <c r="G664" s="217"/>
      <c r="H664" s="217"/>
      <c r="I664" s="218"/>
      <c r="J664" s="217"/>
      <c r="K664" s="195"/>
    </row>
    <row r="665" spans="1:11" x14ac:dyDescent="0.2">
      <c r="A665" s="206"/>
      <c r="B665" s="206"/>
      <c r="C665" s="229"/>
      <c r="D665" s="219"/>
      <c r="E665" s="182"/>
      <c r="F665" s="185" t="s">
        <v>139</v>
      </c>
      <c r="G665" s="185"/>
      <c r="H665" s="185"/>
      <c r="I665" s="223"/>
      <c r="J665" s="220"/>
      <c r="K665" s="195"/>
    </row>
    <row r="666" spans="1:11" x14ac:dyDescent="0.2">
      <c r="A666" s="206"/>
      <c r="B666" s="206"/>
      <c r="C666" s="229"/>
      <c r="D666" s="219" t="s">
        <v>736</v>
      </c>
      <c r="E666" s="182"/>
      <c r="F666" s="185">
        <v>1</v>
      </c>
      <c r="G666" s="185"/>
      <c r="H666" s="185"/>
      <c r="I666" s="223"/>
      <c r="J666" s="220">
        <f>ROUND(PRODUCT(F666:I666),2)</f>
        <v>1</v>
      </c>
      <c r="K666" s="195"/>
    </row>
    <row r="667" spans="1:11" x14ac:dyDescent="0.2">
      <c r="A667" s="206"/>
      <c r="B667" s="206"/>
      <c r="C667" s="229"/>
      <c r="D667" s="219"/>
      <c r="E667" s="182"/>
      <c r="F667" s="220"/>
      <c r="G667" s="220"/>
      <c r="H667" s="220"/>
      <c r="I667" s="218" t="str">
        <f>"Total item "&amp;A664</f>
        <v>Total item 1.13.18</v>
      </c>
      <c r="J667" s="217">
        <f>ROUND(SUM(J666:J666),2)</f>
        <v>1</v>
      </c>
      <c r="K667" s="203"/>
    </row>
    <row r="668" spans="1:11" x14ac:dyDescent="0.2">
      <c r="A668" s="206"/>
      <c r="B668" s="206"/>
      <c r="C668" s="229"/>
      <c r="D668" s="219"/>
      <c r="E668" s="182"/>
      <c r="F668" s="220"/>
      <c r="G668" s="220"/>
      <c r="H668" s="220"/>
      <c r="I668" s="210"/>
      <c r="J668" s="209"/>
      <c r="K668" s="203"/>
    </row>
    <row r="669" spans="1:11" ht="20.399999999999999" x14ac:dyDescent="0.2">
      <c r="A669" s="214" t="str">
        <f>'ORÇAMENTO COM DESON'!A107</f>
        <v>1.13.19</v>
      </c>
      <c r="B669" s="230"/>
      <c r="C669" s="231"/>
      <c r="D669" s="232" t="str">
        <f>'ORÇAMENTO COM DESON'!D107</f>
        <v xml:space="preserve">JUNÇÃO SIMPLES DE REDUÇÃO PVC P/ESGOTO 100X50mm (4"X2")-C/ANÉIS </v>
      </c>
      <c r="E669" s="214" t="str">
        <f>'ORÇAMENTO COM DESON'!E107</f>
        <v>un</v>
      </c>
      <c r="F669" s="217"/>
      <c r="G669" s="217"/>
      <c r="H669" s="217"/>
      <c r="I669" s="218"/>
      <c r="J669" s="217"/>
      <c r="K669" s="195"/>
    </row>
    <row r="670" spans="1:11" x14ac:dyDescent="0.2">
      <c r="A670" s="206"/>
      <c r="B670" s="206"/>
      <c r="C670" s="229"/>
      <c r="D670" s="219"/>
      <c r="E670" s="182"/>
      <c r="F670" s="185" t="s">
        <v>139</v>
      </c>
      <c r="G670" s="185"/>
      <c r="H670" s="185"/>
      <c r="I670" s="223"/>
      <c r="J670" s="220"/>
      <c r="K670" s="195"/>
    </row>
    <row r="671" spans="1:11" x14ac:dyDescent="0.2">
      <c r="A671" s="206"/>
      <c r="B671" s="206"/>
      <c r="C671" s="229"/>
      <c r="D671" s="219" t="s">
        <v>736</v>
      </c>
      <c r="E671" s="182"/>
      <c r="F671" s="185">
        <v>1</v>
      </c>
      <c r="G671" s="185"/>
      <c r="H671" s="185"/>
      <c r="I671" s="223"/>
      <c r="J671" s="220">
        <f>ROUND(PRODUCT(F671:I671),2)</f>
        <v>1</v>
      </c>
      <c r="K671" s="195"/>
    </row>
    <row r="672" spans="1:11" x14ac:dyDescent="0.2">
      <c r="A672" s="206"/>
      <c r="B672" s="206"/>
      <c r="C672" s="229"/>
      <c r="D672" s="219"/>
      <c r="E672" s="182"/>
      <c r="F672" s="220"/>
      <c r="G672" s="220"/>
      <c r="H672" s="220"/>
      <c r="I672" s="218" t="str">
        <f>"Total item "&amp;A669</f>
        <v>Total item 1.13.19</v>
      </c>
      <c r="J672" s="217">
        <f>ROUND(SUM(J671:J671),2)</f>
        <v>1</v>
      </c>
      <c r="K672" s="203"/>
    </row>
    <row r="673" spans="1:11" x14ac:dyDescent="0.2">
      <c r="A673" s="206"/>
      <c r="B673" s="206"/>
      <c r="C673" s="229"/>
      <c r="D673" s="219"/>
      <c r="E673" s="182"/>
      <c r="F673" s="220"/>
      <c r="G673" s="220"/>
      <c r="H673" s="220"/>
      <c r="I673" s="210"/>
      <c r="J673" s="209"/>
      <c r="K673" s="203"/>
    </row>
    <row r="674" spans="1:11" ht="40.799999999999997" x14ac:dyDescent="0.2">
      <c r="A674" s="214" t="str">
        <f>'ORÇAMENTO COM DESON'!A108</f>
        <v>1.13.20</v>
      </c>
      <c r="B674" s="230"/>
      <c r="C674" s="231"/>
      <c r="D674" s="232" t="str">
        <f>'ORÇAMENTO COM DESON'!D108</f>
        <v>LUVA SIMPLES, PVC, SERIE NORMAL, ESGOTO PREDIAL, DN 75 MM, JUNTA ELÁSTICA, FORNECIDO E INSTALADO EM RAMAL DE DESCARGA OU RAMAL DE ESGOTO SANITÁRIO. AF_08/2022</v>
      </c>
      <c r="E674" s="214" t="str">
        <f>'ORÇAMENTO COM DESON'!E108</f>
        <v>un</v>
      </c>
      <c r="F674" s="217"/>
      <c r="G674" s="217"/>
      <c r="H674" s="217"/>
      <c r="I674" s="218"/>
      <c r="J674" s="217"/>
      <c r="K674" s="195"/>
    </row>
    <row r="675" spans="1:11" x14ac:dyDescent="0.2">
      <c r="A675" s="206"/>
      <c r="B675" s="206"/>
      <c r="C675" s="229"/>
      <c r="D675" s="219"/>
      <c r="E675" s="182"/>
      <c r="F675" s="185" t="s">
        <v>139</v>
      </c>
      <c r="G675" s="185"/>
      <c r="H675" s="185"/>
      <c r="I675" s="223"/>
      <c r="J675" s="220"/>
      <c r="K675" s="195"/>
    </row>
    <row r="676" spans="1:11" x14ac:dyDescent="0.2">
      <c r="A676" s="206"/>
      <c r="B676" s="206"/>
      <c r="C676" s="229"/>
      <c r="D676" s="219" t="s">
        <v>736</v>
      </c>
      <c r="E676" s="182"/>
      <c r="F676" s="185">
        <v>1</v>
      </c>
      <c r="G676" s="185"/>
      <c r="H676" s="185"/>
      <c r="I676" s="223"/>
      <c r="J676" s="220">
        <f>ROUND(PRODUCT(F676:I676),2)</f>
        <v>1</v>
      </c>
      <c r="K676" s="195"/>
    </row>
    <row r="677" spans="1:11" x14ac:dyDescent="0.2">
      <c r="A677" s="206"/>
      <c r="B677" s="206"/>
      <c r="C677" s="229"/>
      <c r="D677" s="219"/>
      <c r="E677" s="182"/>
      <c r="F677" s="220"/>
      <c r="G677" s="220"/>
      <c r="H677" s="220"/>
      <c r="I677" s="218" t="str">
        <f>"Total item "&amp;A674</f>
        <v>Total item 1.13.20</v>
      </c>
      <c r="J677" s="217">
        <f>ROUND(SUM(J676:J676),2)</f>
        <v>1</v>
      </c>
      <c r="K677" s="203"/>
    </row>
    <row r="678" spans="1:11" x14ac:dyDescent="0.2">
      <c r="A678" s="206"/>
      <c r="B678" s="206"/>
      <c r="C678" s="229"/>
      <c r="D678" s="219"/>
      <c r="E678" s="182"/>
      <c r="F678" s="220"/>
      <c r="G678" s="220"/>
      <c r="H678" s="220"/>
      <c r="I678" s="210"/>
      <c r="J678" s="209"/>
      <c r="K678" s="203"/>
    </row>
    <row r="679" spans="1:11" ht="30.6" x14ac:dyDescent="0.2">
      <c r="A679" s="214" t="str">
        <f>'ORÇAMENTO COM DESON'!A109</f>
        <v>1.13.21</v>
      </c>
      <c r="B679" s="230"/>
      <c r="C679" s="231"/>
      <c r="D679" s="232" t="str">
        <f>'ORÇAMENTO COM DESON'!D109</f>
        <v>TUBO PVC, SERIE NORMAL, ESGOTO PREDIAL, DN 75 MM, FORNECIDO E INSTALADO EM RAMAL DE DESCARGA OU RAMAL DE ESGOTO SANITÁRIO. AF_08/2022</v>
      </c>
      <c r="E679" s="214" t="str">
        <f>'ORÇAMENTO COM DESON'!E109</f>
        <v>m</v>
      </c>
      <c r="F679" s="217"/>
      <c r="G679" s="217"/>
      <c r="H679" s="217"/>
      <c r="I679" s="218"/>
      <c r="J679" s="217"/>
      <c r="K679" s="195"/>
    </row>
    <row r="680" spans="1:11" x14ac:dyDescent="0.2">
      <c r="A680" s="206"/>
      <c r="B680" s="206"/>
      <c r="C680" s="229"/>
      <c r="D680" s="219"/>
      <c r="E680" s="182"/>
      <c r="F680" s="185" t="s">
        <v>139</v>
      </c>
      <c r="G680" s="185"/>
      <c r="H680" s="185"/>
      <c r="I680" s="223"/>
      <c r="J680" s="220"/>
      <c r="K680" s="195"/>
    </row>
    <row r="681" spans="1:11" x14ac:dyDescent="0.2">
      <c r="A681" s="206"/>
      <c r="B681" s="206"/>
      <c r="C681" s="229"/>
      <c r="D681" s="219" t="s">
        <v>736</v>
      </c>
      <c r="E681" s="182"/>
      <c r="F681" s="185">
        <v>1.86</v>
      </c>
      <c r="G681" s="185"/>
      <c r="H681" s="185"/>
      <c r="I681" s="223"/>
      <c r="J681" s="220">
        <f>ROUND(PRODUCT(F681:I681),2)</f>
        <v>1.86</v>
      </c>
      <c r="K681" s="195"/>
    </row>
    <row r="682" spans="1:11" x14ac:dyDescent="0.2">
      <c r="A682" s="206"/>
      <c r="B682" s="206"/>
      <c r="C682" s="229"/>
      <c r="D682" s="219"/>
      <c r="E682" s="182"/>
      <c r="F682" s="220"/>
      <c r="G682" s="220"/>
      <c r="H682" s="220"/>
      <c r="I682" s="218" t="str">
        <f>"Total item "&amp;A679</f>
        <v>Total item 1.13.21</v>
      </c>
      <c r="J682" s="217">
        <f>ROUND(SUM(J681:J681),2)</f>
        <v>1.86</v>
      </c>
      <c r="K682" s="203"/>
    </row>
    <row r="683" spans="1:11" x14ac:dyDescent="0.2">
      <c r="A683" s="206"/>
      <c r="B683" s="206"/>
      <c r="C683" s="229"/>
      <c r="D683" s="219"/>
      <c r="E683" s="182"/>
      <c r="F683" s="220"/>
      <c r="G683" s="220"/>
      <c r="H683" s="220"/>
      <c r="I683" s="210"/>
      <c r="J683" s="209"/>
      <c r="K683" s="203"/>
    </row>
    <row r="684" spans="1:11" x14ac:dyDescent="0.2">
      <c r="A684" s="175" t="str">
        <f>'ORÇAMENTO COM DESON'!A110</f>
        <v>1.14</v>
      </c>
      <c r="B684" s="176"/>
      <c r="C684" s="228"/>
      <c r="D684" s="211" t="str">
        <f>'ORÇAMENTO COM DESON'!D110</f>
        <v>LOUÇAS, METAIS E MARMOARIA</v>
      </c>
      <c r="E684" s="176"/>
      <c r="F684" s="212"/>
      <c r="G684" s="212"/>
      <c r="H684" s="212"/>
      <c r="I684" s="213"/>
      <c r="J684" s="212"/>
      <c r="K684" s="195"/>
    </row>
    <row r="685" spans="1:11" x14ac:dyDescent="0.2">
      <c r="A685" s="206"/>
      <c r="B685" s="206"/>
      <c r="C685" s="229"/>
      <c r="D685" s="219"/>
      <c r="E685" s="182"/>
      <c r="F685" s="220"/>
      <c r="G685" s="220"/>
      <c r="H685" s="220"/>
      <c r="I685" s="210"/>
      <c r="J685" s="209"/>
      <c r="K685" s="195"/>
    </row>
    <row r="686" spans="1:11" ht="22.5" customHeight="1" x14ac:dyDescent="0.2">
      <c r="A686" s="214" t="str">
        <f>'ORÇAMENTO COM DESON'!A111</f>
        <v>1.14.1</v>
      </c>
      <c r="B686" s="230"/>
      <c r="C686" s="231"/>
      <c r="D686" s="232" t="str">
        <f>'ORÇAMENTO COM DESON'!D111</f>
        <v>VASO SANITARIO SIFONADO CONVENCIONAL COM LOUÇA BRANCA - FORNECIMENTO E INSTALAÇÃO. AF_01/2020</v>
      </c>
      <c r="E686" s="214" t="str">
        <f>'ORÇAMENTO COM DESON'!E111</f>
        <v>un</v>
      </c>
      <c r="F686" s="217"/>
      <c r="G686" s="217"/>
      <c r="H686" s="217"/>
      <c r="I686" s="218"/>
      <c r="J686" s="217"/>
      <c r="K686" s="195"/>
    </row>
    <row r="687" spans="1:11" x14ac:dyDescent="0.2">
      <c r="A687" s="206"/>
      <c r="B687" s="206"/>
      <c r="C687" s="229"/>
      <c r="D687" s="219"/>
      <c r="E687" s="182"/>
      <c r="F687" s="185" t="s">
        <v>206</v>
      </c>
      <c r="G687" s="185"/>
      <c r="H687" s="185"/>
      <c r="I687" s="223"/>
      <c r="J687" s="220"/>
      <c r="K687" s="195"/>
    </row>
    <row r="688" spans="1:11" x14ac:dyDescent="0.2">
      <c r="A688" s="206"/>
      <c r="B688" s="206"/>
      <c r="C688" s="229"/>
      <c r="D688" s="219" t="s">
        <v>395</v>
      </c>
      <c r="E688" s="182" t="s">
        <v>17</v>
      </c>
      <c r="F688" s="185">
        <v>1</v>
      </c>
      <c r="G688" s="185"/>
      <c r="H688" s="185"/>
      <c r="I688" s="223"/>
      <c r="J688" s="220">
        <f>ROUND(PRODUCT(F688:I688),2)</f>
        <v>1</v>
      </c>
      <c r="K688" s="195"/>
    </row>
    <row r="689" spans="1:11" x14ac:dyDescent="0.2">
      <c r="A689" s="206"/>
      <c r="B689" s="206"/>
      <c r="C689" s="229"/>
      <c r="D689" s="219" t="s">
        <v>396</v>
      </c>
      <c r="E689" s="182" t="s">
        <v>17</v>
      </c>
      <c r="F689" s="185">
        <v>1</v>
      </c>
      <c r="G689" s="185"/>
      <c r="H689" s="185"/>
      <c r="I689" s="223"/>
      <c r="J689" s="220">
        <f t="shared" ref="J689:J690" si="54">ROUND(PRODUCT(F689:I689),2)</f>
        <v>1</v>
      </c>
      <c r="K689" s="195"/>
    </row>
    <row r="690" spans="1:11" x14ac:dyDescent="0.2">
      <c r="A690" s="206"/>
      <c r="B690" s="206"/>
      <c r="C690" s="229"/>
      <c r="D690" s="219" t="s">
        <v>300</v>
      </c>
      <c r="E690" s="182" t="s">
        <v>17</v>
      </c>
      <c r="F690" s="185">
        <v>1</v>
      </c>
      <c r="G690" s="185"/>
      <c r="H690" s="185"/>
      <c r="I690" s="223"/>
      <c r="J690" s="220">
        <f t="shared" si="54"/>
        <v>1</v>
      </c>
      <c r="K690" s="195"/>
    </row>
    <row r="691" spans="1:11" x14ac:dyDescent="0.2">
      <c r="A691" s="206"/>
      <c r="B691" s="206"/>
      <c r="C691" s="229"/>
      <c r="D691" s="219"/>
      <c r="E691" s="182"/>
      <c r="F691" s="220"/>
      <c r="G691" s="220"/>
      <c r="H691" s="220"/>
      <c r="I691" s="218" t="str">
        <f>"Total item "&amp;A686</f>
        <v>Total item 1.14.1</v>
      </c>
      <c r="J691" s="217">
        <f>ROUND(SUM(J688:J690),2)</f>
        <v>3</v>
      </c>
      <c r="K691" s="203"/>
    </row>
    <row r="692" spans="1:11" x14ac:dyDescent="0.2">
      <c r="A692" s="206"/>
      <c r="B692" s="206"/>
      <c r="C692" s="229"/>
      <c r="D692" s="219"/>
      <c r="E692" s="182"/>
      <c r="F692" s="220"/>
      <c r="G692" s="220"/>
      <c r="H692" s="220"/>
      <c r="I692" s="210"/>
      <c r="J692" s="209"/>
      <c r="K692" s="195"/>
    </row>
    <row r="693" spans="1:11" ht="22.5" customHeight="1" x14ac:dyDescent="0.2">
      <c r="A693" s="214" t="str">
        <f>'ORÇAMENTO COM DESON'!A112</f>
        <v>1.14.2</v>
      </c>
      <c r="B693" s="230"/>
      <c r="C693" s="231"/>
      <c r="D693" s="232" t="str">
        <f>'ORÇAMENTO COM DESON'!D112</f>
        <v>ASSENTO SANITÁRIO CONVENCIONAL - FORNECIMENTO E INSTALACAO. AF_01/2020</v>
      </c>
      <c r="E693" s="214" t="str">
        <f>'ORÇAMENTO COM DESON'!E112</f>
        <v>un</v>
      </c>
      <c r="F693" s="217"/>
      <c r="G693" s="217"/>
      <c r="H693" s="217"/>
      <c r="I693" s="218"/>
      <c r="J693" s="217"/>
      <c r="K693" s="195"/>
    </row>
    <row r="694" spans="1:11" x14ac:dyDescent="0.2">
      <c r="A694" s="206"/>
      <c r="B694" s="206"/>
      <c r="C694" s="229"/>
      <c r="D694" s="219"/>
      <c r="E694" s="182"/>
      <c r="F694" s="185" t="s">
        <v>206</v>
      </c>
      <c r="G694" s="185"/>
      <c r="H694" s="185"/>
      <c r="I694" s="223"/>
      <c r="J694" s="220"/>
      <c r="K694" s="195"/>
    </row>
    <row r="695" spans="1:11" x14ac:dyDescent="0.2">
      <c r="A695" s="206"/>
      <c r="B695" s="206"/>
      <c r="C695" s="229"/>
      <c r="D695" s="219" t="s">
        <v>395</v>
      </c>
      <c r="E695" s="182" t="s">
        <v>17</v>
      </c>
      <c r="F695" s="185">
        <v>1</v>
      </c>
      <c r="G695" s="185"/>
      <c r="H695" s="185"/>
      <c r="I695" s="223"/>
      <c r="J695" s="220">
        <f>ROUND(PRODUCT(F695:I695),2)</f>
        <v>1</v>
      </c>
      <c r="K695" s="195"/>
    </row>
    <row r="696" spans="1:11" x14ac:dyDescent="0.2">
      <c r="A696" s="206"/>
      <c r="B696" s="206"/>
      <c r="C696" s="229"/>
      <c r="D696" s="219" t="s">
        <v>396</v>
      </c>
      <c r="E696" s="182" t="s">
        <v>17</v>
      </c>
      <c r="F696" s="185">
        <v>1</v>
      </c>
      <c r="G696" s="185"/>
      <c r="H696" s="185"/>
      <c r="I696" s="223"/>
      <c r="J696" s="220">
        <f t="shared" ref="J696:J697" si="55">ROUND(PRODUCT(F696:I696),2)</f>
        <v>1</v>
      </c>
      <c r="K696" s="195"/>
    </row>
    <row r="697" spans="1:11" x14ac:dyDescent="0.2">
      <c r="A697" s="206"/>
      <c r="B697" s="206"/>
      <c r="C697" s="229"/>
      <c r="D697" s="219" t="s">
        <v>300</v>
      </c>
      <c r="E697" s="182" t="s">
        <v>17</v>
      </c>
      <c r="F697" s="185">
        <v>1</v>
      </c>
      <c r="G697" s="185"/>
      <c r="H697" s="185"/>
      <c r="I697" s="223"/>
      <c r="J697" s="220">
        <f t="shared" si="55"/>
        <v>1</v>
      </c>
      <c r="K697" s="195"/>
    </row>
    <row r="698" spans="1:11" x14ac:dyDescent="0.2">
      <c r="A698" s="206"/>
      <c r="B698" s="206"/>
      <c r="C698" s="229"/>
      <c r="D698" s="219"/>
      <c r="E698" s="182"/>
      <c r="F698" s="220"/>
      <c r="G698" s="220"/>
      <c r="H698" s="220"/>
      <c r="I698" s="218" t="str">
        <f>"Total item "&amp;A693</f>
        <v>Total item 1.14.2</v>
      </c>
      <c r="J698" s="217">
        <f>ROUND(SUM(J695:J697),2)</f>
        <v>3</v>
      </c>
      <c r="K698" s="203"/>
    </row>
    <row r="699" spans="1:11" x14ac:dyDescent="0.2">
      <c r="A699" s="206"/>
      <c r="B699" s="206"/>
      <c r="C699" s="229"/>
      <c r="D699" s="219"/>
      <c r="E699" s="182"/>
      <c r="F699" s="220"/>
      <c r="G699" s="220"/>
      <c r="H699" s="220"/>
      <c r="I699" s="210"/>
      <c r="J699" s="209"/>
      <c r="K699" s="195"/>
    </row>
    <row r="700" spans="1:11" ht="20.399999999999999" x14ac:dyDescent="0.2">
      <c r="A700" s="214" t="str">
        <f>'ORÇAMENTO COM DESON'!A113</f>
        <v>1.14.3</v>
      </c>
      <c r="B700" s="230"/>
      <c r="C700" s="231"/>
      <c r="D700" s="232" t="str">
        <f>'ORÇAMENTO COM DESON'!D113</f>
        <v xml:space="preserve">MANOPLA E CANOPLA CROMADA FORNECIMENTO E INSTALAÇÃO. AF_01/2020 </v>
      </c>
      <c r="E700" s="214" t="str">
        <f>'ORÇAMENTO COM DESON'!E113</f>
        <v>un</v>
      </c>
      <c r="F700" s="217"/>
      <c r="G700" s="217"/>
      <c r="H700" s="217"/>
      <c r="I700" s="218"/>
      <c r="J700" s="217"/>
      <c r="K700" s="195"/>
    </row>
    <row r="701" spans="1:11" x14ac:dyDescent="0.2">
      <c r="A701" s="206"/>
      <c r="B701" s="206"/>
      <c r="C701" s="229"/>
      <c r="D701" s="219"/>
      <c r="E701" s="182"/>
      <c r="F701" s="185" t="s">
        <v>206</v>
      </c>
      <c r="G701" s="185"/>
      <c r="H701" s="185"/>
      <c r="I701" s="223"/>
      <c r="J701" s="220"/>
      <c r="K701" s="195"/>
    </row>
    <row r="702" spans="1:11" x14ac:dyDescent="0.2">
      <c r="A702" s="206"/>
      <c r="B702" s="206"/>
      <c r="C702" s="229"/>
      <c r="D702" s="219" t="s">
        <v>395</v>
      </c>
      <c r="E702" s="182" t="s">
        <v>17</v>
      </c>
      <c r="F702" s="185">
        <v>1</v>
      </c>
      <c r="G702" s="185"/>
      <c r="H702" s="185"/>
      <c r="I702" s="223"/>
      <c r="J702" s="220">
        <f>ROUND(PRODUCT(F702:I702),2)</f>
        <v>1</v>
      </c>
      <c r="K702" s="195"/>
    </row>
    <row r="703" spans="1:11" x14ac:dyDescent="0.2">
      <c r="A703" s="206"/>
      <c r="B703" s="206"/>
      <c r="C703" s="229"/>
      <c r="D703" s="219" t="s">
        <v>396</v>
      </c>
      <c r="E703" s="182" t="s">
        <v>17</v>
      </c>
      <c r="F703" s="185">
        <v>1</v>
      </c>
      <c r="G703" s="185"/>
      <c r="H703" s="185"/>
      <c r="I703" s="223"/>
      <c r="J703" s="220">
        <f t="shared" ref="J703:J704" si="56">ROUND(PRODUCT(F703:I703),2)</f>
        <v>1</v>
      </c>
      <c r="K703" s="195"/>
    </row>
    <row r="704" spans="1:11" x14ac:dyDescent="0.2">
      <c r="A704" s="206"/>
      <c r="B704" s="206"/>
      <c r="C704" s="229"/>
      <c r="D704" s="219" t="s">
        <v>300</v>
      </c>
      <c r="E704" s="182" t="s">
        <v>17</v>
      </c>
      <c r="F704" s="185">
        <v>1</v>
      </c>
      <c r="G704" s="185"/>
      <c r="H704" s="185"/>
      <c r="I704" s="223"/>
      <c r="J704" s="220">
        <f t="shared" si="56"/>
        <v>1</v>
      </c>
      <c r="K704" s="195"/>
    </row>
    <row r="705" spans="1:11" x14ac:dyDescent="0.2">
      <c r="A705" s="206"/>
      <c r="B705" s="206"/>
      <c r="C705" s="229"/>
      <c r="D705" s="219"/>
      <c r="E705" s="182"/>
      <c r="F705" s="220"/>
      <c r="G705" s="220"/>
      <c r="H705" s="220"/>
      <c r="I705" s="218" t="str">
        <f>"Total item "&amp;A700</f>
        <v>Total item 1.14.3</v>
      </c>
      <c r="J705" s="217">
        <f>ROUND(SUM(J702:J704),2)</f>
        <v>3</v>
      </c>
      <c r="K705" s="203"/>
    </row>
    <row r="706" spans="1:11" x14ac:dyDescent="0.2">
      <c r="A706" s="206"/>
      <c r="B706" s="206"/>
      <c r="C706" s="229"/>
      <c r="D706" s="219"/>
      <c r="E706" s="182"/>
      <c r="F706" s="220"/>
      <c r="G706" s="220"/>
      <c r="H706" s="220"/>
      <c r="I706" s="210"/>
      <c r="J706" s="209"/>
      <c r="K706" s="195"/>
    </row>
    <row r="707" spans="1:11" ht="20.399999999999999" x14ac:dyDescent="0.2">
      <c r="A707" s="214" t="str">
        <f>'ORÇAMENTO COM DESON'!A114</f>
        <v>1.14.4</v>
      </c>
      <c r="B707" s="230"/>
      <c r="C707" s="231"/>
      <c r="D707" s="232" t="str">
        <f>'ORÇAMENTO COM DESON'!D114</f>
        <v>LAVATÓRIO DE LOUÇA BRANCA S/COLUNA C/TORNEIRA E ACESSÓRIOS</v>
      </c>
      <c r="E707" s="214" t="str">
        <f>'ORÇAMENTO COM DESON'!E114</f>
        <v>un</v>
      </c>
      <c r="F707" s="217"/>
      <c r="G707" s="217"/>
      <c r="H707" s="217"/>
      <c r="I707" s="218"/>
      <c r="J707" s="217"/>
      <c r="K707" s="195"/>
    </row>
    <row r="708" spans="1:11" x14ac:dyDescent="0.2">
      <c r="A708" s="206"/>
      <c r="B708" s="206"/>
      <c r="C708" s="229"/>
      <c r="D708" s="219"/>
      <c r="E708" s="182"/>
      <c r="F708" s="185" t="s">
        <v>206</v>
      </c>
      <c r="G708" s="185"/>
      <c r="H708" s="185"/>
      <c r="I708" s="223"/>
      <c r="J708" s="220"/>
      <c r="K708" s="195"/>
    </row>
    <row r="709" spans="1:11" x14ac:dyDescent="0.2">
      <c r="A709" s="206"/>
      <c r="B709" s="206"/>
      <c r="C709" s="229"/>
      <c r="D709" s="219" t="s">
        <v>395</v>
      </c>
      <c r="E709" s="182" t="s">
        <v>17</v>
      </c>
      <c r="F709" s="185">
        <v>1</v>
      </c>
      <c r="G709" s="185"/>
      <c r="H709" s="185"/>
      <c r="I709" s="223"/>
      <c r="J709" s="220">
        <f>ROUND(PRODUCT(F709:I709),2)</f>
        <v>1</v>
      </c>
      <c r="K709" s="195"/>
    </row>
    <row r="710" spans="1:11" x14ac:dyDescent="0.2">
      <c r="A710" s="206"/>
      <c r="B710" s="206"/>
      <c r="C710" s="229"/>
      <c r="D710" s="219" t="s">
        <v>396</v>
      </c>
      <c r="E710" s="182" t="s">
        <v>17</v>
      </c>
      <c r="F710" s="185">
        <v>1</v>
      </c>
      <c r="G710" s="185"/>
      <c r="H710" s="185"/>
      <c r="I710" s="223"/>
      <c r="J710" s="220">
        <f t="shared" ref="J710:J711" si="57">ROUND(PRODUCT(F710:I710),2)</f>
        <v>1</v>
      </c>
      <c r="K710" s="195"/>
    </row>
    <row r="711" spans="1:11" x14ac:dyDescent="0.2">
      <c r="A711" s="206"/>
      <c r="B711" s="206"/>
      <c r="C711" s="229"/>
      <c r="D711" s="219" t="s">
        <v>300</v>
      </c>
      <c r="E711" s="182" t="s">
        <v>17</v>
      </c>
      <c r="F711" s="185">
        <v>1</v>
      </c>
      <c r="G711" s="185"/>
      <c r="H711" s="185"/>
      <c r="I711" s="223"/>
      <c r="J711" s="220">
        <f t="shared" si="57"/>
        <v>1</v>
      </c>
      <c r="K711" s="195"/>
    </row>
    <row r="712" spans="1:11" x14ac:dyDescent="0.2">
      <c r="A712" s="206"/>
      <c r="B712" s="206"/>
      <c r="C712" s="229"/>
      <c r="D712" s="219"/>
      <c r="E712" s="182"/>
      <c r="F712" s="220"/>
      <c r="G712" s="220"/>
      <c r="H712" s="220"/>
      <c r="I712" s="218" t="str">
        <f>"Total item "&amp;A707</f>
        <v>Total item 1.14.4</v>
      </c>
      <c r="J712" s="217">
        <f>ROUND(SUM(J709:J711),2)</f>
        <v>3</v>
      </c>
      <c r="K712" s="203"/>
    </row>
    <row r="713" spans="1:11" x14ac:dyDescent="0.2">
      <c r="A713" s="206"/>
      <c r="B713" s="206"/>
      <c r="C713" s="229"/>
      <c r="D713" s="219"/>
      <c r="E713" s="182"/>
      <c r="F713" s="220"/>
      <c r="G713" s="220"/>
      <c r="H713" s="220"/>
      <c r="I713" s="210"/>
      <c r="J713" s="209"/>
      <c r="K713" s="195"/>
    </row>
    <row r="714" spans="1:11" ht="30.6" x14ac:dyDescent="0.2">
      <c r="A714" s="214" t="str">
        <f>'ORÇAMENTO COM DESON'!A115</f>
        <v>1.14.5</v>
      </c>
      <c r="B714" s="230"/>
      <c r="C714" s="231"/>
      <c r="D714" s="232" t="str">
        <f>'ORÇAMENTO COM DESON'!D115</f>
        <v>RALO SIFONADO, PVC, DN 100 X 40 MM, JUNTA SOLDÁVEL, FORNECIDO E INSTALADO EM RAMAL DE DESCARGA OU EM RAMAL DE ESGOTO SANITÁRIO. AF_08/2022</v>
      </c>
      <c r="E714" s="214" t="str">
        <f>'ORÇAMENTO COM DESON'!E115</f>
        <v>un</v>
      </c>
      <c r="F714" s="217"/>
      <c r="G714" s="217"/>
      <c r="H714" s="217"/>
      <c r="I714" s="218"/>
      <c r="J714" s="217"/>
      <c r="K714" s="195"/>
    </row>
    <row r="715" spans="1:11" x14ac:dyDescent="0.2">
      <c r="A715" s="206"/>
      <c r="B715" s="206"/>
      <c r="C715" s="229"/>
      <c r="D715" s="219"/>
      <c r="E715" s="182"/>
      <c r="F715" s="185" t="s">
        <v>206</v>
      </c>
      <c r="G715" s="185"/>
      <c r="H715" s="185"/>
      <c r="I715" s="223"/>
      <c r="J715" s="220"/>
      <c r="K715" s="195"/>
    </row>
    <row r="716" spans="1:11" x14ac:dyDescent="0.2">
      <c r="A716" s="206"/>
      <c r="B716" s="206"/>
      <c r="C716" s="229"/>
      <c r="D716" s="219" t="s">
        <v>395</v>
      </c>
      <c r="E716" s="182" t="s">
        <v>17</v>
      </c>
      <c r="F716" s="185">
        <v>1</v>
      </c>
      <c r="G716" s="185"/>
      <c r="H716" s="185"/>
      <c r="I716" s="223"/>
      <c r="J716" s="220">
        <f>ROUND(PRODUCT(F716:I716),2)</f>
        <v>1</v>
      </c>
      <c r="K716" s="195"/>
    </row>
    <row r="717" spans="1:11" x14ac:dyDescent="0.2">
      <c r="A717" s="206"/>
      <c r="B717" s="206"/>
      <c r="C717" s="229"/>
      <c r="D717" s="219" t="s">
        <v>396</v>
      </c>
      <c r="E717" s="182" t="s">
        <v>17</v>
      </c>
      <c r="F717" s="185">
        <v>1</v>
      </c>
      <c r="G717" s="185"/>
      <c r="H717" s="185"/>
      <c r="I717" s="223"/>
      <c r="J717" s="220">
        <f t="shared" ref="J717:J718" si="58">ROUND(PRODUCT(F717:I717),2)</f>
        <v>1</v>
      </c>
      <c r="K717" s="195"/>
    </row>
    <row r="718" spans="1:11" x14ac:dyDescent="0.2">
      <c r="A718" s="206"/>
      <c r="B718" s="206"/>
      <c r="C718" s="229"/>
      <c r="D718" s="219" t="s">
        <v>300</v>
      </c>
      <c r="E718" s="182" t="s">
        <v>17</v>
      </c>
      <c r="F718" s="185">
        <v>1</v>
      </c>
      <c r="G718" s="185"/>
      <c r="H718" s="185"/>
      <c r="I718" s="223"/>
      <c r="J718" s="220">
        <f t="shared" si="58"/>
        <v>1</v>
      </c>
      <c r="K718" s="195"/>
    </row>
    <row r="719" spans="1:11" x14ac:dyDescent="0.2">
      <c r="A719" s="206"/>
      <c r="B719" s="206"/>
      <c r="C719" s="229"/>
      <c r="D719" s="219"/>
      <c r="E719" s="182"/>
      <c r="F719" s="220"/>
      <c r="G719" s="220"/>
      <c r="H719" s="220"/>
      <c r="I719" s="218" t="str">
        <f>"Total item "&amp;A714</f>
        <v>Total item 1.14.5</v>
      </c>
      <c r="J719" s="217">
        <f>ROUND(SUM(J716:J718),2)</f>
        <v>3</v>
      </c>
      <c r="K719" s="203"/>
    </row>
    <row r="720" spans="1:11" x14ac:dyDescent="0.2">
      <c r="A720" s="206"/>
      <c r="B720" s="206"/>
      <c r="C720" s="229"/>
      <c r="D720" s="219"/>
      <c r="E720" s="182"/>
      <c r="F720" s="220"/>
      <c r="G720" s="220"/>
      <c r="H720" s="220"/>
      <c r="I720" s="210"/>
      <c r="J720" s="209"/>
      <c r="K720" s="195"/>
    </row>
    <row r="721" spans="1:11" ht="30.6" x14ac:dyDescent="0.2">
      <c r="A721" s="214" t="str">
        <f>'ORÇAMENTO COM DESON'!A116</f>
        <v>1.14.6</v>
      </c>
      <c r="B721" s="230"/>
      <c r="C721" s="231"/>
      <c r="D721" s="232" t="str">
        <f>'ORÇAMENTO COM DESON'!D116</f>
        <v>SABONETEIRA PLASTICA TIPO DISPENSER PARA SABONETE LIQUIDO COM RESERVATORIO 800 A 1500 ML, INCLUSO FIXAÇÃO. AF_01/2020</v>
      </c>
      <c r="E721" s="214" t="str">
        <f>'ORÇAMENTO COM DESON'!E116</f>
        <v>un</v>
      </c>
      <c r="F721" s="217"/>
      <c r="G721" s="217"/>
      <c r="H721" s="217"/>
      <c r="I721" s="218"/>
      <c r="J721" s="217"/>
      <c r="K721" s="195"/>
    </row>
    <row r="722" spans="1:11" x14ac:dyDescent="0.2">
      <c r="A722" s="206"/>
      <c r="B722" s="206"/>
      <c r="C722" s="229"/>
      <c r="D722" s="219"/>
      <c r="E722" s="182"/>
      <c r="F722" s="185" t="s">
        <v>206</v>
      </c>
      <c r="G722" s="185" t="s">
        <v>173</v>
      </c>
      <c r="H722" s="185"/>
      <c r="I722" s="223"/>
      <c r="J722" s="220"/>
      <c r="K722" s="195"/>
    </row>
    <row r="723" spans="1:11" x14ac:dyDescent="0.2">
      <c r="A723" s="206"/>
      <c r="B723" s="206"/>
      <c r="C723" s="229"/>
      <c r="D723" s="219" t="s">
        <v>395</v>
      </c>
      <c r="E723" s="182" t="s">
        <v>17</v>
      </c>
      <c r="F723" s="185">
        <v>1</v>
      </c>
      <c r="G723" s="185"/>
      <c r="H723" s="185"/>
      <c r="I723" s="223"/>
      <c r="J723" s="220">
        <f>ROUND(PRODUCT(F723:I723),2)</f>
        <v>1</v>
      </c>
      <c r="K723" s="195"/>
    </row>
    <row r="724" spans="1:11" x14ac:dyDescent="0.2">
      <c r="A724" s="206"/>
      <c r="B724" s="206"/>
      <c r="C724" s="229"/>
      <c r="D724" s="219" t="s">
        <v>396</v>
      </c>
      <c r="E724" s="182" t="s">
        <v>17</v>
      </c>
      <c r="F724" s="185">
        <v>1</v>
      </c>
      <c r="G724" s="185"/>
      <c r="H724" s="185"/>
      <c r="I724" s="223"/>
      <c r="J724" s="220">
        <f t="shared" ref="J724:J725" si="59">ROUND(PRODUCT(F724:I724),2)</f>
        <v>1</v>
      </c>
      <c r="K724" s="195"/>
    </row>
    <row r="725" spans="1:11" x14ac:dyDescent="0.2">
      <c r="A725" s="206"/>
      <c r="B725" s="206"/>
      <c r="C725" s="229"/>
      <c r="D725" s="219" t="s">
        <v>300</v>
      </c>
      <c r="E725" s="182" t="s">
        <v>17</v>
      </c>
      <c r="F725" s="185">
        <v>1</v>
      </c>
      <c r="G725" s="185"/>
      <c r="H725" s="185"/>
      <c r="I725" s="223"/>
      <c r="J725" s="220">
        <f t="shared" si="59"/>
        <v>1</v>
      </c>
      <c r="K725" s="195"/>
    </row>
    <row r="726" spans="1:11" x14ac:dyDescent="0.2">
      <c r="A726" s="206"/>
      <c r="B726" s="206"/>
      <c r="C726" s="229"/>
      <c r="D726" s="219"/>
      <c r="E726" s="182"/>
      <c r="F726" s="220"/>
      <c r="G726" s="220"/>
      <c r="H726" s="220"/>
      <c r="I726" s="218" t="str">
        <f>"Total item "&amp;A721</f>
        <v>Total item 1.14.6</v>
      </c>
      <c r="J726" s="217">
        <f>ROUND(SUM(J723:J725),2)</f>
        <v>3</v>
      </c>
      <c r="K726" s="203"/>
    </row>
    <row r="727" spans="1:11" x14ac:dyDescent="0.2">
      <c r="A727" s="206"/>
      <c r="B727" s="206"/>
      <c r="C727" s="229"/>
      <c r="D727" s="219"/>
      <c r="E727" s="182"/>
      <c r="F727" s="220"/>
      <c r="G727" s="220"/>
      <c r="H727" s="220"/>
      <c r="I727" s="210"/>
      <c r="J727" s="209"/>
      <c r="K727" s="195"/>
    </row>
    <row r="728" spans="1:11" x14ac:dyDescent="0.2">
      <c r="A728" s="214" t="str">
        <f>'ORÇAMENTO COM DESON'!A117</f>
        <v>1.14.7</v>
      </c>
      <c r="B728" s="230"/>
      <c r="C728" s="231"/>
      <c r="D728" s="232" t="str">
        <f>'ORÇAMENTO COM DESON'!D117</f>
        <v>PORTA PAPEL TOALHA (DISPENSER)EM ABS</v>
      </c>
      <c r="E728" s="214" t="str">
        <f>'ORÇAMENTO COM DESON'!E117</f>
        <v>un</v>
      </c>
      <c r="F728" s="217"/>
      <c r="G728" s="217"/>
      <c r="H728" s="217"/>
      <c r="I728" s="218"/>
      <c r="J728" s="217"/>
      <c r="K728" s="195"/>
    </row>
    <row r="729" spans="1:11" x14ac:dyDescent="0.2">
      <c r="A729" s="206"/>
      <c r="B729" s="206"/>
      <c r="C729" s="229"/>
      <c r="D729" s="219"/>
      <c r="E729" s="182"/>
      <c r="F729" s="185" t="s">
        <v>206</v>
      </c>
      <c r="G729" s="185" t="s">
        <v>173</v>
      </c>
      <c r="H729" s="185"/>
      <c r="I729" s="223"/>
      <c r="J729" s="220"/>
      <c r="K729" s="195"/>
    </row>
    <row r="730" spans="1:11" x14ac:dyDescent="0.2">
      <c r="A730" s="206"/>
      <c r="B730" s="206"/>
      <c r="C730" s="229"/>
      <c r="D730" s="219" t="s">
        <v>395</v>
      </c>
      <c r="E730" s="182" t="s">
        <v>17</v>
      </c>
      <c r="F730" s="185">
        <v>1</v>
      </c>
      <c r="G730" s="185"/>
      <c r="H730" s="185"/>
      <c r="I730" s="223"/>
      <c r="J730" s="220">
        <f>ROUND(PRODUCT(F730:I730),2)</f>
        <v>1</v>
      </c>
      <c r="K730" s="195"/>
    </row>
    <row r="731" spans="1:11" x14ac:dyDescent="0.2">
      <c r="A731" s="206"/>
      <c r="B731" s="206"/>
      <c r="C731" s="229"/>
      <c r="D731" s="219" t="s">
        <v>396</v>
      </c>
      <c r="E731" s="182" t="s">
        <v>17</v>
      </c>
      <c r="F731" s="185">
        <v>1</v>
      </c>
      <c r="G731" s="185"/>
      <c r="H731" s="185"/>
      <c r="I731" s="223"/>
      <c r="J731" s="220">
        <f t="shared" ref="J731:J732" si="60">ROUND(PRODUCT(F731:I731),2)</f>
        <v>1</v>
      </c>
      <c r="K731" s="195"/>
    </row>
    <row r="732" spans="1:11" x14ac:dyDescent="0.2">
      <c r="A732" s="206"/>
      <c r="B732" s="206"/>
      <c r="C732" s="229"/>
      <c r="D732" s="219" t="s">
        <v>300</v>
      </c>
      <c r="E732" s="182" t="s">
        <v>17</v>
      </c>
      <c r="F732" s="185">
        <v>1</v>
      </c>
      <c r="G732" s="185"/>
      <c r="H732" s="185"/>
      <c r="I732" s="223"/>
      <c r="J732" s="220">
        <f t="shared" si="60"/>
        <v>1</v>
      </c>
      <c r="K732" s="195"/>
    </row>
    <row r="733" spans="1:11" x14ac:dyDescent="0.2">
      <c r="A733" s="206"/>
      <c r="B733" s="206"/>
      <c r="C733" s="229"/>
      <c r="D733" s="219"/>
      <c r="E733" s="182"/>
      <c r="F733" s="220"/>
      <c r="G733" s="220"/>
      <c r="H733" s="220"/>
      <c r="I733" s="218" t="str">
        <f>"Total item "&amp;A728</f>
        <v>Total item 1.14.7</v>
      </c>
      <c r="J733" s="217">
        <f>ROUND(SUM(J730:J732),2)</f>
        <v>3</v>
      </c>
      <c r="K733" s="203"/>
    </row>
    <row r="734" spans="1:11" x14ac:dyDescent="0.2">
      <c r="A734" s="206"/>
      <c r="B734" s="206"/>
      <c r="C734" s="229"/>
      <c r="D734" s="219"/>
      <c r="E734" s="182"/>
      <c r="F734" s="220"/>
      <c r="G734" s="220"/>
      <c r="H734" s="220"/>
      <c r="I734" s="210"/>
      <c r="J734" s="209"/>
      <c r="K734" s="195"/>
    </row>
    <row r="735" spans="1:11" ht="20.399999999999999" x14ac:dyDescent="0.2">
      <c r="A735" s="214" t="str">
        <f>'ORÇAMENTO COM DESON'!A118</f>
        <v>1.14.8</v>
      </c>
      <c r="B735" s="230"/>
      <c r="C735" s="231"/>
      <c r="D735" s="232" t="str">
        <f>'ORÇAMENTO COM DESON'!D118</f>
        <v>PAPELEIRA DE PAREDE EM METAL CROMADO SEM TAMPA, INCLUSO FIXAÇÃO. AF_01/2020</v>
      </c>
      <c r="E735" s="214" t="str">
        <f>'ORÇAMENTO COM DESON'!E118</f>
        <v>un</v>
      </c>
      <c r="F735" s="217"/>
      <c r="G735" s="217"/>
      <c r="H735" s="217"/>
      <c r="I735" s="218"/>
      <c r="J735" s="217"/>
      <c r="K735" s="195"/>
    </row>
    <row r="736" spans="1:11" x14ac:dyDescent="0.2">
      <c r="A736" s="206"/>
      <c r="B736" s="206"/>
      <c r="C736" s="229"/>
      <c r="D736" s="219"/>
      <c r="E736" s="182"/>
      <c r="F736" s="185" t="s">
        <v>206</v>
      </c>
      <c r="G736" s="185" t="s">
        <v>173</v>
      </c>
      <c r="H736" s="185"/>
      <c r="I736" s="223"/>
      <c r="J736" s="220"/>
      <c r="K736" s="195"/>
    </row>
    <row r="737" spans="1:11" x14ac:dyDescent="0.2">
      <c r="A737" s="206"/>
      <c r="B737" s="206"/>
      <c r="C737" s="229"/>
      <c r="D737" s="219" t="s">
        <v>395</v>
      </c>
      <c r="E737" s="182" t="s">
        <v>17</v>
      </c>
      <c r="F737" s="185">
        <v>1</v>
      </c>
      <c r="G737" s="185"/>
      <c r="H737" s="185"/>
      <c r="I737" s="223"/>
      <c r="J737" s="220">
        <f>ROUND(PRODUCT(F737:I737),2)</f>
        <v>1</v>
      </c>
      <c r="K737" s="195"/>
    </row>
    <row r="738" spans="1:11" x14ac:dyDescent="0.2">
      <c r="A738" s="206"/>
      <c r="B738" s="206"/>
      <c r="C738" s="229"/>
      <c r="D738" s="219" t="s">
        <v>396</v>
      </c>
      <c r="E738" s="182" t="s">
        <v>17</v>
      </c>
      <c r="F738" s="185">
        <v>1</v>
      </c>
      <c r="G738" s="185"/>
      <c r="H738" s="185"/>
      <c r="I738" s="223"/>
      <c r="J738" s="220">
        <f t="shared" ref="J738:J739" si="61">ROUND(PRODUCT(F738:I738),2)</f>
        <v>1</v>
      </c>
      <c r="K738" s="195"/>
    </row>
    <row r="739" spans="1:11" x14ac:dyDescent="0.2">
      <c r="A739" s="206"/>
      <c r="B739" s="206"/>
      <c r="C739" s="229"/>
      <c r="D739" s="219" t="s">
        <v>300</v>
      </c>
      <c r="E739" s="182" t="s">
        <v>17</v>
      </c>
      <c r="F739" s="185">
        <v>1</v>
      </c>
      <c r="G739" s="185"/>
      <c r="H739" s="185"/>
      <c r="I739" s="223"/>
      <c r="J739" s="220">
        <f t="shared" si="61"/>
        <v>1</v>
      </c>
      <c r="K739" s="195"/>
    </row>
    <row r="740" spans="1:11" x14ac:dyDescent="0.2">
      <c r="A740" s="206"/>
      <c r="B740" s="206"/>
      <c r="C740" s="229"/>
      <c r="D740" s="219"/>
      <c r="E740" s="182"/>
      <c r="F740" s="220"/>
      <c r="G740" s="220"/>
      <c r="H740" s="220"/>
      <c r="I740" s="218" t="str">
        <f>"Total item "&amp;A735</f>
        <v>Total item 1.14.8</v>
      </c>
      <c r="J740" s="217">
        <f>ROUND(SUM(J737:J739),2)</f>
        <v>3</v>
      </c>
      <c r="K740" s="203"/>
    </row>
    <row r="741" spans="1:11" x14ac:dyDescent="0.2">
      <c r="A741" s="206"/>
      <c r="B741" s="206"/>
      <c r="C741" s="229"/>
      <c r="D741" s="219"/>
      <c r="E741" s="182"/>
      <c r="F741" s="220"/>
      <c r="G741" s="220"/>
      <c r="H741" s="220"/>
      <c r="I741" s="210"/>
      <c r="J741" s="209"/>
      <c r="K741" s="195"/>
    </row>
    <row r="742" spans="1:11" x14ac:dyDescent="0.2">
      <c r="A742" s="175" t="str">
        <f>'ORÇAMENTO COM DESON'!A119</f>
        <v>1.15</v>
      </c>
      <c r="B742" s="176"/>
      <c r="C742" s="228"/>
      <c r="D742" s="211" t="str">
        <f>'ORÇAMENTO COM DESON'!D119</f>
        <v>INSTALAÇÕES ELÉTRICAS</v>
      </c>
      <c r="E742" s="176"/>
      <c r="F742" s="212"/>
      <c r="G742" s="212"/>
      <c r="H742" s="212"/>
      <c r="I742" s="213"/>
      <c r="J742" s="212"/>
      <c r="K742" s="195"/>
    </row>
    <row r="743" spans="1:11" x14ac:dyDescent="0.2">
      <c r="A743" s="206"/>
      <c r="B743" s="206"/>
      <c r="C743" s="229"/>
      <c r="D743" s="219"/>
      <c r="E743" s="182"/>
      <c r="F743" s="220"/>
      <c r="G743" s="220"/>
      <c r="H743" s="220"/>
      <c r="I743" s="210"/>
      <c r="J743" s="209"/>
      <c r="K743" s="195"/>
    </row>
    <row r="744" spans="1:11" x14ac:dyDescent="0.2">
      <c r="A744" s="214" t="str">
        <f>'ORÇAMENTO COM DESON'!A120</f>
        <v>1.15.1</v>
      </c>
      <c r="B744" s="230"/>
      <c r="C744" s="231"/>
      <c r="D744" s="232" t="str">
        <f>'ORÇAMENTO COM DESON'!D120</f>
        <v>BUCHA E ARRUELA DE AÇO GALV. D= 25mm (1")</v>
      </c>
      <c r="E744" s="214" t="str">
        <f>'ORÇAMENTO COM DESON'!E120</f>
        <v>UN</v>
      </c>
      <c r="F744" s="217"/>
      <c r="G744" s="217"/>
      <c r="H744" s="217"/>
      <c r="I744" s="218"/>
      <c r="J744" s="217"/>
      <c r="K744" s="195"/>
    </row>
    <row r="745" spans="1:11" x14ac:dyDescent="0.2">
      <c r="A745" s="206"/>
      <c r="B745" s="206"/>
      <c r="C745" s="229"/>
      <c r="D745" s="219" t="s">
        <v>608</v>
      </c>
      <c r="E745" s="182"/>
      <c r="F745" s="185">
        <v>4</v>
      </c>
      <c r="G745" s="185"/>
      <c r="H745" s="185"/>
      <c r="I745" s="223"/>
      <c r="J745" s="220">
        <f t="shared" ref="J745" si="62">ROUND(PRODUCT(F745:I745),2)</f>
        <v>4</v>
      </c>
      <c r="K745" s="195"/>
    </row>
    <row r="746" spans="1:11" x14ac:dyDescent="0.2">
      <c r="A746" s="206"/>
      <c r="B746" s="206"/>
      <c r="C746" s="229"/>
      <c r="D746" s="219"/>
      <c r="E746" s="182"/>
      <c r="F746" s="220"/>
      <c r="G746" s="220"/>
      <c r="H746" s="220"/>
      <c r="I746" s="218" t="str">
        <f>"Total item "&amp;A744</f>
        <v>Total item 1.15.1</v>
      </c>
      <c r="J746" s="217">
        <f>SUM(J745:J745)</f>
        <v>4</v>
      </c>
      <c r="K746" s="203"/>
    </row>
    <row r="747" spans="1:11" x14ac:dyDescent="0.2">
      <c r="A747" s="206"/>
      <c r="B747" s="206"/>
      <c r="C747" s="229"/>
      <c r="D747" s="219"/>
      <c r="E747" s="182"/>
      <c r="F747" s="220"/>
      <c r="G747" s="220"/>
      <c r="H747" s="220"/>
      <c r="I747" s="210"/>
      <c r="J747" s="209"/>
      <c r="K747" s="195"/>
    </row>
    <row r="748" spans="1:11" x14ac:dyDescent="0.2">
      <c r="A748" s="214" t="str">
        <f>'ORÇAMENTO COM DESON'!A121</f>
        <v>1.15.2</v>
      </c>
      <c r="B748" s="230"/>
      <c r="C748" s="231"/>
      <c r="D748" s="232" t="str">
        <f>'ORÇAMENTO COM DESON'!D121</f>
        <v>BUCHA E ARRUELA DE AÇO GALV. D= 15mm (1/2")</v>
      </c>
      <c r="E748" s="214">
        <f>'ORÇAMENTO COM DESON'!E121</f>
        <v>0</v>
      </c>
      <c r="F748" s="217"/>
      <c r="G748" s="217"/>
      <c r="H748" s="217"/>
      <c r="I748" s="218"/>
      <c r="J748" s="217"/>
      <c r="K748" s="195"/>
    </row>
    <row r="749" spans="1:11" x14ac:dyDescent="0.2">
      <c r="A749" s="206"/>
      <c r="B749" s="206"/>
      <c r="C749" s="229"/>
      <c r="D749" s="219" t="s">
        <v>608</v>
      </c>
      <c r="E749" s="182"/>
      <c r="F749" s="185">
        <v>1</v>
      </c>
      <c r="G749" s="185"/>
      <c r="H749" s="185"/>
      <c r="I749" s="223"/>
      <c r="J749" s="220">
        <f t="shared" ref="J749" si="63">ROUND(PRODUCT(F749:I749),2)</f>
        <v>1</v>
      </c>
      <c r="K749" s="195"/>
    </row>
    <row r="750" spans="1:11" x14ac:dyDescent="0.2">
      <c r="A750" s="206"/>
      <c r="B750" s="206"/>
      <c r="C750" s="229"/>
      <c r="D750" s="219"/>
      <c r="E750" s="182"/>
      <c r="F750" s="220"/>
      <c r="G750" s="220"/>
      <c r="H750" s="220"/>
      <c r="I750" s="218" t="str">
        <f>"Total item "&amp;A748</f>
        <v>Total item 1.15.2</v>
      </c>
      <c r="J750" s="217">
        <f>SUM(J749:J749)</f>
        <v>1</v>
      </c>
      <c r="K750" s="203"/>
    </row>
    <row r="751" spans="1:11" x14ac:dyDescent="0.2">
      <c r="A751" s="206"/>
      <c r="B751" s="206"/>
      <c r="C751" s="229"/>
      <c r="D751" s="219"/>
      <c r="E751" s="182"/>
      <c r="F751" s="220"/>
      <c r="G751" s="220"/>
      <c r="H751" s="220"/>
      <c r="I751" s="210"/>
      <c r="J751" s="209"/>
      <c r="K751" s="195"/>
    </row>
    <row r="752" spans="1:11" x14ac:dyDescent="0.2">
      <c r="A752" s="214" t="str">
        <f>'ORÇAMENTO COM DESON'!A122</f>
        <v>1.15.3</v>
      </c>
      <c r="B752" s="230"/>
      <c r="C752" s="231"/>
      <c r="D752" s="232" t="str">
        <f>'ORÇAMENTO COM DESON'!D122</f>
        <v>BUJÃO EM AÇO GALV. D=65mm (2 1/2") À 80mm (3")</v>
      </c>
      <c r="E752" s="214">
        <f>'ORÇAMENTO COM DESON'!E122</f>
        <v>0</v>
      </c>
      <c r="F752" s="217"/>
      <c r="G752" s="217"/>
      <c r="H752" s="217"/>
      <c r="I752" s="218"/>
      <c r="J752" s="217"/>
      <c r="K752" s="195"/>
    </row>
    <row r="753" spans="1:11" x14ac:dyDescent="0.2">
      <c r="A753" s="206"/>
      <c r="B753" s="206"/>
      <c r="C753" s="229"/>
      <c r="D753" s="219" t="s">
        <v>608</v>
      </c>
      <c r="E753" s="182"/>
      <c r="F753" s="185">
        <v>1</v>
      </c>
      <c r="G753" s="185"/>
      <c r="H753" s="185"/>
      <c r="I753" s="223"/>
      <c r="J753" s="220">
        <f t="shared" ref="J753" si="64">ROUND(PRODUCT(F753:I753),2)</f>
        <v>1</v>
      </c>
      <c r="K753" s="195"/>
    </row>
    <row r="754" spans="1:11" x14ac:dyDescent="0.2">
      <c r="A754" s="206"/>
      <c r="B754" s="206"/>
      <c r="C754" s="229"/>
      <c r="D754" s="219"/>
      <c r="E754" s="182"/>
      <c r="F754" s="220"/>
      <c r="G754" s="220"/>
      <c r="H754" s="220"/>
      <c r="I754" s="218" t="str">
        <f>"Total item "&amp;A752</f>
        <v>Total item 1.15.3</v>
      </c>
      <c r="J754" s="217">
        <f>SUM(J753:J753)</f>
        <v>1</v>
      </c>
      <c r="K754" s="203"/>
    </row>
    <row r="755" spans="1:11" x14ac:dyDescent="0.2">
      <c r="A755" s="206"/>
      <c r="B755" s="206"/>
      <c r="C755" s="229"/>
      <c r="D755" s="219"/>
      <c r="E755" s="182"/>
      <c r="F755" s="220"/>
      <c r="G755" s="220"/>
      <c r="H755" s="220"/>
      <c r="I755" s="210"/>
      <c r="J755" s="209"/>
      <c r="K755" s="195"/>
    </row>
    <row r="756" spans="1:11" x14ac:dyDescent="0.2">
      <c r="A756" s="214" t="str">
        <f>'ORÇAMENTO COM DESON'!A123</f>
        <v>1.15.4</v>
      </c>
      <c r="B756" s="230"/>
      <c r="C756" s="231"/>
      <c r="D756" s="232" t="str">
        <f>'ORÇAMENTO COM DESON'!D123</f>
        <v>CAIXA DE LIGAÇÃO PVC 4" X 2"</v>
      </c>
      <c r="E756" s="214" t="str">
        <f>'ORÇAMENTO COM DESON'!E123</f>
        <v>UN</v>
      </c>
      <c r="F756" s="217"/>
      <c r="G756" s="217"/>
      <c r="H756" s="217"/>
      <c r="I756" s="218"/>
      <c r="J756" s="217"/>
      <c r="K756" s="195"/>
    </row>
    <row r="757" spans="1:11" x14ac:dyDescent="0.2">
      <c r="A757" s="206"/>
      <c r="B757" s="206"/>
      <c r="C757" s="229"/>
      <c r="D757" s="219" t="s">
        <v>608</v>
      </c>
      <c r="E757" s="182"/>
      <c r="F757" s="185">
        <v>24</v>
      </c>
      <c r="G757" s="185"/>
      <c r="H757" s="185"/>
      <c r="I757" s="223"/>
      <c r="J757" s="220">
        <f t="shared" ref="J757" si="65">ROUND(PRODUCT(F757:I757),2)</f>
        <v>24</v>
      </c>
      <c r="K757" s="195"/>
    </row>
    <row r="758" spans="1:11" x14ac:dyDescent="0.2">
      <c r="A758" s="206"/>
      <c r="B758" s="206"/>
      <c r="C758" s="229"/>
      <c r="D758" s="219"/>
      <c r="E758" s="182"/>
      <c r="F758" s="220"/>
      <c r="G758" s="220"/>
      <c r="H758" s="220"/>
      <c r="I758" s="218" t="str">
        <f>"Total item "&amp;A756</f>
        <v>Total item 1.15.4</v>
      </c>
      <c r="J758" s="217">
        <f>SUM(J757)</f>
        <v>24</v>
      </c>
      <c r="K758" s="203"/>
    </row>
    <row r="759" spans="1:11" x14ac:dyDescent="0.2">
      <c r="A759" s="206"/>
      <c r="B759" s="206"/>
      <c r="C759" s="229"/>
      <c r="D759" s="219"/>
      <c r="E759" s="182"/>
      <c r="F759" s="220"/>
      <c r="G759" s="220"/>
      <c r="H759" s="220"/>
      <c r="I759" s="210"/>
      <c r="J759" s="209"/>
      <c r="K759" s="195"/>
    </row>
    <row r="760" spans="1:11" ht="20.399999999999999" x14ac:dyDescent="0.2">
      <c r="A760" s="214" t="str">
        <f>'ORÇAMENTO COM DESON'!A124</f>
        <v>1.15.5</v>
      </c>
      <c r="B760" s="230"/>
      <c r="C760" s="231"/>
      <c r="D760" s="232" t="str">
        <f>'ORÇAMENTO COM DESON'!D124</f>
        <v>CAIXA OCTOGONAL 3" X 3", PVC, INSTALADA EM LAJE - FORNECIMENTO E INSTALAÇÃO. AF_12/2015</v>
      </c>
      <c r="E760" s="214" t="str">
        <f>'ORÇAMENTO COM DESON'!E124</f>
        <v>UN</v>
      </c>
      <c r="F760" s="217"/>
      <c r="G760" s="217"/>
      <c r="H760" s="217"/>
      <c r="I760" s="218"/>
      <c r="J760" s="217"/>
      <c r="K760" s="195"/>
    </row>
    <row r="761" spans="1:11" x14ac:dyDescent="0.2">
      <c r="A761" s="206"/>
      <c r="B761" s="206"/>
      <c r="C761" s="229"/>
      <c r="D761" s="219" t="s">
        <v>608</v>
      </c>
      <c r="E761" s="182"/>
      <c r="F761" s="185">
        <v>12</v>
      </c>
      <c r="G761" s="185"/>
      <c r="H761" s="185"/>
      <c r="I761" s="223"/>
      <c r="J761" s="220">
        <f t="shared" ref="J761" si="66">ROUND(PRODUCT(F761:I761),2)</f>
        <v>12</v>
      </c>
      <c r="K761" s="195"/>
    </row>
    <row r="762" spans="1:11" x14ac:dyDescent="0.2">
      <c r="A762" s="206"/>
      <c r="B762" s="206"/>
      <c r="C762" s="229"/>
      <c r="D762" s="219"/>
      <c r="E762" s="182"/>
      <c r="F762" s="185"/>
      <c r="G762" s="185"/>
      <c r="H762" s="220"/>
      <c r="I762" s="218" t="str">
        <f>"Total item "&amp;A760</f>
        <v>Total item 1.15.5</v>
      </c>
      <c r="J762" s="217">
        <f>SUM(J761)</f>
        <v>12</v>
      </c>
      <c r="K762" s="203"/>
    </row>
    <row r="763" spans="1:11" x14ac:dyDescent="0.2">
      <c r="A763" s="206"/>
      <c r="B763" s="206"/>
      <c r="C763" s="229"/>
      <c r="D763" s="219"/>
      <c r="E763" s="182"/>
      <c r="F763" s="220"/>
      <c r="G763" s="220"/>
      <c r="H763" s="220"/>
      <c r="I763" s="210"/>
      <c r="J763" s="209"/>
      <c r="K763" s="195"/>
    </row>
    <row r="764" spans="1:11" x14ac:dyDescent="0.2">
      <c r="A764" s="214" t="str">
        <f>'ORÇAMENTO COM DESON'!A125</f>
        <v>1.15.6</v>
      </c>
      <c r="B764" s="230"/>
      <c r="C764" s="231"/>
      <c r="D764" s="232" t="str">
        <f>'ORÇAMENTO COM DESON'!D125</f>
        <v>CURVA P/ELETRODUTO PVC ROSC. D= 32mm (1")</v>
      </c>
      <c r="E764" s="214">
        <f>'ORÇAMENTO COM DESON'!E125</f>
        <v>0</v>
      </c>
      <c r="F764" s="217"/>
      <c r="G764" s="217"/>
      <c r="H764" s="217"/>
      <c r="I764" s="218"/>
      <c r="J764" s="217"/>
      <c r="K764" s="195"/>
    </row>
    <row r="765" spans="1:11" x14ac:dyDescent="0.2">
      <c r="A765" s="206"/>
      <c r="B765" s="206"/>
      <c r="C765" s="229"/>
      <c r="D765" s="219" t="s">
        <v>608</v>
      </c>
      <c r="E765" s="182"/>
      <c r="F765" s="185">
        <v>4</v>
      </c>
      <c r="G765" s="185"/>
      <c r="H765" s="185"/>
      <c r="I765" s="223"/>
      <c r="J765" s="220">
        <f t="shared" ref="J765" si="67">ROUND(PRODUCT(F765:I765),2)</f>
        <v>4</v>
      </c>
      <c r="K765" s="195"/>
    </row>
    <row r="766" spans="1:11" x14ac:dyDescent="0.2">
      <c r="A766" s="206"/>
      <c r="B766" s="206"/>
      <c r="C766" s="229"/>
      <c r="D766" s="219"/>
      <c r="E766" s="182"/>
      <c r="F766" s="220"/>
      <c r="G766" s="220"/>
      <c r="H766" s="220"/>
      <c r="I766" s="218" t="str">
        <f>"Total item "&amp;A764</f>
        <v>Total item 1.15.6</v>
      </c>
      <c r="J766" s="217">
        <f>SUM(J765)</f>
        <v>4</v>
      </c>
      <c r="K766" s="203"/>
    </row>
    <row r="767" spans="1:11" x14ac:dyDescent="0.2">
      <c r="A767" s="206"/>
      <c r="B767" s="206"/>
      <c r="C767" s="229"/>
      <c r="D767" s="219"/>
      <c r="E767" s="182"/>
      <c r="F767" s="220"/>
      <c r="G767" s="220"/>
      <c r="H767" s="220"/>
      <c r="I767" s="210"/>
      <c r="J767" s="209"/>
      <c r="K767" s="195"/>
    </row>
    <row r="768" spans="1:11" x14ac:dyDescent="0.2">
      <c r="A768" s="214" t="str">
        <f>'ORÇAMENTO COM DESON'!A126</f>
        <v>1.15.7</v>
      </c>
      <c r="B768" s="230"/>
      <c r="C768" s="231"/>
      <c r="D768" s="232" t="str">
        <f>'ORÇAMENTO COM DESON'!D126</f>
        <v>CURVA P/ELETRODUTO PVC ROSC. D= 20mm (1/2")</v>
      </c>
      <c r="E768" s="214">
        <f>'ORÇAMENTO COM DESON'!E126</f>
        <v>0</v>
      </c>
      <c r="F768" s="217"/>
      <c r="G768" s="217"/>
      <c r="H768" s="217"/>
      <c r="I768" s="218"/>
      <c r="J768" s="217"/>
      <c r="K768" s="195"/>
    </row>
    <row r="769" spans="1:11" x14ac:dyDescent="0.2">
      <c r="A769" s="206"/>
      <c r="B769" s="206"/>
      <c r="C769" s="229"/>
      <c r="D769" s="219" t="s">
        <v>608</v>
      </c>
      <c r="E769" s="182"/>
      <c r="F769" s="185">
        <v>2</v>
      </c>
      <c r="G769" s="185"/>
      <c r="H769" s="185"/>
      <c r="I769" s="223"/>
      <c r="J769" s="220">
        <f t="shared" ref="J769" si="68">ROUND(PRODUCT(F769:I769),2)</f>
        <v>2</v>
      </c>
      <c r="K769" s="195"/>
    </row>
    <row r="770" spans="1:11" x14ac:dyDescent="0.2">
      <c r="A770" s="206"/>
      <c r="B770" s="206"/>
      <c r="C770" s="229"/>
      <c r="D770" s="219"/>
      <c r="E770" s="182"/>
      <c r="F770" s="220"/>
      <c r="G770" s="220"/>
      <c r="H770" s="220"/>
      <c r="I770" s="218" t="str">
        <f>"Total item "&amp;A768</f>
        <v>Total item 1.15.7</v>
      </c>
      <c r="J770" s="217">
        <f>SUM(J769)</f>
        <v>2</v>
      </c>
      <c r="K770" s="203"/>
    </row>
    <row r="771" spans="1:11" x14ac:dyDescent="0.2">
      <c r="A771" s="206"/>
      <c r="B771" s="206"/>
      <c r="C771" s="229"/>
      <c r="D771" s="219"/>
      <c r="E771" s="182"/>
      <c r="F771" s="220"/>
      <c r="G771" s="220"/>
      <c r="H771" s="220"/>
      <c r="I771" s="210"/>
      <c r="J771" s="209"/>
      <c r="K771" s="195"/>
    </row>
    <row r="772" spans="1:11" x14ac:dyDescent="0.2">
      <c r="A772" s="214" t="str">
        <f>'ORÇAMENTO COM DESON'!A127</f>
        <v>1.15.8</v>
      </c>
      <c r="B772" s="230"/>
      <c r="C772" s="231"/>
      <c r="D772" s="232" t="str">
        <f>'ORÇAMENTO COM DESON'!D127</f>
        <v>LUVA P/ELETRODUTO PVC ROSC. D= 32mm (1")</v>
      </c>
      <c r="E772" s="214">
        <f>'ORÇAMENTO COM DESON'!E127</f>
        <v>0</v>
      </c>
      <c r="F772" s="217"/>
      <c r="G772" s="217"/>
      <c r="H772" s="217"/>
      <c r="I772" s="218"/>
      <c r="J772" s="217"/>
      <c r="K772" s="195"/>
    </row>
    <row r="773" spans="1:11" x14ac:dyDescent="0.2">
      <c r="A773" s="206"/>
      <c r="B773" s="206"/>
      <c r="C773" s="229"/>
      <c r="D773" s="219" t="s">
        <v>608</v>
      </c>
      <c r="E773" s="182"/>
      <c r="F773" s="185">
        <v>7</v>
      </c>
      <c r="G773" s="185"/>
      <c r="H773" s="185"/>
      <c r="I773" s="223"/>
      <c r="J773" s="220">
        <f t="shared" ref="J773" si="69">ROUND(PRODUCT(F773:I773),2)</f>
        <v>7</v>
      </c>
      <c r="K773" s="195"/>
    </row>
    <row r="774" spans="1:11" x14ac:dyDescent="0.2">
      <c r="A774" s="206"/>
      <c r="B774" s="206"/>
      <c r="C774" s="229"/>
      <c r="D774" s="219"/>
      <c r="E774" s="182"/>
      <c r="F774" s="220"/>
      <c r="G774" s="220"/>
      <c r="H774" s="220"/>
      <c r="I774" s="218" t="str">
        <f>"Total item "&amp;A772</f>
        <v>Total item 1.15.8</v>
      </c>
      <c r="J774" s="217">
        <f>SUM(J773)</f>
        <v>7</v>
      </c>
      <c r="K774" s="203"/>
    </row>
    <row r="775" spans="1:11" x14ac:dyDescent="0.2">
      <c r="A775" s="206"/>
      <c r="B775" s="206"/>
      <c r="C775" s="229"/>
      <c r="D775" s="219"/>
      <c r="E775" s="182"/>
      <c r="F775" s="220"/>
      <c r="G775" s="220"/>
      <c r="H775" s="220"/>
      <c r="I775" s="210"/>
      <c r="J775" s="209"/>
      <c r="K775" s="195"/>
    </row>
    <row r="776" spans="1:11" x14ac:dyDescent="0.2">
      <c r="A776" s="214" t="str">
        <f>'ORÇAMENTO COM DESON'!A128</f>
        <v>1.15.9</v>
      </c>
      <c r="B776" s="230"/>
      <c r="C776" s="231"/>
      <c r="D776" s="232" t="str">
        <f>'ORÇAMENTO COM DESON'!D128</f>
        <v>LUVA P/ELETRODUTO PVC ROSC. D= 20mm (1/2")</v>
      </c>
      <c r="E776" s="214">
        <f>'ORÇAMENTO COM DESON'!E128</f>
        <v>0</v>
      </c>
      <c r="F776" s="217"/>
      <c r="G776" s="217"/>
      <c r="H776" s="217"/>
      <c r="I776" s="218"/>
      <c r="J776" s="217"/>
      <c r="K776" s="195"/>
    </row>
    <row r="777" spans="1:11" x14ac:dyDescent="0.2">
      <c r="A777" s="206"/>
      <c r="B777" s="206"/>
      <c r="C777" s="229"/>
      <c r="D777" s="219" t="s">
        <v>608</v>
      </c>
      <c r="E777" s="182"/>
      <c r="F777" s="185">
        <v>2</v>
      </c>
      <c r="G777" s="185"/>
      <c r="H777" s="185"/>
      <c r="I777" s="223"/>
      <c r="J777" s="220">
        <f t="shared" ref="J777" si="70">ROUND(PRODUCT(F777:I777),2)</f>
        <v>2</v>
      </c>
      <c r="K777" s="195"/>
    </row>
    <row r="778" spans="1:11" x14ac:dyDescent="0.2">
      <c r="A778" s="206"/>
      <c r="B778" s="206"/>
      <c r="C778" s="229"/>
      <c r="D778" s="219"/>
      <c r="E778" s="182"/>
      <c r="F778" s="220"/>
      <c r="G778" s="220"/>
      <c r="H778" s="220"/>
      <c r="I778" s="218" t="str">
        <f>"Total item "&amp;A776</f>
        <v>Total item 1.15.9</v>
      </c>
      <c r="J778" s="217">
        <f>SUM(J777)</f>
        <v>2</v>
      </c>
      <c r="K778" s="203"/>
    </row>
    <row r="779" spans="1:11" x14ac:dyDescent="0.2">
      <c r="A779" s="206"/>
      <c r="B779" s="206"/>
      <c r="C779" s="229"/>
      <c r="D779" s="219"/>
      <c r="E779" s="182"/>
      <c r="F779" s="220"/>
      <c r="G779" s="220"/>
      <c r="H779" s="220"/>
      <c r="I779" s="210"/>
      <c r="J779" s="209"/>
      <c r="K779" s="195"/>
    </row>
    <row r="780" spans="1:11" x14ac:dyDescent="0.2">
      <c r="A780" s="214" t="str">
        <f>'ORÇAMENTO COM DESON'!A129</f>
        <v>1.15.10</v>
      </c>
      <c r="B780" s="230"/>
      <c r="C780" s="231"/>
      <c r="D780" s="232" t="str">
        <f>'ORÇAMENTO COM DESON'!D129</f>
        <v>LUVA P/ELETRODUTO PVC ROSC. D= 25mm (3/4")</v>
      </c>
      <c r="E780" s="214">
        <f>'ORÇAMENTO COM DESON'!E129</f>
        <v>0</v>
      </c>
      <c r="F780" s="217"/>
      <c r="G780" s="217"/>
      <c r="H780" s="217"/>
      <c r="I780" s="218"/>
      <c r="J780" s="217"/>
      <c r="K780" s="195"/>
    </row>
    <row r="781" spans="1:11" x14ac:dyDescent="0.2">
      <c r="A781" s="206"/>
      <c r="B781" s="206"/>
      <c r="C781" s="229"/>
      <c r="D781" s="219" t="s">
        <v>608</v>
      </c>
      <c r="E781" s="182"/>
      <c r="F781" s="185">
        <v>3</v>
      </c>
      <c r="G781" s="185"/>
      <c r="H781" s="185"/>
      <c r="I781" s="223"/>
      <c r="J781" s="220">
        <f t="shared" ref="J781" si="71">ROUND(PRODUCT(F781:I781),2)</f>
        <v>3</v>
      </c>
      <c r="K781" s="195"/>
    </row>
    <row r="782" spans="1:11" x14ac:dyDescent="0.2">
      <c r="A782" s="206"/>
      <c r="B782" s="206"/>
      <c r="C782" s="229"/>
      <c r="D782" s="219"/>
      <c r="E782" s="182"/>
      <c r="F782" s="220"/>
      <c r="G782" s="220"/>
      <c r="H782" s="220"/>
      <c r="I782" s="218" t="str">
        <f>"Total item "&amp;A780</f>
        <v>Total item 1.15.10</v>
      </c>
      <c r="J782" s="217">
        <f>SUM(J781)</f>
        <v>3</v>
      </c>
      <c r="K782" s="203"/>
    </row>
    <row r="783" spans="1:11" x14ac:dyDescent="0.2">
      <c r="A783" s="206"/>
      <c r="B783" s="206"/>
      <c r="C783" s="229"/>
      <c r="D783" s="219"/>
      <c r="E783" s="182"/>
      <c r="F783" s="220"/>
      <c r="G783" s="220"/>
      <c r="H783" s="220"/>
      <c r="I783" s="210"/>
      <c r="J783" s="209"/>
      <c r="K783" s="195"/>
    </row>
    <row r="784" spans="1:11" x14ac:dyDescent="0.2">
      <c r="A784" s="214" t="str">
        <f>'ORÇAMENTO COM DESON'!A130</f>
        <v>1.15.11</v>
      </c>
      <c r="B784" s="230"/>
      <c r="C784" s="231"/>
      <c r="D784" s="232" t="str">
        <f>'ORÇAMENTO COM DESON'!D130</f>
        <v>LUVA AÇO GALV. D=15mm (1/2") À 25mm (1")</v>
      </c>
      <c r="E784" s="214">
        <f>'ORÇAMENTO COM DESON'!E130</f>
        <v>0</v>
      </c>
      <c r="F784" s="217"/>
      <c r="G784" s="217"/>
      <c r="H784" s="217"/>
      <c r="I784" s="218"/>
      <c r="J784" s="217"/>
      <c r="K784" s="195"/>
    </row>
    <row r="785" spans="1:11" x14ac:dyDescent="0.2">
      <c r="A785" s="206"/>
      <c r="B785" s="206"/>
      <c r="C785" s="229"/>
      <c r="D785" s="219" t="s">
        <v>608</v>
      </c>
      <c r="E785" s="182"/>
      <c r="F785" s="185">
        <v>10</v>
      </c>
      <c r="G785" s="185"/>
      <c r="H785" s="185"/>
      <c r="I785" s="223"/>
      <c r="J785" s="220">
        <f t="shared" ref="J785" si="72">ROUND(PRODUCT(F785:I785),2)</f>
        <v>10</v>
      </c>
      <c r="K785" s="195"/>
    </row>
    <row r="786" spans="1:11" x14ac:dyDescent="0.2">
      <c r="A786" s="206"/>
      <c r="B786" s="206"/>
      <c r="C786" s="229"/>
      <c r="D786" s="219"/>
      <c r="E786" s="182"/>
      <c r="F786" s="220"/>
      <c r="G786" s="220"/>
      <c r="H786" s="220"/>
      <c r="I786" s="218" t="str">
        <f>"Total item "&amp;A784</f>
        <v>Total item 1.15.11</v>
      </c>
      <c r="J786" s="217">
        <f>SUM(J785)</f>
        <v>10</v>
      </c>
      <c r="K786" s="203"/>
    </row>
    <row r="787" spans="1:11" x14ac:dyDescent="0.2">
      <c r="A787" s="206"/>
      <c r="B787" s="206"/>
      <c r="C787" s="229"/>
      <c r="D787" s="219"/>
      <c r="E787" s="182"/>
      <c r="F787" s="220"/>
      <c r="G787" s="220"/>
      <c r="H787" s="220"/>
      <c r="I787" s="210"/>
      <c r="J787" s="209"/>
      <c r="K787" s="195"/>
    </row>
    <row r="788" spans="1:11" x14ac:dyDescent="0.2">
      <c r="A788" s="214" t="str">
        <f>'ORÇAMENTO COM DESON'!A131</f>
        <v>1.15.12</v>
      </c>
      <c r="B788" s="230"/>
      <c r="C788" s="231"/>
      <c r="D788" s="232" t="str">
        <f>'ORÇAMENTO COM DESON'!D131</f>
        <v>LUVA AÇO GALV. D=32mm (1 1/4") À 50mm (2")</v>
      </c>
      <c r="E788" s="214">
        <f>'ORÇAMENTO COM DESON'!E131</f>
        <v>0</v>
      </c>
      <c r="F788" s="217"/>
      <c r="G788" s="217"/>
      <c r="H788" s="217"/>
      <c r="I788" s="218"/>
      <c r="J788" s="217"/>
      <c r="K788" s="195"/>
    </row>
    <row r="789" spans="1:11" x14ac:dyDescent="0.2">
      <c r="A789" s="206"/>
      <c r="B789" s="206"/>
      <c r="C789" s="229"/>
      <c r="D789" s="219" t="s">
        <v>608</v>
      </c>
      <c r="E789" s="182"/>
      <c r="F789" s="185">
        <v>2</v>
      </c>
      <c r="G789" s="185"/>
      <c r="H789" s="185"/>
      <c r="I789" s="223"/>
      <c r="J789" s="220">
        <f t="shared" ref="J789" si="73">ROUND(PRODUCT(F789:I789),2)</f>
        <v>2</v>
      </c>
      <c r="K789" s="195"/>
    </row>
    <row r="790" spans="1:11" x14ac:dyDescent="0.2">
      <c r="A790" s="206"/>
      <c r="B790" s="206"/>
      <c r="C790" s="229"/>
      <c r="D790" s="219"/>
      <c r="E790" s="182"/>
      <c r="F790" s="220"/>
      <c r="G790" s="220"/>
      <c r="H790" s="220"/>
      <c r="I790" s="218" t="str">
        <f>"Total item "&amp;A788</f>
        <v>Total item 1.15.12</v>
      </c>
      <c r="J790" s="217">
        <f>SUM(J789)</f>
        <v>2</v>
      </c>
      <c r="K790" s="203"/>
    </row>
    <row r="791" spans="1:11" x14ac:dyDescent="0.2">
      <c r="A791" s="206"/>
      <c r="B791" s="206"/>
      <c r="C791" s="229"/>
      <c r="D791" s="219"/>
      <c r="E791" s="182"/>
      <c r="F791" s="220"/>
      <c r="G791" s="220"/>
      <c r="H791" s="220"/>
      <c r="I791" s="210"/>
      <c r="J791" s="209"/>
      <c r="K791" s="195"/>
    </row>
    <row r="792" spans="1:11" ht="30.6" x14ac:dyDescent="0.2">
      <c r="A792" s="214" t="str">
        <f>'ORÇAMENTO COM DESON'!A132</f>
        <v>1.15.13</v>
      </c>
      <c r="B792" s="230"/>
      <c r="C792" s="231"/>
      <c r="D792" s="232" t="str">
        <f>'ORÇAMENTO COM DESON'!D132</f>
        <v>CABO DE COBRE FLEXÍVEL ISOLADO, 2,5 MM², ANTI-CHAMA 0,6/1,0 KV, PARA CIRCUITOS TERMINAIS - FORNECIMENTO E INSTALAÇÃO. AF_12/2015</v>
      </c>
      <c r="E792" s="214" t="str">
        <f>'ORÇAMENTO COM DESON'!E132</f>
        <v>M</v>
      </c>
      <c r="F792" s="217"/>
      <c r="G792" s="217"/>
      <c r="H792" s="217"/>
      <c r="I792" s="218"/>
      <c r="J792" s="217"/>
      <c r="K792" s="195"/>
    </row>
    <row r="793" spans="1:11" x14ac:dyDescent="0.2">
      <c r="A793" s="206"/>
      <c r="B793" s="206"/>
      <c r="C793" s="229"/>
      <c r="D793" s="219" t="s">
        <v>608</v>
      </c>
      <c r="E793" s="182"/>
      <c r="F793" s="185">
        <f>(3*15)+75.1+96.7+41.3+36.7</f>
        <v>294.8</v>
      </c>
      <c r="G793" s="185"/>
      <c r="H793" s="185"/>
      <c r="I793" s="223"/>
      <c r="J793" s="220">
        <f t="shared" ref="J793" si="74">ROUND(PRODUCT(F793:I793),2)</f>
        <v>294.8</v>
      </c>
      <c r="K793" s="195"/>
    </row>
    <row r="794" spans="1:11" x14ac:dyDescent="0.2">
      <c r="A794" s="206"/>
      <c r="B794" s="206"/>
      <c r="C794" s="229"/>
      <c r="D794" s="219"/>
      <c r="E794" s="182"/>
      <c r="F794" s="220"/>
      <c r="G794" s="220"/>
      <c r="H794" s="220"/>
      <c r="I794" s="218" t="str">
        <f>"Total item "&amp;A792</f>
        <v>Total item 1.15.13</v>
      </c>
      <c r="J794" s="217">
        <f>SUM(J793)</f>
        <v>294.8</v>
      </c>
      <c r="K794" s="203"/>
    </row>
    <row r="795" spans="1:11" x14ac:dyDescent="0.2">
      <c r="A795" s="206"/>
      <c r="B795" s="206"/>
      <c r="C795" s="229"/>
      <c r="D795" s="219"/>
      <c r="E795" s="182"/>
      <c r="F795" s="220"/>
      <c r="G795" s="220"/>
      <c r="H795" s="220"/>
      <c r="I795" s="210"/>
      <c r="J795" s="209"/>
      <c r="K795" s="195"/>
    </row>
    <row r="796" spans="1:11" ht="30.6" x14ac:dyDescent="0.2">
      <c r="A796" s="214" t="str">
        <f>'ORÇAMENTO COM DESON'!A133</f>
        <v>1.15.14</v>
      </c>
      <c r="B796" s="230"/>
      <c r="C796" s="231"/>
      <c r="D796" s="232" t="str">
        <f>'ORÇAMENTO COM DESON'!D133</f>
        <v>CABO DE COBRE FLEXÍVEL ISOLADO, 4 MM², ANTI-CHAMA 0,6/1,0 KV, PARA CIRCUITOS TERMINAIS - FORNECIMENTO E INSTALAÇÃO. AF_12/2015</v>
      </c>
      <c r="E796" s="214" t="str">
        <f>'ORÇAMENTO COM DESON'!E133</f>
        <v>M</v>
      </c>
      <c r="F796" s="217"/>
      <c r="G796" s="217"/>
      <c r="H796" s="217"/>
      <c r="I796" s="218"/>
      <c r="J796" s="217"/>
      <c r="K796" s="195"/>
    </row>
    <row r="797" spans="1:11" x14ac:dyDescent="0.2">
      <c r="A797" s="206"/>
      <c r="B797" s="206"/>
      <c r="C797" s="229"/>
      <c r="D797" s="219" t="s">
        <v>608</v>
      </c>
      <c r="E797" s="182"/>
      <c r="F797" s="185">
        <f>18.3+18.3+10.9</f>
        <v>47.5</v>
      </c>
      <c r="G797" s="185"/>
      <c r="H797" s="185"/>
      <c r="I797" s="223"/>
      <c r="J797" s="220">
        <f t="shared" ref="J797" si="75">ROUND(PRODUCT(F797:I797),2)</f>
        <v>47.5</v>
      </c>
      <c r="K797" s="195"/>
    </row>
    <row r="798" spans="1:11" x14ac:dyDescent="0.2">
      <c r="A798" s="206"/>
      <c r="B798" s="206"/>
      <c r="C798" s="229"/>
      <c r="D798" s="219"/>
      <c r="E798" s="182"/>
      <c r="F798" s="220"/>
      <c r="G798" s="220"/>
      <c r="H798" s="220"/>
      <c r="I798" s="218" t="str">
        <f>"Total item "&amp;A796</f>
        <v>Total item 1.15.14</v>
      </c>
      <c r="J798" s="217">
        <f>SUM(J797)</f>
        <v>47.5</v>
      </c>
      <c r="K798" s="203"/>
    </row>
    <row r="799" spans="1:11" x14ac:dyDescent="0.2">
      <c r="A799" s="206"/>
      <c r="B799" s="206"/>
      <c r="C799" s="229"/>
      <c r="D799" s="219"/>
      <c r="E799" s="182"/>
      <c r="F799" s="220"/>
      <c r="G799" s="220"/>
      <c r="H799" s="220"/>
      <c r="I799" s="210"/>
      <c r="J799" s="209"/>
      <c r="K799" s="195"/>
    </row>
    <row r="800" spans="1:11" ht="30.6" x14ac:dyDescent="0.2">
      <c r="A800" s="214" t="str">
        <f>'ORÇAMENTO COM DESON'!A134</f>
        <v>1.15.15</v>
      </c>
      <c r="B800" s="230"/>
      <c r="C800" s="231"/>
      <c r="D800" s="232" t="str">
        <f>'ORÇAMENTO COM DESON'!D134</f>
        <v>CABO DE COBRE FLEXÍVEL ISOLADO, 6 MM², ANTI-CHAMA 0,6/1,0 KV, PARA CIRCUITOS TERMINAIS - FORNECIMENTO E INSTALAÇÃO. AF_12/2015</v>
      </c>
      <c r="E800" s="214" t="str">
        <f>'ORÇAMENTO COM DESON'!E134</f>
        <v>M</v>
      </c>
      <c r="F800" s="217"/>
      <c r="G800" s="217"/>
      <c r="H800" s="217"/>
      <c r="I800" s="218"/>
      <c r="J800" s="217"/>
      <c r="K800" s="195"/>
    </row>
    <row r="801" spans="1:11" x14ac:dyDescent="0.2">
      <c r="A801" s="206"/>
      <c r="B801" s="206"/>
      <c r="C801" s="229"/>
      <c r="D801" s="219" t="s">
        <v>608</v>
      </c>
      <c r="E801" s="182"/>
      <c r="F801" s="185">
        <v>10</v>
      </c>
      <c r="G801" s="185"/>
      <c r="H801" s="185"/>
      <c r="I801" s="223"/>
      <c r="J801" s="220">
        <f t="shared" ref="J801" si="76">ROUND(PRODUCT(F801:I801),2)</f>
        <v>10</v>
      </c>
      <c r="K801" s="195"/>
    </row>
    <row r="802" spans="1:11" x14ac:dyDescent="0.2">
      <c r="A802" s="206"/>
      <c r="B802" s="206"/>
      <c r="C802" s="229"/>
      <c r="D802" s="219"/>
      <c r="E802" s="182"/>
      <c r="F802" s="220"/>
      <c r="G802" s="220"/>
      <c r="H802" s="220"/>
      <c r="I802" s="218" t="str">
        <f>"Total item "&amp;A800</f>
        <v>Total item 1.15.15</v>
      </c>
      <c r="J802" s="217">
        <f>SUM(J801)</f>
        <v>10</v>
      </c>
      <c r="K802" s="203"/>
    </row>
    <row r="803" spans="1:11" x14ac:dyDescent="0.2">
      <c r="A803" s="206"/>
      <c r="B803" s="206"/>
      <c r="C803" s="229"/>
      <c r="D803" s="219"/>
      <c r="E803" s="182"/>
      <c r="F803" s="220"/>
      <c r="G803" s="220"/>
      <c r="H803" s="220"/>
      <c r="I803" s="210"/>
      <c r="J803" s="209"/>
      <c r="K803" s="195"/>
    </row>
    <row r="804" spans="1:11" ht="20.399999999999999" x14ac:dyDescent="0.2">
      <c r="A804" s="214" t="str">
        <f>'ORÇAMENTO COM DESON'!A135</f>
        <v>1.15.16</v>
      </c>
      <c r="B804" s="230"/>
      <c r="C804" s="231"/>
      <c r="D804" s="232" t="str">
        <f>'ORÇAMENTO COM DESON'!D135</f>
        <v>LUMINÁRIA TIPO PLAFON QUADRADA, DE EMBUTIR, COM LED DE 12/13 W - FORNECIMENTO E INSTALAÇÃO.</v>
      </c>
      <c r="E804" s="214" t="str">
        <f>'ORÇAMENTO COM DESON'!E135</f>
        <v>un</v>
      </c>
      <c r="F804" s="217"/>
      <c r="G804" s="217"/>
      <c r="H804" s="217"/>
      <c r="I804" s="218"/>
      <c r="J804" s="217"/>
      <c r="K804" s="195"/>
    </row>
    <row r="805" spans="1:11" x14ac:dyDescent="0.2">
      <c r="A805" s="206"/>
      <c r="B805" s="206"/>
      <c r="C805" s="229"/>
      <c r="D805" s="219" t="s">
        <v>608</v>
      </c>
      <c r="E805" s="182"/>
      <c r="F805" s="185">
        <v>12</v>
      </c>
      <c r="G805" s="185"/>
      <c r="H805" s="185"/>
      <c r="I805" s="223"/>
      <c r="J805" s="220">
        <f t="shared" ref="J805" si="77">ROUND(PRODUCT(F805:I805),2)</f>
        <v>12</v>
      </c>
      <c r="K805" s="195"/>
    </row>
    <row r="806" spans="1:11" x14ac:dyDescent="0.2">
      <c r="A806" s="206"/>
      <c r="B806" s="206"/>
      <c r="C806" s="229"/>
      <c r="D806" s="219"/>
      <c r="E806" s="182"/>
      <c r="F806" s="220"/>
      <c r="G806" s="220"/>
      <c r="H806" s="220"/>
      <c r="I806" s="218" t="str">
        <f>"Total item "&amp;A804</f>
        <v>Total item 1.15.16</v>
      </c>
      <c r="J806" s="217">
        <f>SUM(J805)</f>
        <v>12</v>
      </c>
      <c r="K806" s="203"/>
    </row>
    <row r="807" spans="1:11" x14ac:dyDescent="0.2">
      <c r="A807" s="206"/>
      <c r="B807" s="206"/>
      <c r="C807" s="229"/>
      <c r="D807" s="219"/>
      <c r="E807" s="182"/>
      <c r="F807" s="220"/>
      <c r="G807" s="220"/>
      <c r="H807" s="220"/>
      <c r="I807" s="210"/>
      <c r="J807" s="209"/>
      <c r="K807" s="195"/>
    </row>
    <row r="808" spans="1:11" x14ac:dyDescent="0.2">
      <c r="A808" s="214" t="str">
        <f>'ORÇAMENTO COM DESON'!A136</f>
        <v>1.15.17</v>
      </c>
      <c r="B808" s="230"/>
      <c r="C808" s="231"/>
      <c r="D808" s="232" t="str">
        <f>'ORÇAMENTO COM DESON'!D136</f>
        <v>INTERRUPTOR UMA TECLA SIMPLES 10A 250V</v>
      </c>
      <c r="E808" s="214" t="str">
        <f>'ORÇAMENTO COM DESON'!E136</f>
        <v>un</v>
      </c>
      <c r="F808" s="217"/>
      <c r="G808" s="217"/>
      <c r="H808" s="217"/>
      <c r="I808" s="218"/>
      <c r="J808" s="217"/>
      <c r="K808" s="195"/>
    </row>
    <row r="809" spans="1:11" x14ac:dyDescent="0.2">
      <c r="A809" s="206"/>
      <c r="B809" s="206"/>
      <c r="C809" s="229"/>
      <c r="D809" s="219" t="s">
        <v>608</v>
      </c>
      <c r="E809" s="182"/>
      <c r="F809" s="185">
        <v>5</v>
      </c>
      <c r="G809" s="185"/>
      <c r="H809" s="185"/>
      <c r="I809" s="223"/>
      <c r="J809" s="220">
        <f t="shared" ref="J809" si="78">ROUND(PRODUCT(F809:I809),2)</f>
        <v>5</v>
      </c>
      <c r="K809" s="195"/>
    </row>
    <row r="810" spans="1:11" x14ac:dyDescent="0.2">
      <c r="A810" s="206"/>
      <c r="B810" s="206"/>
      <c r="C810" s="229"/>
      <c r="D810" s="219"/>
      <c r="E810" s="182"/>
      <c r="F810" s="185"/>
      <c r="G810" s="185"/>
      <c r="H810" s="220"/>
      <c r="I810" s="218" t="str">
        <f>"Total item "&amp;A808</f>
        <v>Total item 1.15.17</v>
      </c>
      <c r="J810" s="217">
        <f>SUM(J809)</f>
        <v>5</v>
      </c>
      <c r="K810" s="203"/>
    </row>
    <row r="811" spans="1:11" x14ac:dyDescent="0.2">
      <c r="A811" s="206"/>
      <c r="B811" s="206"/>
      <c r="C811" s="229"/>
      <c r="D811" s="219"/>
      <c r="E811" s="182"/>
      <c r="F811" s="220"/>
      <c r="G811" s="220"/>
      <c r="H811" s="220"/>
      <c r="I811" s="210"/>
      <c r="J811" s="209"/>
      <c r="K811" s="195"/>
    </row>
    <row r="812" spans="1:11" x14ac:dyDescent="0.2">
      <c r="A812" s="214" t="str">
        <f>'ORÇAMENTO COM DESON'!A137</f>
        <v>1.15.18</v>
      </c>
      <c r="B812" s="230"/>
      <c r="C812" s="231"/>
      <c r="D812" s="232" t="str">
        <f>'ORÇAMENTO COM DESON'!D137</f>
        <v>INTERRUPTOR DUAS TECLAS SIMPLES 10A 250V</v>
      </c>
      <c r="E812" s="214" t="str">
        <f>'ORÇAMENTO COM DESON'!E137</f>
        <v>un</v>
      </c>
      <c r="F812" s="217"/>
      <c r="G812" s="217"/>
      <c r="H812" s="217"/>
      <c r="I812" s="218"/>
      <c r="J812" s="217"/>
      <c r="K812" s="195"/>
    </row>
    <row r="813" spans="1:11" x14ac:dyDescent="0.2">
      <c r="A813" s="206"/>
      <c r="B813" s="206"/>
      <c r="C813" s="229"/>
      <c r="D813" s="219" t="s">
        <v>608</v>
      </c>
      <c r="E813" s="182"/>
      <c r="F813" s="185">
        <v>2</v>
      </c>
      <c r="G813" s="185"/>
      <c r="H813" s="185"/>
      <c r="I813" s="223"/>
      <c r="J813" s="220">
        <f t="shared" ref="J813" si="79">ROUND(PRODUCT(F813:I813),2)</f>
        <v>2</v>
      </c>
      <c r="K813" s="195"/>
    </row>
    <row r="814" spans="1:11" x14ac:dyDescent="0.2">
      <c r="A814" s="206"/>
      <c r="B814" s="206"/>
      <c r="C814" s="229"/>
      <c r="D814" s="219"/>
      <c r="E814" s="182"/>
      <c r="F814" s="220"/>
      <c r="G814" s="220"/>
      <c r="H814" s="220"/>
      <c r="I814" s="218" t="str">
        <f>"Total item "&amp;A812</f>
        <v>Total item 1.15.18</v>
      </c>
      <c r="J814" s="217">
        <f>SUM(J813)</f>
        <v>2</v>
      </c>
      <c r="K814" s="203"/>
    </row>
    <row r="815" spans="1:11" x14ac:dyDescent="0.2">
      <c r="A815" s="206"/>
      <c r="B815" s="206"/>
      <c r="C815" s="229"/>
      <c r="D815" s="219"/>
      <c r="E815" s="182"/>
      <c r="F815" s="220"/>
      <c r="G815" s="220"/>
      <c r="H815" s="220"/>
      <c r="I815" s="210"/>
      <c r="J815" s="209"/>
      <c r="K815" s="195"/>
    </row>
    <row r="816" spans="1:11" x14ac:dyDescent="0.2">
      <c r="A816" s="214" t="str">
        <f>'ORÇAMENTO COM DESON'!A138</f>
        <v>1.15.19</v>
      </c>
      <c r="B816" s="230"/>
      <c r="C816" s="231"/>
      <c r="D816" s="232" t="str">
        <f>'ORÇAMENTO COM DESON'!D138</f>
        <v>INTERRUPTOR TRES TECLAS SIMPLES 10A 250V</v>
      </c>
      <c r="E816" s="214" t="str">
        <f>'ORÇAMENTO COM DESON'!E138</f>
        <v>un</v>
      </c>
      <c r="F816" s="217"/>
      <c r="G816" s="217"/>
      <c r="H816" s="217"/>
      <c r="I816" s="218"/>
      <c r="J816" s="217"/>
      <c r="K816" s="195"/>
    </row>
    <row r="817" spans="1:11" x14ac:dyDescent="0.2">
      <c r="A817" s="206"/>
      <c r="B817" s="206"/>
      <c r="C817" s="229"/>
      <c r="D817" s="219" t="s">
        <v>608</v>
      </c>
      <c r="E817" s="182"/>
      <c r="F817" s="185">
        <v>1</v>
      </c>
      <c r="G817" s="185"/>
      <c r="H817" s="185"/>
      <c r="I817" s="223"/>
      <c r="J817" s="220">
        <f t="shared" ref="J817" si="80">ROUND(PRODUCT(F817:I817),2)</f>
        <v>1</v>
      </c>
      <c r="K817" s="195"/>
    </row>
    <row r="818" spans="1:11" x14ac:dyDescent="0.2">
      <c r="A818" s="206"/>
      <c r="B818" s="206"/>
      <c r="C818" s="229"/>
      <c r="D818" s="219"/>
      <c r="E818" s="182"/>
      <c r="F818" s="220"/>
      <c r="G818" s="220"/>
      <c r="H818" s="220"/>
      <c r="I818" s="218" t="str">
        <f>"Total item "&amp;A816</f>
        <v>Total item 1.15.19</v>
      </c>
      <c r="J818" s="217">
        <f>SUM(J817)</f>
        <v>1</v>
      </c>
      <c r="K818" s="203"/>
    </row>
    <row r="819" spans="1:11" x14ac:dyDescent="0.2">
      <c r="A819" s="206"/>
      <c r="B819" s="206"/>
      <c r="C819" s="229"/>
      <c r="D819" s="219"/>
      <c r="E819" s="182"/>
      <c r="F819" s="220"/>
      <c r="G819" s="220"/>
      <c r="H819" s="220"/>
      <c r="I819" s="210"/>
      <c r="J819" s="209"/>
      <c r="K819" s="195"/>
    </row>
    <row r="820" spans="1:11" ht="30.6" x14ac:dyDescent="0.2">
      <c r="A820" s="214" t="str">
        <f>'ORÇAMENTO COM DESON'!A139</f>
        <v>1.15.20</v>
      </c>
      <c r="B820" s="230"/>
      <c r="C820" s="231"/>
      <c r="D820" s="232" t="str">
        <f>'ORÇAMENTO COM DESON'!D139</f>
        <v>TOMADA BAIXA DE EMBUTIR (2 MÓDULOS), 2P+T 10 A, INCLUINDO SUPORTE E PLACA - FORNECIMENTO E INSTALAÇÃO. AF_12/2015</v>
      </c>
      <c r="E820" s="214" t="str">
        <f>'ORÇAMENTO COM DESON'!E139</f>
        <v>un</v>
      </c>
      <c r="F820" s="217"/>
      <c r="G820" s="217"/>
      <c r="H820" s="217"/>
      <c r="I820" s="218"/>
      <c r="J820" s="217"/>
      <c r="K820" s="195"/>
    </row>
    <row r="821" spans="1:11" x14ac:dyDescent="0.2">
      <c r="A821" s="206"/>
      <c r="B821" s="206"/>
      <c r="C821" s="229"/>
      <c r="D821" s="219" t="s">
        <v>608</v>
      </c>
      <c r="E821" s="182"/>
      <c r="F821" s="185">
        <v>5</v>
      </c>
      <c r="G821" s="185"/>
      <c r="H821" s="185"/>
      <c r="I821" s="223"/>
      <c r="J821" s="220">
        <f t="shared" ref="J821" si="81">ROUND(PRODUCT(F821:I821),2)</f>
        <v>5</v>
      </c>
      <c r="K821" s="195"/>
    </row>
    <row r="822" spans="1:11" x14ac:dyDescent="0.2">
      <c r="A822" s="206"/>
      <c r="B822" s="206"/>
      <c r="C822" s="229"/>
      <c r="D822" s="219"/>
      <c r="E822" s="182"/>
      <c r="F822" s="220"/>
      <c r="G822" s="220"/>
      <c r="H822" s="220"/>
      <c r="I822" s="218" t="str">
        <f>"Total item "&amp;A820</f>
        <v>Total item 1.15.20</v>
      </c>
      <c r="J822" s="217">
        <f>SUM(J821)</f>
        <v>5</v>
      </c>
      <c r="K822" s="203"/>
    </row>
    <row r="823" spans="1:11" x14ac:dyDescent="0.2">
      <c r="A823" s="206"/>
      <c r="B823" s="206"/>
      <c r="C823" s="229"/>
      <c r="D823" s="219"/>
      <c r="E823" s="182"/>
      <c r="F823" s="220"/>
      <c r="G823" s="220"/>
      <c r="H823" s="220"/>
      <c r="I823" s="210"/>
      <c r="J823" s="209"/>
      <c r="K823" s="195"/>
    </row>
    <row r="824" spans="1:11" ht="30.6" x14ac:dyDescent="0.2">
      <c r="A824" s="214" t="str">
        <f>'ORÇAMENTO COM DESON'!A140</f>
        <v>1.15.21</v>
      </c>
      <c r="B824" s="230"/>
      <c r="C824" s="231"/>
      <c r="D824" s="232" t="str">
        <f>'ORÇAMENTO COM DESON'!D140</f>
        <v>TOMADA MÉDIA DE EMBUTIR (2 MÓDULOS), 2P+T 10 A, INCLUINDO SUPORTE E PLACA - FORNECIMENTO E INSTALAÇÃO. AF_12/2015</v>
      </c>
      <c r="E824" s="214" t="str">
        <f>'ORÇAMENTO COM DESON'!E140</f>
        <v>un</v>
      </c>
      <c r="F824" s="217"/>
      <c r="G824" s="217"/>
      <c r="H824" s="217"/>
      <c r="I824" s="218"/>
      <c r="J824" s="217"/>
      <c r="K824" s="195"/>
    </row>
    <row r="825" spans="1:11" x14ac:dyDescent="0.2">
      <c r="A825" s="206"/>
      <c r="B825" s="206"/>
      <c r="C825" s="229"/>
      <c r="D825" s="219" t="s">
        <v>608</v>
      </c>
      <c r="E825" s="182"/>
      <c r="F825" s="185">
        <v>9</v>
      </c>
      <c r="G825" s="185"/>
      <c r="H825" s="185"/>
      <c r="I825" s="223"/>
      <c r="J825" s="220">
        <f t="shared" ref="J825" si="82">ROUND(PRODUCT(F825:I825),2)</f>
        <v>9</v>
      </c>
      <c r="K825" s="195"/>
    </row>
    <row r="826" spans="1:11" x14ac:dyDescent="0.2">
      <c r="A826" s="206"/>
      <c r="B826" s="206"/>
      <c r="C826" s="229"/>
      <c r="D826" s="219"/>
      <c r="E826" s="182"/>
      <c r="F826" s="220"/>
      <c r="G826" s="220"/>
      <c r="H826" s="220"/>
      <c r="I826" s="218" t="str">
        <f>"Total item "&amp;A824</f>
        <v>Total item 1.15.21</v>
      </c>
      <c r="J826" s="217">
        <f>SUM(J825)</f>
        <v>9</v>
      </c>
      <c r="K826" s="203"/>
    </row>
    <row r="827" spans="1:11" x14ac:dyDescent="0.2">
      <c r="A827" s="206"/>
      <c r="B827" s="206"/>
      <c r="C827" s="229"/>
      <c r="D827" s="219"/>
      <c r="E827" s="182"/>
      <c r="F827" s="220"/>
      <c r="G827" s="220"/>
      <c r="H827" s="220"/>
      <c r="I827" s="210"/>
      <c r="J827" s="209"/>
      <c r="K827" s="195"/>
    </row>
    <row r="828" spans="1:11" ht="30.6" x14ac:dyDescent="0.2">
      <c r="A828" s="214" t="str">
        <f>'ORÇAMENTO COM DESON'!A141</f>
        <v>1.15.22</v>
      </c>
      <c r="B828" s="230"/>
      <c r="C828" s="231"/>
      <c r="D828" s="232" t="str">
        <f>'ORÇAMENTO COM DESON'!D141</f>
        <v>TOMADA ALTA DE EMBUTIR (1 MÓDULO), 2P+T 20 A, INCLUINDO SUPORTE E PLACA - FORNECIMENTO E INSTALAÇÃO. AF_12/2015</v>
      </c>
      <c r="E828" s="214" t="str">
        <f>'ORÇAMENTO COM DESON'!E141</f>
        <v>un</v>
      </c>
      <c r="F828" s="217"/>
      <c r="G828" s="217"/>
      <c r="H828" s="217"/>
      <c r="I828" s="218"/>
      <c r="J828" s="217"/>
      <c r="K828" s="195"/>
    </row>
    <row r="829" spans="1:11" x14ac:dyDescent="0.2">
      <c r="A829" s="206"/>
      <c r="B829" s="206"/>
      <c r="C829" s="229"/>
      <c r="D829" s="219" t="s">
        <v>608</v>
      </c>
      <c r="E829" s="182"/>
      <c r="F829" s="185">
        <v>2</v>
      </c>
      <c r="G829" s="185"/>
      <c r="H829" s="185"/>
      <c r="I829" s="223"/>
      <c r="J829" s="220">
        <f t="shared" ref="J829" si="83">ROUND(PRODUCT(F829:I829),2)</f>
        <v>2</v>
      </c>
      <c r="K829" s="195"/>
    </row>
    <row r="830" spans="1:11" x14ac:dyDescent="0.2">
      <c r="A830" s="206"/>
      <c r="B830" s="206"/>
      <c r="C830" s="229"/>
      <c r="D830" s="219"/>
      <c r="E830" s="182"/>
      <c r="F830" s="220"/>
      <c r="G830" s="220"/>
      <c r="H830" s="220"/>
      <c r="I830" s="218" t="str">
        <f>"Total item "&amp;A828</f>
        <v>Total item 1.15.22</v>
      </c>
      <c r="J830" s="217">
        <f>SUM(J829)</f>
        <v>2</v>
      </c>
      <c r="K830" s="203"/>
    </row>
    <row r="831" spans="1:11" x14ac:dyDescent="0.2">
      <c r="A831" s="206"/>
      <c r="B831" s="206"/>
      <c r="C831" s="229"/>
      <c r="D831" s="219"/>
      <c r="E831" s="182"/>
      <c r="F831" s="220"/>
      <c r="G831" s="220"/>
      <c r="H831" s="220"/>
      <c r="I831" s="210"/>
      <c r="J831" s="209"/>
      <c r="K831" s="195"/>
    </row>
    <row r="832" spans="1:11" ht="20.399999999999999" x14ac:dyDescent="0.2">
      <c r="A832" s="214" t="str">
        <f>'ORÇAMENTO COM DESON'!A142</f>
        <v>1.15.23</v>
      </c>
      <c r="B832" s="230"/>
      <c r="C832" s="231"/>
      <c r="D832" s="232" t="str">
        <f>'ORÇAMENTO COM DESON'!D142</f>
        <v>INSTALAÇÃO DE DRENO PARA CONDICIONADOR DE AR COM ALTURA DE 3M</v>
      </c>
      <c r="E832" s="214" t="str">
        <f>'ORÇAMENTO COM DESON'!E142</f>
        <v>un</v>
      </c>
      <c r="F832" s="217"/>
      <c r="G832" s="217"/>
      <c r="H832" s="217"/>
      <c r="I832" s="218"/>
      <c r="J832" s="217"/>
      <c r="K832" s="195"/>
    </row>
    <row r="833" spans="1:11" x14ac:dyDescent="0.2">
      <c r="A833" s="206"/>
      <c r="B833" s="206"/>
      <c r="C833" s="229"/>
      <c r="D833" s="251" t="s">
        <v>296</v>
      </c>
      <c r="E833" s="182"/>
      <c r="F833" s="185">
        <v>1</v>
      </c>
      <c r="G833" s="185"/>
      <c r="H833" s="185"/>
      <c r="I833" s="223"/>
      <c r="J833" s="220">
        <f t="shared" ref="J833" si="84">ROUND(PRODUCT(F833:I833),2)</f>
        <v>1</v>
      </c>
      <c r="K833" s="195"/>
    </row>
    <row r="834" spans="1:11" x14ac:dyDescent="0.2">
      <c r="A834" s="206"/>
      <c r="B834" s="206"/>
      <c r="C834" s="229"/>
      <c r="D834" s="251" t="s">
        <v>297</v>
      </c>
      <c r="E834" s="182"/>
      <c r="F834" s="185">
        <v>1</v>
      </c>
      <c r="G834" s="185"/>
      <c r="H834" s="185"/>
      <c r="I834" s="223"/>
      <c r="J834" s="220">
        <f>ROUND(PRODUCT(F834:I834),2)</f>
        <v>1</v>
      </c>
      <c r="K834" s="195"/>
    </row>
    <row r="835" spans="1:11" x14ac:dyDescent="0.2">
      <c r="A835" s="206"/>
      <c r="B835" s="206"/>
      <c r="C835" s="229"/>
      <c r="D835" s="219"/>
      <c r="E835" s="182"/>
      <c r="F835" s="220"/>
      <c r="G835" s="220"/>
      <c r="H835" s="220"/>
      <c r="I835" s="218" t="str">
        <f>"Total item "&amp;A832</f>
        <v>Total item 1.15.23</v>
      </c>
      <c r="J835" s="217">
        <f>SUM(J833:J834)</f>
        <v>2</v>
      </c>
      <c r="K835" s="203"/>
    </row>
    <row r="836" spans="1:11" x14ac:dyDescent="0.2">
      <c r="A836" s="206"/>
      <c r="B836" s="206"/>
      <c r="C836" s="229"/>
      <c r="D836" s="219"/>
      <c r="E836" s="182"/>
      <c r="F836" s="220"/>
      <c r="G836" s="220"/>
      <c r="H836" s="220"/>
      <c r="I836" s="210"/>
      <c r="J836" s="209"/>
      <c r="K836" s="195"/>
    </row>
    <row r="837" spans="1:11" x14ac:dyDescent="0.2">
      <c r="A837" s="214" t="str">
        <f>'ORÇAMENTO COM DESON'!A143</f>
        <v>1.15.24</v>
      </c>
      <c r="B837" s="230"/>
      <c r="C837" s="231"/>
      <c r="D837" s="232" t="str">
        <f>'ORÇAMENTO COM DESON'!D143</f>
        <v>DISJUNTOR MONOPOLAR EM QUADRO DE DISTRIBUIÇÃO 10A</v>
      </c>
      <c r="E837" s="214">
        <f>'ORÇAMENTO COM DESON'!E143</f>
        <v>0</v>
      </c>
      <c r="F837" s="217"/>
      <c r="G837" s="217"/>
      <c r="H837" s="217"/>
      <c r="I837" s="218"/>
      <c r="J837" s="217"/>
      <c r="K837" s="195"/>
    </row>
    <row r="838" spans="1:11" x14ac:dyDescent="0.2">
      <c r="A838" s="206"/>
      <c r="B838" s="206"/>
      <c r="C838" s="229"/>
      <c r="D838" s="219" t="s">
        <v>608</v>
      </c>
      <c r="E838" s="182"/>
      <c r="F838" s="185">
        <v>1</v>
      </c>
      <c r="G838" s="185"/>
      <c r="H838" s="185"/>
      <c r="I838" s="223"/>
      <c r="J838" s="220">
        <f t="shared" ref="J838" si="85">ROUND(PRODUCT(F838:I838),2)</f>
        <v>1</v>
      </c>
      <c r="K838" s="195"/>
    </row>
    <row r="839" spans="1:11" x14ac:dyDescent="0.2">
      <c r="A839" s="206"/>
      <c r="B839" s="206"/>
      <c r="C839" s="229"/>
      <c r="D839" s="219"/>
      <c r="E839" s="182"/>
      <c r="F839" s="185"/>
      <c r="G839" s="185"/>
      <c r="H839" s="220"/>
      <c r="I839" s="218" t="str">
        <f>"Total item "&amp;A837</f>
        <v>Total item 1.15.24</v>
      </c>
      <c r="J839" s="217">
        <f>SUM(J838)</f>
        <v>1</v>
      </c>
      <c r="K839" s="203"/>
    </row>
    <row r="840" spans="1:11" x14ac:dyDescent="0.2">
      <c r="A840" s="206"/>
      <c r="B840" s="206"/>
      <c r="C840" s="229"/>
      <c r="D840" s="219"/>
      <c r="E840" s="182"/>
      <c r="F840" s="220"/>
      <c r="G840" s="220"/>
      <c r="H840" s="220"/>
      <c r="I840" s="210"/>
      <c r="J840" s="209"/>
      <c r="K840" s="195"/>
    </row>
    <row r="841" spans="1:11" x14ac:dyDescent="0.2">
      <c r="A841" s="214" t="str">
        <f>'ORÇAMENTO COM DESON'!A144</f>
        <v>1.15.25</v>
      </c>
      <c r="B841" s="230"/>
      <c r="C841" s="231"/>
      <c r="D841" s="232" t="str">
        <f>'ORÇAMENTO COM DESON'!D144</f>
        <v>DISJUNTOR MONOPOLAR EM QUADRO DE DISTRIBUIÇÃO 16A</v>
      </c>
      <c r="E841" s="214">
        <f>'ORÇAMENTO COM DESON'!E144</f>
        <v>0</v>
      </c>
      <c r="F841" s="217"/>
      <c r="G841" s="217"/>
      <c r="H841" s="217"/>
      <c r="I841" s="218"/>
      <c r="J841" s="217"/>
      <c r="K841" s="195"/>
    </row>
    <row r="842" spans="1:11" x14ac:dyDescent="0.2">
      <c r="A842" s="206"/>
      <c r="B842" s="206"/>
      <c r="C842" s="229"/>
      <c r="D842" s="219" t="s">
        <v>608</v>
      </c>
      <c r="E842" s="182"/>
      <c r="F842" s="185">
        <v>5</v>
      </c>
      <c r="G842" s="185"/>
      <c r="H842" s="185"/>
      <c r="I842" s="223"/>
      <c r="J842" s="220">
        <f t="shared" ref="J842" si="86">ROUND(PRODUCT(F842:I842),2)</f>
        <v>5</v>
      </c>
      <c r="K842" s="195"/>
    </row>
    <row r="843" spans="1:11" x14ac:dyDescent="0.2">
      <c r="A843" s="206"/>
      <c r="B843" s="206"/>
      <c r="C843" s="229"/>
      <c r="D843" s="219"/>
      <c r="E843" s="182"/>
      <c r="F843" s="220"/>
      <c r="G843" s="220"/>
      <c r="H843" s="220"/>
      <c r="I843" s="218" t="str">
        <f>"Total item "&amp;A841</f>
        <v>Total item 1.15.25</v>
      </c>
      <c r="J843" s="217">
        <f>SUM(J842)</f>
        <v>5</v>
      </c>
      <c r="K843" s="203"/>
    </row>
    <row r="844" spans="1:11" x14ac:dyDescent="0.2">
      <c r="A844" s="206"/>
      <c r="B844" s="206"/>
      <c r="C844" s="229"/>
      <c r="D844" s="219"/>
      <c r="E844" s="182"/>
      <c r="F844" s="220"/>
      <c r="G844" s="220"/>
      <c r="H844" s="220"/>
      <c r="I844" s="210"/>
      <c r="J844" s="209"/>
      <c r="K844" s="195"/>
    </row>
    <row r="845" spans="1:11" x14ac:dyDescent="0.2">
      <c r="A845" s="214" t="str">
        <f>'ORÇAMENTO COM DESON'!A145</f>
        <v>1.15.26</v>
      </c>
      <c r="B845" s="230"/>
      <c r="C845" s="231"/>
      <c r="D845" s="232" t="str">
        <f>'ORÇAMENTO COM DESON'!D145</f>
        <v>DISJUNTOR MONOPOLAR EM QUADRO DE DISTRIBUIÇÃO 20A</v>
      </c>
      <c r="E845" s="214">
        <f>'ORÇAMENTO COM DESON'!E145</f>
        <v>0</v>
      </c>
      <c r="F845" s="217"/>
      <c r="G845" s="217"/>
      <c r="H845" s="217"/>
      <c r="I845" s="218"/>
      <c r="J845" s="217"/>
      <c r="K845" s="195"/>
    </row>
    <row r="846" spans="1:11" x14ac:dyDescent="0.2">
      <c r="A846" s="206"/>
      <c r="B846" s="206"/>
      <c r="C846" s="229"/>
      <c r="D846" s="219" t="s">
        <v>608</v>
      </c>
      <c r="E846" s="182"/>
      <c r="F846" s="185">
        <v>2</v>
      </c>
      <c r="G846" s="185"/>
      <c r="H846" s="185"/>
      <c r="I846" s="223"/>
      <c r="J846" s="220">
        <f t="shared" ref="J846" si="87">ROUND(PRODUCT(F846:I846),2)</f>
        <v>2</v>
      </c>
      <c r="K846" s="195"/>
    </row>
    <row r="847" spans="1:11" x14ac:dyDescent="0.2">
      <c r="A847" s="206"/>
      <c r="B847" s="206"/>
      <c r="C847" s="229"/>
      <c r="D847" s="219"/>
      <c r="E847" s="182"/>
      <c r="F847" s="220"/>
      <c r="G847" s="220"/>
      <c r="H847" s="220"/>
      <c r="I847" s="218" t="str">
        <f>"Total item "&amp;A845</f>
        <v>Total item 1.15.26</v>
      </c>
      <c r="J847" s="217">
        <f>SUM(J846)</f>
        <v>2</v>
      </c>
      <c r="K847" s="203"/>
    </row>
    <row r="848" spans="1:11" x14ac:dyDescent="0.2">
      <c r="A848" s="206"/>
      <c r="B848" s="206"/>
      <c r="C848" s="229"/>
      <c r="D848" s="219"/>
      <c r="E848" s="182"/>
      <c r="F848" s="220"/>
      <c r="G848" s="220"/>
      <c r="H848" s="220"/>
      <c r="I848" s="210"/>
      <c r="J848" s="209"/>
      <c r="K848" s="195"/>
    </row>
    <row r="849" spans="1:11" x14ac:dyDescent="0.2">
      <c r="A849" s="214" t="str">
        <f>'ORÇAMENTO COM DESON'!A146</f>
        <v>1.15.27</v>
      </c>
      <c r="B849" s="230"/>
      <c r="C849" s="231"/>
      <c r="D849" s="232" t="str">
        <f>'ORÇAMENTO COM DESON'!D146</f>
        <v>DISJUNTOR MONOPOLAR EM QUADRO DE DISTRIBUIÇÃO 32A</v>
      </c>
      <c r="E849" s="214">
        <f>'ORÇAMENTO COM DESON'!E146</f>
        <v>0</v>
      </c>
      <c r="F849" s="217"/>
      <c r="G849" s="217"/>
      <c r="H849" s="217"/>
      <c r="I849" s="218"/>
      <c r="J849" s="217"/>
      <c r="K849" s="195"/>
    </row>
    <row r="850" spans="1:11" x14ac:dyDescent="0.2">
      <c r="A850" s="206"/>
      <c r="B850" s="206"/>
      <c r="C850" s="229"/>
      <c r="D850" s="219" t="s">
        <v>608</v>
      </c>
      <c r="E850" s="182"/>
      <c r="F850" s="185">
        <v>1</v>
      </c>
      <c r="G850" s="185"/>
      <c r="H850" s="185"/>
      <c r="I850" s="223"/>
      <c r="J850" s="220">
        <f t="shared" ref="J850" si="88">ROUND(PRODUCT(F850:I850),2)</f>
        <v>1</v>
      </c>
      <c r="K850" s="195"/>
    </row>
    <row r="851" spans="1:11" x14ac:dyDescent="0.2">
      <c r="A851" s="206"/>
      <c r="B851" s="206"/>
      <c r="C851" s="229"/>
      <c r="D851" s="219"/>
      <c r="E851" s="182"/>
      <c r="F851" s="220"/>
      <c r="G851" s="220"/>
      <c r="H851" s="220"/>
      <c r="I851" s="218" t="str">
        <f>"Total item "&amp;A849</f>
        <v>Total item 1.15.27</v>
      </c>
      <c r="J851" s="217">
        <f>SUM(J850)</f>
        <v>1</v>
      </c>
      <c r="K851" s="203"/>
    </row>
    <row r="852" spans="1:11" x14ac:dyDescent="0.2">
      <c r="A852" s="206"/>
      <c r="B852" s="206"/>
      <c r="C852" s="229"/>
      <c r="D852" s="219"/>
      <c r="E852" s="182"/>
      <c r="F852" s="220"/>
      <c r="G852" s="220"/>
      <c r="H852" s="220"/>
      <c r="I852" s="210"/>
      <c r="J852" s="209"/>
      <c r="K852" s="195"/>
    </row>
    <row r="853" spans="1:11" ht="20.399999999999999" x14ac:dyDescent="0.2">
      <c r="A853" s="214" t="str">
        <f>'ORÇAMENTO COM DESON'!A147</f>
        <v>1.15.28</v>
      </c>
      <c r="B853" s="230"/>
      <c r="C853" s="231"/>
      <c r="D853" s="232" t="str">
        <f>'ORÇAMENTO COM DESON'!D147</f>
        <v>DISPOSITIVO DE PROTEÇÃO CONTRA SURTOS DE TENSÃO - DPS's - 40 KA/440V</v>
      </c>
      <c r="E853" s="214" t="str">
        <f>'ORÇAMENTO COM DESON'!E147</f>
        <v>UN</v>
      </c>
      <c r="F853" s="217"/>
      <c r="G853" s="217"/>
      <c r="H853" s="217"/>
      <c r="I853" s="218"/>
      <c r="J853" s="217"/>
      <c r="K853" s="195"/>
    </row>
    <row r="854" spans="1:11" x14ac:dyDescent="0.2">
      <c r="A854" s="206"/>
      <c r="B854" s="206"/>
      <c r="C854" s="229"/>
      <c r="D854" s="219" t="s">
        <v>608</v>
      </c>
      <c r="E854" s="182"/>
      <c r="F854" s="185">
        <v>2</v>
      </c>
      <c r="G854" s="185"/>
      <c r="H854" s="185"/>
      <c r="I854" s="223"/>
      <c r="J854" s="220">
        <f t="shared" ref="J854" si="89">ROUND(PRODUCT(F854:I854),2)</f>
        <v>2</v>
      </c>
      <c r="K854" s="195"/>
    </row>
    <row r="855" spans="1:11" x14ac:dyDescent="0.2">
      <c r="A855" s="206"/>
      <c r="B855" s="206"/>
      <c r="C855" s="229"/>
      <c r="D855" s="219"/>
      <c r="E855" s="182"/>
      <c r="F855" s="220"/>
      <c r="G855" s="220"/>
      <c r="H855" s="220"/>
      <c r="I855" s="218" t="str">
        <f>"Total item "&amp;A853</f>
        <v>Total item 1.15.28</v>
      </c>
      <c r="J855" s="217">
        <f>SUM(J854)</f>
        <v>2</v>
      </c>
      <c r="K855" s="203"/>
    </row>
    <row r="856" spans="1:11" x14ac:dyDescent="0.2">
      <c r="A856" s="206"/>
      <c r="B856" s="206"/>
      <c r="C856" s="229"/>
      <c r="D856" s="219"/>
      <c r="E856" s="182"/>
      <c r="F856" s="220"/>
      <c r="G856" s="220"/>
      <c r="H856" s="220"/>
      <c r="I856" s="210"/>
      <c r="J856" s="209"/>
      <c r="K856" s="195"/>
    </row>
    <row r="857" spans="1:11" x14ac:dyDescent="0.2">
      <c r="A857" s="214" t="str">
        <f>'ORÇAMENTO COM DESON'!A148</f>
        <v>1.15.29</v>
      </c>
      <c r="B857" s="230"/>
      <c r="C857" s="231"/>
      <c r="D857" s="232" t="str">
        <f>'ORÇAMENTO COM DESON'!D148</f>
        <v>DISJUNTOR DIFERENCIAL DR-16A - 40A, 30mA</v>
      </c>
      <c r="E857" s="214" t="str">
        <f>'ORÇAMENTO COM DESON'!E148</f>
        <v>UN</v>
      </c>
      <c r="F857" s="217"/>
      <c r="G857" s="217"/>
      <c r="H857" s="217"/>
      <c r="I857" s="218"/>
      <c r="J857" s="217"/>
      <c r="K857" s="195"/>
    </row>
    <row r="858" spans="1:11" x14ac:dyDescent="0.2">
      <c r="A858" s="206"/>
      <c r="B858" s="206"/>
      <c r="C858" s="229"/>
      <c r="D858" s="219" t="s">
        <v>608</v>
      </c>
      <c r="E858" s="182"/>
      <c r="F858" s="185">
        <v>1</v>
      </c>
      <c r="G858" s="185"/>
      <c r="H858" s="185"/>
      <c r="I858" s="223"/>
      <c r="J858" s="220">
        <f t="shared" ref="J858" si="90">ROUND(PRODUCT(F858:I858),2)</f>
        <v>1</v>
      </c>
      <c r="K858" s="195"/>
    </row>
    <row r="859" spans="1:11" x14ac:dyDescent="0.2">
      <c r="A859" s="206"/>
      <c r="B859" s="206"/>
      <c r="C859" s="229"/>
      <c r="D859" s="219"/>
      <c r="E859" s="182"/>
      <c r="F859" s="220"/>
      <c r="G859" s="220"/>
      <c r="H859" s="220"/>
      <c r="I859" s="218" t="str">
        <f>"Total item "&amp;A857</f>
        <v>Total item 1.15.29</v>
      </c>
      <c r="J859" s="217">
        <f>SUM(J858)</f>
        <v>1</v>
      </c>
      <c r="K859" s="203"/>
    </row>
    <row r="860" spans="1:11" x14ac:dyDescent="0.2">
      <c r="A860" s="206"/>
      <c r="B860" s="206"/>
      <c r="C860" s="229"/>
      <c r="D860" s="219"/>
      <c r="E860" s="182"/>
      <c r="F860" s="220"/>
      <c r="G860" s="220"/>
      <c r="H860" s="220"/>
      <c r="I860" s="210"/>
      <c r="J860" s="209"/>
      <c r="K860" s="195"/>
    </row>
    <row r="861" spans="1:11" x14ac:dyDescent="0.2">
      <c r="A861" s="214" t="str">
        <f>'ORÇAMENTO COM DESON'!A149</f>
        <v>1.15.30</v>
      </c>
      <c r="B861" s="230"/>
      <c r="C861" s="231"/>
      <c r="D861" s="232" t="str">
        <f>'ORÇAMENTO COM DESON'!D149</f>
        <v xml:space="preserve">BRAÇADEIRA TIPO "D", METÁLICA ATE 1" </v>
      </c>
      <c r="E861" s="214" t="str">
        <f>'ORÇAMENTO COM DESON'!E149</f>
        <v>UN</v>
      </c>
      <c r="F861" s="217"/>
      <c r="G861" s="217"/>
      <c r="H861" s="217"/>
      <c r="I861" s="218"/>
      <c r="J861" s="217"/>
      <c r="K861" s="195"/>
    </row>
    <row r="862" spans="1:11" x14ac:dyDescent="0.2">
      <c r="A862" s="206"/>
      <c r="B862" s="206"/>
      <c r="C862" s="229"/>
      <c r="D862" s="219" t="s">
        <v>608</v>
      </c>
      <c r="E862" s="182"/>
      <c r="F862" s="185"/>
      <c r="G862" s="185"/>
      <c r="H862" s="185"/>
      <c r="I862" s="223"/>
      <c r="J862" s="220"/>
      <c r="K862" s="195"/>
    </row>
    <row r="863" spans="1:11" x14ac:dyDescent="0.2">
      <c r="A863" s="206"/>
      <c r="B863" s="206"/>
      <c r="C863" s="229"/>
      <c r="D863" s="219" t="s">
        <v>609</v>
      </c>
      <c r="E863" s="182"/>
      <c r="F863" s="185">
        <v>26</v>
      </c>
      <c r="G863" s="185"/>
      <c r="H863" s="185"/>
      <c r="I863" s="223"/>
      <c r="J863" s="220">
        <f t="shared" ref="J863:J864" si="91">ROUND(PRODUCT(F863:I863),2)</f>
        <v>26</v>
      </c>
      <c r="K863" s="195"/>
    </row>
    <row r="864" spans="1:11" x14ac:dyDescent="0.2">
      <c r="A864" s="206"/>
      <c r="B864" s="206"/>
      <c r="C864" s="229"/>
      <c r="D864" s="219" t="s">
        <v>610</v>
      </c>
      <c r="E864" s="182"/>
      <c r="F864" s="185">
        <v>58</v>
      </c>
      <c r="G864" s="185"/>
      <c r="H864" s="185"/>
      <c r="I864" s="223"/>
      <c r="J864" s="220">
        <f t="shared" si="91"/>
        <v>58</v>
      </c>
      <c r="K864" s="195"/>
    </row>
    <row r="865" spans="1:11" x14ac:dyDescent="0.2">
      <c r="A865" s="206"/>
      <c r="B865" s="206"/>
      <c r="C865" s="229"/>
      <c r="D865" s="219"/>
      <c r="E865" s="182"/>
      <c r="F865" s="220"/>
      <c r="G865" s="220"/>
      <c r="H865" s="220"/>
      <c r="I865" s="218" t="str">
        <f>"Total item "&amp;A861</f>
        <v>Total item 1.15.30</v>
      </c>
      <c r="J865" s="217">
        <f>SUM(J863:J864)</f>
        <v>84</v>
      </c>
      <c r="K865" s="203"/>
    </row>
    <row r="866" spans="1:11" x14ac:dyDescent="0.2">
      <c r="A866" s="206"/>
      <c r="B866" s="206"/>
      <c r="C866" s="229"/>
      <c r="D866" s="219"/>
      <c r="E866" s="182"/>
      <c r="F866" s="220"/>
      <c r="G866" s="220"/>
      <c r="H866" s="220"/>
      <c r="I866" s="210"/>
      <c r="J866" s="209"/>
      <c r="K866" s="195"/>
    </row>
    <row r="867" spans="1:11" x14ac:dyDescent="0.2">
      <c r="A867" s="214" t="str">
        <f>'ORÇAMENTO COM DESON'!A150</f>
        <v>1.15.31</v>
      </c>
      <c r="B867" s="230"/>
      <c r="C867" s="231"/>
      <c r="D867" s="232" t="str">
        <f>'ORÇAMENTO COM DESON'!D150</f>
        <v>ELETRODUTO PVC ROSC. D= 32mm (1")</v>
      </c>
      <c r="E867" s="214" t="str">
        <f>'ORÇAMENTO COM DESON'!E150</f>
        <v>M</v>
      </c>
      <c r="F867" s="217"/>
      <c r="G867" s="217"/>
      <c r="H867" s="217"/>
      <c r="I867" s="218"/>
      <c r="J867" s="217"/>
      <c r="K867" s="195"/>
    </row>
    <row r="868" spans="1:11" x14ac:dyDescent="0.2">
      <c r="A868" s="206"/>
      <c r="B868" s="206"/>
      <c r="C868" s="229"/>
      <c r="D868" s="219" t="s">
        <v>608</v>
      </c>
      <c r="E868" s="182"/>
      <c r="F868" s="185">
        <v>27.7</v>
      </c>
      <c r="G868" s="185"/>
      <c r="H868" s="185"/>
      <c r="I868" s="223"/>
      <c r="J868" s="220">
        <f t="shared" ref="J868" si="92">ROUND(PRODUCT(F868:I868),2)</f>
        <v>27.7</v>
      </c>
      <c r="K868" s="195"/>
    </row>
    <row r="869" spans="1:11" x14ac:dyDescent="0.2">
      <c r="A869" s="206"/>
      <c r="B869" s="206"/>
      <c r="C869" s="229"/>
      <c r="D869" s="219"/>
      <c r="E869" s="182"/>
      <c r="F869" s="220"/>
      <c r="G869" s="220"/>
      <c r="H869" s="220"/>
      <c r="I869" s="218" t="str">
        <f>"Total item "&amp;A867</f>
        <v>Total item 1.15.31</v>
      </c>
      <c r="J869" s="217">
        <f>SUM(J868)</f>
        <v>27.7</v>
      </c>
      <c r="K869" s="203"/>
    </row>
    <row r="870" spans="1:11" x14ac:dyDescent="0.2">
      <c r="A870" s="206"/>
      <c r="B870" s="206"/>
      <c r="C870" s="229"/>
      <c r="D870" s="219"/>
      <c r="E870" s="182"/>
      <c r="F870" s="220"/>
      <c r="G870" s="220"/>
      <c r="H870" s="220"/>
      <c r="I870" s="210"/>
      <c r="J870" s="209"/>
      <c r="K870" s="195"/>
    </row>
    <row r="871" spans="1:11" x14ac:dyDescent="0.2">
      <c r="A871" s="214" t="str">
        <f>'ORÇAMENTO COM DESON'!A151</f>
        <v>1.15.32</v>
      </c>
      <c r="B871" s="230"/>
      <c r="C871" s="231"/>
      <c r="D871" s="232" t="str">
        <f>'ORÇAMENTO COM DESON'!D151</f>
        <v>ELETRODUTO PVC ROSC. D= 20mm (1/2")</v>
      </c>
      <c r="E871" s="214">
        <f>'ORÇAMENTO COM DESON'!E151</f>
        <v>0</v>
      </c>
      <c r="F871" s="217"/>
      <c r="G871" s="217"/>
      <c r="H871" s="217"/>
      <c r="I871" s="218"/>
      <c r="J871" s="217"/>
      <c r="K871" s="195"/>
    </row>
    <row r="872" spans="1:11" x14ac:dyDescent="0.2">
      <c r="A872" s="206"/>
      <c r="B872" s="206"/>
      <c r="C872" s="229"/>
      <c r="D872" s="219" t="s">
        <v>608</v>
      </c>
      <c r="E872" s="182"/>
      <c r="F872" s="185">
        <v>1</v>
      </c>
      <c r="G872" s="185"/>
      <c r="H872" s="185"/>
      <c r="I872" s="223"/>
      <c r="J872" s="220">
        <f t="shared" ref="J872" si="93">ROUND(PRODUCT(F872:I872),2)</f>
        <v>1</v>
      </c>
      <c r="K872" s="195"/>
    </row>
    <row r="873" spans="1:11" x14ac:dyDescent="0.2">
      <c r="A873" s="206"/>
      <c r="B873" s="206"/>
      <c r="C873" s="229"/>
      <c r="D873" s="219"/>
      <c r="E873" s="182"/>
      <c r="F873" s="220"/>
      <c r="G873" s="220"/>
      <c r="H873" s="220"/>
      <c r="I873" s="218" t="str">
        <f>"Total item "&amp;A871</f>
        <v>Total item 1.15.32</v>
      </c>
      <c r="J873" s="217">
        <f>SUM(J872)</f>
        <v>1</v>
      </c>
      <c r="K873" s="203"/>
    </row>
    <row r="874" spans="1:11" x14ac:dyDescent="0.2">
      <c r="A874" s="206"/>
      <c r="B874" s="206"/>
      <c r="C874" s="229"/>
      <c r="D874" s="219"/>
      <c r="E874" s="182"/>
      <c r="F874" s="220"/>
      <c r="G874" s="220"/>
      <c r="H874" s="220"/>
      <c r="I874" s="210"/>
      <c r="J874" s="209"/>
      <c r="K874" s="195"/>
    </row>
    <row r="875" spans="1:11" x14ac:dyDescent="0.2">
      <c r="A875" s="214" t="str">
        <f>'ORÇAMENTO COM DESON'!A152</f>
        <v>1.15.33</v>
      </c>
      <c r="B875" s="230"/>
      <c r="C875" s="231"/>
      <c r="D875" s="232" t="str">
        <f>'ORÇAMENTO COM DESON'!D152</f>
        <v>ELETRODUTO PVC ROSC. D= 25mm (3/4")</v>
      </c>
      <c r="E875" s="214" t="str">
        <f>'ORÇAMENTO COM DESON'!E152</f>
        <v>M</v>
      </c>
      <c r="F875" s="217"/>
      <c r="G875" s="217"/>
      <c r="H875" s="217"/>
      <c r="I875" s="218"/>
      <c r="J875" s="217"/>
      <c r="K875" s="195"/>
    </row>
    <row r="876" spans="1:11" x14ac:dyDescent="0.2">
      <c r="A876" s="206"/>
      <c r="B876" s="206"/>
      <c r="C876" s="229"/>
      <c r="D876" s="219" t="s">
        <v>608</v>
      </c>
      <c r="E876" s="182"/>
      <c r="F876" s="185">
        <v>76.7</v>
      </c>
      <c r="G876" s="185"/>
      <c r="H876" s="185"/>
      <c r="I876" s="223"/>
      <c r="J876" s="220">
        <f t="shared" ref="J876" si="94">ROUND(PRODUCT(F876:I876),2)</f>
        <v>76.7</v>
      </c>
      <c r="K876" s="195"/>
    </row>
    <row r="877" spans="1:11" x14ac:dyDescent="0.2">
      <c r="A877" s="206"/>
      <c r="B877" s="206"/>
      <c r="C877" s="229"/>
      <c r="D877" s="219"/>
      <c r="E877" s="182"/>
      <c r="F877" s="220"/>
      <c r="G877" s="220"/>
      <c r="H877" s="220"/>
      <c r="I877" s="218" t="str">
        <f>"Total item "&amp;A875</f>
        <v>Total item 1.15.33</v>
      </c>
      <c r="J877" s="217">
        <f>SUM(J876)</f>
        <v>76.7</v>
      </c>
      <c r="K877" s="203"/>
    </row>
    <row r="878" spans="1:11" x14ac:dyDescent="0.2">
      <c r="A878" s="206"/>
      <c r="B878" s="206"/>
      <c r="C878" s="229"/>
      <c r="D878" s="219"/>
      <c r="E878" s="182"/>
      <c r="F878" s="220"/>
      <c r="G878" s="220"/>
      <c r="H878" s="220"/>
      <c r="I878" s="210"/>
      <c r="J878" s="209"/>
      <c r="K878" s="195"/>
    </row>
    <row r="879" spans="1:11" ht="20.399999999999999" x14ac:dyDescent="0.2">
      <c r="A879" s="214" t="str">
        <f>'ORÇAMENTO COM DESON'!A153</f>
        <v>1.15.34</v>
      </c>
      <c r="B879" s="230"/>
      <c r="C879" s="231"/>
      <c r="D879" s="232" t="str">
        <f>'ORÇAMENTO COM DESON'!D153</f>
        <v>QUADRO DE DISTRIBUIÇÃO DE LUZ EMBUTIR ATÉ 24 DIVISÕES 332X332X95mm, C/BARRAMENTO</v>
      </c>
      <c r="E879" s="214" t="str">
        <f>'ORÇAMENTO COM DESON'!E153</f>
        <v>UN</v>
      </c>
      <c r="F879" s="217"/>
      <c r="G879" s="217"/>
      <c r="H879" s="217"/>
      <c r="I879" s="218"/>
      <c r="J879" s="217"/>
      <c r="K879" s="195"/>
    </row>
    <row r="880" spans="1:11" x14ac:dyDescent="0.2">
      <c r="A880" s="206"/>
      <c r="B880" s="206"/>
      <c r="C880" s="229"/>
      <c r="D880" s="219" t="s">
        <v>608</v>
      </c>
      <c r="E880" s="182"/>
      <c r="F880" s="185">
        <v>1</v>
      </c>
      <c r="G880" s="185"/>
      <c r="H880" s="185"/>
      <c r="I880" s="223"/>
      <c r="J880" s="220">
        <f t="shared" ref="J880" si="95">ROUND(PRODUCT(F880:I880),2)</f>
        <v>1</v>
      </c>
      <c r="K880" s="195"/>
    </row>
    <row r="881" spans="1:11" x14ac:dyDescent="0.2">
      <c r="A881" s="206"/>
      <c r="B881" s="206"/>
      <c r="C881" s="229"/>
      <c r="D881" s="219"/>
      <c r="E881" s="182"/>
      <c r="F881" s="220"/>
      <c r="G881" s="220"/>
      <c r="H881" s="220"/>
      <c r="I881" s="218" t="str">
        <f>"Total item "&amp;A879</f>
        <v>Total item 1.15.34</v>
      </c>
      <c r="J881" s="217">
        <f>SUM(J880)</f>
        <v>1</v>
      </c>
      <c r="K881" s="203"/>
    </row>
    <row r="882" spans="1:11" x14ac:dyDescent="0.2">
      <c r="A882" s="206"/>
      <c r="B882" s="206"/>
      <c r="C882" s="229"/>
      <c r="D882" s="219"/>
      <c r="E882" s="182"/>
      <c r="F882" s="220"/>
      <c r="G882" s="220"/>
      <c r="H882" s="220"/>
      <c r="I882" s="210"/>
      <c r="J882" s="209"/>
      <c r="K882" s="195"/>
    </row>
    <row r="883" spans="1:11" x14ac:dyDescent="0.2">
      <c r="A883" s="175" t="str">
        <f>'ORÇAMENTO COM DESON'!A154</f>
        <v>1.16</v>
      </c>
      <c r="B883" s="176"/>
      <c r="C883" s="228"/>
      <c r="D883" s="211" t="str">
        <f>'ORÇAMENTO COM DESON'!D154</f>
        <v>PAISAGISMO</v>
      </c>
      <c r="E883" s="176"/>
      <c r="F883" s="212"/>
      <c r="G883" s="212"/>
      <c r="H883" s="212"/>
      <c r="I883" s="213"/>
      <c r="J883" s="212"/>
      <c r="K883" s="195"/>
    </row>
    <row r="884" spans="1:11" x14ac:dyDescent="0.2">
      <c r="A884" s="206"/>
      <c r="B884" s="206"/>
      <c r="C884" s="229"/>
      <c r="D884" s="219"/>
      <c r="E884" s="182"/>
      <c r="F884" s="220"/>
      <c r="G884" s="220"/>
      <c r="H884" s="220"/>
      <c r="I884" s="210"/>
      <c r="J884" s="209"/>
      <c r="K884" s="195"/>
    </row>
    <row r="885" spans="1:11" ht="20.399999999999999" x14ac:dyDescent="0.2">
      <c r="A885" s="214" t="str">
        <f>'ORÇAMENTO COM DESON'!A155</f>
        <v>1.16.1</v>
      </c>
      <c r="B885" s="230"/>
      <c r="C885" s="231"/>
      <c r="D885" s="232" t="str">
        <f>'ORÇAMENTO COM DESON'!D155</f>
        <v>PLANTIO DE GRAMA ESMERALDA OU SÃO CARLOS OU CURITIBANA, EM PLACAS. AF_ 05/2022</v>
      </c>
      <c r="E885" s="214" t="str">
        <f>'ORÇAMENTO COM DESON'!E155</f>
        <v>m²</v>
      </c>
      <c r="F885" s="217"/>
      <c r="G885" s="217"/>
      <c r="H885" s="217"/>
      <c r="I885" s="218"/>
      <c r="J885" s="217"/>
      <c r="K885" s="195"/>
    </row>
    <row r="886" spans="1:11" x14ac:dyDescent="0.2">
      <c r="A886" s="206"/>
      <c r="B886" s="206"/>
      <c r="C886" s="229"/>
      <c r="D886" s="219"/>
      <c r="E886" s="182"/>
      <c r="F886" s="185" t="s">
        <v>18</v>
      </c>
      <c r="G886" s="185"/>
      <c r="H886" s="185"/>
      <c r="I886" s="223"/>
      <c r="J886" s="220"/>
      <c r="K886" s="195"/>
    </row>
    <row r="887" spans="1:11" x14ac:dyDescent="0.2">
      <c r="A887" s="206"/>
      <c r="B887" s="206"/>
      <c r="C887" s="229"/>
      <c r="D887" s="219" t="s">
        <v>425</v>
      </c>
      <c r="E887" s="182" t="s">
        <v>8</v>
      </c>
      <c r="F887" s="185">
        <v>81.63</v>
      </c>
      <c r="G887" s="185"/>
      <c r="H887" s="185"/>
      <c r="I887" s="223"/>
      <c r="J887" s="220">
        <f>ROUND(PRODUCT(F887:I887),2)</f>
        <v>81.63</v>
      </c>
      <c r="K887" s="195"/>
    </row>
    <row r="888" spans="1:11" x14ac:dyDescent="0.2">
      <c r="A888" s="206"/>
      <c r="B888" s="206"/>
      <c r="C888" s="229"/>
      <c r="D888" s="219"/>
      <c r="E888" s="182"/>
      <c r="F888" s="220"/>
      <c r="G888" s="220"/>
      <c r="H888" s="220"/>
      <c r="I888" s="218" t="str">
        <f>"Total item "&amp;A885</f>
        <v>Total item 1.16.1</v>
      </c>
      <c r="J888" s="217">
        <f>ROUND(SUM(J887:J887),2)</f>
        <v>81.63</v>
      </c>
      <c r="K888" s="203"/>
    </row>
    <row r="889" spans="1:11" x14ac:dyDescent="0.2">
      <c r="A889" s="206"/>
      <c r="B889" s="206"/>
      <c r="C889" s="229"/>
      <c r="D889" s="219"/>
      <c r="E889" s="182"/>
      <c r="F889" s="220"/>
      <c r="G889" s="220"/>
      <c r="H889" s="220"/>
      <c r="I889" s="210"/>
      <c r="J889" s="209"/>
      <c r="K889" s="195"/>
    </row>
    <row r="890" spans="1:11" x14ac:dyDescent="0.2">
      <c r="A890" s="175" t="str">
        <f>'ORÇAMENTO COM DESON'!A156</f>
        <v>1.17</v>
      </c>
      <c r="B890" s="176"/>
      <c r="C890" s="228"/>
      <c r="D890" s="211" t="str">
        <f>'ORÇAMENTO COM DESON'!D156</f>
        <v>ESQUADRIAS</v>
      </c>
      <c r="E890" s="176"/>
      <c r="F890" s="212"/>
      <c r="G890" s="212"/>
      <c r="H890" s="212"/>
      <c r="I890" s="213"/>
      <c r="J890" s="212"/>
      <c r="K890" s="195"/>
    </row>
    <row r="891" spans="1:11" x14ac:dyDescent="0.2">
      <c r="A891" s="206"/>
      <c r="B891" s="206"/>
      <c r="C891" s="229"/>
      <c r="D891" s="219"/>
      <c r="E891" s="182"/>
      <c r="F891" s="220"/>
      <c r="G891" s="220"/>
      <c r="H891" s="220"/>
      <c r="I891" s="210"/>
      <c r="J891" s="209"/>
      <c r="K891" s="195"/>
    </row>
    <row r="892" spans="1:11" ht="51" x14ac:dyDescent="0.2">
      <c r="A892" s="214" t="str">
        <f>'ORÇAMENTO COM DESON'!A157</f>
        <v>1.17.1</v>
      </c>
      <c r="B892" s="230"/>
      <c r="C892" s="231"/>
      <c r="D892" s="232" t="str">
        <f>'ORÇAMENTO COM DESON'!D157</f>
        <v>KIT DE PORTA DE MADEIRA PARA PINTURA, SEMI-OCA (LEVE OU MÉDIA), PADRÃO MÉDIO, 90X210CM, ESPESSURA DE 3,5CM, ITENS INCLUSOS: DOBRADIÇAS, MONTAGEM E INSTALAÇÃO DO BATENTE, FECHADURA COM EXECUÇÃO DO FURORNECIMENTO E INST ALAÇÃO. AF_12/2019</v>
      </c>
      <c r="E892" s="214" t="str">
        <f>'ORÇAMENTO COM DESON'!E157</f>
        <v>un</v>
      </c>
      <c r="F892" s="217"/>
      <c r="G892" s="217"/>
      <c r="H892" s="217"/>
      <c r="I892" s="218"/>
      <c r="J892" s="217"/>
      <c r="K892" s="195"/>
    </row>
    <row r="893" spans="1:11" x14ac:dyDescent="0.2">
      <c r="A893" s="206"/>
      <c r="B893" s="206"/>
      <c r="C893" s="229"/>
      <c r="D893" s="219"/>
      <c r="E893" s="182"/>
      <c r="F893" s="185" t="s">
        <v>206</v>
      </c>
      <c r="G893" s="185"/>
      <c r="H893" s="185"/>
      <c r="I893" s="223"/>
      <c r="J893" s="220"/>
      <c r="K893" s="195"/>
    </row>
    <row r="894" spans="1:11" x14ac:dyDescent="0.2">
      <c r="A894" s="206"/>
      <c r="B894" s="206"/>
      <c r="C894" s="229"/>
      <c r="D894" s="219" t="s">
        <v>296</v>
      </c>
      <c r="E894" s="182" t="s">
        <v>17</v>
      </c>
      <c r="F894" s="185">
        <v>1</v>
      </c>
      <c r="G894" s="185"/>
      <c r="H894" s="185"/>
      <c r="I894" s="223"/>
      <c r="J894" s="220">
        <f>ROUND(PRODUCT(F894:I894),2)</f>
        <v>1</v>
      </c>
      <c r="K894" s="195"/>
    </row>
    <row r="895" spans="1:11" x14ac:dyDescent="0.2">
      <c r="A895" s="206"/>
      <c r="B895" s="206"/>
      <c r="C895" s="229"/>
      <c r="D895" s="219" t="s">
        <v>297</v>
      </c>
      <c r="E895" s="182" t="s">
        <v>17</v>
      </c>
      <c r="F895" s="185">
        <v>1</v>
      </c>
      <c r="G895" s="185"/>
      <c r="H895" s="185"/>
      <c r="I895" s="223"/>
      <c r="J895" s="220">
        <f t="shared" ref="J895:J896" si="96">ROUND(PRODUCT(F895:I895),2)</f>
        <v>1</v>
      </c>
      <c r="K895" s="195"/>
    </row>
    <row r="896" spans="1:11" x14ac:dyDescent="0.2">
      <c r="A896" s="206"/>
      <c r="B896" s="206"/>
      <c r="C896" s="229"/>
      <c r="D896" s="219" t="s">
        <v>300</v>
      </c>
      <c r="E896" s="182" t="s">
        <v>17</v>
      </c>
      <c r="F896" s="185">
        <v>1</v>
      </c>
      <c r="G896" s="185"/>
      <c r="H896" s="185"/>
      <c r="I896" s="223"/>
      <c r="J896" s="220">
        <f t="shared" si="96"/>
        <v>1</v>
      </c>
      <c r="K896" s="195"/>
    </row>
    <row r="897" spans="1:11" x14ac:dyDescent="0.2">
      <c r="A897" s="206"/>
      <c r="B897" s="206"/>
      <c r="C897" s="229"/>
      <c r="D897" s="219"/>
      <c r="E897" s="182"/>
      <c r="F897" s="220"/>
      <c r="G897" s="220"/>
      <c r="H897" s="220"/>
      <c r="I897" s="218" t="str">
        <f>"Total item "&amp;A892</f>
        <v>Total item 1.17.1</v>
      </c>
      <c r="J897" s="217">
        <f>SUM(J894:J896)</f>
        <v>3</v>
      </c>
      <c r="K897" s="195"/>
    </row>
    <row r="898" spans="1:11" x14ac:dyDescent="0.2">
      <c r="A898" s="206"/>
      <c r="B898" s="206"/>
      <c r="C898" s="229"/>
      <c r="D898" s="219"/>
      <c r="E898" s="182"/>
      <c r="F898" s="220"/>
      <c r="G898" s="220"/>
      <c r="H898" s="220"/>
      <c r="I898" s="210"/>
      <c r="J898" s="209"/>
      <c r="K898" s="195"/>
    </row>
    <row r="899" spans="1:11" ht="51" x14ac:dyDescent="0.2">
      <c r="A899" s="214" t="str">
        <f>'ORÇAMENTO COM DESON'!A158</f>
        <v>1.17.2</v>
      </c>
      <c r="B899" s="230"/>
      <c r="C899" s="231"/>
      <c r="D899" s="232" t="str">
        <f>'ORÇAMENTO COM DESON'!D158</f>
        <v>KIT DE PORTA DE MADEIRA PARA PINTURA, SEMI-OCA (LEVE OU MÉDIA), PADRÃO MÉDIO, 80X210CM, ESPESSURA DE 3,5CM, ITENS INCLUSOS: DOBRADIÇAS, MONTAGEM E INSTALAÇÃO DO BATENTE, FECHADURA COM EXECUÇÃO DO FURO - FORNECIMENTO E INSTALAÇÃO. AF_12/2019</v>
      </c>
      <c r="E899" s="214" t="str">
        <f>'ORÇAMENTO COM DESON'!E158</f>
        <v>un</v>
      </c>
      <c r="F899" s="217"/>
      <c r="G899" s="217"/>
      <c r="H899" s="217"/>
      <c r="I899" s="218"/>
      <c r="J899" s="217"/>
      <c r="K899" s="195"/>
    </row>
    <row r="900" spans="1:11" x14ac:dyDescent="0.2">
      <c r="A900" s="206"/>
      <c r="B900" s="206"/>
      <c r="C900" s="229"/>
      <c r="D900" s="219"/>
      <c r="E900" s="182"/>
      <c r="F900" s="185" t="s">
        <v>206</v>
      </c>
      <c r="G900" s="185"/>
      <c r="H900" s="185"/>
      <c r="I900" s="223"/>
      <c r="J900" s="220"/>
      <c r="K900" s="195"/>
    </row>
    <row r="901" spans="1:11" x14ac:dyDescent="0.2">
      <c r="A901" s="206"/>
      <c r="B901" s="206"/>
      <c r="C901" s="229"/>
      <c r="D901" s="219" t="s">
        <v>395</v>
      </c>
      <c r="E901" s="182"/>
      <c r="F901" s="185">
        <v>1</v>
      </c>
      <c r="G901" s="185"/>
      <c r="H901" s="185"/>
      <c r="I901" s="223"/>
      <c r="J901" s="220">
        <f>ROUND(PRODUCT(F901:I901),2)</f>
        <v>1</v>
      </c>
      <c r="K901" s="195"/>
    </row>
    <row r="902" spans="1:11" x14ac:dyDescent="0.2">
      <c r="A902" s="206"/>
      <c r="B902" s="206"/>
      <c r="C902" s="229"/>
      <c r="D902" s="219" t="s">
        <v>396</v>
      </c>
      <c r="E902" s="182"/>
      <c r="F902" s="185">
        <v>1</v>
      </c>
      <c r="G902" s="185"/>
      <c r="H902" s="185"/>
      <c r="I902" s="223"/>
      <c r="J902" s="220">
        <f t="shared" ref="J902:J903" si="97">ROUND(PRODUCT(F902:I902),2)</f>
        <v>1</v>
      </c>
      <c r="K902" s="195"/>
    </row>
    <row r="903" spans="1:11" x14ac:dyDescent="0.2">
      <c r="A903" s="206"/>
      <c r="B903" s="206"/>
      <c r="C903" s="229"/>
      <c r="D903" s="219" t="s">
        <v>301</v>
      </c>
      <c r="E903" s="182"/>
      <c r="F903" s="185">
        <v>1</v>
      </c>
      <c r="G903" s="185"/>
      <c r="H903" s="185"/>
      <c r="I903" s="223"/>
      <c r="J903" s="220">
        <f t="shared" si="97"/>
        <v>1</v>
      </c>
      <c r="K903" s="195"/>
    </row>
    <row r="904" spans="1:11" x14ac:dyDescent="0.2">
      <c r="A904" s="206"/>
      <c r="B904" s="206"/>
      <c r="C904" s="229"/>
      <c r="D904" s="219"/>
      <c r="E904" s="182"/>
      <c r="F904" s="220"/>
      <c r="G904" s="220"/>
      <c r="H904" s="220"/>
      <c r="I904" s="218" t="str">
        <f>"Total item "&amp;A899</f>
        <v>Total item 1.17.2</v>
      </c>
      <c r="J904" s="217">
        <f>SUM(J901:J903)</f>
        <v>3</v>
      </c>
      <c r="K904" s="195"/>
    </row>
    <row r="905" spans="1:11" x14ac:dyDescent="0.2">
      <c r="A905" s="206"/>
      <c r="B905" s="206"/>
      <c r="C905" s="229"/>
      <c r="D905" s="219"/>
      <c r="E905" s="182"/>
      <c r="F905" s="220"/>
      <c r="G905" s="220"/>
      <c r="H905" s="220"/>
      <c r="I905" s="210"/>
      <c r="J905" s="209"/>
      <c r="K905" s="195"/>
    </row>
    <row r="906" spans="1:11" ht="51" x14ac:dyDescent="0.2">
      <c r="A906" s="214" t="str">
        <f>'ORÇAMENTO COM DESON'!A159</f>
        <v>1.17.3</v>
      </c>
      <c r="B906" s="230"/>
      <c r="C906" s="231"/>
      <c r="D906" s="232" t="str">
        <f>'ORÇAMENTO COM DESON'!D159</f>
        <v>JANELA DE ALUMÍNIO DE CORRER COM 2 FOLHAS PARA VIDROS, COM VIDROS, BATENTE, ACABAMENTO COM ACETATO OU BRILHANTE E FERRAGENS. EXCLUSIVE ALIZAR E CONTRAMARCO. FORNECIMENTO E INSTALAÇÃO. AF_12/2019</v>
      </c>
      <c r="E906" s="214" t="str">
        <f>'ORÇAMENTO COM DESON'!E159</f>
        <v>m²</v>
      </c>
      <c r="F906" s="217"/>
      <c r="G906" s="217"/>
      <c r="H906" s="217"/>
      <c r="I906" s="218"/>
      <c r="J906" s="217"/>
      <c r="K906" s="195"/>
    </row>
    <row r="907" spans="1:11" x14ac:dyDescent="0.2">
      <c r="A907" s="206"/>
      <c r="B907" s="206"/>
      <c r="C907" s="229"/>
      <c r="D907" s="219"/>
      <c r="E907" s="182"/>
      <c r="F907" s="185" t="s">
        <v>209</v>
      </c>
      <c r="G907" s="185" t="s">
        <v>158</v>
      </c>
      <c r="H907" s="185" t="s">
        <v>206</v>
      </c>
      <c r="I907" s="223"/>
      <c r="J907" s="220"/>
      <c r="K907" s="195"/>
    </row>
    <row r="908" spans="1:11" x14ac:dyDescent="0.2">
      <c r="A908" s="206"/>
      <c r="B908" s="206"/>
      <c r="C908" s="229"/>
      <c r="D908" s="219" t="s">
        <v>296</v>
      </c>
      <c r="E908" s="182" t="s">
        <v>8</v>
      </c>
      <c r="F908" s="185">
        <v>1.6</v>
      </c>
      <c r="G908" s="185">
        <v>1.1000000000000001</v>
      </c>
      <c r="H908" s="185">
        <v>1</v>
      </c>
      <c r="I908" s="223"/>
      <c r="J908" s="220">
        <f>ROUND(PRODUCT(F908:I908),2)</f>
        <v>1.76</v>
      </c>
      <c r="K908" s="195"/>
    </row>
    <row r="909" spans="1:11" x14ac:dyDescent="0.2">
      <c r="A909" s="206"/>
      <c r="B909" s="206"/>
      <c r="C909" s="229"/>
      <c r="D909" s="219" t="s">
        <v>297</v>
      </c>
      <c r="E909" s="182" t="s">
        <v>8</v>
      </c>
      <c r="F909" s="185">
        <v>0.8</v>
      </c>
      <c r="G909" s="185">
        <v>0.5</v>
      </c>
      <c r="H909" s="185">
        <v>1</v>
      </c>
      <c r="I909" s="223"/>
      <c r="J909" s="220">
        <f>ROUND(PRODUCT(F909:I909),2)</f>
        <v>0.4</v>
      </c>
      <c r="K909" s="195"/>
    </row>
    <row r="910" spans="1:11" x14ac:dyDescent="0.2">
      <c r="A910" s="206"/>
      <c r="B910" s="206"/>
      <c r="C910" s="229"/>
      <c r="D910" s="219" t="s">
        <v>95</v>
      </c>
      <c r="E910" s="182"/>
      <c r="F910" s="185">
        <v>0.8</v>
      </c>
      <c r="G910" s="185">
        <v>0.5</v>
      </c>
      <c r="H910" s="185">
        <v>1</v>
      </c>
      <c r="I910" s="223"/>
      <c r="J910" s="220">
        <f t="shared" ref="J910:J912" si="98">ROUND(PRODUCT(F910:I910),2)</f>
        <v>0.4</v>
      </c>
      <c r="K910" s="195"/>
    </row>
    <row r="911" spans="1:11" x14ac:dyDescent="0.2">
      <c r="A911" s="206"/>
      <c r="B911" s="206"/>
      <c r="C911" s="229"/>
      <c r="D911" s="219" t="s">
        <v>96</v>
      </c>
      <c r="E911" s="182"/>
      <c r="F911" s="185">
        <v>0.8</v>
      </c>
      <c r="G911" s="185">
        <v>0.5</v>
      </c>
      <c r="H911" s="185">
        <v>1</v>
      </c>
      <c r="I911" s="223"/>
      <c r="J911" s="220">
        <f t="shared" si="98"/>
        <v>0.4</v>
      </c>
      <c r="K911" s="195"/>
    </row>
    <row r="912" spans="1:11" x14ac:dyDescent="0.2">
      <c r="A912" s="206"/>
      <c r="B912" s="206"/>
      <c r="C912" s="229"/>
      <c r="D912" s="219" t="s">
        <v>300</v>
      </c>
      <c r="E912" s="182"/>
      <c r="F912" s="185">
        <v>0.8</v>
      </c>
      <c r="G912" s="185">
        <v>0.5</v>
      </c>
      <c r="H912" s="185">
        <v>2</v>
      </c>
      <c r="I912" s="223"/>
      <c r="J912" s="220">
        <f t="shared" si="98"/>
        <v>0.8</v>
      </c>
      <c r="K912" s="195"/>
    </row>
    <row r="913" spans="1:11" x14ac:dyDescent="0.2">
      <c r="A913" s="206"/>
      <c r="B913" s="206"/>
      <c r="C913" s="229"/>
      <c r="D913" s="219"/>
      <c r="E913" s="182"/>
      <c r="F913" s="220"/>
      <c r="G913" s="220"/>
      <c r="H913" s="220"/>
      <c r="I913" s="218" t="str">
        <f>"Total item "&amp;A906</f>
        <v>Total item 1.17.3</v>
      </c>
      <c r="J913" s="217">
        <f>SUM(J908:J912)</f>
        <v>3.76</v>
      </c>
      <c r="K913" s="195"/>
    </row>
    <row r="914" spans="1:11" x14ac:dyDescent="0.2">
      <c r="A914" s="206"/>
      <c r="B914" s="206"/>
      <c r="C914" s="229"/>
      <c r="D914" s="219"/>
      <c r="E914" s="182"/>
      <c r="F914" s="220"/>
      <c r="G914" s="220"/>
      <c r="H914" s="220"/>
      <c r="I914" s="210"/>
      <c r="J914" s="209"/>
      <c r="K914" s="195"/>
    </row>
    <row r="915" spans="1:11" ht="20.399999999999999" x14ac:dyDescent="0.2">
      <c r="A915" s="214" t="str">
        <f>'ORÇAMENTO COM DESON'!A160</f>
        <v>1.17.4</v>
      </c>
      <c r="B915" s="230"/>
      <c r="C915" s="231"/>
      <c r="D915" s="232" t="str">
        <f>'ORÇAMENTO COM DESON'!D160</f>
        <v>CONTRAMARCO DE ALUMÍNIO, FIXAÇÃO COM PARAFUSO - FORNECIMENTO E INSTALAÇÃO. AF_12/2019</v>
      </c>
      <c r="E915" s="214" t="str">
        <f>'ORÇAMENTO COM DESON'!E160</f>
        <v>m</v>
      </c>
      <c r="F915" s="217"/>
      <c r="G915" s="217"/>
      <c r="H915" s="217"/>
      <c r="I915" s="218"/>
      <c r="J915" s="217"/>
      <c r="K915" s="195"/>
    </row>
    <row r="916" spans="1:11" x14ac:dyDescent="0.2">
      <c r="A916" s="206"/>
      <c r="B916" s="206"/>
      <c r="C916" s="229"/>
      <c r="D916" s="219"/>
      <c r="E916" s="182"/>
      <c r="F916" s="185" t="s">
        <v>156</v>
      </c>
      <c r="G916" s="185" t="s">
        <v>139</v>
      </c>
      <c r="H916" s="185"/>
      <c r="I916" s="223"/>
      <c r="J916" s="220"/>
      <c r="K916" s="195"/>
    </row>
    <row r="917" spans="1:11" x14ac:dyDescent="0.2">
      <c r="A917" s="206"/>
      <c r="B917" s="206"/>
      <c r="C917" s="229"/>
      <c r="D917" s="219" t="s">
        <v>296</v>
      </c>
      <c r="E917" s="182" t="s">
        <v>21</v>
      </c>
      <c r="F917" s="185">
        <f>1.2+1.2+1+1</f>
        <v>4.4000000000000004</v>
      </c>
      <c r="G917" s="185"/>
      <c r="H917" s="185"/>
      <c r="I917" s="223"/>
      <c r="J917" s="220">
        <f t="shared" ref="J917:J921" si="99">ROUND(PRODUCT(F917:I917),2)</f>
        <v>4.4000000000000004</v>
      </c>
      <c r="K917" s="195"/>
    </row>
    <row r="918" spans="1:11" x14ac:dyDescent="0.2">
      <c r="A918" s="206"/>
      <c r="B918" s="206"/>
      <c r="C918" s="229"/>
      <c r="D918" s="219" t="s">
        <v>297</v>
      </c>
      <c r="E918" s="182" t="s">
        <v>21</v>
      </c>
      <c r="F918" s="185">
        <f>1.2+1.2+1+1</f>
        <v>4.4000000000000004</v>
      </c>
      <c r="G918" s="185"/>
      <c r="H918" s="185"/>
      <c r="I918" s="223"/>
      <c r="J918" s="220">
        <f t="shared" si="99"/>
        <v>4.4000000000000004</v>
      </c>
      <c r="K918" s="195"/>
    </row>
    <row r="919" spans="1:11" x14ac:dyDescent="0.2">
      <c r="A919" s="206"/>
      <c r="B919" s="206"/>
      <c r="C919" s="229"/>
      <c r="D919" s="219" t="s">
        <v>95</v>
      </c>
      <c r="E919" s="182" t="s">
        <v>21</v>
      </c>
      <c r="F919" s="185">
        <f>0.8+0.8+0.5+0.5</f>
        <v>2.6</v>
      </c>
      <c r="G919" s="185"/>
      <c r="H919" s="185"/>
      <c r="I919" s="223"/>
      <c r="J919" s="220">
        <f t="shared" si="99"/>
        <v>2.6</v>
      </c>
      <c r="K919" s="195"/>
    </row>
    <row r="920" spans="1:11" x14ac:dyDescent="0.2">
      <c r="A920" s="206"/>
      <c r="B920" s="206"/>
      <c r="C920" s="229"/>
      <c r="D920" s="219" t="s">
        <v>96</v>
      </c>
      <c r="E920" s="182" t="s">
        <v>21</v>
      </c>
      <c r="F920" s="185">
        <f>0.8+0.8+0.5+0.5</f>
        <v>2.6</v>
      </c>
      <c r="G920" s="185"/>
      <c r="H920" s="185"/>
      <c r="I920" s="223"/>
      <c r="J920" s="220">
        <f>ROUND(PRODUCT(F920:I920),2)</f>
        <v>2.6</v>
      </c>
      <c r="K920" s="195"/>
    </row>
    <row r="921" spans="1:11" x14ac:dyDescent="0.2">
      <c r="A921" s="206"/>
      <c r="B921" s="206"/>
      <c r="C921" s="229"/>
      <c r="D921" s="219" t="s">
        <v>300</v>
      </c>
      <c r="E921" s="182" t="s">
        <v>21</v>
      </c>
      <c r="F921" s="185">
        <f>0.8+0.8+0.5+0.5</f>
        <v>2.6</v>
      </c>
      <c r="G921" s="185">
        <v>2</v>
      </c>
      <c r="H921" s="185"/>
      <c r="I921" s="223"/>
      <c r="J921" s="220">
        <f t="shared" si="99"/>
        <v>5.2</v>
      </c>
      <c r="K921" s="195"/>
    </row>
    <row r="922" spans="1:11" x14ac:dyDescent="0.2">
      <c r="A922" s="206"/>
      <c r="B922" s="206"/>
      <c r="C922" s="229"/>
      <c r="D922" s="219"/>
      <c r="E922" s="182"/>
      <c r="F922" s="220"/>
      <c r="G922" s="220"/>
      <c r="H922" s="220"/>
      <c r="I922" s="218" t="str">
        <f>"Total item "&amp;A915</f>
        <v>Total item 1.17.4</v>
      </c>
      <c r="J922" s="217">
        <f>SUM(J917:J921)</f>
        <v>19.2</v>
      </c>
      <c r="K922" s="195"/>
    </row>
    <row r="923" spans="1:11" x14ac:dyDescent="0.2">
      <c r="A923" s="206"/>
      <c r="B923" s="206"/>
      <c r="C923" s="229"/>
      <c r="D923" s="219"/>
      <c r="E923" s="182"/>
      <c r="F923" s="220"/>
      <c r="G923" s="220"/>
      <c r="H923" s="220"/>
      <c r="I923" s="210"/>
      <c r="J923" s="209"/>
      <c r="K923" s="195"/>
    </row>
    <row r="924" spans="1:11" ht="30.6" x14ac:dyDescent="0.2">
      <c r="A924" s="214" t="str">
        <f>'ORÇAMENTO COM DESON'!A161</f>
        <v>1.17.5</v>
      </c>
      <c r="B924" s="230"/>
      <c r="C924" s="231"/>
      <c r="D924" s="232" t="str">
        <f>'ORÇAMENTO COM DESON'!D161</f>
        <v>PORTA EM ALUMÍNIO ANODIZADO NATURAL/FOSCO, DE CORRER, SEM BANDEIROLA E/OU PEITORIL, SEM VIDRO - FORNECIMENTO E MONTAGEM</v>
      </c>
      <c r="E924" s="214" t="str">
        <f>'ORÇAMENTO COM DESON'!E161</f>
        <v>m²</v>
      </c>
      <c r="F924" s="217"/>
      <c r="G924" s="217"/>
      <c r="H924" s="217"/>
      <c r="I924" s="218"/>
      <c r="J924" s="217"/>
      <c r="K924" s="195"/>
    </row>
    <row r="925" spans="1:11" x14ac:dyDescent="0.2">
      <c r="A925" s="206"/>
      <c r="B925" s="206"/>
      <c r="C925" s="229"/>
      <c r="D925" s="219"/>
      <c r="E925" s="182"/>
      <c r="F925" s="185" t="s">
        <v>159</v>
      </c>
      <c r="G925" s="156" t="s">
        <v>158</v>
      </c>
      <c r="H925" s="185"/>
      <c r="I925" s="223"/>
      <c r="J925" s="220"/>
      <c r="K925" s="195"/>
    </row>
    <row r="926" spans="1:11" x14ac:dyDescent="0.2">
      <c r="A926" s="206"/>
      <c r="B926" s="206"/>
      <c r="C926" s="229"/>
      <c r="D926" s="219" t="s">
        <v>505</v>
      </c>
      <c r="E926" s="182" t="s">
        <v>21</v>
      </c>
      <c r="F926" s="185">
        <v>0.7</v>
      </c>
      <c r="G926" s="185">
        <v>2.1</v>
      </c>
      <c r="H926" s="185"/>
      <c r="I926" s="223"/>
      <c r="J926" s="220">
        <f>ROUND(PRODUCT(F926:I926),2)</f>
        <v>1.47</v>
      </c>
      <c r="K926" s="195"/>
    </row>
    <row r="927" spans="1:11" x14ac:dyDescent="0.2">
      <c r="A927" s="206"/>
      <c r="B927" s="206"/>
      <c r="C927" s="229"/>
      <c r="D927" s="219"/>
      <c r="E927" s="182"/>
      <c r="F927" s="220"/>
      <c r="G927" s="220"/>
      <c r="H927" s="220"/>
      <c r="I927" s="218" t="str">
        <f>"Total item "&amp;A924</f>
        <v>Total item 1.17.5</v>
      </c>
      <c r="J927" s="217">
        <f>SUM(J926:J926)</f>
        <v>1.47</v>
      </c>
      <c r="K927" s="195"/>
    </row>
    <row r="928" spans="1:11" x14ac:dyDescent="0.2">
      <c r="A928" s="206"/>
      <c r="B928" s="206"/>
      <c r="C928" s="229"/>
      <c r="D928" s="219"/>
      <c r="E928" s="182"/>
      <c r="F928" s="220"/>
      <c r="G928" s="220"/>
      <c r="H928" s="220"/>
      <c r="I928" s="210"/>
      <c r="J928" s="209"/>
      <c r="K928" s="195"/>
    </row>
    <row r="929" spans="1:11" x14ac:dyDescent="0.2">
      <c r="A929" s="235" t="s">
        <v>9</v>
      </c>
      <c r="B929" s="235"/>
      <c r="C929" s="236"/>
      <c r="D929" s="237" t="s">
        <v>305</v>
      </c>
      <c r="E929" s="235"/>
      <c r="F929" s="238"/>
      <c r="G929" s="238"/>
      <c r="H929" s="238"/>
      <c r="I929" s="239"/>
      <c r="J929" s="238"/>
      <c r="K929" s="195"/>
    </row>
    <row r="930" spans="1:11" x14ac:dyDescent="0.2">
      <c r="A930" s="175" t="str">
        <f>'ORÇAMENTO COM DESON'!A164</f>
        <v>2.1</v>
      </c>
      <c r="B930" s="176"/>
      <c r="C930" s="177"/>
      <c r="D930" s="211" t="str">
        <f>'ORÇAMENTO COM DESON'!D164</f>
        <v>MOVIMENTAÇÃO DE TERRA</v>
      </c>
      <c r="E930" s="176"/>
      <c r="F930" s="212"/>
      <c r="G930" s="212"/>
      <c r="H930" s="212"/>
      <c r="I930" s="213"/>
      <c r="J930" s="212"/>
    </row>
    <row r="931" spans="1:11" x14ac:dyDescent="0.2">
      <c r="A931" s="206"/>
      <c r="B931" s="206"/>
      <c r="C931" s="207"/>
      <c r="D931" s="208"/>
      <c r="E931" s="206"/>
      <c r="F931" s="209"/>
      <c r="G931" s="209"/>
      <c r="H931" s="209"/>
      <c r="I931" s="210"/>
      <c r="J931" s="209"/>
    </row>
    <row r="932" spans="1:11" ht="20.399999999999999" x14ac:dyDescent="0.2">
      <c r="A932" s="214" t="str">
        <f>'ORÇAMENTO COM DESON'!A165</f>
        <v>2.2.1</v>
      </c>
      <c r="B932" s="214"/>
      <c r="C932" s="215"/>
      <c r="D932" s="216" t="str">
        <f>'ORÇAMENTO COM DESON'!D165</f>
        <v>ATERRO C/COMPACTAÇÃO MANUAL S/CONTROLE, MAT. C/AQUISIÇÃO</v>
      </c>
      <c r="E932" s="214" t="str">
        <f>'ORÇAMENTO COM DESON'!E165</f>
        <v>m³</v>
      </c>
      <c r="F932" s="217"/>
      <c r="G932" s="217"/>
      <c r="H932" s="217"/>
      <c r="I932" s="218"/>
      <c r="J932" s="217"/>
    </row>
    <row r="933" spans="1:11" x14ac:dyDescent="0.2">
      <c r="A933" s="206"/>
      <c r="B933" s="206"/>
      <c r="C933" s="207"/>
      <c r="D933" s="219"/>
      <c r="E933" s="182"/>
      <c r="F933" s="185" t="s">
        <v>18</v>
      </c>
      <c r="G933" s="185" t="s">
        <v>158</v>
      </c>
      <c r="H933" s="185"/>
      <c r="I933" s="185"/>
      <c r="J933" s="220"/>
    </row>
    <row r="934" spans="1:11" x14ac:dyDescent="0.2">
      <c r="A934" s="206"/>
      <c r="B934" s="206"/>
      <c r="C934" s="207"/>
      <c r="D934" s="219" t="s">
        <v>295</v>
      </c>
      <c r="E934" s="182" t="s">
        <v>8</v>
      </c>
      <c r="F934" s="185">
        <f>9.5*0.5</f>
        <v>4.75</v>
      </c>
      <c r="G934" s="185">
        <v>0.5</v>
      </c>
      <c r="H934" s="185"/>
      <c r="I934" s="222"/>
      <c r="J934" s="220">
        <f>ROUND(PRODUCT(F934:I934),2)</f>
        <v>2.38</v>
      </c>
    </row>
    <row r="935" spans="1:11" x14ac:dyDescent="0.2">
      <c r="A935" s="206"/>
      <c r="B935" s="206"/>
      <c r="C935" s="207"/>
      <c r="D935" s="219"/>
      <c r="E935" s="182"/>
      <c r="F935" s="185"/>
      <c r="G935" s="185"/>
      <c r="H935" s="185"/>
      <c r="I935" s="218" t="str">
        <f>"Total item "&amp;A932</f>
        <v>Total item 2.2.1</v>
      </c>
      <c r="J935" s="217">
        <f>SUM(J934:J934)</f>
        <v>2.38</v>
      </c>
    </row>
    <row r="936" spans="1:11" x14ac:dyDescent="0.2">
      <c r="A936" s="206"/>
      <c r="B936" s="206"/>
      <c r="C936" s="207"/>
      <c r="D936" s="208"/>
      <c r="E936" s="206"/>
      <c r="F936" s="209"/>
      <c r="G936" s="209"/>
      <c r="H936" s="209"/>
      <c r="I936" s="210"/>
      <c r="J936" s="209"/>
    </row>
    <row r="937" spans="1:11" s="51" customFormat="1" x14ac:dyDescent="0.2">
      <c r="A937" s="214" t="str">
        <f>'ORÇAMENTO COM DESON'!A166</f>
        <v>2.2.2</v>
      </c>
      <c r="B937" s="214"/>
      <c r="C937" s="215"/>
      <c r="D937" s="216" t="str">
        <f>'ORÇAMENTO COM DESON'!D166</f>
        <v>ESCAVAÇÃO MECÂNICA SOLO DE 2A.CAT. PROF. ATÉ 2.00m</v>
      </c>
      <c r="E937" s="214" t="str">
        <f>'ORÇAMENTO COM DESON'!E166</f>
        <v>m³</v>
      </c>
      <c r="F937" s="217"/>
      <c r="G937" s="217"/>
      <c r="H937" s="217"/>
      <c r="I937" s="218"/>
      <c r="J937" s="217"/>
      <c r="K937" s="202"/>
    </row>
    <row r="938" spans="1:11" x14ac:dyDescent="0.2">
      <c r="A938" s="206"/>
      <c r="B938" s="206"/>
      <c r="C938" s="207"/>
      <c r="D938" s="219"/>
      <c r="E938" s="182"/>
      <c r="F938" s="185" t="s">
        <v>149</v>
      </c>
      <c r="G938" s="185" t="s">
        <v>158</v>
      </c>
      <c r="H938" s="185" t="s">
        <v>159</v>
      </c>
      <c r="I938" s="185" t="s">
        <v>139</v>
      </c>
      <c r="J938" s="220"/>
      <c r="K938" s="195"/>
    </row>
    <row r="939" spans="1:11" x14ac:dyDescent="0.2">
      <c r="A939" s="206"/>
      <c r="B939" s="206"/>
      <c r="C939" s="207"/>
      <c r="D939" s="233" t="s">
        <v>477</v>
      </c>
      <c r="E939" s="182"/>
      <c r="F939" s="185"/>
      <c r="G939" s="185"/>
      <c r="H939" s="185"/>
      <c r="I939" s="185"/>
      <c r="J939" s="220"/>
      <c r="K939" s="195"/>
    </row>
    <row r="940" spans="1:11" x14ac:dyDescent="0.2">
      <c r="A940" s="206"/>
      <c r="B940" s="206"/>
      <c r="C940" s="207"/>
      <c r="D940" s="219"/>
      <c r="E940" s="182"/>
      <c r="F940" s="185">
        <v>0.6</v>
      </c>
      <c r="G940" s="185">
        <v>0.7</v>
      </c>
      <c r="H940" s="185">
        <v>0.6</v>
      </c>
      <c r="I940" s="185">
        <v>24</v>
      </c>
      <c r="J940" s="220">
        <f>ROUND(PRODUCT(F940:I940),2)</f>
        <v>6.05</v>
      </c>
      <c r="K940" s="195"/>
    </row>
    <row r="941" spans="1:11" x14ac:dyDescent="0.2">
      <c r="A941" s="206"/>
      <c r="B941" s="206"/>
      <c r="C941" s="207"/>
      <c r="D941" s="233" t="s">
        <v>478</v>
      </c>
      <c r="E941" s="182"/>
      <c r="F941" s="185"/>
      <c r="G941" s="185"/>
      <c r="H941" s="185"/>
      <c r="I941" s="185"/>
      <c r="J941" s="220"/>
      <c r="K941" s="195"/>
    </row>
    <row r="942" spans="1:11" x14ac:dyDescent="0.2">
      <c r="A942" s="206"/>
      <c r="B942" s="206"/>
      <c r="C942" s="207"/>
      <c r="D942" s="219"/>
      <c r="E942" s="182"/>
      <c r="F942" s="185">
        <v>72.239999999999995</v>
      </c>
      <c r="G942" s="223">
        <v>0.5</v>
      </c>
      <c r="H942" s="185">
        <v>0.3</v>
      </c>
      <c r="I942" s="185"/>
      <c r="J942" s="220">
        <f t="shared" ref="J942" si="100">ROUND(PRODUCT(F942:I942),2)</f>
        <v>10.84</v>
      </c>
      <c r="K942" s="195"/>
    </row>
    <row r="943" spans="1:11" x14ac:dyDescent="0.2">
      <c r="A943" s="206"/>
      <c r="B943" s="206"/>
      <c r="C943" s="207"/>
      <c r="D943" s="221"/>
      <c r="E943" s="182"/>
      <c r="F943" s="220"/>
      <c r="G943" s="220"/>
      <c r="H943" s="220"/>
      <c r="I943" s="218" t="str">
        <f>"Total item "&amp;A937</f>
        <v>Total item 2.2.2</v>
      </c>
      <c r="J943" s="217">
        <f>SUM(J939:J942)</f>
        <v>16.89</v>
      </c>
      <c r="K943" s="195"/>
    </row>
    <row r="944" spans="1:11" s="50" customFormat="1" x14ac:dyDescent="0.2">
      <c r="A944" s="206"/>
      <c r="B944" s="206"/>
      <c r="C944" s="207"/>
      <c r="D944" s="208"/>
      <c r="E944" s="206"/>
      <c r="F944" s="209"/>
      <c r="G944" s="209"/>
      <c r="H944" s="209"/>
      <c r="I944" s="210"/>
      <c r="J944" s="209"/>
      <c r="K944" s="200"/>
    </row>
    <row r="945" spans="1:11" s="51" customFormat="1" x14ac:dyDescent="0.2">
      <c r="A945" s="214" t="str">
        <f>'ORÇAMENTO COM DESON'!A167</f>
        <v>2.2.3</v>
      </c>
      <c r="B945" s="214"/>
      <c r="C945" s="215"/>
      <c r="D945" s="216" t="str">
        <f>'ORÇAMENTO COM DESON'!D167</f>
        <v>REATERRO MANUAL APILOADO COM SOQUETE. AF_10/2017</v>
      </c>
      <c r="E945" s="214" t="str">
        <f>'ORÇAMENTO COM DESON'!E167</f>
        <v>m³</v>
      </c>
      <c r="F945" s="217"/>
      <c r="G945" s="217"/>
      <c r="H945" s="217"/>
      <c r="I945" s="218"/>
      <c r="J945" s="217"/>
      <c r="K945" s="202"/>
    </row>
    <row r="946" spans="1:11" x14ac:dyDescent="0.2">
      <c r="A946" s="206"/>
      <c r="B946" s="206"/>
      <c r="C946" s="207"/>
      <c r="D946" s="219"/>
      <c r="E946" s="182"/>
      <c r="F946" s="185" t="s">
        <v>149</v>
      </c>
      <c r="G946" s="185" t="s">
        <v>158</v>
      </c>
      <c r="H946" s="185" t="s">
        <v>159</v>
      </c>
      <c r="I946" s="185" t="s">
        <v>139</v>
      </c>
      <c r="J946" s="220"/>
      <c r="K946" s="195"/>
    </row>
    <row r="947" spans="1:11" x14ac:dyDescent="0.2">
      <c r="A947" s="206"/>
      <c r="B947" s="206"/>
      <c r="C947" s="207"/>
      <c r="D947" s="233" t="s">
        <v>477</v>
      </c>
      <c r="E947" s="182" t="s">
        <v>20</v>
      </c>
      <c r="F947" s="185"/>
      <c r="G947" s="185"/>
      <c r="H947" s="185"/>
      <c r="I947" s="185"/>
      <c r="J947" s="220"/>
      <c r="K947" s="195"/>
    </row>
    <row r="948" spans="1:11" x14ac:dyDescent="0.2">
      <c r="A948" s="206"/>
      <c r="B948" s="206"/>
      <c r="C948" s="207"/>
      <c r="D948" s="219"/>
      <c r="E948" s="182"/>
      <c r="F948" s="185">
        <f>F940</f>
        <v>0.6</v>
      </c>
      <c r="G948" s="185">
        <f>G940-G963</f>
        <v>0.49999999999999994</v>
      </c>
      <c r="H948" s="185">
        <f>H940</f>
        <v>0.6</v>
      </c>
      <c r="I948" s="185">
        <f>I940</f>
        <v>24</v>
      </c>
      <c r="J948" s="220">
        <f t="shared" ref="J948" si="101">ROUND(PRODUCT(F948:I948),2)</f>
        <v>4.32</v>
      </c>
      <c r="K948" s="195"/>
    </row>
    <row r="949" spans="1:11" x14ac:dyDescent="0.2">
      <c r="A949" s="206"/>
      <c r="B949" s="206"/>
      <c r="C949" s="207"/>
      <c r="D949" s="233" t="s">
        <v>478</v>
      </c>
      <c r="E949" s="182" t="s">
        <v>20</v>
      </c>
      <c r="F949" s="185"/>
      <c r="G949" s="185"/>
      <c r="H949" s="185"/>
      <c r="I949" s="185"/>
      <c r="J949" s="220"/>
      <c r="K949" s="195"/>
    </row>
    <row r="950" spans="1:11" x14ac:dyDescent="0.2">
      <c r="A950" s="206"/>
      <c r="B950" s="206"/>
      <c r="C950" s="207"/>
      <c r="D950" s="219"/>
      <c r="E950" s="182" t="s">
        <v>20</v>
      </c>
      <c r="F950" s="185">
        <f>F942</f>
        <v>72.239999999999995</v>
      </c>
      <c r="G950" s="185">
        <f>G942</f>
        <v>0.5</v>
      </c>
      <c r="H950" s="185">
        <f>H942-H957</f>
        <v>9.9999999999999978E-2</v>
      </c>
      <c r="I950" s="185"/>
      <c r="J950" s="220">
        <f t="shared" ref="J950" si="102">ROUND(PRODUCT(F950:I950),2)</f>
        <v>3.61</v>
      </c>
      <c r="K950" s="195"/>
    </row>
    <row r="951" spans="1:11" x14ac:dyDescent="0.2">
      <c r="A951" s="206"/>
      <c r="B951" s="206"/>
      <c r="C951" s="207"/>
      <c r="D951" s="221"/>
      <c r="E951" s="182"/>
      <c r="F951" s="220"/>
      <c r="G951" s="220"/>
      <c r="H951" s="220"/>
      <c r="I951" s="218" t="str">
        <f>"Total item "&amp;A945</f>
        <v>Total item 2.2.3</v>
      </c>
      <c r="J951" s="217">
        <f>SUM(J948:J950)</f>
        <v>7.93</v>
      </c>
      <c r="K951" s="195"/>
    </row>
    <row r="952" spans="1:11" s="50" customFormat="1" x14ac:dyDescent="0.2">
      <c r="A952" s="206"/>
      <c r="B952" s="206"/>
      <c r="C952" s="207"/>
      <c r="D952" s="208"/>
      <c r="E952" s="206"/>
      <c r="F952" s="209"/>
      <c r="G952" s="209"/>
      <c r="H952" s="209"/>
      <c r="I952" s="210"/>
      <c r="J952" s="209"/>
      <c r="K952" s="200"/>
    </row>
    <row r="953" spans="1:11" s="69" customFormat="1" x14ac:dyDescent="0.2">
      <c r="A953" s="175" t="str">
        <f>'ORÇAMENTO COM DESON'!A168</f>
        <v>2.2</v>
      </c>
      <c r="B953" s="176"/>
      <c r="C953" s="177"/>
      <c r="D953" s="211" t="str">
        <f>'ORÇAMENTO COM DESON'!D168</f>
        <v>INFRAESTRUTURA</v>
      </c>
      <c r="E953" s="176"/>
      <c r="F953" s="212"/>
      <c r="G953" s="212"/>
      <c r="H953" s="212"/>
      <c r="I953" s="213"/>
      <c r="J953" s="212"/>
      <c r="K953" s="201"/>
    </row>
    <row r="954" spans="1:11" s="50" customFormat="1" x14ac:dyDescent="0.2">
      <c r="A954" s="206"/>
      <c r="B954" s="206"/>
      <c r="C954" s="207"/>
      <c r="D954" s="208"/>
      <c r="E954" s="206"/>
      <c r="F954" s="209"/>
      <c r="G954" s="209"/>
      <c r="H954" s="209"/>
      <c r="I954" s="210"/>
      <c r="J954" s="209"/>
      <c r="K954" s="200"/>
    </row>
    <row r="955" spans="1:11" s="51" customFormat="1" ht="30.6" x14ac:dyDescent="0.2">
      <c r="A955" s="214" t="str">
        <f>'ORÇAMENTO COM DESON'!A169</f>
        <v>2.2.1</v>
      </c>
      <c r="B955" s="214"/>
      <c r="C955" s="215"/>
      <c r="D955" s="216" t="str">
        <f>'ORÇAMENTO COM DESON'!D169</f>
        <v>ALVENARIA DE EMBASAMENTO COM BLOCO ESTRUTURAL DE CERÂMICA, DE 14X19X29 CM E ARGAMASSA DE ASSENTAMENTO COM PREPARO EM BETONEIRA. AF_05/2020</v>
      </c>
      <c r="E955" s="214" t="str">
        <f>'ORÇAMENTO COM DESON'!E169</f>
        <v>m³</v>
      </c>
      <c r="F955" s="217"/>
      <c r="G955" s="217"/>
      <c r="H955" s="217"/>
      <c r="I955" s="218"/>
      <c r="J955" s="217"/>
      <c r="K955" s="202"/>
    </row>
    <row r="956" spans="1:11" x14ac:dyDescent="0.2">
      <c r="A956" s="206"/>
      <c r="B956" s="206"/>
      <c r="C956" s="207"/>
      <c r="D956" s="219"/>
      <c r="E956" s="182"/>
      <c r="F956" s="185" t="s">
        <v>149</v>
      </c>
      <c r="G956" s="185" t="s">
        <v>158</v>
      </c>
      <c r="H956" s="185" t="s">
        <v>159</v>
      </c>
      <c r="I956" s="185"/>
      <c r="J956" s="220"/>
      <c r="K956" s="195"/>
    </row>
    <row r="957" spans="1:11" x14ac:dyDescent="0.2">
      <c r="A957" s="206"/>
      <c r="B957" s="206"/>
      <c r="C957" s="207"/>
      <c r="D957" s="219" t="s">
        <v>476</v>
      </c>
      <c r="E957" s="182" t="s">
        <v>20</v>
      </c>
      <c r="F957" s="185">
        <f>F950</f>
        <v>72.239999999999995</v>
      </c>
      <c r="G957" s="185">
        <v>1.25</v>
      </c>
      <c r="H957" s="185">
        <v>0.2</v>
      </c>
      <c r="I957" s="185"/>
      <c r="J957" s="220">
        <f t="shared" ref="J957" si="103">ROUND(PRODUCT(F957:I957),2)</f>
        <v>18.059999999999999</v>
      </c>
      <c r="K957" s="195"/>
    </row>
    <row r="958" spans="1:11" x14ac:dyDescent="0.2">
      <c r="A958" s="206"/>
      <c r="B958" s="206"/>
      <c r="C958" s="207"/>
      <c r="D958" s="221"/>
      <c r="E958" s="182"/>
      <c r="F958" s="220"/>
      <c r="G958" s="220"/>
      <c r="H958" s="220"/>
      <c r="I958" s="218" t="str">
        <f>"Total item "&amp;A955</f>
        <v>Total item 2.2.1</v>
      </c>
      <c r="J958" s="217">
        <f>SUM(J957:J957)</f>
        <v>18.059999999999999</v>
      </c>
      <c r="K958" s="195"/>
    </row>
    <row r="959" spans="1:11" s="50" customFormat="1" x14ac:dyDescent="0.2">
      <c r="A959" s="206"/>
      <c r="B959" s="206"/>
      <c r="C959" s="207"/>
      <c r="D959" s="208"/>
      <c r="E959" s="206"/>
      <c r="F959" s="209"/>
      <c r="G959" s="209"/>
      <c r="H959" s="209"/>
      <c r="I959" s="210"/>
      <c r="J959" s="209"/>
      <c r="K959" s="200"/>
    </row>
    <row r="960" spans="1:11" s="51" customFormat="1" ht="30.6" x14ac:dyDescent="0.2">
      <c r="A960" s="214" t="str">
        <f>'ORÇAMENTO COM DESON'!A170</f>
        <v>2.2.2</v>
      </c>
      <c r="B960" s="214"/>
      <c r="C960" s="215"/>
      <c r="D960" s="216" t="str">
        <f>'ORÇAMENTO COM DESON'!D170</f>
        <v>CONCRETO FCK = 25MPA, TRAÇO 1:2,3:2,7 (EM MASSA SECA DE CIMENTO/ AREIA MÉDIA/ BRITA 1) - PREPARO MECÂNICO COM BETONEIRA 400 L. AF_05/2021</v>
      </c>
      <c r="E960" s="214" t="str">
        <f>'ORÇAMENTO COM DESON'!E170</f>
        <v>m³</v>
      </c>
      <c r="F960" s="217"/>
      <c r="G960" s="217"/>
      <c r="H960" s="217"/>
      <c r="I960" s="218"/>
      <c r="J960" s="217"/>
      <c r="K960" s="202"/>
    </row>
    <row r="961" spans="1:11" x14ac:dyDescent="0.2">
      <c r="A961" s="206"/>
      <c r="B961" s="206"/>
      <c r="C961" s="207"/>
      <c r="D961" s="219"/>
      <c r="E961" s="182"/>
      <c r="F961" s="185" t="s">
        <v>149</v>
      </c>
      <c r="G961" s="185" t="s">
        <v>158</v>
      </c>
      <c r="H961" s="185" t="s">
        <v>159</v>
      </c>
      <c r="I961" s="185" t="s">
        <v>139</v>
      </c>
      <c r="J961" s="220"/>
      <c r="K961" s="195"/>
    </row>
    <row r="962" spans="1:11" x14ac:dyDescent="0.2">
      <c r="A962" s="206"/>
      <c r="B962" s="206"/>
      <c r="C962" s="207"/>
      <c r="D962" s="233" t="s">
        <v>477</v>
      </c>
      <c r="E962" s="182" t="s">
        <v>20</v>
      </c>
      <c r="F962" s="185"/>
      <c r="G962" s="185"/>
      <c r="H962" s="185"/>
      <c r="I962" s="185"/>
      <c r="J962" s="220"/>
      <c r="K962" s="195"/>
    </row>
    <row r="963" spans="1:11" x14ac:dyDescent="0.2">
      <c r="A963" s="206"/>
      <c r="B963" s="206"/>
      <c r="C963" s="207"/>
      <c r="D963" s="219"/>
      <c r="E963" s="182"/>
      <c r="F963" s="185">
        <v>0.6</v>
      </c>
      <c r="G963" s="185">
        <v>0.2</v>
      </c>
      <c r="H963" s="185">
        <v>0.6</v>
      </c>
      <c r="I963" s="185">
        <f>I948</f>
        <v>24</v>
      </c>
      <c r="J963" s="220">
        <f>ROUND(PRODUCT(F963:I963),2)</f>
        <v>1.73</v>
      </c>
      <c r="K963" s="195"/>
    </row>
    <row r="964" spans="1:11" x14ac:dyDescent="0.2">
      <c r="A964" s="206"/>
      <c r="B964" s="206"/>
      <c r="C964" s="207"/>
      <c r="D964" s="233" t="s">
        <v>479</v>
      </c>
      <c r="E964" s="182" t="s">
        <v>20</v>
      </c>
      <c r="F964" s="185"/>
      <c r="G964" s="185"/>
      <c r="H964" s="185"/>
      <c r="I964" s="222"/>
      <c r="J964" s="220"/>
      <c r="K964" s="195"/>
    </row>
    <row r="965" spans="1:11" x14ac:dyDescent="0.2">
      <c r="A965" s="206"/>
      <c r="B965" s="206"/>
      <c r="C965" s="207"/>
      <c r="D965" s="219"/>
      <c r="E965" s="182"/>
      <c r="F965" s="185">
        <f>F957</f>
        <v>72.239999999999995</v>
      </c>
      <c r="G965" s="185">
        <v>0.3</v>
      </c>
      <c r="H965" s="185">
        <v>0.2</v>
      </c>
      <c r="I965" s="222"/>
      <c r="J965" s="220">
        <f t="shared" ref="J965" si="104">ROUND(PRODUCT(F965:I965),2)</f>
        <v>4.33</v>
      </c>
      <c r="K965" s="195"/>
    </row>
    <row r="966" spans="1:11" x14ac:dyDescent="0.2">
      <c r="A966" s="206"/>
      <c r="B966" s="206"/>
      <c r="C966" s="207"/>
      <c r="D966" s="233" t="s">
        <v>480</v>
      </c>
      <c r="E966" s="182" t="s">
        <v>20</v>
      </c>
      <c r="F966" s="185"/>
      <c r="G966" s="185"/>
      <c r="H966" s="185"/>
      <c r="I966" s="185"/>
      <c r="J966" s="220"/>
      <c r="K966" s="195"/>
    </row>
    <row r="967" spans="1:11" x14ac:dyDescent="0.2">
      <c r="A967" s="206"/>
      <c r="B967" s="206"/>
      <c r="C967" s="207"/>
      <c r="D967" s="219"/>
      <c r="E967" s="182"/>
      <c r="F967" s="185">
        <v>0.25</v>
      </c>
      <c r="G967" s="185">
        <f>G957</f>
        <v>1.25</v>
      </c>
      <c r="H967" s="185">
        <v>0.12</v>
      </c>
      <c r="I967" s="185">
        <f>I963</f>
        <v>24</v>
      </c>
      <c r="J967" s="220">
        <f>ROUND(PRODUCT(F967:I967),2)</f>
        <v>0.9</v>
      </c>
      <c r="K967" s="195"/>
    </row>
    <row r="968" spans="1:11" x14ac:dyDescent="0.2">
      <c r="A968" s="206"/>
      <c r="B968" s="206"/>
      <c r="C968" s="207"/>
      <c r="D968" s="221"/>
      <c r="E968" s="182"/>
      <c r="F968" s="220"/>
      <c r="G968" s="220"/>
      <c r="H968" s="220"/>
      <c r="I968" s="218" t="str">
        <f>"Total item "&amp;A960</f>
        <v>Total item 2.2.2</v>
      </c>
      <c r="J968" s="217">
        <f>SUM(J962:J967)</f>
        <v>6.9600000000000009</v>
      </c>
      <c r="K968" s="195"/>
    </row>
    <row r="969" spans="1:11" s="50" customFormat="1" x14ac:dyDescent="0.2">
      <c r="A969" s="206"/>
      <c r="B969" s="206"/>
      <c r="C969" s="207"/>
      <c r="D969" s="208"/>
      <c r="E969" s="206"/>
      <c r="F969" s="209"/>
      <c r="G969" s="209"/>
      <c r="H969" s="209"/>
      <c r="I969" s="210"/>
      <c r="J969" s="209"/>
      <c r="K969" s="200"/>
    </row>
    <row r="970" spans="1:11" s="51" customFormat="1" ht="20.399999999999999" x14ac:dyDescent="0.2">
      <c r="A970" s="214" t="str">
        <f>'ORÇAMENTO COM DESON'!A171</f>
        <v>2.2.3</v>
      </c>
      <c r="B970" s="214"/>
      <c r="C970" s="215"/>
      <c r="D970" s="216" t="str">
        <f>'ORÇAMENTO COM DESON'!D171</f>
        <v>ARMAÇÃO DE BLOCO, VIGA BALDRAME OU SAPATA UTILIZANDO AÇO CA-50 DE 10 MM - MONTAGEM. AF_06/2017</v>
      </c>
      <c r="E970" s="214" t="str">
        <f>'ORÇAMENTO COM DESON'!E171</f>
        <v>kg</v>
      </c>
      <c r="F970" s="217"/>
      <c r="G970" s="217"/>
      <c r="H970" s="217"/>
      <c r="I970" s="218"/>
      <c r="J970" s="217"/>
      <c r="K970" s="202"/>
    </row>
    <row r="971" spans="1:11" ht="20.399999999999999" x14ac:dyDescent="0.2">
      <c r="A971" s="206"/>
      <c r="B971" s="206"/>
      <c r="C971" s="207"/>
      <c r="D971" s="219"/>
      <c r="E971" s="182"/>
      <c r="F971" s="224" t="s">
        <v>246</v>
      </c>
      <c r="G971" s="185" t="s">
        <v>244</v>
      </c>
      <c r="H971" s="185" t="s">
        <v>139</v>
      </c>
      <c r="I971" s="185"/>
      <c r="J971" s="220"/>
      <c r="K971" s="195"/>
    </row>
    <row r="972" spans="1:11" x14ac:dyDescent="0.2">
      <c r="A972" s="206"/>
      <c r="B972" s="206"/>
      <c r="C972" s="207"/>
      <c r="D972" s="219" t="s">
        <v>481</v>
      </c>
      <c r="E972" s="182" t="s">
        <v>189</v>
      </c>
      <c r="F972" s="185">
        <f>0.73*6</f>
        <v>4.38</v>
      </c>
      <c r="G972" s="225">
        <v>0.61699999999999999</v>
      </c>
      <c r="H972" s="185">
        <f>I963</f>
        <v>24</v>
      </c>
      <c r="I972" s="185"/>
      <c r="J972" s="220">
        <f t="shared" ref="J972:J973" si="105">ROUND(PRODUCT(F972:I972),2)</f>
        <v>64.86</v>
      </c>
      <c r="K972" s="195"/>
    </row>
    <row r="973" spans="1:11" x14ac:dyDescent="0.2">
      <c r="A973" s="206"/>
      <c r="B973" s="206"/>
      <c r="C973" s="207"/>
      <c r="D973" s="219" t="s">
        <v>482</v>
      </c>
      <c r="E973" s="182" t="s">
        <v>189</v>
      </c>
      <c r="F973" s="185">
        <f>SUM(F965:F965)</f>
        <v>72.239999999999995</v>
      </c>
      <c r="G973" s="225">
        <v>0.61699999999999999</v>
      </c>
      <c r="H973" s="185">
        <v>2</v>
      </c>
      <c r="I973" s="222"/>
      <c r="J973" s="220">
        <f t="shared" si="105"/>
        <v>89.14</v>
      </c>
      <c r="K973" s="195"/>
    </row>
    <row r="974" spans="1:11" x14ac:dyDescent="0.2">
      <c r="A974" s="206"/>
      <c r="B974" s="206"/>
      <c r="C974" s="207"/>
      <c r="D974" s="221"/>
      <c r="E974" s="182"/>
      <c r="F974" s="220"/>
      <c r="G974" s="220"/>
      <c r="H974" s="220"/>
      <c r="I974" s="218" t="str">
        <f>"Total item "&amp;A970</f>
        <v>Total item 2.2.3</v>
      </c>
      <c r="J974" s="217">
        <f>SUM(J972:J973)</f>
        <v>154</v>
      </c>
      <c r="K974" s="195"/>
    </row>
    <row r="975" spans="1:11" s="50" customFormat="1" x14ac:dyDescent="0.2">
      <c r="A975" s="206"/>
      <c r="B975" s="206"/>
      <c r="C975" s="207"/>
      <c r="D975" s="208"/>
      <c r="E975" s="206"/>
      <c r="F975" s="209"/>
      <c r="G975" s="209"/>
      <c r="H975" s="209"/>
      <c r="I975" s="210"/>
      <c r="J975" s="209"/>
      <c r="K975" s="200"/>
    </row>
    <row r="976" spans="1:11" s="51" customFormat="1" ht="20.399999999999999" x14ac:dyDescent="0.2">
      <c r="A976" s="214" t="str">
        <f>'ORÇAMENTO COM DESON'!A172</f>
        <v>2.2.4</v>
      </c>
      <c r="B976" s="214"/>
      <c r="C976" s="215"/>
      <c r="D976" s="216" t="str">
        <f>'ORÇAMENTO COM DESON'!D172</f>
        <v>ARMAÇÃO DE BLOCO, VIGA BALDRAME OU SAPATA UTILIZANDO AÇO CA-50 DE 8 MM - MONTAGEM. AF_06/2017</v>
      </c>
      <c r="E976" s="214" t="str">
        <f>'ORÇAMENTO COM DESON'!E172</f>
        <v>kg</v>
      </c>
      <c r="F976" s="217"/>
      <c r="G976" s="217"/>
      <c r="H976" s="217"/>
      <c r="I976" s="218"/>
      <c r="J976" s="217"/>
      <c r="K976" s="202"/>
    </row>
    <row r="977" spans="1:11" ht="20.399999999999999" x14ac:dyDescent="0.2">
      <c r="A977" s="206"/>
      <c r="B977" s="206"/>
      <c r="C977" s="207"/>
      <c r="D977" s="219"/>
      <c r="E977" s="182"/>
      <c r="F977" s="224" t="s">
        <v>246</v>
      </c>
      <c r="G977" s="185" t="s">
        <v>244</v>
      </c>
      <c r="H977" s="185" t="s">
        <v>139</v>
      </c>
      <c r="I977" s="185"/>
      <c r="J977" s="220"/>
      <c r="K977" s="195"/>
    </row>
    <row r="978" spans="1:11" x14ac:dyDescent="0.2">
      <c r="A978" s="206"/>
      <c r="B978" s="206"/>
      <c r="C978" s="207"/>
      <c r="D978" s="219" t="s">
        <v>483</v>
      </c>
      <c r="E978" s="182" t="s">
        <v>189</v>
      </c>
      <c r="F978" s="185">
        <f>F973</f>
        <v>72.239999999999995</v>
      </c>
      <c r="G978" s="225">
        <v>0.39500000000000002</v>
      </c>
      <c r="H978" s="185">
        <v>2</v>
      </c>
      <c r="I978" s="222"/>
      <c r="J978" s="220">
        <f>ROUND(PRODUCT(F978:I978),2)</f>
        <v>57.07</v>
      </c>
      <c r="K978" s="195"/>
    </row>
    <row r="979" spans="1:11" x14ac:dyDescent="0.2">
      <c r="A979" s="206"/>
      <c r="B979" s="206"/>
      <c r="C979" s="207"/>
      <c r="D979" s="221"/>
      <c r="E979" s="182"/>
      <c r="F979" s="220"/>
      <c r="G979" s="225"/>
      <c r="H979" s="220"/>
      <c r="I979" s="218" t="str">
        <f>"Total item "&amp;A976</f>
        <v>Total item 2.2.4</v>
      </c>
      <c r="J979" s="217">
        <f>SUM(J978:J978)</f>
        <v>57.07</v>
      </c>
      <c r="K979" s="195"/>
    </row>
    <row r="980" spans="1:11" s="50" customFormat="1" x14ac:dyDescent="0.2">
      <c r="A980" s="206"/>
      <c r="B980" s="206"/>
      <c r="C980" s="207"/>
      <c r="D980" s="208"/>
      <c r="E980" s="206"/>
      <c r="F980" s="209"/>
      <c r="G980" s="209"/>
      <c r="H980" s="209"/>
      <c r="I980" s="210"/>
      <c r="J980" s="209"/>
      <c r="K980" s="200"/>
    </row>
    <row r="981" spans="1:11" s="51" customFormat="1" ht="20.399999999999999" x14ac:dyDescent="0.2">
      <c r="A981" s="214" t="str">
        <f>'ORÇAMENTO COM DESON'!A173</f>
        <v>2.2.5</v>
      </c>
      <c r="B981" s="214"/>
      <c r="C981" s="215"/>
      <c r="D981" s="216" t="str">
        <f>'ORÇAMENTO COM DESON'!D173</f>
        <v>ARMAÇÃO DE BLOCO, VIGA BALDRAME OU SAPATA UTILIZANDO AÇO CA-50 DE 6,3 MM - MONTAGEM. AF_06/2017</v>
      </c>
      <c r="E981" s="214" t="str">
        <f>'ORÇAMENTO COM DESON'!E173</f>
        <v>kg</v>
      </c>
      <c r="F981" s="217"/>
      <c r="G981" s="217"/>
      <c r="H981" s="217"/>
      <c r="I981" s="218"/>
      <c r="J981" s="217"/>
      <c r="K981" s="202"/>
    </row>
    <row r="982" spans="1:11" ht="20.399999999999999" x14ac:dyDescent="0.2">
      <c r="A982" s="206"/>
      <c r="B982" s="206"/>
      <c r="C982" s="207"/>
      <c r="D982" s="219"/>
      <c r="E982" s="182"/>
      <c r="F982" s="224" t="s">
        <v>246</v>
      </c>
      <c r="G982" s="185" t="s">
        <v>244</v>
      </c>
      <c r="H982" s="185" t="s">
        <v>139</v>
      </c>
      <c r="I982" s="185"/>
      <c r="J982" s="220"/>
      <c r="K982" s="195"/>
    </row>
    <row r="983" spans="1:11" x14ac:dyDescent="0.2">
      <c r="A983" s="206"/>
      <c r="B983" s="206"/>
      <c r="C983" s="207"/>
      <c r="D983" s="219"/>
      <c r="E983" s="182"/>
      <c r="F983" s="185"/>
      <c r="G983" s="225"/>
      <c r="H983" s="185"/>
      <c r="I983" s="185"/>
      <c r="J983" s="220"/>
      <c r="K983" s="195"/>
    </row>
    <row r="984" spans="1:11" x14ac:dyDescent="0.2">
      <c r="A984" s="206"/>
      <c r="B984" s="206"/>
      <c r="C984" s="207"/>
      <c r="D984" s="219" t="s">
        <v>484</v>
      </c>
      <c r="E984" s="182" t="s">
        <v>189</v>
      </c>
      <c r="F984" s="81">
        <f>((((0.3-0.05))*2)+((0.2-0.05)*2))+0.1</f>
        <v>0.9</v>
      </c>
      <c r="G984" s="225">
        <v>0.245</v>
      </c>
      <c r="H984" s="185">
        <f>F978/0.15</f>
        <v>481.59999999999997</v>
      </c>
      <c r="I984" s="222"/>
      <c r="J984" s="220">
        <f>ROUND(PRODUCT(G984:I984),2)</f>
        <v>117.99</v>
      </c>
      <c r="K984" s="195"/>
    </row>
    <row r="985" spans="1:11" x14ac:dyDescent="0.2">
      <c r="A985" s="206"/>
      <c r="B985" s="206"/>
      <c r="C985" s="207"/>
      <c r="D985" s="221"/>
      <c r="E985" s="182"/>
      <c r="F985" s="220"/>
      <c r="G985" s="220"/>
      <c r="H985" s="220"/>
      <c r="I985" s="218" t="str">
        <f>"Total item "&amp;A981</f>
        <v>Total item 2.2.5</v>
      </c>
      <c r="J985" s="217">
        <f>SUM(J984)</f>
        <v>117.99</v>
      </c>
      <c r="K985" s="195"/>
    </row>
    <row r="986" spans="1:11" s="50" customFormat="1" x14ac:dyDescent="0.2">
      <c r="A986" s="206"/>
      <c r="B986" s="206"/>
      <c r="C986" s="207"/>
      <c r="D986" s="208"/>
      <c r="E986" s="206"/>
      <c r="F986" s="209"/>
      <c r="G986" s="209"/>
      <c r="H986" s="209"/>
      <c r="I986" s="210"/>
      <c r="J986" s="209"/>
      <c r="K986" s="200"/>
    </row>
    <row r="987" spans="1:11" s="51" customFormat="1" ht="30.6" x14ac:dyDescent="0.2">
      <c r="A987" s="214" t="str">
        <f>'ORÇAMENTO COM DESON'!A174</f>
        <v>2.2.6</v>
      </c>
      <c r="B987" s="214"/>
      <c r="C987" s="215"/>
      <c r="D987" s="216" t="str">
        <f>'ORÇAMENTO COM DESON'!D174</f>
        <v>FABRICAÇÃO, MONTAGEM E DESMONTAGEM DE FÔRMA PARA VIGA BALDRAME, EM MADEIRA SERRADA, E=25 MM, 4 UTILIZAÇÕES. AF_06/2017</v>
      </c>
      <c r="E987" s="214" t="str">
        <f>'ORÇAMENTO COM DESON'!E174</f>
        <v>m²</v>
      </c>
      <c r="F987" s="217"/>
      <c r="G987" s="217"/>
      <c r="H987" s="217"/>
      <c r="I987" s="218"/>
      <c r="J987" s="217"/>
      <c r="K987" s="202"/>
    </row>
    <row r="988" spans="1:11" x14ac:dyDescent="0.2">
      <c r="A988" s="206"/>
      <c r="B988" s="206"/>
      <c r="C988" s="207"/>
      <c r="D988" s="219"/>
      <c r="E988" s="182"/>
      <c r="F988" s="185" t="s">
        <v>149</v>
      </c>
      <c r="G988" s="185" t="s">
        <v>158</v>
      </c>
      <c r="H988" s="185" t="s">
        <v>159</v>
      </c>
      <c r="I988" s="185" t="s">
        <v>139</v>
      </c>
      <c r="J988" s="220"/>
      <c r="K988" s="195"/>
    </row>
    <row r="989" spans="1:11" x14ac:dyDescent="0.2">
      <c r="A989" s="206"/>
      <c r="B989" s="206"/>
      <c r="C989" s="207"/>
      <c r="D989" s="219" t="s">
        <v>476</v>
      </c>
      <c r="E989" s="182" t="s">
        <v>8</v>
      </c>
      <c r="F989" s="185">
        <f>F965</f>
        <v>72.239999999999995</v>
      </c>
      <c r="G989" s="185">
        <f>G965*2</f>
        <v>0.6</v>
      </c>
      <c r="H989" s="185"/>
      <c r="I989" s="222"/>
      <c r="J989" s="220">
        <f t="shared" ref="J989" si="106">ROUND(PRODUCT(F989:I989),2)</f>
        <v>43.34</v>
      </c>
      <c r="K989" s="195"/>
    </row>
    <row r="990" spans="1:11" x14ac:dyDescent="0.2">
      <c r="A990" s="206"/>
      <c r="B990" s="206"/>
      <c r="C990" s="207"/>
      <c r="D990" s="221"/>
      <c r="E990" s="182"/>
      <c r="F990" s="220"/>
      <c r="G990" s="220"/>
      <c r="H990" s="220"/>
      <c r="I990" s="218" t="str">
        <f>"Total item "&amp;A987</f>
        <v>Total item 2.2.6</v>
      </c>
      <c r="J990" s="217">
        <f>SUM(J989:J989)</f>
        <v>43.34</v>
      </c>
      <c r="K990" s="195"/>
    </row>
    <row r="991" spans="1:11" s="50" customFormat="1" x14ac:dyDescent="0.2">
      <c r="A991" s="206"/>
      <c r="B991" s="206"/>
      <c r="C991" s="207"/>
      <c r="D991" s="208"/>
      <c r="E991" s="206"/>
      <c r="F991" s="209"/>
      <c r="G991" s="209"/>
      <c r="H991" s="209"/>
      <c r="I991" s="210"/>
      <c r="J991" s="209"/>
      <c r="K991" s="200"/>
    </row>
    <row r="992" spans="1:11" s="51" customFormat="1" ht="30.6" x14ac:dyDescent="0.2">
      <c r="A992" s="214" t="str">
        <f>'ORÇAMENTO COM DESON'!A175</f>
        <v>2.2.7</v>
      </c>
      <c r="B992" s="214"/>
      <c r="C992" s="215"/>
      <c r="D992" s="216" t="str">
        <f>'ORÇAMENTO COM DESON'!D175</f>
        <v>LASTRO DE CONCRETO MAGRO, APLICADO EM BLOCOS DE COROAMENTO OU SAPATAS, ESPESSURA DE 5 CM. AF_08/2017</v>
      </c>
      <c r="E992" s="214" t="str">
        <f>'ORÇAMENTO COM DESON'!E175</f>
        <v>m²</v>
      </c>
      <c r="F992" s="217"/>
      <c r="G992" s="217"/>
      <c r="H992" s="217"/>
      <c r="I992" s="218"/>
      <c r="J992" s="217"/>
      <c r="K992" s="202"/>
    </row>
    <row r="993" spans="1:11" x14ac:dyDescent="0.2">
      <c r="A993" s="206"/>
      <c r="B993" s="206"/>
      <c r="C993" s="207"/>
      <c r="D993" s="219"/>
      <c r="E993" s="182"/>
      <c r="F993" s="185" t="s">
        <v>149</v>
      </c>
      <c r="G993" s="185" t="s">
        <v>159</v>
      </c>
      <c r="H993" s="185" t="s">
        <v>139</v>
      </c>
      <c r="I993" s="185" t="s">
        <v>18</v>
      </c>
      <c r="J993" s="220"/>
      <c r="K993" s="195"/>
    </row>
    <row r="994" spans="1:11" x14ac:dyDescent="0.2">
      <c r="A994" s="206"/>
      <c r="B994" s="206"/>
      <c r="C994" s="207"/>
      <c r="D994" s="219" t="s">
        <v>485</v>
      </c>
      <c r="E994" s="182" t="s">
        <v>8</v>
      </c>
      <c r="F994" s="185">
        <f>F963</f>
        <v>0.6</v>
      </c>
      <c r="G994" s="185">
        <f>H963</f>
        <v>0.6</v>
      </c>
      <c r="H994" s="185">
        <f>I963</f>
        <v>24</v>
      </c>
      <c r="I994" s="222"/>
      <c r="J994" s="220">
        <f>ROUND(PRODUCT(F994:I994),2)</f>
        <v>8.64</v>
      </c>
      <c r="K994" s="195"/>
    </row>
    <row r="995" spans="1:11" x14ac:dyDescent="0.2">
      <c r="A995" s="206"/>
      <c r="B995" s="206"/>
      <c r="C995" s="207"/>
      <c r="D995" s="221"/>
      <c r="E995" s="182"/>
      <c r="F995" s="220"/>
      <c r="G995" s="220"/>
      <c r="H995" s="220"/>
      <c r="I995" s="218" t="str">
        <f>"Total item "&amp;A992</f>
        <v>Total item 2.2.7</v>
      </c>
      <c r="J995" s="217">
        <f>SUM(J994:J994)</f>
        <v>8.64</v>
      </c>
      <c r="K995" s="195"/>
    </row>
    <row r="996" spans="1:11" s="50" customFormat="1" x14ac:dyDescent="0.2">
      <c r="A996" s="206"/>
      <c r="B996" s="206"/>
      <c r="C996" s="207"/>
      <c r="D996" s="208"/>
      <c r="E996" s="206"/>
      <c r="F996" s="209"/>
      <c r="G996" s="209"/>
      <c r="H996" s="209"/>
      <c r="I996" s="210"/>
      <c r="J996" s="209"/>
      <c r="K996" s="200"/>
    </row>
    <row r="997" spans="1:11" x14ac:dyDescent="0.2">
      <c r="A997" s="175" t="str">
        <f>'ORÇAMENTO COM DESON'!A176</f>
        <v>2.3</v>
      </c>
      <c r="B997" s="176"/>
      <c r="C997" s="177"/>
      <c r="D997" s="211" t="str">
        <f>'ORÇAMENTO COM DESON'!D176</f>
        <v>SUPERESTRUTURA</v>
      </c>
      <c r="E997" s="176"/>
      <c r="F997" s="212"/>
      <c r="G997" s="212"/>
      <c r="H997" s="212"/>
      <c r="I997" s="213"/>
      <c r="J997" s="212"/>
    </row>
    <row r="998" spans="1:11" x14ac:dyDescent="0.2">
      <c r="A998" s="206"/>
      <c r="B998" s="206"/>
      <c r="C998" s="207"/>
      <c r="D998" s="208"/>
      <c r="E998" s="206"/>
      <c r="F998" s="209"/>
      <c r="G998" s="209"/>
      <c r="H998" s="209"/>
      <c r="I998" s="210"/>
      <c r="J998" s="209"/>
    </row>
    <row r="999" spans="1:11" ht="20.399999999999999" x14ac:dyDescent="0.2">
      <c r="A999" s="214" t="str">
        <f>'ORÇAMENTO COM DESON'!A177</f>
        <v>2.3.1</v>
      </c>
      <c r="B999" s="214"/>
      <c r="C999" s="215"/>
      <c r="D999" s="216" t="str">
        <f>'ORÇAMENTO COM DESON'!D177</f>
        <v>DEMOLIÇÃO DE ALVENARIA DE TIJOLOS S/ REAPROVEITAMENTO</v>
      </c>
      <c r="E999" s="214" t="str">
        <f>'ORÇAMENTO COM DESON'!E177</f>
        <v>m³</v>
      </c>
      <c r="F999" s="217"/>
      <c r="G999" s="217"/>
      <c r="H999" s="217"/>
      <c r="I999" s="218"/>
      <c r="J999" s="217"/>
    </row>
    <row r="1000" spans="1:11" x14ac:dyDescent="0.2">
      <c r="A1000" s="206"/>
      <c r="B1000" s="206"/>
      <c r="C1000" s="207"/>
      <c r="D1000" s="219"/>
      <c r="E1000" s="182"/>
      <c r="F1000" s="185"/>
      <c r="G1000" s="185" t="s">
        <v>159</v>
      </c>
      <c r="H1000" s="185" t="s">
        <v>158</v>
      </c>
      <c r="I1000" s="185"/>
      <c r="J1000" s="220"/>
    </row>
    <row r="1001" spans="1:11" x14ac:dyDescent="0.2">
      <c r="A1001" s="206"/>
      <c r="B1001" s="206"/>
      <c r="C1001" s="207"/>
      <c r="D1001" s="219" t="s">
        <v>434</v>
      </c>
      <c r="E1001" s="182"/>
      <c r="F1001" s="185"/>
      <c r="G1001" s="185">
        <v>1</v>
      </c>
      <c r="H1001" s="220">
        <v>2.1</v>
      </c>
      <c r="I1001" s="222"/>
      <c r="J1001" s="220">
        <f>ROUND(PRODUCT(F1001:I1001),2)</f>
        <v>2.1</v>
      </c>
    </row>
    <row r="1002" spans="1:11" x14ac:dyDescent="0.2">
      <c r="A1002" s="206"/>
      <c r="B1002" s="206"/>
      <c r="C1002" s="207"/>
      <c r="D1002" s="233" t="s">
        <v>443</v>
      </c>
      <c r="E1002" s="182"/>
      <c r="F1002" s="185"/>
      <c r="G1002" s="185"/>
      <c r="H1002" s="220"/>
      <c r="I1002" s="222"/>
      <c r="J1002" s="220"/>
    </row>
    <row r="1003" spans="1:11" x14ac:dyDescent="0.2">
      <c r="A1003" s="206"/>
      <c r="B1003" s="206"/>
      <c r="C1003" s="207"/>
      <c r="D1003" s="219" t="s">
        <v>437</v>
      </c>
      <c r="E1003" s="182"/>
      <c r="F1003" s="185"/>
      <c r="G1003" s="185">
        <v>0.1</v>
      </c>
      <c r="H1003" s="220">
        <v>2.1</v>
      </c>
      <c r="I1003" s="222"/>
      <c r="J1003" s="220">
        <f t="shared" ref="J1003:J1005" si="107">ROUND(PRODUCT(F1003:I1003),2)</f>
        <v>0.21</v>
      </c>
    </row>
    <row r="1004" spans="1:11" x14ac:dyDescent="0.2">
      <c r="A1004" s="206"/>
      <c r="B1004" s="206"/>
      <c r="C1004" s="207"/>
      <c r="D1004" s="219" t="s">
        <v>439</v>
      </c>
      <c r="E1004" s="182"/>
      <c r="F1004" s="185"/>
      <c r="G1004" s="185">
        <v>0.1</v>
      </c>
      <c r="H1004" s="220">
        <v>2.1</v>
      </c>
      <c r="I1004" s="222"/>
      <c r="J1004" s="220">
        <f t="shared" si="107"/>
        <v>0.21</v>
      </c>
    </row>
    <row r="1005" spans="1:11" x14ac:dyDescent="0.2">
      <c r="A1005" s="206"/>
      <c r="B1005" s="206"/>
      <c r="C1005" s="207"/>
      <c r="D1005" s="219" t="s">
        <v>438</v>
      </c>
      <c r="E1005" s="182"/>
      <c r="F1005" s="185"/>
      <c r="G1005" s="185">
        <v>0.2</v>
      </c>
      <c r="H1005" s="220">
        <v>2.1</v>
      </c>
      <c r="I1005" s="222"/>
      <c r="J1005" s="220">
        <f t="shared" si="107"/>
        <v>0.42</v>
      </c>
    </row>
    <row r="1006" spans="1:11" x14ac:dyDescent="0.2">
      <c r="A1006" s="206"/>
      <c r="B1006" s="206"/>
      <c r="C1006" s="207"/>
      <c r="D1006" s="221"/>
      <c r="E1006" s="182"/>
      <c r="F1006" s="220"/>
      <c r="G1006" s="220"/>
      <c r="H1006" s="220"/>
      <c r="I1006" s="218" t="str">
        <f>"Total item "&amp;A999</f>
        <v>Total item 2.3.1</v>
      </c>
      <c r="J1006" s="217">
        <f>SUM(J1001:J1005)</f>
        <v>2.94</v>
      </c>
    </row>
    <row r="1007" spans="1:11" x14ac:dyDescent="0.2">
      <c r="A1007" s="206"/>
      <c r="B1007" s="206"/>
      <c r="C1007" s="207"/>
      <c r="D1007" s="208"/>
      <c r="E1007" s="206"/>
      <c r="F1007" s="209"/>
      <c r="G1007" s="209"/>
      <c r="H1007" s="209"/>
      <c r="I1007" s="210"/>
      <c r="J1007" s="209"/>
    </row>
    <row r="1008" spans="1:11" s="51" customFormat="1" ht="30.6" x14ac:dyDescent="0.2">
      <c r="A1008" s="214" t="str">
        <f>'ORÇAMENTO COM DESON'!A178</f>
        <v>2.3.2</v>
      </c>
      <c r="B1008" s="214"/>
      <c r="C1008" s="215"/>
      <c r="D1008" s="216" t="str">
        <f>'ORÇAMENTO COM DESON'!D178</f>
        <v>CONCRETAGEM DE PILARES, FCK = 25 MPA, COM USO DE BALDES - LANÇAMENTO, ADENSAMENTO E ACABAMENTO. AF_02/2022</v>
      </c>
      <c r="E1008" s="214" t="str">
        <f>'ORÇAMENTO COM DESON'!E178</f>
        <v>m³</v>
      </c>
      <c r="F1008" s="217"/>
      <c r="G1008" s="217"/>
      <c r="H1008" s="217"/>
      <c r="I1008" s="218"/>
      <c r="J1008" s="217"/>
      <c r="K1008" s="202"/>
    </row>
    <row r="1009" spans="1:12" x14ac:dyDescent="0.2">
      <c r="A1009" s="206"/>
      <c r="B1009" s="206"/>
      <c r="C1009" s="207"/>
      <c r="D1009" s="219"/>
      <c r="E1009" s="182"/>
      <c r="F1009" s="185" t="s">
        <v>149</v>
      </c>
      <c r="G1009" s="185" t="s">
        <v>158</v>
      </c>
      <c r="H1009" s="185" t="s">
        <v>159</v>
      </c>
      <c r="I1009" s="185" t="s">
        <v>139</v>
      </c>
      <c r="J1009" s="220"/>
      <c r="K1009" s="195"/>
    </row>
    <row r="1010" spans="1:12" x14ac:dyDescent="0.2">
      <c r="A1010" s="206"/>
      <c r="B1010" s="206"/>
      <c r="C1010" s="207"/>
      <c r="D1010" s="219" t="s">
        <v>476</v>
      </c>
      <c r="E1010" s="182" t="s">
        <v>20</v>
      </c>
      <c r="F1010" s="185">
        <v>0.25</v>
      </c>
      <c r="G1010" s="185">
        <f>0.3+0.6+1.4</f>
        <v>2.2999999999999998</v>
      </c>
      <c r="H1010" s="185">
        <v>0.12</v>
      </c>
      <c r="I1010" s="223">
        <f>I967</f>
        <v>24</v>
      </c>
      <c r="J1010" s="220">
        <f>ROUND(PRODUCT(F1010:I1010),2)</f>
        <v>1.66</v>
      </c>
      <c r="K1010" s="195"/>
    </row>
    <row r="1011" spans="1:12" x14ac:dyDescent="0.2">
      <c r="A1011" s="206"/>
      <c r="B1011" s="206"/>
      <c r="C1011" s="207"/>
      <c r="D1011" s="221"/>
      <c r="E1011" s="182"/>
      <c r="F1011" s="220"/>
      <c r="G1011" s="220"/>
      <c r="H1011" s="220"/>
      <c r="I1011" s="218" t="str">
        <f>"Total item "&amp;A1008</f>
        <v>Total item 2.3.2</v>
      </c>
      <c r="J1011" s="217">
        <f>SUM(J1010:J1010)</f>
        <v>1.66</v>
      </c>
      <c r="K1011" s="195"/>
    </row>
    <row r="1012" spans="1:12" s="50" customFormat="1" x14ac:dyDescent="0.2">
      <c r="A1012" s="206"/>
      <c r="B1012" s="206"/>
      <c r="C1012" s="207"/>
      <c r="D1012" s="208"/>
      <c r="E1012" s="206"/>
      <c r="F1012" s="209"/>
      <c r="G1012" s="209"/>
      <c r="H1012" s="209"/>
      <c r="I1012" s="210"/>
      <c r="J1012" s="209"/>
      <c r="K1012" s="200"/>
    </row>
    <row r="1013" spans="1:12" s="51" customFormat="1" ht="30.6" x14ac:dyDescent="0.2">
      <c r="A1013" s="214" t="str">
        <f>'ORÇAMENTO COM DESON'!A179</f>
        <v>2.3.3</v>
      </c>
      <c r="B1013" s="214"/>
      <c r="C1013" s="215"/>
      <c r="D1013" s="216" t="str">
        <f>'ORÇAMENTO COM DESON'!D179</f>
        <v>ARMAÇÃO DE PILAR OU VIGA DE ESTRUTURA DE CONCRETO ARMADO EMBUTIDA EM ALVENARIA DE VEDAÇÃO UTILIZANDO AÇO CA-50 DE 10,0 MM - MONTAGEM. AF_06/ 2022</v>
      </c>
      <c r="E1013" s="214" t="str">
        <f>'ORÇAMENTO COM DESON'!E179</f>
        <v>kg</v>
      </c>
      <c r="F1013" s="217"/>
      <c r="G1013" s="217"/>
      <c r="H1013" s="217"/>
      <c r="I1013" s="218"/>
      <c r="J1013" s="217"/>
      <c r="K1013" s="202"/>
    </row>
    <row r="1014" spans="1:12" ht="20.399999999999999" x14ac:dyDescent="0.2">
      <c r="A1014" s="206"/>
      <c r="B1014" s="206"/>
      <c r="C1014" s="207"/>
      <c r="D1014" s="219"/>
      <c r="E1014" s="182"/>
      <c r="F1014" s="224" t="s">
        <v>253</v>
      </c>
      <c r="G1014" s="224" t="s">
        <v>252</v>
      </c>
      <c r="H1014" s="185" t="s">
        <v>254</v>
      </c>
      <c r="I1014" s="226" t="s">
        <v>256</v>
      </c>
      <c r="J1014" s="220"/>
      <c r="K1014" s="195"/>
    </row>
    <row r="1015" spans="1:12" x14ac:dyDescent="0.2">
      <c r="A1015" s="206"/>
      <c r="B1015" s="206"/>
      <c r="C1015" s="207"/>
      <c r="D1015" s="219" t="s">
        <v>25</v>
      </c>
      <c r="E1015" s="182" t="s">
        <v>189</v>
      </c>
      <c r="F1015" s="185">
        <f>(G1010+0.5)*4</f>
        <v>11.2</v>
      </c>
      <c r="G1015" s="185">
        <f>I1010</f>
        <v>24</v>
      </c>
      <c r="H1015" s="243">
        <v>0.61699999999999999</v>
      </c>
      <c r="I1015" s="156"/>
      <c r="J1015" s="220">
        <f>ROUND(PRODUCT(F1015:I1015),2)</f>
        <v>165.85</v>
      </c>
      <c r="K1015" s="195"/>
    </row>
    <row r="1016" spans="1:12" x14ac:dyDescent="0.2">
      <c r="A1016" s="206"/>
      <c r="B1016" s="206"/>
      <c r="C1016" s="207"/>
      <c r="D1016" s="221"/>
      <c r="E1016" s="182"/>
      <c r="F1016" s="220"/>
      <c r="G1016" s="220"/>
      <c r="H1016" s="220"/>
      <c r="I1016" s="218" t="str">
        <f>"Total item "&amp;A1013</f>
        <v>Total item 2.3.3</v>
      </c>
      <c r="J1016" s="217">
        <f>SUM(J1015:J1015)</f>
        <v>165.85</v>
      </c>
      <c r="K1016" s="195"/>
    </row>
    <row r="1017" spans="1:12" s="50" customFormat="1" x14ac:dyDescent="0.2">
      <c r="A1017" s="206"/>
      <c r="B1017" s="206"/>
      <c r="C1017" s="207"/>
      <c r="D1017" s="208"/>
      <c r="E1017" s="206"/>
      <c r="F1017" s="209"/>
      <c r="G1017" s="209"/>
      <c r="H1017" s="209"/>
      <c r="I1017" s="210"/>
      <c r="J1017" s="209"/>
      <c r="K1017" s="200"/>
    </row>
    <row r="1018" spans="1:12" s="51" customFormat="1" ht="30.6" x14ac:dyDescent="0.2">
      <c r="A1018" s="214" t="str">
        <f>'ORÇAMENTO COM DESON'!A180</f>
        <v>2.3.4</v>
      </c>
      <c r="B1018" s="214"/>
      <c r="C1018" s="215"/>
      <c r="D1018" s="216" t="str">
        <f>'ORÇAMENTO COM DESON'!D180</f>
        <v>ARMAÇÃO DE PILAR OU VIGA DE ESTRUTURA DE CONCRETO ARMADO EMBUTIDA EM ALVENARIA DE VEDAÇÃO UTILIZANDO AÇO CA-50 DE 6,3 MM - MONTAGEM. AF_06/2 022</v>
      </c>
      <c r="E1018" s="214" t="str">
        <f>'ORÇAMENTO COM DESON'!E180</f>
        <v>kg</v>
      </c>
      <c r="F1018" s="217"/>
      <c r="G1018" s="217"/>
      <c r="H1018" s="217"/>
      <c r="I1018" s="218"/>
      <c r="J1018" s="217"/>
      <c r="K1018" s="202"/>
    </row>
    <row r="1019" spans="1:12" ht="20.399999999999999" x14ac:dyDescent="0.2">
      <c r="A1019" s="206"/>
      <c r="B1019" s="206"/>
      <c r="C1019" s="207"/>
      <c r="D1019" s="219"/>
      <c r="E1019" s="182"/>
      <c r="F1019" s="185" t="s">
        <v>149</v>
      </c>
      <c r="G1019" s="224" t="s">
        <v>251</v>
      </c>
      <c r="H1019" s="224" t="s">
        <v>255</v>
      </c>
      <c r="I1019" s="185" t="s">
        <v>254</v>
      </c>
      <c r="J1019" s="220"/>
      <c r="K1019" s="195"/>
    </row>
    <row r="1020" spans="1:12" x14ac:dyDescent="0.2">
      <c r="A1020" s="206"/>
      <c r="B1020" s="206"/>
      <c r="C1020" s="207"/>
      <c r="D1020" s="219" t="s">
        <v>433</v>
      </c>
      <c r="E1020" s="182" t="s">
        <v>189</v>
      </c>
      <c r="F1020" s="245">
        <f>0.54+0.1</f>
        <v>0.64</v>
      </c>
      <c r="G1020" s="185">
        <f>G1010/0.12</f>
        <v>19.166666666666664</v>
      </c>
      <c r="H1020" s="185">
        <f>I1010</f>
        <v>24</v>
      </c>
      <c r="I1020" s="225">
        <v>0.245</v>
      </c>
      <c r="J1020" s="220">
        <f>ROUND(PRODUCT(F1020:I1020),2)</f>
        <v>72.13</v>
      </c>
      <c r="K1020" s="244">
        <f>((0.3-0.05)*2)+((0.12-0.05)*2)+0.1</f>
        <v>0.74</v>
      </c>
      <c r="L1020" s="47">
        <f>((0.25-0.05)*2)+((0.12-0.05)*2)</f>
        <v>0.54</v>
      </c>
    </row>
    <row r="1021" spans="1:12" x14ac:dyDescent="0.2">
      <c r="A1021" s="206"/>
      <c r="B1021" s="206"/>
      <c r="C1021" s="207"/>
      <c r="D1021" s="221"/>
      <c r="E1021" s="182"/>
      <c r="F1021" s="220"/>
      <c r="G1021" s="220"/>
      <c r="H1021" s="220"/>
      <c r="I1021" s="218" t="str">
        <f>"Total item "&amp;A1018</f>
        <v>Total item 2.3.4</v>
      </c>
      <c r="J1021" s="217">
        <f>SUM(J1020:J1020)</f>
        <v>72.13</v>
      </c>
      <c r="K1021" s="195"/>
    </row>
    <row r="1022" spans="1:12" s="50" customFormat="1" x14ac:dyDescent="0.2">
      <c r="A1022" s="206"/>
      <c r="B1022" s="206"/>
      <c r="C1022" s="207"/>
      <c r="D1022" s="208"/>
      <c r="E1022" s="206"/>
      <c r="F1022" s="209"/>
      <c r="G1022" s="209"/>
      <c r="H1022" s="209"/>
      <c r="I1022" s="210"/>
      <c r="J1022" s="209"/>
      <c r="K1022" s="200"/>
    </row>
    <row r="1023" spans="1:12" s="51" customFormat="1" ht="32.25" customHeight="1" x14ac:dyDescent="0.2">
      <c r="A1023" s="214" t="str">
        <f>'ORÇAMENTO COM DESON'!A181</f>
        <v>2.3.5</v>
      </c>
      <c r="B1023" s="214"/>
      <c r="C1023" s="215"/>
      <c r="D1023" s="216" t="str">
        <f>'ORÇAMENTO COM DESON'!D181</f>
        <v>MONTAGEM E DESMONTAGEM DE FÔRMA DE PILARES RETANGULARES E ESTRUTURAS SIMILARES, PÉ-DIREITO SIMPLES, EM MADEIRA SERRADA, 4 UTILIZAÇÕES. AF_09
 /2020</v>
      </c>
      <c r="E1023" s="214" t="str">
        <f>'ORÇAMENTO COM DESON'!E181</f>
        <v>m²</v>
      </c>
      <c r="F1023" s="217"/>
      <c r="G1023" s="217"/>
      <c r="H1023" s="217"/>
      <c r="I1023" s="218"/>
      <c r="J1023" s="217"/>
      <c r="K1023" s="202"/>
    </row>
    <row r="1024" spans="1:12" x14ac:dyDescent="0.2">
      <c r="A1024" s="206"/>
      <c r="B1024" s="206"/>
      <c r="C1024" s="207"/>
      <c r="D1024" s="219"/>
      <c r="E1024" s="182"/>
      <c r="F1024" s="226" t="s">
        <v>199</v>
      </c>
      <c r="G1024" s="227" t="s">
        <v>158</v>
      </c>
      <c r="H1024" s="185" t="s">
        <v>139</v>
      </c>
      <c r="I1024" s="185"/>
      <c r="J1024" s="220"/>
      <c r="K1024" s="195"/>
    </row>
    <row r="1025" spans="1:11" x14ac:dyDescent="0.2">
      <c r="A1025" s="206"/>
      <c r="B1025" s="206"/>
      <c r="C1025" s="207"/>
      <c r="D1025" s="219"/>
      <c r="E1025" s="182" t="s">
        <v>8</v>
      </c>
      <c r="F1025" s="185">
        <f>0.25+0.12+0.25+0.12</f>
        <v>0.74</v>
      </c>
      <c r="G1025" s="249">
        <f>G1010</f>
        <v>2.2999999999999998</v>
      </c>
      <c r="H1025" s="185">
        <f>I1010</f>
        <v>24</v>
      </c>
      <c r="I1025" s="222"/>
      <c r="J1025" s="220">
        <f>ROUND(PRODUCT(F1025:I1025),2)</f>
        <v>40.85</v>
      </c>
      <c r="K1025" s="195"/>
    </row>
    <row r="1026" spans="1:11" x14ac:dyDescent="0.2">
      <c r="A1026" s="206"/>
      <c r="B1026" s="206"/>
      <c r="C1026" s="207"/>
      <c r="D1026" s="221"/>
      <c r="E1026" s="182"/>
      <c r="F1026" s="220"/>
      <c r="G1026" s="220"/>
      <c r="H1026" s="220"/>
      <c r="I1026" s="218" t="str">
        <f>"Total item "&amp;A1023</f>
        <v>Total item 2.3.5</v>
      </c>
      <c r="J1026" s="217">
        <f>SUM(J1025:J1025)</f>
        <v>40.85</v>
      </c>
      <c r="K1026" s="195"/>
    </row>
    <row r="1027" spans="1:11" s="50" customFormat="1" x14ac:dyDescent="0.2">
      <c r="A1027" s="206"/>
      <c r="B1027" s="206"/>
      <c r="C1027" s="207"/>
      <c r="D1027" s="208"/>
      <c r="E1027" s="206"/>
      <c r="F1027" s="209"/>
      <c r="G1027" s="209"/>
      <c r="H1027" s="209"/>
      <c r="I1027" s="210"/>
      <c r="J1027" s="209"/>
      <c r="K1027" s="200"/>
    </row>
    <row r="1028" spans="1:11" x14ac:dyDescent="0.2">
      <c r="A1028" s="175" t="str">
        <f>'ORÇAMENTO COM DESON'!A182</f>
        <v>2.4</v>
      </c>
      <c r="B1028" s="176"/>
      <c r="C1028" s="177"/>
      <c r="D1028" s="211" t="str">
        <f>'ORÇAMENTO COM DESON'!D182</f>
        <v>ALVENARIA DE VEDAÇÃO</v>
      </c>
      <c r="E1028" s="176"/>
      <c r="F1028" s="212"/>
      <c r="G1028" s="212"/>
      <c r="H1028" s="212"/>
      <c r="I1028" s="213"/>
      <c r="J1028" s="212"/>
    </row>
    <row r="1029" spans="1:11" x14ac:dyDescent="0.2">
      <c r="A1029" s="206"/>
      <c r="B1029" s="206"/>
      <c r="C1029" s="207"/>
      <c r="D1029" s="208"/>
      <c r="E1029" s="206"/>
      <c r="F1029" s="209"/>
      <c r="G1029" s="209"/>
      <c r="H1029" s="209"/>
      <c r="I1029" s="210"/>
      <c r="J1029" s="209"/>
    </row>
    <row r="1030" spans="1:11" ht="20.399999999999999" x14ac:dyDescent="0.2">
      <c r="A1030" s="214" t="str">
        <f>'ORÇAMENTO COM DESON'!A183</f>
        <v>2.4.1</v>
      </c>
      <c r="B1030" s="214"/>
      <c r="C1030" s="215"/>
      <c r="D1030" s="216" t="str">
        <f>'ORÇAMENTO COM DESON'!D183</f>
        <v xml:space="preserve">VERGA PRÉ-MOLDADA PARA PORTAS COM ATÉ 1,5 M DE VÃO. AF_03/2016 </v>
      </c>
      <c r="E1030" s="214" t="str">
        <f>'ORÇAMENTO COM DESON'!E183</f>
        <v>m</v>
      </c>
      <c r="F1030" s="217"/>
      <c r="G1030" s="217"/>
      <c r="H1030" s="217"/>
      <c r="I1030" s="218"/>
      <c r="J1030" s="217"/>
    </row>
    <row r="1031" spans="1:11" x14ac:dyDescent="0.2">
      <c r="A1031" s="206"/>
      <c r="B1031" s="206"/>
      <c r="C1031" s="207"/>
      <c r="D1031" s="219"/>
      <c r="E1031" s="182"/>
      <c r="F1031" s="185" t="s">
        <v>156</v>
      </c>
      <c r="G1031" s="185"/>
      <c r="H1031" s="185"/>
      <c r="I1031" s="185"/>
      <c r="J1031" s="220"/>
    </row>
    <row r="1032" spans="1:11" x14ac:dyDescent="0.2">
      <c r="A1032" s="206"/>
      <c r="B1032" s="206"/>
      <c r="C1032" s="207"/>
      <c r="D1032" s="219" t="s">
        <v>434</v>
      </c>
      <c r="E1032" s="182" t="s">
        <v>8</v>
      </c>
      <c r="F1032" s="185">
        <f>1+0.3+0.3</f>
        <v>1.6</v>
      </c>
      <c r="G1032" s="185"/>
      <c r="H1032" s="185"/>
      <c r="I1032" s="222"/>
      <c r="J1032" s="220">
        <f>ROUND(PRODUCT(F1032:I1032),2)</f>
        <v>1.6</v>
      </c>
    </row>
    <row r="1033" spans="1:11" x14ac:dyDescent="0.2">
      <c r="A1033" s="206"/>
      <c r="B1033" s="206"/>
      <c r="C1033" s="207"/>
      <c r="D1033" s="182"/>
      <c r="E1033" s="182"/>
      <c r="F1033" s="220"/>
      <c r="G1033" s="220"/>
      <c r="H1033" s="220"/>
      <c r="I1033" s="218" t="str">
        <f>"Total item "&amp;A1030</f>
        <v>Total item 2.4.1</v>
      </c>
      <c r="J1033" s="217">
        <f>SUM(J1032:J1032)</f>
        <v>1.6</v>
      </c>
    </row>
    <row r="1034" spans="1:11" x14ac:dyDescent="0.2">
      <c r="A1034" s="206"/>
      <c r="B1034" s="206"/>
      <c r="C1034" s="207"/>
      <c r="D1034" s="182"/>
      <c r="E1034" s="206"/>
      <c r="F1034" s="209"/>
      <c r="G1034" s="209"/>
      <c r="H1034" s="209"/>
      <c r="I1034" s="210"/>
      <c r="J1034" s="209"/>
    </row>
    <row r="1035" spans="1:11" s="51" customFormat="1" ht="40.799999999999997" x14ac:dyDescent="0.2">
      <c r="A1035" s="214" t="str">
        <f>'ORÇAMENTO COM DESON'!A184</f>
        <v>2.4.2</v>
      </c>
      <c r="B1035" s="214"/>
      <c r="C1035" s="215"/>
      <c r="D1035" s="216" t="str">
        <f>'ORÇAMENTO COM DESON'!D184</f>
        <v>ALVENARIA DE VEDAÇÃO DE BLOCOS CERÂMICOS FURADOS NA HORIZONTAL DE 9X19 X29 CM (ESPESSURA 9 CM) E ARGAMASSA DE ASSENTAMENTO COM PREPARO EM BETONEIRA. AF_12/2021</v>
      </c>
      <c r="E1035" s="214" t="str">
        <f>'ORÇAMENTO COM DESON'!E184</f>
        <v>m²</v>
      </c>
      <c r="F1035" s="217"/>
      <c r="G1035" s="217"/>
      <c r="H1035" s="217"/>
      <c r="I1035" s="218"/>
      <c r="J1035" s="217"/>
      <c r="K1035" s="202"/>
    </row>
    <row r="1036" spans="1:11" x14ac:dyDescent="0.2">
      <c r="A1036" s="206"/>
      <c r="B1036" s="206"/>
      <c r="C1036" s="207"/>
      <c r="D1036" s="219"/>
      <c r="E1036" s="182"/>
      <c r="F1036" s="185" t="s">
        <v>156</v>
      </c>
      <c r="G1036" s="185" t="s">
        <v>155</v>
      </c>
      <c r="H1036" s="224"/>
      <c r="I1036" s="224"/>
      <c r="J1036" s="220"/>
      <c r="K1036" s="195"/>
    </row>
    <row r="1037" spans="1:11" x14ac:dyDescent="0.2">
      <c r="A1037" s="206"/>
      <c r="B1037" s="206"/>
      <c r="C1037" s="207"/>
      <c r="D1037" s="219" t="s">
        <v>476</v>
      </c>
      <c r="E1037" s="182" t="s">
        <v>8</v>
      </c>
      <c r="F1037" s="185">
        <f>F957-3</f>
        <v>69.239999999999995</v>
      </c>
      <c r="G1037" s="185">
        <v>0.6</v>
      </c>
      <c r="H1037" s="220"/>
      <c r="I1037" s="222"/>
      <c r="J1037" s="220">
        <f>ROUND(PRODUCT(F1037:I1037),2)</f>
        <v>41.54</v>
      </c>
      <c r="K1037" s="195"/>
    </row>
    <row r="1038" spans="1:11" x14ac:dyDescent="0.2">
      <c r="A1038" s="206"/>
      <c r="B1038" s="206"/>
      <c r="C1038" s="207"/>
      <c r="D1038" s="219"/>
      <c r="E1038" s="47"/>
      <c r="F1038" s="220"/>
      <c r="G1038" s="220"/>
      <c r="H1038" s="220"/>
      <c r="I1038" s="218" t="str">
        <f>"Total item "&amp;A1035</f>
        <v>Total item 2.4.2</v>
      </c>
      <c r="J1038" s="217">
        <f>SUM(J1037:J1037)</f>
        <v>41.54</v>
      </c>
      <c r="K1038" s="195"/>
    </row>
    <row r="1039" spans="1:11" s="50" customFormat="1" x14ac:dyDescent="0.2">
      <c r="A1039" s="206"/>
      <c r="B1039" s="206"/>
      <c r="C1039" s="207"/>
      <c r="D1039" s="219"/>
      <c r="E1039" s="206"/>
      <c r="F1039" s="209"/>
      <c r="G1039" s="209"/>
      <c r="H1039" s="209"/>
      <c r="I1039" s="210"/>
      <c r="J1039" s="209"/>
      <c r="K1039" s="200"/>
    </row>
    <row r="1040" spans="1:11" s="69" customFormat="1" x14ac:dyDescent="0.2">
      <c r="A1040" s="175" t="str">
        <f>'ORÇAMENTO COM DESON'!A185</f>
        <v>2.5</v>
      </c>
      <c r="B1040" s="176"/>
      <c r="C1040" s="177"/>
      <c r="D1040" s="211" t="str">
        <f>'ORÇAMENTO COM DESON'!D185</f>
        <v>IMPERMEABILIZAÇÃO</v>
      </c>
      <c r="E1040" s="176"/>
      <c r="F1040" s="212"/>
      <c r="G1040" s="212"/>
      <c r="H1040" s="212"/>
      <c r="I1040" s="213"/>
      <c r="J1040" s="212"/>
      <c r="K1040" s="201"/>
    </row>
    <row r="1041" spans="1:11" s="50" customFormat="1" x14ac:dyDescent="0.2">
      <c r="A1041" s="206"/>
      <c r="B1041" s="206"/>
      <c r="C1041" s="207"/>
      <c r="D1041" s="208"/>
      <c r="E1041" s="206"/>
      <c r="F1041" s="209"/>
      <c r="G1041" s="209"/>
      <c r="H1041" s="209"/>
      <c r="I1041" s="210"/>
      <c r="J1041" s="209"/>
      <c r="K1041" s="200"/>
    </row>
    <row r="1042" spans="1:11" s="51" customFormat="1" ht="20.399999999999999" x14ac:dyDescent="0.2">
      <c r="A1042" s="214" t="str">
        <f>'ORÇAMENTO COM DESON'!A186</f>
        <v>2.5.1</v>
      </c>
      <c r="B1042" s="214"/>
      <c r="C1042" s="215"/>
      <c r="D1042" s="216" t="str">
        <f>'ORÇAMENTO COM DESON'!D186</f>
        <v>IMPERMEABILIZAÇÃO DE SUPERFÍCIE COM EMULSÃO ASFÁLTICA, 2 DEMÃOS AF_06/2018</v>
      </c>
      <c r="E1042" s="214" t="str">
        <f>'ORÇAMENTO COM DESON'!E186</f>
        <v>m²</v>
      </c>
      <c r="F1042" s="217"/>
      <c r="G1042" s="217"/>
      <c r="H1042" s="217"/>
      <c r="I1042" s="218"/>
      <c r="J1042" s="217"/>
      <c r="K1042" s="202"/>
    </row>
    <row r="1043" spans="1:11" x14ac:dyDescent="0.2">
      <c r="A1043" s="206"/>
      <c r="B1043" s="206"/>
      <c r="C1043" s="207"/>
      <c r="D1043" s="219"/>
      <c r="E1043" s="182"/>
      <c r="F1043" s="185" t="s">
        <v>156</v>
      </c>
      <c r="G1043" s="185"/>
      <c r="H1043" s="185" t="s">
        <v>159</v>
      </c>
      <c r="I1043" s="185"/>
      <c r="J1043" s="220"/>
      <c r="K1043" s="195"/>
    </row>
    <row r="1044" spans="1:11" x14ac:dyDescent="0.2">
      <c r="A1044" s="206"/>
      <c r="B1044" s="206"/>
      <c r="C1044" s="207"/>
      <c r="D1044" s="233"/>
      <c r="E1044" s="182" t="s">
        <v>8</v>
      </c>
      <c r="F1044" s="185"/>
      <c r="G1044" s="185"/>
      <c r="H1044" s="185"/>
      <c r="I1044" s="222"/>
      <c r="J1044" s="220"/>
      <c r="K1044" s="195"/>
    </row>
    <row r="1045" spans="1:11" x14ac:dyDescent="0.2">
      <c r="A1045" s="206"/>
      <c r="B1045" s="206"/>
      <c r="C1045" s="207"/>
      <c r="D1045" s="219" t="s">
        <v>496</v>
      </c>
      <c r="E1045" s="182"/>
      <c r="F1045" s="185">
        <f>F957</f>
        <v>72.239999999999995</v>
      </c>
      <c r="G1045" s="234"/>
      <c r="H1045" s="185">
        <f>0.4+0.2+0.4</f>
        <v>1</v>
      </c>
      <c r="I1045" s="222"/>
      <c r="J1045" s="220">
        <f t="shared" ref="J1045" si="108">ROUND(PRODUCT(F1045:I1045),2)</f>
        <v>72.239999999999995</v>
      </c>
      <c r="K1045" s="195"/>
    </row>
    <row r="1046" spans="1:11" x14ac:dyDescent="0.2">
      <c r="A1046" s="206"/>
      <c r="B1046" s="206"/>
      <c r="C1046" s="207"/>
      <c r="D1046" s="182"/>
      <c r="E1046" s="182"/>
      <c r="F1046" s="220"/>
      <c r="G1046" s="220"/>
      <c r="H1046" s="220"/>
      <c r="I1046" s="218" t="str">
        <f>"Total item "&amp;A1042</f>
        <v>Total item 2.5.1</v>
      </c>
      <c r="J1046" s="217">
        <f>SUM(J1044:J1045)</f>
        <v>72.239999999999995</v>
      </c>
      <c r="K1046" s="195"/>
    </row>
    <row r="1047" spans="1:11" s="50" customFormat="1" x14ac:dyDescent="0.2">
      <c r="A1047" s="206"/>
      <c r="B1047" s="206"/>
      <c r="C1047" s="207"/>
      <c r="D1047" s="182"/>
      <c r="E1047" s="206"/>
      <c r="F1047" s="209"/>
      <c r="G1047" s="209"/>
      <c r="H1047" s="209"/>
      <c r="I1047" s="210"/>
      <c r="J1047" s="209"/>
      <c r="K1047" s="200"/>
    </row>
    <row r="1048" spans="1:11" x14ac:dyDescent="0.2">
      <c r="A1048" s="175" t="str">
        <f>'ORÇAMENTO COM DESON'!A187</f>
        <v>2.6</v>
      </c>
      <c r="B1048" s="176"/>
      <c r="C1048" s="177"/>
      <c r="D1048" s="211" t="str">
        <f>'ORÇAMENTO COM DESON'!D187</f>
        <v>REVESTIMENTOS</v>
      </c>
      <c r="E1048" s="176"/>
      <c r="F1048" s="212"/>
      <c r="G1048" s="212"/>
      <c r="H1048" s="212"/>
      <c r="I1048" s="213"/>
      <c r="J1048" s="212"/>
    </row>
    <row r="1049" spans="1:11" x14ac:dyDescent="0.2">
      <c r="A1049" s="206"/>
      <c r="B1049" s="206"/>
      <c r="C1049" s="207"/>
      <c r="D1049" s="208"/>
      <c r="E1049" s="206"/>
      <c r="F1049" s="209"/>
      <c r="G1049" s="209"/>
      <c r="H1049" s="209"/>
      <c r="I1049" s="210"/>
      <c r="J1049" s="209"/>
    </row>
    <row r="1050" spans="1:11" s="51" customFormat="1" x14ac:dyDescent="0.2">
      <c r="A1050" s="214" t="str">
        <f>'ORÇAMENTO COM DESON'!A188</f>
        <v>2.6.1</v>
      </c>
      <c r="B1050" s="214"/>
      <c r="C1050" s="215"/>
      <c r="D1050" s="216" t="str">
        <f>'ORÇAMENTO COM DESON'!D188</f>
        <v>DEMOLIÇÃO DE PISO CERÂMICO</v>
      </c>
      <c r="E1050" s="214" t="str">
        <f>'ORÇAMENTO COM DESON'!E188</f>
        <v>m²</v>
      </c>
      <c r="F1050" s="217"/>
      <c r="G1050" s="217"/>
      <c r="H1050" s="217"/>
      <c r="I1050" s="218"/>
      <c r="J1050" s="217"/>
      <c r="K1050" s="202"/>
    </row>
    <row r="1051" spans="1:11" x14ac:dyDescent="0.2">
      <c r="A1051" s="206"/>
      <c r="B1051" s="206"/>
      <c r="C1051" s="207"/>
      <c r="D1051" s="219"/>
      <c r="E1051" s="182"/>
      <c r="F1051" s="185" t="s">
        <v>18</v>
      </c>
      <c r="G1051" s="185"/>
      <c r="H1051" s="185"/>
      <c r="I1051" s="185"/>
      <c r="J1051" s="220"/>
      <c r="K1051" s="195"/>
    </row>
    <row r="1052" spans="1:11" x14ac:dyDescent="0.2">
      <c r="A1052" s="206"/>
      <c r="B1052" s="206"/>
      <c r="C1052" s="207"/>
      <c r="D1052" s="233"/>
      <c r="E1052" s="182" t="s">
        <v>8</v>
      </c>
      <c r="F1052" s="185"/>
      <c r="G1052" s="185"/>
      <c r="H1052" s="185"/>
      <c r="I1052" s="222"/>
      <c r="J1052" s="220"/>
      <c r="K1052" s="195"/>
    </row>
    <row r="1053" spans="1:11" x14ac:dyDescent="0.2">
      <c r="A1053" s="206"/>
      <c r="B1053" s="206"/>
      <c r="C1053" s="207"/>
      <c r="D1053" s="219" t="s">
        <v>749</v>
      </c>
      <c r="E1053" s="182"/>
      <c r="F1053" s="185">
        <v>10.220000000000001</v>
      </c>
      <c r="G1053" s="234"/>
      <c r="H1053" s="185"/>
      <c r="I1053" s="222"/>
      <c r="J1053" s="220">
        <f t="shared" ref="J1053:J1057" si="109">ROUND(PRODUCT(F1053:I1053),2)</f>
        <v>10.220000000000001</v>
      </c>
      <c r="K1053" s="195"/>
    </row>
    <row r="1054" spans="1:11" x14ac:dyDescent="0.2">
      <c r="A1054" s="206"/>
      <c r="B1054" s="206"/>
      <c r="C1054" s="207"/>
      <c r="D1054" s="219" t="s">
        <v>750</v>
      </c>
      <c r="E1054" s="182"/>
      <c r="F1054" s="185">
        <v>10.48</v>
      </c>
      <c r="G1054" s="234"/>
      <c r="H1054" s="185"/>
      <c r="I1054" s="222"/>
      <c r="J1054" s="220">
        <f t="shared" si="109"/>
        <v>10.48</v>
      </c>
      <c r="K1054" s="195"/>
    </row>
    <row r="1055" spans="1:11" x14ac:dyDescent="0.2">
      <c r="A1055" s="206"/>
      <c r="B1055" s="206"/>
      <c r="C1055" s="207"/>
      <c r="D1055" s="219" t="s">
        <v>751</v>
      </c>
      <c r="E1055" s="182"/>
      <c r="F1055" s="185">
        <v>24.86</v>
      </c>
      <c r="G1055" s="234"/>
      <c r="H1055" s="185"/>
      <c r="I1055" s="222"/>
      <c r="J1055" s="220">
        <f t="shared" si="109"/>
        <v>24.86</v>
      </c>
      <c r="K1055" s="195"/>
    </row>
    <row r="1056" spans="1:11" x14ac:dyDescent="0.2">
      <c r="A1056" s="206"/>
      <c r="B1056" s="206"/>
      <c r="C1056" s="207"/>
      <c r="D1056" s="219" t="s">
        <v>436</v>
      </c>
      <c r="E1056" s="182"/>
      <c r="F1056" s="185">
        <v>6.75</v>
      </c>
      <c r="G1056" s="234"/>
      <c r="H1056" s="185"/>
      <c r="I1056" s="222"/>
      <c r="J1056" s="220">
        <f t="shared" si="109"/>
        <v>6.75</v>
      </c>
      <c r="K1056" s="195"/>
    </row>
    <row r="1057" spans="1:11" x14ac:dyDescent="0.2">
      <c r="A1057" s="206"/>
      <c r="B1057" s="206"/>
      <c r="C1057" s="207"/>
      <c r="D1057" s="219" t="s">
        <v>437</v>
      </c>
      <c r="E1057" s="182"/>
      <c r="F1057" s="185">
        <v>10.5</v>
      </c>
      <c r="G1057" s="234"/>
      <c r="H1057" s="185"/>
      <c r="I1057" s="222"/>
      <c r="J1057" s="220">
        <f t="shared" si="109"/>
        <v>10.5</v>
      </c>
      <c r="K1057" s="195"/>
    </row>
    <row r="1058" spans="1:11" x14ac:dyDescent="0.2">
      <c r="A1058" s="206"/>
      <c r="B1058" s="206"/>
      <c r="C1058" s="207"/>
      <c r="D1058" s="182"/>
      <c r="E1058" s="182"/>
      <c r="F1058" s="220"/>
      <c r="G1058" s="220"/>
      <c r="H1058" s="220"/>
      <c r="I1058" s="218" t="str">
        <f>"Total item "&amp;A1050</f>
        <v>Total item 2.6.1</v>
      </c>
      <c r="J1058" s="217">
        <f>SUM(J1052:J1057)</f>
        <v>62.81</v>
      </c>
      <c r="K1058" s="195"/>
    </row>
    <row r="1059" spans="1:11" s="50" customFormat="1" x14ac:dyDescent="0.2">
      <c r="A1059" s="206"/>
      <c r="B1059" s="206"/>
      <c r="C1059" s="207"/>
      <c r="D1059" s="182"/>
      <c r="E1059" s="206"/>
      <c r="F1059" s="209"/>
      <c r="G1059" s="209"/>
      <c r="H1059" s="209"/>
      <c r="I1059" s="210"/>
      <c r="J1059" s="209"/>
      <c r="K1059" s="200"/>
    </row>
    <row r="1060" spans="1:11" s="51" customFormat="1" ht="30.6" x14ac:dyDescent="0.2">
      <c r="A1060" s="214" t="str">
        <f>'ORÇAMENTO COM DESON'!A189</f>
        <v>2.6.2</v>
      </c>
      <c r="B1060" s="214"/>
      <c r="C1060" s="215"/>
      <c r="D1060" s="216" t="str">
        <f>'ORÇAMENTO COM DESON'!D189</f>
        <v>PISO CIMENTADO, TRAÇO 1:3 (CIMENTO E AREIA), ACABAMENTO LISO, ESPESSURA 3,0 CM, PREPARO MECÂNICO DA ARGAMASSA. AF_09/2020</v>
      </c>
      <c r="E1060" s="214" t="str">
        <f>'ORÇAMENTO COM DESON'!E189</f>
        <v>m²</v>
      </c>
      <c r="F1060" s="217"/>
      <c r="G1060" s="217"/>
      <c r="H1060" s="217"/>
      <c r="I1060" s="218"/>
      <c r="J1060" s="217"/>
      <c r="K1060" s="202"/>
    </row>
    <row r="1061" spans="1:11" x14ac:dyDescent="0.2">
      <c r="A1061" s="206"/>
      <c r="B1061" s="206"/>
      <c r="C1061" s="207"/>
      <c r="D1061" s="219"/>
      <c r="E1061" s="182"/>
      <c r="F1061" s="185" t="s">
        <v>18</v>
      </c>
      <c r="G1061" s="185"/>
      <c r="H1061" s="185"/>
      <c r="I1061" s="185"/>
      <c r="J1061" s="220"/>
      <c r="K1061" s="195"/>
    </row>
    <row r="1062" spans="1:11" x14ac:dyDescent="0.2">
      <c r="A1062" s="206"/>
      <c r="B1062" s="206"/>
      <c r="C1062" s="207"/>
      <c r="D1062" s="233"/>
      <c r="E1062" s="182" t="s">
        <v>8</v>
      </c>
      <c r="F1062" s="185"/>
      <c r="G1062" s="185"/>
      <c r="H1062" s="185"/>
      <c r="I1062" s="222"/>
      <c r="J1062" s="220"/>
      <c r="K1062" s="195"/>
    </row>
    <row r="1063" spans="1:11" x14ac:dyDescent="0.2">
      <c r="A1063" s="206"/>
      <c r="B1063" s="206"/>
      <c r="C1063" s="207"/>
      <c r="D1063" s="219" t="s">
        <v>749</v>
      </c>
      <c r="E1063" s="182"/>
      <c r="F1063" s="185">
        <v>10.220000000000001</v>
      </c>
      <c r="G1063" s="234"/>
      <c r="H1063" s="185"/>
      <c r="I1063" s="222"/>
      <c r="J1063" s="220">
        <f t="shared" ref="J1063:J1067" si="110">ROUND(PRODUCT(F1063:I1063),2)</f>
        <v>10.220000000000001</v>
      </c>
      <c r="K1063" s="195"/>
    </row>
    <row r="1064" spans="1:11" x14ac:dyDescent="0.2">
      <c r="A1064" s="206"/>
      <c r="B1064" s="206"/>
      <c r="C1064" s="207"/>
      <c r="D1064" s="219" t="s">
        <v>750</v>
      </c>
      <c r="E1064" s="182"/>
      <c r="F1064" s="185">
        <v>10.48</v>
      </c>
      <c r="G1064" s="234"/>
      <c r="H1064" s="185"/>
      <c r="I1064" s="222"/>
      <c r="J1064" s="220">
        <f t="shared" si="110"/>
        <v>10.48</v>
      </c>
      <c r="K1064" s="195"/>
    </row>
    <row r="1065" spans="1:11" x14ac:dyDescent="0.2">
      <c r="A1065" s="206"/>
      <c r="B1065" s="206"/>
      <c r="C1065" s="207"/>
      <c r="D1065" s="219" t="s">
        <v>751</v>
      </c>
      <c r="E1065" s="182"/>
      <c r="F1065" s="185">
        <v>24.86</v>
      </c>
      <c r="G1065" s="234"/>
      <c r="H1065" s="185"/>
      <c r="I1065" s="222"/>
      <c r="J1065" s="220">
        <f t="shared" si="110"/>
        <v>24.86</v>
      </c>
      <c r="K1065" s="195"/>
    </row>
    <row r="1066" spans="1:11" x14ac:dyDescent="0.2">
      <c r="A1066" s="206"/>
      <c r="B1066" s="206"/>
      <c r="C1066" s="207"/>
      <c r="D1066" s="219" t="s">
        <v>436</v>
      </c>
      <c r="E1066" s="182"/>
      <c r="F1066" s="185">
        <v>6.75</v>
      </c>
      <c r="G1066" s="234"/>
      <c r="H1066" s="185"/>
      <c r="I1066" s="222"/>
      <c r="J1066" s="220">
        <f t="shared" si="110"/>
        <v>6.75</v>
      </c>
      <c r="K1066" s="195"/>
    </row>
    <row r="1067" spans="1:11" x14ac:dyDescent="0.2">
      <c r="A1067" s="206"/>
      <c r="B1067" s="206"/>
      <c r="C1067" s="207"/>
      <c r="D1067" s="219" t="s">
        <v>437</v>
      </c>
      <c r="E1067" s="182"/>
      <c r="F1067" s="185">
        <v>10.5</v>
      </c>
      <c r="G1067" s="234"/>
      <c r="H1067" s="185"/>
      <c r="I1067" s="222"/>
      <c r="J1067" s="220">
        <f t="shared" si="110"/>
        <v>10.5</v>
      </c>
      <c r="K1067" s="195"/>
    </row>
    <row r="1068" spans="1:11" x14ac:dyDescent="0.2">
      <c r="A1068" s="206"/>
      <c r="B1068" s="206"/>
      <c r="C1068" s="207"/>
      <c r="D1068" s="182"/>
      <c r="E1068" s="182"/>
      <c r="F1068" s="220"/>
      <c r="G1068" s="220"/>
      <c r="H1068" s="220"/>
      <c r="I1068" s="218" t="str">
        <f>"Total item "&amp;A1060</f>
        <v>Total item 2.6.2</v>
      </c>
      <c r="J1068" s="217">
        <f>SUM(J1062:J1067)</f>
        <v>62.81</v>
      </c>
      <c r="K1068" s="195"/>
    </row>
    <row r="1069" spans="1:11" s="50" customFormat="1" x14ac:dyDescent="0.2">
      <c r="A1069" s="206"/>
      <c r="B1069" s="206"/>
      <c r="C1069" s="207"/>
      <c r="D1069" s="182"/>
      <c r="E1069" s="206"/>
      <c r="F1069" s="209"/>
      <c r="G1069" s="209"/>
      <c r="H1069" s="209"/>
      <c r="I1069" s="210"/>
      <c r="J1069" s="209"/>
      <c r="K1069" s="200"/>
    </row>
    <row r="1070" spans="1:11" ht="20.399999999999999" x14ac:dyDescent="0.2">
      <c r="A1070" s="214" t="str">
        <f>'ORÇAMENTO COM DESON'!A190</f>
        <v>2.6.3</v>
      </c>
      <c r="B1070" s="214"/>
      <c r="C1070" s="215"/>
      <c r="D1070" s="216" t="str">
        <f>'ORÇAMENTO COM DESON'!D190</f>
        <v xml:space="preserve"> APICOAMENTO EM PAREDE DE ALVENARIA DE TIJOLO CERÂMICO COM PREPARO DA SUPERFÍCIE - M2</v>
      </c>
      <c r="E1070" s="246" t="str">
        <f>'ORÇAMENTO COM DESON'!E190</f>
        <v>m²</v>
      </c>
      <c r="F1070" s="217"/>
      <c r="G1070" s="217"/>
      <c r="H1070" s="217"/>
      <c r="I1070" s="218"/>
      <c r="J1070" s="217"/>
    </row>
    <row r="1071" spans="1:11" x14ac:dyDescent="0.2">
      <c r="A1071" s="206"/>
      <c r="B1071" s="206"/>
      <c r="C1071" s="207"/>
      <c r="D1071" s="219"/>
      <c r="E1071" s="182"/>
      <c r="F1071" s="220" t="s">
        <v>406</v>
      </c>
      <c r="G1071" s="185" t="s">
        <v>156</v>
      </c>
      <c r="H1071" s="220" t="s">
        <v>158</v>
      </c>
      <c r="I1071" s="185" t="s">
        <v>442</v>
      </c>
      <c r="J1071" s="220"/>
    </row>
    <row r="1072" spans="1:11" x14ac:dyDescent="0.2">
      <c r="A1072" s="206"/>
      <c r="B1072" s="206"/>
      <c r="C1072" s="207"/>
      <c r="D1072" s="219" t="s">
        <v>435</v>
      </c>
      <c r="E1072" s="182"/>
      <c r="F1072" s="220">
        <v>24.86</v>
      </c>
      <c r="G1072" s="185"/>
      <c r="H1072" s="220">
        <v>1.7</v>
      </c>
      <c r="I1072" s="222">
        <f>(0.7*1.7*2)+(0.9*1.7*3)+(1.7*1)+(2.75*1.7)</f>
        <v>13.344999999999999</v>
      </c>
      <c r="J1072" s="220">
        <f>ROUND((PRODUCT(F1072:H1072))-(I1072),2)</f>
        <v>28.92</v>
      </c>
    </row>
    <row r="1073" spans="1:11" x14ac:dyDescent="0.2">
      <c r="A1073" s="206"/>
      <c r="B1073" s="206"/>
      <c r="C1073" s="207"/>
      <c r="D1073" s="219" t="s">
        <v>436</v>
      </c>
      <c r="E1073" s="182"/>
      <c r="F1073" s="185">
        <v>9.75</v>
      </c>
      <c r="G1073" s="185"/>
      <c r="H1073" s="220">
        <v>1.7</v>
      </c>
      <c r="I1073" s="222">
        <f>(0.7*1.7)</f>
        <v>1.19</v>
      </c>
      <c r="J1073" s="220">
        <f t="shared" ref="J1073:J1077" si="111">ROUND((PRODUCT(F1073:H1073))-(I1073),2)</f>
        <v>15.39</v>
      </c>
    </row>
    <row r="1074" spans="1:11" x14ac:dyDescent="0.2">
      <c r="A1074" s="206"/>
      <c r="B1074" s="206"/>
      <c r="C1074" s="207"/>
      <c r="D1074" s="219" t="s">
        <v>437</v>
      </c>
      <c r="E1074" s="182"/>
      <c r="F1074" s="185">
        <v>13</v>
      </c>
      <c r="G1074" s="185"/>
      <c r="H1074" s="220">
        <v>0.1</v>
      </c>
      <c r="I1074" s="222">
        <f>(0.1*0.9)</f>
        <v>9.0000000000000011E-2</v>
      </c>
      <c r="J1074" s="220">
        <f t="shared" si="111"/>
        <v>1.21</v>
      </c>
    </row>
    <row r="1075" spans="1:11" x14ac:dyDescent="0.2">
      <c r="A1075" s="206"/>
      <c r="B1075" s="206"/>
      <c r="C1075" s="207"/>
      <c r="D1075" s="219" t="s">
        <v>438</v>
      </c>
      <c r="E1075" s="182"/>
      <c r="F1075" s="185">
        <v>12.9</v>
      </c>
      <c r="G1075" s="185"/>
      <c r="H1075" s="220">
        <v>0.1</v>
      </c>
      <c r="I1075" s="222">
        <f>(0.1*0.9)</f>
        <v>9.0000000000000011E-2</v>
      </c>
      <c r="J1075" s="220">
        <f t="shared" si="111"/>
        <v>1.2</v>
      </c>
    </row>
    <row r="1076" spans="1:11" x14ac:dyDescent="0.2">
      <c r="A1076" s="206"/>
      <c r="B1076" s="206"/>
      <c r="C1076" s="207"/>
      <c r="D1076" s="219" t="s">
        <v>439</v>
      </c>
      <c r="E1076" s="182"/>
      <c r="F1076" s="185">
        <v>13.04</v>
      </c>
      <c r="G1076" s="185"/>
      <c r="H1076" s="220">
        <v>0.1</v>
      </c>
      <c r="I1076" s="222">
        <f>(0.1*0.9)</f>
        <v>9.0000000000000011E-2</v>
      </c>
      <c r="J1076" s="220">
        <f t="shared" si="111"/>
        <v>1.21</v>
      </c>
    </row>
    <row r="1077" spans="1:11" x14ac:dyDescent="0.2">
      <c r="A1077" s="206"/>
      <c r="B1077" s="206"/>
      <c r="C1077" s="207"/>
      <c r="D1077" s="219" t="s">
        <v>444</v>
      </c>
      <c r="E1077" s="182"/>
      <c r="F1077" s="185">
        <v>6.5</v>
      </c>
      <c r="G1077" s="185"/>
      <c r="H1077" s="220">
        <v>0.1</v>
      </c>
      <c r="I1077" s="222">
        <f>(0.1*0.7)</f>
        <v>6.9999999999999993E-2</v>
      </c>
      <c r="J1077" s="220">
        <f t="shared" si="111"/>
        <v>0.57999999999999996</v>
      </c>
    </row>
    <row r="1078" spans="1:11" x14ac:dyDescent="0.2">
      <c r="A1078" s="206"/>
      <c r="B1078" s="206"/>
      <c r="C1078" s="207"/>
      <c r="D1078" s="219" t="s">
        <v>440</v>
      </c>
      <c r="E1078" s="182"/>
      <c r="F1078" s="185">
        <f>4.12+0.3+1.6+0.3+0.15+6.35+12.17+(6*0.3)+6.35</f>
        <v>33.14</v>
      </c>
      <c r="G1078" s="185"/>
      <c r="H1078" s="220">
        <v>1.7</v>
      </c>
      <c r="I1078" s="222">
        <f>(2.75*1.7)</f>
        <v>4.6749999999999998</v>
      </c>
      <c r="J1078" s="220">
        <f>ROUND((PRODUCT(F1078:H1078))-(I1078),2)</f>
        <v>51.66</v>
      </c>
    </row>
    <row r="1079" spans="1:11" x14ac:dyDescent="0.2">
      <c r="A1079" s="206"/>
      <c r="B1079" s="206"/>
      <c r="C1079" s="207"/>
      <c r="D1079" s="221"/>
      <c r="E1079" s="182"/>
      <c r="F1079" s="220"/>
      <c r="G1079" s="220"/>
      <c r="H1079" s="220"/>
      <c r="I1079" s="218" t="str">
        <f>"Total item "&amp;A1070</f>
        <v>Total item 2.6.3</v>
      </c>
      <c r="J1079" s="217">
        <f>SUM(J1072:J1078)</f>
        <v>100.17</v>
      </c>
    </row>
    <row r="1080" spans="1:11" x14ac:dyDescent="0.2">
      <c r="A1080" s="206"/>
      <c r="B1080" s="206"/>
      <c r="C1080" s="207"/>
      <c r="D1080" s="208"/>
      <c r="E1080" s="206"/>
      <c r="F1080" s="209"/>
      <c r="G1080" s="209"/>
      <c r="H1080" s="209"/>
      <c r="I1080" s="210"/>
      <c r="J1080" s="209"/>
    </row>
    <row r="1081" spans="1:11" s="51" customFormat="1" ht="40.799999999999997" x14ac:dyDescent="0.2">
      <c r="A1081" s="214" t="str">
        <f>'ORÇAMENTO COM DESON'!A191</f>
        <v>2.6.4</v>
      </c>
      <c r="B1081" s="214"/>
      <c r="C1081" s="215"/>
      <c r="D1081" s="216" t="str">
        <f>'ORÇAMENTO COM DESON'!D191</f>
        <v>CHAPISCO APLICADO EM ALVENARIA (COM PRESENÇA DE VÃOS) E ESTRUTURAS DE CONCRETO DE FACHADA, COM COLHER DE PEDREIRO. ARGAMASSA TRAÇO 1:3 COM  PREPARO EM BETONEIRA 400L. AF_06/2014</v>
      </c>
      <c r="E1081" s="214" t="str">
        <f>'ORÇAMENTO COM DESON'!E191</f>
        <v>m²</v>
      </c>
      <c r="F1081" s="217"/>
      <c r="G1081" s="217"/>
      <c r="H1081" s="217"/>
      <c r="I1081" s="218"/>
      <c r="J1081" s="217"/>
      <c r="K1081" s="202"/>
    </row>
    <row r="1082" spans="1:11" x14ac:dyDescent="0.2">
      <c r="A1082" s="206"/>
      <c r="B1082" s="206"/>
      <c r="C1082" s="207"/>
      <c r="D1082" s="219"/>
      <c r="E1082" s="182"/>
      <c r="F1082" s="185" t="s">
        <v>199</v>
      </c>
      <c r="G1082" s="185" t="s">
        <v>158</v>
      </c>
      <c r="H1082" s="224" t="s">
        <v>173</v>
      </c>
      <c r="I1082" s="224" t="s">
        <v>498</v>
      </c>
      <c r="J1082" s="220"/>
      <c r="K1082" s="195"/>
    </row>
    <row r="1083" spans="1:11" x14ac:dyDescent="0.2">
      <c r="A1083" s="206"/>
      <c r="B1083" s="206"/>
      <c r="C1083" s="207"/>
      <c r="D1083" s="219" t="s">
        <v>476</v>
      </c>
      <c r="E1083" s="182" t="s">
        <v>8</v>
      </c>
      <c r="F1083" s="185">
        <f>F1037</f>
        <v>69.239999999999995</v>
      </c>
      <c r="G1083" s="185">
        <v>0.6</v>
      </c>
      <c r="H1083" s="185">
        <v>2</v>
      </c>
      <c r="I1083" s="185">
        <f>0.25*0.6*24</f>
        <v>3.5999999999999996</v>
      </c>
      <c r="J1083" s="220">
        <f>ROUND((PRODUCT(F1083:H1083))-I1083,2)</f>
        <v>79.489999999999995</v>
      </c>
      <c r="K1083" s="185"/>
    </row>
    <row r="1084" spans="1:11" x14ac:dyDescent="0.2">
      <c r="A1084" s="206"/>
      <c r="B1084" s="206"/>
      <c r="C1084" s="207"/>
      <c r="D1084" s="221"/>
      <c r="E1084" s="182"/>
      <c r="F1084" s="220"/>
      <c r="G1084" s="220"/>
      <c r="H1084" s="220"/>
      <c r="I1084" s="218" t="str">
        <f>"Total item "&amp;A1081</f>
        <v>Total item 2.6.4</v>
      </c>
      <c r="J1084" s="217">
        <f>SUM(J1083:J1083)</f>
        <v>79.489999999999995</v>
      </c>
      <c r="K1084" s="185"/>
    </row>
    <row r="1085" spans="1:11" s="50" customFormat="1" x14ac:dyDescent="0.2">
      <c r="A1085" s="206"/>
      <c r="B1085" s="206"/>
      <c r="C1085" s="207"/>
      <c r="D1085" s="208"/>
      <c r="E1085" s="206"/>
      <c r="F1085" s="209"/>
      <c r="G1085" s="209"/>
      <c r="H1085" s="209"/>
      <c r="I1085" s="210"/>
      <c r="J1085" s="209"/>
      <c r="K1085" s="223"/>
    </row>
    <row r="1086" spans="1:11" ht="20.399999999999999" x14ac:dyDescent="0.2">
      <c r="A1086" s="214" t="str">
        <f>'ORÇAMENTO COM DESON'!A192</f>
        <v>2.6.5</v>
      </c>
      <c r="B1086" s="214"/>
      <c r="C1086" s="215"/>
      <c r="D1086" s="216" t="str">
        <f>'ORÇAMENTO COM DESON'!D192</f>
        <v>REBOCO C/ ARGAMASSA DE CIMENTO E AREIA PENEIRADA, TRAÇO 1:6</v>
      </c>
      <c r="E1086" s="214" t="str">
        <f>'ORÇAMENTO COM DESON'!E192</f>
        <v>m²</v>
      </c>
      <c r="F1086" s="217"/>
      <c r="G1086" s="217"/>
      <c r="H1086" s="217"/>
      <c r="I1086" s="218"/>
      <c r="J1086" s="217"/>
    </row>
    <row r="1087" spans="1:11" x14ac:dyDescent="0.2">
      <c r="A1087" s="206"/>
      <c r="B1087" s="206"/>
      <c r="C1087" s="207"/>
      <c r="D1087" s="219"/>
      <c r="E1087" s="182"/>
      <c r="F1087" s="185" t="s">
        <v>156</v>
      </c>
      <c r="G1087" s="220" t="s">
        <v>159</v>
      </c>
      <c r="H1087" s="156" t="s">
        <v>173</v>
      </c>
      <c r="I1087" s="185" t="s">
        <v>404</v>
      </c>
      <c r="J1087" s="220"/>
    </row>
    <row r="1088" spans="1:11" x14ac:dyDescent="0.2">
      <c r="A1088" s="206"/>
      <c r="B1088" s="206"/>
      <c r="C1088" s="207"/>
      <c r="D1088" s="219" t="s">
        <v>426</v>
      </c>
      <c r="E1088" s="182"/>
      <c r="F1088" s="185"/>
      <c r="G1088" s="220"/>
      <c r="H1088" s="156"/>
      <c r="I1088" s="222"/>
      <c r="J1088" s="220"/>
    </row>
    <row r="1089" spans="1:10" x14ac:dyDescent="0.2">
      <c r="A1089" s="206"/>
      <c r="B1089" s="206"/>
      <c r="C1089" s="207"/>
      <c r="D1089" s="219" t="s">
        <v>434</v>
      </c>
      <c r="E1089" s="182"/>
      <c r="F1089" s="185">
        <f>2.1+2.1+1</f>
        <v>5.2</v>
      </c>
      <c r="G1089" s="220">
        <v>0.14000000000000001</v>
      </c>
      <c r="H1089" s="156"/>
      <c r="I1089" s="222"/>
      <c r="J1089" s="220">
        <f>ROUND(PRODUCT(F1089:I1089),2)</f>
        <v>0.73</v>
      </c>
    </row>
    <row r="1090" spans="1:10" x14ac:dyDescent="0.2">
      <c r="A1090" s="206"/>
      <c r="B1090" s="206"/>
      <c r="C1090" s="207"/>
      <c r="D1090" s="219" t="s">
        <v>443</v>
      </c>
      <c r="E1090" s="182"/>
      <c r="F1090" s="185"/>
      <c r="G1090" s="220"/>
      <c r="H1090" s="156"/>
      <c r="I1090" s="222"/>
      <c r="J1090" s="220"/>
    </row>
    <row r="1091" spans="1:10" x14ac:dyDescent="0.2">
      <c r="A1091" s="206"/>
      <c r="B1091" s="206"/>
      <c r="C1091" s="207"/>
      <c r="D1091" s="219" t="s">
        <v>437</v>
      </c>
      <c r="E1091" s="182"/>
      <c r="F1091" s="185">
        <f>2.1+0.1</f>
        <v>2.2000000000000002</v>
      </c>
      <c r="G1091" s="220">
        <v>0.14000000000000001</v>
      </c>
      <c r="H1091" s="156"/>
      <c r="I1091" s="222"/>
      <c r="J1091" s="220">
        <f>ROUND(PRODUCT(F1091:I1091),2)</f>
        <v>0.31</v>
      </c>
    </row>
    <row r="1092" spans="1:10" x14ac:dyDescent="0.2">
      <c r="A1092" s="206"/>
      <c r="B1092" s="206"/>
      <c r="C1092" s="207"/>
      <c r="D1092" s="219" t="s">
        <v>439</v>
      </c>
      <c r="E1092" s="182"/>
      <c r="F1092" s="185">
        <f>2.1+0.1</f>
        <v>2.2000000000000002</v>
      </c>
      <c r="G1092" s="220">
        <v>0.14000000000000001</v>
      </c>
      <c r="H1092" s="156"/>
      <c r="I1092" s="222"/>
      <c r="J1092" s="220">
        <f t="shared" ref="J1092:J1093" si="112">ROUND(PRODUCT(F1092:I1092),2)</f>
        <v>0.31</v>
      </c>
    </row>
    <row r="1093" spans="1:10" x14ac:dyDescent="0.2">
      <c r="A1093" s="206"/>
      <c r="B1093" s="206"/>
      <c r="C1093" s="207"/>
      <c r="D1093" s="219" t="s">
        <v>438</v>
      </c>
      <c r="E1093" s="182"/>
      <c r="F1093" s="185">
        <f>2.1+0.2</f>
        <v>2.3000000000000003</v>
      </c>
      <c r="G1093" s="220">
        <v>0.14000000000000001</v>
      </c>
      <c r="H1093" s="156"/>
      <c r="I1093" s="222"/>
      <c r="J1093" s="220">
        <f t="shared" si="112"/>
        <v>0.32</v>
      </c>
    </row>
    <row r="1094" spans="1:10" x14ac:dyDescent="0.2">
      <c r="A1094" s="206"/>
      <c r="B1094" s="206"/>
      <c r="C1094" s="207"/>
      <c r="D1094" s="219" t="s">
        <v>476</v>
      </c>
      <c r="E1094" s="182" t="s">
        <v>8</v>
      </c>
      <c r="F1094" s="185">
        <f>F1083</f>
        <v>69.239999999999995</v>
      </c>
      <c r="G1094" s="185">
        <v>0.6</v>
      </c>
      <c r="H1094" s="185">
        <v>2</v>
      </c>
      <c r="I1094" s="185">
        <f>0.25*0.6*24</f>
        <v>3.5999999999999996</v>
      </c>
      <c r="J1094" s="220">
        <f>ROUND((PRODUCT(F1094:H1094))-I1094,2)</f>
        <v>79.489999999999995</v>
      </c>
    </row>
    <row r="1095" spans="1:10" x14ac:dyDescent="0.2">
      <c r="A1095" s="206"/>
      <c r="B1095" s="206"/>
      <c r="C1095" s="207"/>
      <c r="D1095" s="221"/>
      <c r="E1095" s="182"/>
      <c r="F1095" s="220"/>
      <c r="G1095" s="220"/>
      <c r="H1095" s="220"/>
      <c r="I1095" s="218" t="str">
        <f>"Total item "&amp;A1086</f>
        <v>Total item 2.6.5</v>
      </c>
      <c r="J1095" s="217">
        <f>SUM(J1089:J1094)</f>
        <v>81.16</v>
      </c>
    </row>
    <row r="1096" spans="1:10" x14ac:dyDescent="0.2">
      <c r="A1096" s="206"/>
      <c r="B1096" s="206"/>
      <c r="C1096" s="207"/>
      <c r="D1096" s="208"/>
      <c r="E1096" s="206"/>
      <c r="F1096" s="209"/>
      <c r="G1096" s="209"/>
      <c r="H1096" s="209"/>
      <c r="I1096" s="210"/>
      <c r="J1096" s="209"/>
    </row>
    <row r="1097" spans="1:10" ht="40.799999999999997" x14ac:dyDescent="0.2">
      <c r="A1097" s="214" t="str">
        <f>'ORÇAMENTO COM DESON'!A193</f>
        <v>2.6.6</v>
      </c>
      <c r="B1097" s="214"/>
      <c r="C1097" s="215"/>
      <c r="D1097" s="216" t="str">
        <f>'ORÇAMENTO COM DESON'!D193</f>
        <v>EMBOÇO OU MASSA ÚNICA EM ARGAMASSA TRAÇO 1:2:8, PREPARO MECÂNICO COM BETONEIRA 400 L, APLICADA MANUALMENTE EM PANOS DE FACHADA COM PRESENÇA
 DE VÃOS, ESPESSURA DE 25 MM. AF_08/2022</v>
      </c>
      <c r="E1097" s="214" t="str">
        <f>'ORÇAMENTO COM DESON'!E193</f>
        <v>m²</v>
      </c>
      <c r="F1097" s="217"/>
      <c r="G1097" s="217"/>
      <c r="H1097" s="217"/>
      <c r="I1097" s="218"/>
      <c r="J1097" s="217"/>
    </row>
    <row r="1098" spans="1:10" x14ac:dyDescent="0.2">
      <c r="A1098" s="206"/>
      <c r="B1098" s="206"/>
      <c r="C1098" s="207"/>
      <c r="D1098" s="219"/>
      <c r="E1098" s="182"/>
      <c r="F1098" s="220" t="s">
        <v>406</v>
      </c>
      <c r="G1098" s="185" t="s">
        <v>156</v>
      </c>
      <c r="H1098" s="220" t="s">
        <v>158</v>
      </c>
      <c r="I1098" s="185" t="s">
        <v>442</v>
      </c>
      <c r="J1098" s="220"/>
    </row>
    <row r="1099" spans="1:10" x14ac:dyDescent="0.2">
      <c r="A1099" s="206"/>
      <c r="B1099" s="206"/>
      <c r="C1099" s="207"/>
      <c r="D1099" s="219" t="str">
        <f>D1078</f>
        <v>Paredes externas (fachada)</v>
      </c>
      <c r="E1099" s="182"/>
      <c r="F1099" s="185">
        <f>F1078</f>
        <v>33.14</v>
      </c>
      <c r="G1099" s="220"/>
      <c r="H1099" s="247">
        <f>H1078</f>
        <v>1.7</v>
      </c>
      <c r="I1099" s="222">
        <f>I1078</f>
        <v>4.6749999999999998</v>
      </c>
      <c r="J1099" s="220">
        <f>ROUND(PRODUCT(F1099:I1099),2)</f>
        <v>263.38</v>
      </c>
    </row>
    <row r="1100" spans="1:10" x14ac:dyDescent="0.2">
      <c r="A1100" s="206"/>
      <c r="B1100" s="206"/>
      <c r="C1100" s="207"/>
      <c r="D1100" s="221"/>
      <c r="E1100" s="182"/>
      <c r="F1100" s="220"/>
      <c r="G1100" s="220"/>
      <c r="H1100" s="220"/>
      <c r="I1100" s="218" t="str">
        <f>"Total item "&amp;A1097</f>
        <v>Total item 2.6.6</v>
      </c>
      <c r="J1100" s="217">
        <f>SUM(J1099)</f>
        <v>263.38</v>
      </c>
    </row>
    <row r="1101" spans="1:10" x14ac:dyDescent="0.2">
      <c r="A1101" s="206"/>
      <c r="B1101" s="206"/>
      <c r="C1101" s="207"/>
      <c r="D1101" s="208"/>
      <c r="E1101" s="206"/>
      <c r="F1101" s="209"/>
      <c r="G1101" s="209"/>
      <c r="H1101" s="209"/>
      <c r="I1101" s="210"/>
      <c r="J1101" s="209"/>
    </row>
    <row r="1102" spans="1:10" ht="61.2" x14ac:dyDescent="0.2">
      <c r="A1102" s="214" t="str">
        <f>'ORÇAMENTO COM DESON'!A194</f>
        <v>2.6.7</v>
      </c>
      <c r="B1102" s="214"/>
      <c r="C1102" s="215"/>
      <c r="D1102" s="216" t="str">
        <f>'ORÇAMENTO COM DESON'!D194</f>
        <v>EMBOÇO, PARA RECEBIMENTO DE CERÂMICA, EM ARGAMASSA TRAÇO 1:2:8, PREPARO MECÂNICO COM BETONEIRA 400L, APLICADO MANUALMENTE EM FACES INTERNAS DE PAREDES, PARA AMBIENTE COM ÁREA ENTRE 5M2 E 10M2, ESPESSURA DE 20MM , COM EXECUÇÃO DE TALISCAS. AF_06/2014</v>
      </c>
      <c r="E1102" s="214" t="str">
        <f>'ORÇAMENTO COM DESON'!E194</f>
        <v>m²</v>
      </c>
      <c r="F1102" s="217"/>
      <c r="G1102" s="217"/>
      <c r="H1102" s="217"/>
      <c r="I1102" s="218"/>
      <c r="J1102" s="217"/>
    </row>
    <row r="1103" spans="1:10" x14ac:dyDescent="0.2">
      <c r="A1103" s="206"/>
      <c r="B1103" s="206"/>
      <c r="C1103" s="207"/>
      <c r="D1103" s="219"/>
      <c r="E1103" s="182"/>
      <c r="F1103" s="220" t="s">
        <v>406</v>
      </c>
      <c r="G1103" s="185" t="s">
        <v>156</v>
      </c>
      <c r="H1103" s="220" t="s">
        <v>158</v>
      </c>
      <c r="I1103" s="185" t="s">
        <v>442</v>
      </c>
      <c r="J1103" s="220"/>
    </row>
    <row r="1104" spans="1:10" x14ac:dyDescent="0.2">
      <c r="A1104" s="206"/>
      <c r="B1104" s="206"/>
      <c r="C1104" s="207"/>
      <c r="D1104" s="219" t="str">
        <f>D1072</f>
        <v>Recepção e antiga sala de curativos (corredor até o banheiro)</v>
      </c>
      <c r="E1104" s="182"/>
      <c r="F1104" s="185">
        <f>F1072</f>
        <v>24.86</v>
      </c>
      <c r="G1104" s="185"/>
      <c r="H1104" s="247">
        <f>H1072</f>
        <v>1.7</v>
      </c>
      <c r="I1104" s="222">
        <f>(0.7*1.7*2)+(0.9*1.7*3)+(1.7*1)+(2.75*1.7)</f>
        <v>13.344999999999999</v>
      </c>
      <c r="J1104" s="220">
        <f>ROUND((PRODUCT(F1104:H1104))-I1104,2)</f>
        <v>28.92</v>
      </c>
    </row>
    <row r="1105" spans="1:11" x14ac:dyDescent="0.2">
      <c r="A1105" s="206"/>
      <c r="B1105" s="206"/>
      <c r="C1105" s="207"/>
      <c r="D1105" s="219" t="str">
        <f>D1073</f>
        <v>Sala de remédios</v>
      </c>
      <c r="E1105" s="182"/>
      <c r="F1105" s="185">
        <f>F1073</f>
        <v>9.75</v>
      </c>
      <c r="G1105" s="185"/>
      <c r="H1105" s="247">
        <f>H1073</f>
        <v>1.7</v>
      </c>
      <c r="I1105" s="222">
        <f>(0.7*1.7)</f>
        <v>1.19</v>
      </c>
      <c r="J1105" s="220">
        <f t="shared" ref="J1105:J1109" si="113">ROUND((PRODUCT(F1105:H1105))-I1105,2)</f>
        <v>15.39</v>
      </c>
    </row>
    <row r="1106" spans="1:11" x14ac:dyDescent="0.2">
      <c r="A1106" s="206"/>
      <c r="B1106" s="206"/>
      <c r="C1106" s="207"/>
      <c r="D1106" s="219" t="str">
        <f>D1074</f>
        <v>Sala de vacinação</v>
      </c>
      <c r="E1106" s="182"/>
      <c r="F1106" s="185">
        <f>F1074</f>
        <v>13</v>
      </c>
      <c r="G1106" s="185"/>
      <c r="H1106" s="247">
        <f>H1074</f>
        <v>0.1</v>
      </c>
      <c r="I1106" s="222">
        <f>(0.1*0.9)</f>
        <v>9.0000000000000011E-2</v>
      </c>
      <c r="J1106" s="220">
        <f t="shared" si="113"/>
        <v>1.21</v>
      </c>
    </row>
    <row r="1107" spans="1:11" x14ac:dyDescent="0.2">
      <c r="A1107" s="206"/>
      <c r="B1107" s="206"/>
      <c r="C1107" s="207"/>
      <c r="D1107" s="219" t="str">
        <f>D1075</f>
        <v>Consultório odontológico</v>
      </c>
      <c r="E1107" s="182"/>
      <c r="F1107" s="185">
        <f>F1075</f>
        <v>12.9</v>
      </c>
      <c r="G1107" s="185"/>
      <c r="H1107" s="247">
        <f>H1075</f>
        <v>0.1</v>
      </c>
      <c r="I1107" s="222">
        <f>(0.1*0.9)</f>
        <v>9.0000000000000011E-2</v>
      </c>
      <c r="J1107" s="220">
        <f t="shared" si="113"/>
        <v>1.2</v>
      </c>
    </row>
    <row r="1108" spans="1:11" x14ac:dyDescent="0.2">
      <c r="A1108" s="206"/>
      <c r="B1108" s="206"/>
      <c r="C1108" s="207"/>
      <c r="D1108" s="219" t="str">
        <f>D1076</f>
        <v>Consultório médico</v>
      </c>
      <c r="E1108" s="182"/>
      <c r="F1108" s="185">
        <f>F1076</f>
        <v>13.04</v>
      </c>
      <c r="G1108" s="185"/>
      <c r="H1108" s="247">
        <f>H1076</f>
        <v>0.1</v>
      </c>
      <c r="I1108" s="222">
        <f>(0.1*0.9)</f>
        <v>9.0000000000000011E-2</v>
      </c>
      <c r="J1108" s="220">
        <f t="shared" si="113"/>
        <v>1.21</v>
      </c>
    </row>
    <row r="1109" spans="1:11" x14ac:dyDescent="0.2">
      <c r="A1109" s="206"/>
      <c r="B1109" s="206"/>
      <c r="C1109" s="207"/>
      <c r="D1109" s="219" t="s">
        <v>444</v>
      </c>
      <c r="E1109" s="182"/>
      <c r="F1109" s="185">
        <v>6.5</v>
      </c>
      <c r="G1109" s="185"/>
      <c r="H1109" s="220">
        <v>0.1</v>
      </c>
      <c r="I1109" s="222">
        <f>(0.1*0.7)</f>
        <v>6.9999999999999993E-2</v>
      </c>
      <c r="J1109" s="220">
        <f t="shared" si="113"/>
        <v>0.57999999999999996</v>
      </c>
    </row>
    <row r="1110" spans="1:11" x14ac:dyDescent="0.2">
      <c r="A1110" s="206"/>
      <c r="B1110" s="206"/>
      <c r="C1110" s="207"/>
      <c r="D1110" s="221"/>
      <c r="E1110" s="182"/>
      <c r="F1110" s="220"/>
      <c r="G1110" s="220"/>
      <c r="H1110" s="220"/>
      <c r="I1110" s="218" t="str">
        <f>"Total item "&amp;A1102</f>
        <v>Total item 2.6.7</v>
      </c>
      <c r="J1110" s="217">
        <f>SUM(J1104:J1109)</f>
        <v>48.510000000000005</v>
      </c>
    </row>
    <row r="1111" spans="1:11" x14ac:dyDescent="0.2">
      <c r="A1111" s="206"/>
      <c r="B1111" s="206"/>
      <c r="C1111" s="207"/>
      <c r="D1111" s="208"/>
      <c r="E1111" s="206"/>
      <c r="F1111" s="209"/>
      <c r="G1111" s="209"/>
      <c r="H1111" s="209"/>
      <c r="I1111" s="210"/>
      <c r="J1111" s="209"/>
    </row>
    <row r="1112" spans="1:11" s="51" customFormat="1" ht="30.6" x14ac:dyDescent="0.2">
      <c r="A1112" s="214" t="str">
        <f>'ORÇAMENTO COM DESON'!A195</f>
        <v>2.6.8</v>
      </c>
      <c r="B1112" s="214"/>
      <c r="C1112" s="215"/>
      <c r="D1112" s="216" t="str">
        <f>'ORÇAMENTO COM DESON'!D195</f>
        <v>REVESTIMENTO CERÂMICO COM PLACAS TIPO ESMALTADA TIPO A DE DIMENSÕES 46X46 CM APLICADAS EM PAREDE INTERNA.</v>
      </c>
      <c r="E1112" s="214" t="str">
        <f>'ORÇAMENTO COM DESON'!E195</f>
        <v>m²</v>
      </c>
      <c r="F1112" s="217"/>
      <c r="G1112" s="217"/>
      <c r="H1112" s="217"/>
      <c r="I1112" s="218"/>
      <c r="J1112" s="217"/>
      <c r="K1112" s="202"/>
    </row>
    <row r="1113" spans="1:11" ht="30.6" x14ac:dyDescent="0.2">
      <c r="A1113" s="206"/>
      <c r="B1113" s="206"/>
      <c r="C1113" s="207"/>
      <c r="D1113" s="219"/>
      <c r="E1113" s="182"/>
      <c r="F1113" s="185" t="s">
        <v>33</v>
      </c>
      <c r="G1113" s="185" t="s">
        <v>198</v>
      </c>
      <c r="H1113" s="224"/>
      <c r="I1113" s="224" t="s">
        <v>408</v>
      </c>
      <c r="J1113" s="220"/>
      <c r="K1113" s="195"/>
    </row>
    <row r="1114" spans="1:11" x14ac:dyDescent="0.2">
      <c r="A1114" s="206"/>
      <c r="B1114" s="206"/>
      <c r="C1114" s="207"/>
      <c r="D1114" s="219" t="str">
        <f>D1104</f>
        <v>Recepção e antiga sala de curativos (corredor até o banheiro)</v>
      </c>
      <c r="E1114" s="182"/>
      <c r="F1114" s="185">
        <f>F1104</f>
        <v>24.86</v>
      </c>
      <c r="G1114" s="185">
        <v>1.6</v>
      </c>
      <c r="H1114" s="223"/>
      <c r="I1114" s="223">
        <f>I1104</f>
        <v>13.344999999999999</v>
      </c>
      <c r="J1114" s="220">
        <f t="shared" ref="J1114:J1116" si="114">ROUND((PRODUCT(F1114:H1114))-I1114,2)</f>
        <v>26.43</v>
      </c>
      <c r="K1114" s="195"/>
    </row>
    <row r="1115" spans="1:11" x14ac:dyDescent="0.2">
      <c r="A1115" s="206"/>
      <c r="B1115" s="206"/>
      <c r="C1115" s="207"/>
      <c r="D1115" s="219" t="str">
        <f>D1105</f>
        <v>Sala de remédios</v>
      </c>
      <c r="E1115" s="182"/>
      <c r="F1115" s="185">
        <f>F1105</f>
        <v>9.75</v>
      </c>
      <c r="G1115" s="185">
        <v>1.6</v>
      </c>
      <c r="H1115" s="223"/>
      <c r="I1115" s="223">
        <f>I1105</f>
        <v>1.19</v>
      </c>
      <c r="J1115" s="220">
        <f t="shared" si="114"/>
        <v>14.41</v>
      </c>
      <c r="K1115" s="195"/>
    </row>
    <row r="1116" spans="1:11" x14ac:dyDescent="0.2">
      <c r="A1116" s="206"/>
      <c r="B1116" s="206"/>
      <c r="C1116" s="207"/>
      <c r="D1116" s="219" t="str">
        <f>D1099</f>
        <v>Paredes externas (fachada)</v>
      </c>
      <c r="E1116" s="182"/>
      <c r="F1116" s="185">
        <f>F1099</f>
        <v>33.14</v>
      </c>
      <c r="G1116" s="185">
        <v>1.6</v>
      </c>
      <c r="H1116" s="223"/>
      <c r="I1116" s="223">
        <f>I1099</f>
        <v>4.6749999999999998</v>
      </c>
      <c r="J1116" s="220">
        <f t="shared" si="114"/>
        <v>48.35</v>
      </c>
      <c r="K1116" s="195"/>
    </row>
    <row r="1117" spans="1:11" x14ac:dyDescent="0.2">
      <c r="A1117" s="206"/>
      <c r="B1117" s="206"/>
      <c r="C1117" s="207"/>
      <c r="D1117" s="221"/>
      <c r="E1117" s="182"/>
      <c r="F1117" s="220"/>
      <c r="G1117" s="220"/>
      <c r="H1117" s="220"/>
      <c r="I1117" s="218" t="str">
        <f>"Total item "&amp;A1112</f>
        <v>Total item 2.6.8</v>
      </c>
      <c r="J1117" s="217">
        <f>SUM(J1114:J1116)</f>
        <v>89.19</v>
      </c>
      <c r="K1117" s="195"/>
    </row>
    <row r="1118" spans="1:11" s="50" customFormat="1" x14ac:dyDescent="0.2">
      <c r="A1118" s="206"/>
      <c r="B1118" s="206"/>
      <c r="C1118" s="207"/>
      <c r="D1118" s="208"/>
      <c r="E1118" s="206"/>
      <c r="F1118" s="209"/>
      <c r="G1118" s="209"/>
      <c r="H1118" s="209"/>
      <c r="I1118" s="210"/>
      <c r="J1118" s="209"/>
      <c r="K1118" s="200"/>
    </row>
    <row r="1119" spans="1:11" s="51" customFormat="1" ht="20.399999999999999" x14ac:dyDescent="0.2">
      <c r="A1119" s="214" t="str">
        <f>'ORÇAMENTO COM DESON'!A196</f>
        <v>2.6.9</v>
      </c>
      <c r="B1119" s="214"/>
      <c r="C1119" s="215"/>
      <c r="D1119" s="216" t="str">
        <f>'ORÇAMENTO COM DESON'!D196</f>
        <v>REVESTIMENTO CERÂMICO COM PLACAS TIPO ESMALTADA EXTRA DE DIMENSÕES 10X10</v>
      </c>
      <c r="E1119" s="214" t="str">
        <f>'ORÇAMENTO COM DESON'!E196</f>
        <v>m²</v>
      </c>
      <c r="F1119" s="217"/>
      <c r="G1119" s="217"/>
      <c r="H1119" s="217"/>
      <c r="I1119" s="218"/>
      <c r="J1119" s="217"/>
      <c r="K1119" s="202"/>
    </row>
    <row r="1120" spans="1:11" x14ac:dyDescent="0.2">
      <c r="A1120" s="206"/>
      <c r="B1120" s="206"/>
      <c r="C1120" s="207"/>
      <c r="D1120" s="219"/>
      <c r="E1120" s="182"/>
      <c r="F1120" s="185" t="s">
        <v>33</v>
      </c>
      <c r="G1120" s="185" t="s">
        <v>198</v>
      </c>
      <c r="H1120" s="185"/>
      <c r="I1120" s="185" t="s">
        <v>404</v>
      </c>
      <c r="J1120" s="220"/>
      <c r="K1120" s="195"/>
    </row>
    <row r="1121" spans="1:11" x14ac:dyDescent="0.2">
      <c r="A1121" s="206"/>
      <c r="B1121" s="206"/>
      <c r="C1121" s="207"/>
      <c r="D1121" s="219" t="str">
        <f>D1104</f>
        <v>Recepção e antiga sala de curativos (corredor até o banheiro)</v>
      </c>
      <c r="E1121" s="182"/>
      <c r="F1121" s="185">
        <f>F1104</f>
        <v>24.86</v>
      </c>
      <c r="G1121" s="185">
        <v>0.1</v>
      </c>
      <c r="H1121" s="185"/>
      <c r="I1121" s="222">
        <f>(0.7*0.1*2)+(0.9*0.1*3)+(0.1*1)+(2.75*0.1)</f>
        <v>0.78500000000000003</v>
      </c>
      <c r="J1121" s="220">
        <f t="shared" ref="J1121:J1127" si="115">ROUND((PRODUCT(F1121:H1121))-I1121,2)</f>
        <v>1.7</v>
      </c>
      <c r="K1121" s="195"/>
    </row>
    <row r="1122" spans="1:11" x14ac:dyDescent="0.2">
      <c r="A1122" s="206"/>
      <c r="B1122" s="206"/>
      <c r="C1122" s="207"/>
      <c r="D1122" s="219" t="str">
        <f t="shared" ref="D1122:D1126" si="116">D1105</f>
        <v>Sala de remédios</v>
      </c>
      <c r="E1122" s="182"/>
      <c r="F1122" s="185">
        <f t="shared" ref="F1122:F1126" si="117">F1105</f>
        <v>9.75</v>
      </c>
      <c r="G1122" s="185">
        <v>0.1</v>
      </c>
      <c r="H1122" s="185"/>
      <c r="I1122" s="222">
        <f>(0.7*0.1)</f>
        <v>6.9999999999999993E-2</v>
      </c>
      <c r="J1122" s="220">
        <f t="shared" si="115"/>
        <v>0.91</v>
      </c>
      <c r="K1122" s="195"/>
    </row>
    <row r="1123" spans="1:11" x14ac:dyDescent="0.2">
      <c r="A1123" s="206"/>
      <c r="B1123" s="206"/>
      <c r="C1123" s="207"/>
      <c r="D1123" s="219" t="str">
        <f t="shared" si="116"/>
        <v>Sala de vacinação</v>
      </c>
      <c r="E1123" s="182"/>
      <c r="F1123" s="185">
        <f t="shared" si="117"/>
        <v>13</v>
      </c>
      <c r="G1123" s="185">
        <v>0.1</v>
      </c>
      <c r="H1123" s="185"/>
      <c r="I1123" s="222">
        <f>(0.1*0.9)</f>
        <v>9.0000000000000011E-2</v>
      </c>
      <c r="J1123" s="220">
        <f t="shared" si="115"/>
        <v>1.21</v>
      </c>
      <c r="K1123" s="195"/>
    </row>
    <row r="1124" spans="1:11" x14ac:dyDescent="0.2">
      <c r="A1124" s="206"/>
      <c r="B1124" s="206"/>
      <c r="C1124" s="207"/>
      <c r="D1124" s="219" t="str">
        <f t="shared" si="116"/>
        <v>Consultório odontológico</v>
      </c>
      <c r="E1124" s="182"/>
      <c r="F1124" s="185">
        <f t="shared" si="117"/>
        <v>12.9</v>
      </c>
      <c r="G1124" s="185">
        <v>0.1</v>
      </c>
      <c r="H1124" s="185"/>
      <c r="I1124" s="222">
        <f>(0.1*0.9)</f>
        <v>9.0000000000000011E-2</v>
      </c>
      <c r="J1124" s="220">
        <f t="shared" si="115"/>
        <v>1.2</v>
      </c>
      <c r="K1124" s="195"/>
    </row>
    <row r="1125" spans="1:11" x14ac:dyDescent="0.2">
      <c r="A1125" s="206"/>
      <c r="B1125" s="206"/>
      <c r="C1125" s="207"/>
      <c r="D1125" s="219" t="str">
        <f t="shared" si="116"/>
        <v>Consultório médico</v>
      </c>
      <c r="E1125" s="182"/>
      <c r="F1125" s="185">
        <f t="shared" si="117"/>
        <v>13.04</v>
      </c>
      <c r="G1125" s="185">
        <v>0.1</v>
      </c>
      <c r="H1125" s="185"/>
      <c r="I1125" s="222">
        <f>(0.1*0.9)</f>
        <v>9.0000000000000011E-2</v>
      </c>
      <c r="J1125" s="220">
        <f t="shared" si="115"/>
        <v>1.21</v>
      </c>
      <c r="K1125" s="195"/>
    </row>
    <row r="1126" spans="1:11" x14ac:dyDescent="0.2">
      <c r="A1126" s="206"/>
      <c r="B1126" s="206"/>
      <c r="C1126" s="207"/>
      <c r="D1126" s="219" t="str">
        <f t="shared" si="116"/>
        <v>WC existente</v>
      </c>
      <c r="E1126" s="182"/>
      <c r="F1126" s="185">
        <f t="shared" si="117"/>
        <v>6.5</v>
      </c>
      <c r="G1126" s="185">
        <v>0.1</v>
      </c>
      <c r="H1126" s="185"/>
      <c r="I1126" s="222">
        <f>(0.1*0.7)</f>
        <v>6.9999999999999993E-2</v>
      </c>
      <c r="J1126" s="220">
        <f t="shared" si="115"/>
        <v>0.57999999999999996</v>
      </c>
      <c r="K1126" s="195"/>
    </row>
    <row r="1127" spans="1:11" x14ac:dyDescent="0.2">
      <c r="A1127" s="206"/>
      <c r="B1127" s="206"/>
      <c r="C1127" s="207"/>
      <c r="D1127" s="219" t="str">
        <f>D1099</f>
        <v>Paredes externas (fachada)</v>
      </c>
      <c r="E1127" s="182"/>
      <c r="F1127" s="185">
        <f>F1099</f>
        <v>33.14</v>
      </c>
      <c r="G1127" s="185">
        <v>0.1</v>
      </c>
      <c r="H1127" s="185"/>
      <c r="I1127" s="222">
        <f>(2.75*0.1)</f>
        <v>0.27500000000000002</v>
      </c>
      <c r="J1127" s="220">
        <f t="shared" si="115"/>
        <v>3.04</v>
      </c>
      <c r="K1127" s="195"/>
    </row>
    <row r="1128" spans="1:11" x14ac:dyDescent="0.2">
      <c r="A1128" s="206"/>
      <c r="B1128" s="206"/>
      <c r="C1128" s="207"/>
      <c r="D1128" s="221"/>
      <c r="E1128" s="182"/>
      <c r="F1128" s="220"/>
      <c r="G1128" s="220"/>
      <c r="H1128" s="220"/>
      <c r="I1128" s="218" t="str">
        <f>"Total item "&amp;A1119</f>
        <v>Total item 2.6.9</v>
      </c>
      <c r="J1128" s="217">
        <f>SUM(J1121:J1127)</f>
        <v>9.85</v>
      </c>
      <c r="K1128" s="195"/>
    </row>
    <row r="1129" spans="1:11" s="50" customFormat="1" x14ac:dyDescent="0.2">
      <c r="A1129" s="206"/>
      <c r="B1129" s="206"/>
      <c r="C1129" s="207"/>
      <c r="D1129" s="208"/>
      <c r="E1129" s="206"/>
      <c r="F1129" s="209"/>
      <c r="G1129" s="209"/>
      <c r="H1129" s="209"/>
      <c r="I1129" s="210"/>
      <c r="J1129" s="209"/>
      <c r="K1129" s="200"/>
    </row>
    <row r="1130" spans="1:11" s="51" customFormat="1" ht="20.399999999999999" x14ac:dyDescent="0.2">
      <c r="A1130" s="214" t="str">
        <f>'ORÇAMENTO COM DESON'!A197</f>
        <v>2.6.10</v>
      </c>
      <c r="B1130" s="214"/>
      <c r="C1130" s="215"/>
      <c r="D1130" s="216" t="str">
        <f>'ORÇAMENTO COM DESON'!D197</f>
        <v>REVESTIMENTO CERÂMICO COM PLACAS TIPO ESMALTADA TIPO A DE DIMENSÕES 46X46 CM APLICADAS EM PISO.</v>
      </c>
      <c r="E1130" s="214" t="str">
        <f>'ORÇAMENTO COM DESON'!E197</f>
        <v>m²</v>
      </c>
      <c r="F1130" s="217"/>
      <c r="G1130" s="217"/>
      <c r="H1130" s="217"/>
      <c r="I1130" s="218"/>
      <c r="J1130" s="217"/>
      <c r="K1130" s="202"/>
    </row>
    <row r="1131" spans="1:11" x14ac:dyDescent="0.2">
      <c r="A1131" s="206"/>
      <c r="B1131" s="206"/>
      <c r="C1131" s="207"/>
      <c r="D1131" s="219"/>
      <c r="E1131" s="182"/>
      <c r="F1131" s="185" t="s">
        <v>18</v>
      </c>
      <c r="G1131" s="185"/>
      <c r="H1131" s="185"/>
      <c r="I1131" s="185"/>
      <c r="J1131" s="220"/>
      <c r="K1131" s="195"/>
    </row>
    <row r="1132" spans="1:11" x14ac:dyDescent="0.2">
      <c r="A1132" s="206"/>
      <c r="B1132" s="206"/>
      <c r="C1132" s="207"/>
      <c r="D1132" s="233"/>
      <c r="E1132" s="182" t="s">
        <v>8</v>
      </c>
      <c r="F1132" s="185"/>
      <c r="G1132" s="185"/>
      <c r="H1132" s="185"/>
      <c r="I1132" s="222"/>
      <c r="J1132" s="220"/>
      <c r="K1132" s="195"/>
    </row>
    <row r="1133" spans="1:11" x14ac:dyDescent="0.2">
      <c r="A1133" s="206"/>
      <c r="B1133" s="206"/>
      <c r="C1133" s="207"/>
      <c r="D1133" s="219" t="s">
        <v>749</v>
      </c>
      <c r="E1133" s="182"/>
      <c r="F1133" s="185">
        <v>10.220000000000001</v>
      </c>
      <c r="G1133" s="234"/>
      <c r="H1133" s="185"/>
      <c r="I1133" s="222"/>
      <c r="J1133" s="220">
        <f t="shared" ref="J1133:J1137" si="118">ROUND(PRODUCT(F1133:I1133),2)</f>
        <v>10.220000000000001</v>
      </c>
      <c r="K1133" s="195"/>
    </row>
    <row r="1134" spans="1:11" x14ac:dyDescent="0.2">
      <c r="A1134" s="206"/>
      <c r="B1134" s="206"/>
      <c r="C1134" s="207"/>
      <c r="D1134" s="219" t="s">
        <v>750</v>
      </c>
      <c r="E1134" s="182"/>
      <c r="F1134" s="185">
        <v>10.48</v>
      </c>
      <c r="G1134" s="234"/>
      <c r="H1134" s="185"/>
      <c r="I1134" s="222"/>
      <c r="J1134" s="220">
        <f t="shared" si="118"/>
        <v>10.48</v>
      </c>
      <c r="K1134" s="195"/>
    </row>
    <row r="1135" spans="1:11" x14ac:dyDescent="0.2">
      <c r="A1135" s="206"/>
      <c r="B1135" s="206"/>
      <c r="C1135" s="207"/>
      <c r="D1135" s="219" t="s">
        <v>751</v>
      </c>
      <c r="E1135" s="182"/>
      <c r="F1135" s="185">
        <v>24.86</v>
      </c>
      <c r="G1135" s="234"/>
      <c r="H1135" s="185"/>
      <c r="I1135" s="222"/>
      <c r="J1135" s="220">
        <f t="shared" si="118"/>
        <v>24.86</v>
      </c>
      <c r="K1135" s="195"/>
    </row>
    <row r="1136" spans="1:11" x14ac:dyDescent="0.2">
      <c r="A1136" s="206"/>
      <c r="B1136" s="206"/>
      <c r="C1136" s="207"/>
      <c r="D1136" s="219" t="s">
        <v>436</v>
      </c>
      <c r="E1136" s="182"/>
      <c r="F1136" s="185">
        <v>6.75</v>
      </c>
      <c r="G1136" s="234"/>
      <c r="H1136" s="185"/>
      <c r="I1136" s="222"/>
      <c r="J1136" s="220">
        <f t="shared" si="118"/>
        <v>6.75</v>
      </c>
      <c r="K1136" s="195"/>
    </row>
    <row r="1137" spans="1:11" x14ac:dyDescent="0.2">
      <c r="A1137" s="206"/>
      <c r="B1137" s="206"/>
      <c r="C1137" s="207"/>
      <c r="D1137" s="219" t="s">
        <v>437</v>
      </c>
      <c r="E1137" s="182"/>
      <c r="F1137" s="185">
        <v>10.5</v>
      </c>
      <c r="G1137" s="234"/>
      <c r="H1137" s="185"/>
      <c r="I1137" s="222"/>
      <c r="J1137" s="220">
        <f t="shared" si="118"/>
        <v>10.5</v>
      </c>
      <c r="K1137" s="195"/>
    </row>
    <row r="1138" spans="1:11" x14ac:dyDescent="0.2">
      <c r="A1138" s="206"/>
      <c r="B1138" s="206"/>
      <c r="C1138" s="207"/>
      <c r="D1138" s="182"/>
      <c r="E1138" s="182"/>
      <c r="F1138" s="220"/>
      <c r="G1138" s="220"/>
      <c r="H1138" s="220"/>
      <c r="I1138" s="218" t="str">
        <f>"Total item "&amp;A1130</f>
        <v>Total item 2.6.10</v>
      </c>
      <c r="J1138" s="217">
        <f>SUM(J1132:J1137)</f>
        <v>62.81</v>
      </c>
      <c r="K1138" s="195"/>
    </row>
    <row r="1139" spans="1:11" s="50" customFormat="1" x14ac:dyDescent="0.2">
      <c r="A1139" s="206"/>
      <c r="B1139" s="206"/>
      <c r="C1139" s="207"/>
      <c r="D1139" s="182"/>
      <c r="E1139" s="206"/>
      <c r="F1139" s="209"/>
      <c r="G1139" s="209"/>
      <c r="H1139" s="209"/>
      <c r="I1139" s="210"/>
      <c r="J1139" s="209"/>
      <c r="K1139" s="200"/>
    </row>
    <row r="1140" spans="1:11" x14ac:dyDescent="0.2">
      <c r="A1140" s="175" t="str">
        <f>'ORÇAMENTO COM DESON'!A198</f>
        <v>2.7</v>
      </c>
      <c r="B1140" s="176"/>
      <c r="C1140" s="177"/>
      <c r="D1140" s="211" t="str">
        <f>'ORÇAMENTO COM DESON'!D198</f>
        <v>PINTURA</v>
      </c>
      <c r="E1140" s="176"/>
      <c r="F1140" s="212"/>
      <c r="G1140" s="212"/>
      <c r="H1140" s="212"/>
      <c r="I1140" s="213"/>
      <c r="J1140" s="212"/>
    </row>
    <row r="1141" spans="1:11" x14ac:dyDescent="0.2">
      <c r="A1141" s="206"/>
      <c r="B1141" s="206"/>
      <c r="C1141" s="207"/>
      <c r="D1141" s="208"/>
      <c r="E1141" s="206"/>
      <c r="F1141" s="209"/>
      <c r="G1141" s="209"/>
      <c r="H1141" s="209"/>
      <c r="I1141" s="210"/>
      <c r="J1141" s="209"/>
    </row>
    <row r="1142" spans="1:11" ht="20.399999999999999" x14ac:dyDescent="0.2">
      <c r="A1142" s="214" t="str">
        <f>'ORÇAMENTO COM DESON'!A199</f>
        <v>2.7.1</v>
      </c>
      <c r="B1142" s="214"/>
      <c r="C1142" s="215"/>
      <c r="D1142" s="216" t="str">
        <f>'ORÇAMENTO COM DESON'!D199</f>
        <v>APLICAÇÃO MANUAL DE PINTURA COM TINTA LÁTEX ACRÍLICA EM PAREDES, DUAS DEMÃOS. AF_06/2014</v>
      </c>
      <c r="E1142" s="214" t="str">
        <f>'ORÇAMENTO COM DESON'!E199</f>
        <v>m²</v>
      </c>
      <c r="F1142" s="217"/>
      <c r="G1142" s="217"/>
      <c r="H1142" s="217"/>
      <c r="I1142" s="218"/>
      <c r="J1142" s="217"/>
    </row>
    <row r="1143" spans="1:11" x14ac:dyDescent="0.2">
      <c r="A1143" s="206"/>
      <c r="B1143" s="206"/>
      <c r="C1143" s="207"/>
      <c r="D1143" s="219"/>
      <c r="E1143" s="182"/>
      <c r="F1143" s="220" t="s">
        <v>406</v>
      </c>
      <c r="G1143" s="185" t="s">
        <v>156</v>
      </c>
      <c r="H1143" s="220" t="s">
        <v>158</v>
      </c>
      <c r="I1143" s="185"/>
      <c r="J1143" s="220"/>
    </row>
    <row r="1144" spans="1:11" x14ac:dyDescent="0.2">
      <c r="A1144" s="206"/>
      <c r="B1144" s="206"/>
      <c r="C1144" s="207"/>
      <c r="D1144" s="219" t="s">
        <v>435</v>
      </c>
      <c r="E1144" s="182"/>
      <c r="F1144" s="185">
        <f t="shared" ref="F1144:F1150" si="119">F1121</f>
        <v>24.86</v>
      </c>
      <c r="G1144" s="220"/>
      <c r="H1144" s="247">
        <v>1.3</v>
      </c>
      <c r="I1144" s="222">
        <f>(0.7*0.4*2)+(0.9*0.4*3)+(0.4*1)+(2.75*0.4)</f>
        <v>3.14</v>
      </c>
      <c r="J1144" s="220">
        <f t="shared" ref="J1144:J1150" si="120">ROUND((PRODUCT(F1144:H1144))-I1144,2)</f>
        <v>29.18</v>
      </c>
    </row>
    <row r="1145" spans="1:11" x14ac:dyDescent="0.2">
      <c r="A1145" s="206"/>
      <c r="B1145" s="206"/>
      <c r="C1145" s="207"/>
      <c r="D1145" s="219" t="s">
        <v>436</v>
      </c>
      <c r="E1145" s="182"/>
      <c r="F1145" s="185">
        <f t="shared" si="119"/>
        <v>9.75</v>
      </c>
      <c r="G1145" s="185"/>
      <c r="H1145" s="247">
        <v>1.3</v>
      </c>
      <c r="I1145" s="222">
        <f>(0.7*0.4)+(1.2*0.6)</f>
        <v>1</v>
      </c>
      <c r="J1145" s="220">
        <f t="shared" si="120"/>
        <v>11.68</v>
      </c>
    </row>
    <row r="1146" spans="1:11" x14ac:dyDescent="0.2">
      <c r="A1146" s="206"/>
      <c r="B1146" s="206"/>
      <c r="C1146" s="207"/>
      <c r="D1146" s="219" t="s">
        <v>437</v>
      </c>
      <c r="E1146" s="182"/>
      <c r="F1146" s="185">
        <f t="shared" si="119"/>
        <v>13</v>
      </c>
      <c r="G1146" s="185"/>
      <c r="H1146" s="247">
        <v>1.3</v>
      </c>
      <c r="I1146" s="222">
        <f>(2.55*0.6)+(0.4*0.9)</f>
        <v>1.89</v>
      </c>
      <c r="J1146" s="220">
        <f t="shared" si="120"/>
        <v>15.01</v>
      </c>
    </row>
    <row r="1147" spans="1:11" x14ac:dyDescent="0.2">
      <c r="A1147" s="206"/>
      <c r="B1147" s="206"/>
      <c r="C1147" s="207"/>
      <c r="D1147" s="219" t="s">
        <v>438</v>
      </c>
      <c r="E1147" s="182"/>
      <c r="F1147" s="185">
        <f t="shared" si="119"/>
        <v>12.9</v>
      </c>
      <c r="G1147" s="185"/>
      <c r="H1147" s="247">
        <v>1.3</v>
      </c>
      <c r="I1147" s="222">
        <f>(2.55*0.6)+(0.4*0.9)</f>
        <v>1.89</v>
      </c>
      <c r="J1147" s="220">
        <f t="shared" si="120"/>
        <v>14.88</v>
      </c>
    </row>
    <row r="1148" spans="1:11" x14ac:dyDescent="0.2">
      <c r="A1148" s="206"/>
      <c r="B1148" s="206"/>
      <c r="C1148" s="207"/>
      <c r="D1148" s="219" t="s">
        <v>439</v>
      </c>
      <c r="E1148" s="182"/>
      <c r="F1148" s="185">
        <f t="shared" si="119"/>
        <v>13.04</v>
      </c>
      <c r="G1148" s="185"/>
      <c r="H1148" s="247">
        <v>1.3</v>
      </c>
      <c r="I1148" s="222">
        <f>(2.55*0.6)+(0.4*0.9)</f>
        <v>1.89</v>
      </c>
      <c r="J1148" s="220">
        <f t="shared" si="120"/>
        <v>15.06</v>
      </c>
    </row>
    <row r="1149" spans="1:11" x14ac:dyDescent="0.2">
      <c r="A1149" s="206"/>
      <c r="B1149" s="206"/>
      <c r="C1149" s="207"/>
      <c r="D1149" s="219" t="s">
        <v>444</v>
      </c>
      <c r="E1149" s="182"/>
      <c r="F1149" s="185">
        <f t="shared" si="119"/>
        <v>6.5</v>
      </c>
      <c r="G1149" s="185"/>
      <c r="H1149" s="247">
        <v>1.3</v>
      </c>
      <c r="I1149" s="222">
        <f>(1.2*0.6)+(0.7*0.4)</f>
        <v>1</v>
      </c>
      <c r="J1149" s="220">
        <f t="shared" si="120"/>
        <v>7.45</v>
      </c>
    </row>
    <row r="1150" spans="1:11" x14ac:dyDescent="0.2">
      <c r="A1150" s="206"/>
      <c r="B1150" s="206"/>
      <c r="C1150" s="207"/>
      <c r="D1150" s="219" t="s">
        <v>440</v>
      </c>
      <c r="E1150" s="182"/>
      <c r="F1150" s="185">
        <f t="shared" si="119"/>
        <v>33.14</v>
      </c>
      <c r="G1150" s="185"/>
      <c r="H1150" s="247">
        <v>1.3</v>
      </c>
      <c r="I1150" s="222">
        <f>(1.2*0.6)+(2.55*0.6)+(2.55*0.6)+(2.55*0.6)+(1.2*0.6)+(2.75*0.4)</f>
        <v>7.129999999999999</v>
      </c>
      <c r="J1150" s="220">
        <f t="shared" si="120"/>
        <v>35.950000000000003</v>
      </c>
    </row>
    <row r="1151" spans="1:11" x14ac:dyDescent="0.2">
      <c r="A1151" s="206"/>
      <c r="B1151" s="206"/>
      <c r="C1151" s="207"/>
      <c r="D1151" s="219" t="s">
        <v>476</v>
      </c>
      <c r="E1151" s="182" t="s">
        <v>8</v>
      </c>
      <c r="F1151" s="185">
        <f>F1094</f>
        <v>69.239999999999995</v>
      </c>
      <c r="G1151" s="185">
        <v>0.6</v>
      </c>
      <c r="H1151" s="185">
        <v>2</v>
      </c>
      <c r="I1151" s="185">
        <f>0.25*0.6*24</f>
        <v>3.5999999999999996</v>
      </c>
      <c r="J1151" s="220">
        <f>ROUND((PRODUCT(F1151:H1151))-I1151,2)</f>
        <v>79.489999999999995</v>
      </c>
    </row>
    <row r="1152" spans="1:11" x14ac:dyDescent="0.2">
      <c r="A1152" s="206"/>
      <c r="B1152" s="206"/>
      <c r="C1152" s="207"/>
      <c r="D1152" s="221"/>
      <c r="E1152" s="182"/>
      <c r="F1152" s="220"/>
      <c r="G1152" s="220"/>
      <c r="H1152" s="220"/>
      <c r="I1152" s="218" t="str">
        <f>"Total item "&amp;A1142</f>
        <v>Total item 2.7.1</v>
      </c>
      <c r="J1152" s="217">
        <f>SUM(J1144:J1151)</f>
        <v>208.7</v>
      </c>
    </row>
    <row r="1153" spans="1:11" ht="40.799999999999997" x14ac:dyDescent="0.2">
      <c r="A1153" s="214" t="str">
        <f>'ORÇAMENTO COM DESON'!A200</f>
        <v>2.7.2</v>
      </c>
      <c r="B1153" s="214"/>
      <c r="C1153" s="215"/>
      <c r="D1153" s="216" t="str">
        <f>'ORÇAMENTO COM DESON'!D200</f>
        <v>PINTURA COM TINTA ALQUÍDICA DE ACABAMENTO (ESMALTE SINTÉTICO ACETINADO) APLICADA A ROLO OU PINCEL SOBRE PERFIL METÁLICO EXECUTADO EM FÁBRICA  (POR DEMÃO). AF_01/2020</v>
      </c>
      <c r="E1153" s="214" t="str">
        <f>'ORÇAMENTO COM DESON'!E200</f>
        <v>m²</v>
      </c>
      <c r="F1153" s="217"/>
      <c r="G1153" s="217"/>
      <c r="H1153" s="217"/>
      <c r="I1153" s="218"/>
      <c r="J1153" s="217"/>
    </row>
    <row r="1154" spans="1:11" x14ac:dyDescent="0.2">
      <c r="A1154" s="206"/>
      <c r="B1154" s="206"/>
      <c r="C1154" s="207"/>
      <c r="D1154" s="219"/>
      <c r="E1154" s="182"/>
      <c r="F1154" s="185" t="s">
        <v>33</v>
      </c>
      <c r="G1154" s="185" t="s">
        <v>34</v>
      </c>
      <c r="H1154" s="185" t="s">
        <v>2</v>
      </c>
      <c r="I1154" s="185" t="s">
        <v>198</v>
      </c>
      <c r="J1154" s="220"/>
    </row>
    <row r="1155" spans="1:11" x14ac:dyDescent="0.2">
      <c r="A1155" s="206"/>
      <c r="B1155" s="206"/>
      <c r="C1155" s="207"/>
      <c r="D1155" s="219" t="s">
        <v>445</v>
      </c>
      <c r="E1155" s="182"/>
      <c r="F1155" s="185">
        <v>2.75</v>
      </c>
      <c r="G1155" s="185"/>
      <c r="H1155" s="185"/>
      <c r="I1155" s="223">
        <v>2.1</v>
      </c>
      <c r="J1155" s="220">
        <f>ROUND(PRODUCT(F1155:I1155),2)</f>
        <v>5.78</v>
      </c>
    </row>
    <row r="1156" spans="1:11" x14ac:dyDescent="0.2">
      <c r="A1156" s="206"/>
      <c r="B1156" s="206"/>
      <c r="C1156" s="207"/>
      <c r="D1156" s="219" t="s">
        <v>499</v>
      </c>
      <c r="E1156" s="182"/>
      <c r="F1156" s="185">
        <f>F1170</f>
        <v>63.239999999999995</v>
      </c>
      <c r="G1156" s="185"/>
      <c r="H1156" s="185"/>
      <c r="I1156" s="223">
        <f>G1170</f>
        <v>1.4</v>
      </c>
      <c r="J1156" s="220">
        <f>ROUND(PRODUCT(F1156:I1156),2)</f>
        <v>88.54</v>
      </c>
    </row>
    <row r="1157" spans="1:11" x14ac:dyDescent="0.2">
      <c r="A1157" s="206"/>
      <c r="B1157" s="206"/>
      <c r="C1157" s="207"/>
      <c r="D1157" s="221"/>
      <c r="E1157" s="182"/>
      <c r="F1157" s="220"/>
      <c r="G1157" s="220"/>
      <c r="H1157" s="220"/>
      <c r="I1157" s="218" t="str">
        <f>"Total item "&amp;A1153</f>
        <v>Total item 2.7.2</v>
      </c>
      <c r="J1157" s="217">
        <f>SUM(J1155:J1156)</f>
        <v>94.320000000000007</v>
      </c>
    </row>
    <row r="1158" spans="1:11" x14ac:dyDescent="0.2">
      <c r="A1158" s="206"/>
      <c r="B1158" s="206"/>
      <c r="C1158" s="207"/>
      <c r="D1158" s="208"/>
      <c r="E1158" s="206"/>
      <c r="F1158" s="209"/>
      <c r="G1158" s="209"/>
      <c r="H1158" s="209"/>
      <c r="I1158" s="210"/>
      <c r="J1158" s="209"/>
    </row>
    <row r="1159" spans="1:11" x14ac:dyDescent="0.2">
      <c r="A1159" s="175" t="str">
        <f>'ORÇAMENTO COM DESON'!A201</f>
        <v>2.8</v>
      </c>
      <c r="B1159" s="176"/>
      <c r="C1159" s="228"/>
      <c r="D1159" s="211" t="str">
        <f>'ORÇAMENTO COM DESON'!D201</f>
        <v>ESQUADRIAS</v>
      </c>
      <c r="E1159" s="176"/>
      <c r="F1159" s="212"/>
      <c r="G1159" s="212"/>
      <c r="H1159" s="212"/>
      <c r="I1159" s="213"/>
      <c r="J1159" s="212"/>
      <c r="K1159" s="195"/>
    </row>
    <row r="1160" spans="1:11" x14ac:dyDescent="0.2">
      <c r="A1160" s="206"/>
      <c r="B1160" s="206"/>
      <c r="C1160" s="229"/>
      <c r="D1160" s="219"/>
      <c r="E1160" s="182"/>
      <c r="F1160" s="220"/>
      <c r="G1160" s="220"/>
      <c r="H1160" s="220"/>
      <c r="I1160" s="210"/>
      <c r="J1160" s="209"/>
      <c r="K1160" s="195"/>
    </row>
    <row r="1161" spans="1:11" ht="51" x14ac:dyDescent="0.2">
      <c r="A1161" s="214" t="str">
        <f>'ORÇAMENTO COM DESON'!A202</f>
        <v>2.8.1</v>
      </c>
      <c r="B1161" s="230"/>
      <c r="C1161" s="231"/>
      <c r="D1161" s="232" t="str">
        <f>'ORÇAMENTO COM DESON'!D202</f>
        <v>KIT DE PORTA DE MADEIRA PARA PINTURA, SEMI-OCA (LEVE OU MÉDIA), PADRÃO MÉDIO, 90X210CM, ESPESSURA DE 3,5CM, ITENS INCLUSOS: DOBRADIÇAS, MONTAGEM E INSTALAÇÃO DO BATENTE, FECHADURA COM EXECUÇÃO DO FURORNECIMENTO E INST ALAÇÃO. AF_12/2019</v>
      </c>
      <c r="E1161" s="214" t="str">
        <f>'ORÇAMENTO COM DESON'!E202</f>
        <v>un</v>
      </c>
      <c r="F1161" s="217"/>
      <c r="G1161" s="217"/>
      <c r="H1161" s="217"/>
      <c r="I1161" s="218"/>
      <c r="J1161" s="217"/>
      <c r="K1161" s="195"/>
    </row>
    <row r="1162" spans="1:11" x14ac:dyDescent="0.2">
      <c r="A1162" s="206"/>
      <c r="B1162" s="206"/>
      <c r="C1162" s="229"/>
      <c r="D1162" s="219"/>
      <c r="E1162" s="182"/>
      <c r="F1162" s="185" t="s">
        <v>206</v>
      </c>
      <c r="G1162" s="185"/>
      <c r="H1162" s="185"/>
      <c r="I1162" s="223"/>
      <c r="J1162" s="220"/>
      <c r="K1162" s="195"/>
    </row>
    <row r="1163" spans="1:11" x14ac:dyDescent="0.2">
      <c r="A1163" s="206"/>
      <c r="B1163" s="206"/>
      <c r="C1163" s="207"/>
      <c r="D1163" s="219" t="s">
        <v>437</v>
      </c>
      <c r="E1163" s="182"/>
      <c r="F1163" s="185">
        <v>1</v>
      </c>
      <c r="G1163" s="220"/>
      <c r="H1163" s="156"/>
      <c r="I1163" s="222"/>
      <c r="J1163" s="220">
        <f>ROUND(PRODUCT(F1163:I1163),2)</f>
        <v>1</v>
      </c>
    </row>
    <row r="1164" spans="1:11" x14ac:dyDescent="0.2">
      <c r="A1164" s="206"/>
      <c r="B1164" s="206"/>
      <c r="C1164" s="207"/>
      <c r="D1164" s="219" t="s">
        <v>439</v>
      </c>
      <c r="E1164" s="182"/>
      <c r="F1164" s="185">
        <v>1</v>
      </c>
      <c r="G1164" s="220"/>
      <c r="H1164" s="156"/>
      <c r="I1164" s="222"/>
      <c r="J1164" s="220">
        <f t="shared" ref="J1164:J1165" si="121">ROUND(PRODUCT(F1164:I1164),2)</f>
        <v>1</v>
      </c>
    </row>
    <row r="1165" spans="1:11" x14ac:dyDescent="0.2">
      <c r="A1165" s="206"/>
      <c r="B1165" s="206"/>
      <c r="C1165" s="207"/>
      <c r="D1165" s="219" t="s">
        <v>438</v>
      </c>
      <c r="E1165" s="182"/>
      <c r="F1165" s="185">
        <v>1</v>
      </c>
      <c r="G1165" s="220"/>
      <c r="H1165" s="156"/>
      <c r="I1165" s="222"/>
      <c r="J1165" s="220">
        <f t="shared" si="121"/>
        <v>1</v>
      </c>
    </row>
    <row r="1166" spans="1:11" x14ac:dyDescent="0.2">
      <c r="A1166" s="206"/>
      <c r="B1166" s="206"/>
      <c r="C1166" s="229"/>
      <c r="D1166" s="219"/>
      <c r="E1166" s="182"/>
      <c r="F1166" s="220"/>
      <c r="G1166" s="220"/>
      <c r="H1166" s="220"/>
      <c r="I1166" s="218" t="str">
        <f>"Total item "&amp;A1161</f>
        <v>Total item 2.8.1</v>
      </c>
      <c r="J1166" s="217">
        <f>SUM(J1163:J1165)</f>
        <v>3</v>
      </c>
      <c r="K1166" s="195"/>
    </row>
    <row r="1167" spans="1:11" x14ac:dyDescent="0.2">
      <c r="A1167" s="206"/>
      <c r="B1167" s="206"/>
      <c r="C1167" s="229"/>
      <c r="D1167" s="219"/>
      <c r="E1167" s="182"/>
      <c r="F1167" s="220"/>
      <c r="G1167" s="220"/>
      <c r="H1167" s="220"/>
      <c r="I1167" s="210"/>
      <c r="J1167" s="209"/>
      <c r="K1167" s="195"/>
    </row>
    <row r="1168" spans="1:11" ht="20.399999999999999" x14ac:dyDescent="0.2">
      <c r="A1168" s="214" t="str">
        <f>'ORÇAMENTO COM DESON'!A203</f>
        <v>2.8.2</v>
      </c>
      <c r="B1168" s="230"/>
      <c r="C1168" s="231"/>
      <c r="D1168" s="232" t="str">
        <f>'ORÇAMENTO COM DESON'!D203</f>
        <v>GRADE DE FERRO TUBULAR C/MOLDURA EM BARRA CHATA DE FERRO</v>
      </c>
      <c r="E1168" s="214" t="str">
        <f>'ORÇAMENTO COM DESON'!E203</f>
        <v>m²</v>
      </c>
      <c r="F1168" s="217"/>
      <c r="G1168" s="217"/>
      <c r="H1168" s="217"/>
      <c r="I1168" s="218"/>
      <c r="J1168" s="217"/>
      <c r="K1168" s="195"/>
    </row>
    <row r="1169" spans="1:11" x14ac:dyDescent="0.2">
      <c r="A1169" s="206"/>
      <c r="B1169" s="206"/>
      <c r="C1169" s="229"/>
      <c r="D1169" s="219"/>
      <c r="E1169" s="182"/>
      <c r="F1169" s="185" t="s">
        <v>206</v>
      </c>
      <c r="G1169" s="185" t="s">
        <v>158</v>
      </c>
      <c r="H1169" s="185"/>
      <c r="I1169" s="223"/>
      <c r="J1169" s="220"/>
      <c r="K1169" s="195"/>
    </row>
    <row r="1170" spans="1:11" x14ac:dyDescent="0.2">
      <c r="A1170" s="206"/>
      <c r="B1170" s="206"/>
      <c r="C1170" s="207"/>
      <c r="D1170" s="219" t="s">
        <v>470</v>
      </c>
      <c r="E1170" s="182"/>
      <c r="F1170" s="185">
        <f>72.24-(0.25*24)-3</f>
        <v>63.239999999999995</v>
      </c>
      <c r="G1170" s="220">
        <v>1.4</v>
      </c>
      <c r="H1170" s="156"/>
      <c r="I1170" s="222"/>
      <c r="J1170" s="220">
        <f>ROUND(PRODUCT(F1170:I1170),2)</f>
        <v>88.54</v>
      </c>
    </row>
    <row r="1171" spans="1:11" x14ac:dyDescent="0.2">
      <c r="A1171" s="206"/>
      <c r="B1171" s="206"/>
      <c r="C1171" s="229"/>
      <c r="D1171" s="219"/>
      <c r="E1171" s="182"/>
      <c r="F1171" s="220"/>
      <c r="G1171" s="220"/>
      <c r="H1171" s="220"/>
      <c r="I1171" s="218" t="str">
        <f>"Total item "&amp;A1168</f>
        <v>Total item 2.8.2</v>
      </c>
      <c r="J1171" s="217">
        <f>SUM(J1170:J1170)</f>
        <v>88.54</v>
      </c>
      <c r="K1171" s="195"/>
    </row>
    <row r="1172" spans="1:11" x14ac:dyDescent="0.2">
      <c r="A1172" s="206"/>
      <c r="B1172" s="206"/>
      <c r="C1172" s="229"/>
      <c r="D1172" s="219"/>
      <c r="E1172" s="182"/>
      <c r="F1172" s="220"/>
      <c r="G1172" s="220"/>
      <c r="H1172" s="220"/>
      <c r="I1172" s="210"/>
      <c r="J1172" s="209"/>
      <c r="K1172" s="195"/>
    </row>
    <row r="1173" spans="1:11" ht="30.6" x14ac:dyDescent="0.2">
      <c r="A1173" s="214" t="str">
        <f>'ORÇAMENTO COM DESON'!A204</f>
        <v>2.8.3</v>
      </c>
      <c r="B1173" s="230"/>
      <c r="C1173" s="231"/>
      <c r="D1173" s="232" t="str">
        <f>'ORÇAMENTO COM DESON'!D204</f>
        <v>PORTAO DE CORRER EM GRADIL FIXO DE BARRA DE FERRO CHATA DE 3 X 1/4" NA VERTICAL, SEM REQUADRO, ACABAMENTO NATURAL, COM TRILHOS E ROLDANAS</v>
      </c>
      <c r="E1173" s="214" t="str">
        <f>'ORÇAMENTO COM DESON'!E204</f>
        <v>m²</v>
      </c>
      <c r="F1173" s="217"/>
      <c r="G1173" s="217"/>
      <c r="H1173" s="217"/>
      <c r="I1173" s="218"/>
      <c r="J1173" s="217"/>
      <c r="K1173" s="195"/>
    </row>
    <row r="1174" spans="1:11" x14ac:dyDescent="0.2">
      <c r="A1174" s="206"/>
      <c r="B1174" s="206"/>
      <c r="C1174" s="229"/>
      <c r="D1174" s="219"/>
      <c r="E1174" s="182"/>
      <c r="F1174" s="185" t="s">
        <v>159</v>
      </c>
      <c r="G1174" s="185" t="s">
        <v>158</v>
      </c>
      <c r="H1174" s="185"/>
      <c r="I1174" s="223"/>
      <c r="J1174" s="220"/>
      <c r="K1174" s="195"/>
    </row>
    <row r="1175" spans="1:11" x14ac:dyDescent="0.2">
      <c r="A1175" s="206"/>
      <c r="B1175" s="206"/>
      <c r="C1175" s="207"/>
      <c r="D1175" s="219"/>
      <c r="E1175" s="182"/>
      <c r="F1175" s="185">
        <v>3</v>
      </c>
      <c r="G1175" s="220">
        <v>2</v>
      </c>
      <c r="H1175" s="156"/>
      <c r="I1175" s="222"/>
      <c r="J1175" s="220">
        <f>ROUND(PRODUCT(F1175:I1175),2)</f>
        <v>6</v>
      </c>
    </row>
    <row r="1176" spans="1:11" x14ac:dyDescent="0.2">
      <c r="A1176" s="206"/>
      <c r="B1176" s="206"/>
      <c r="C1176" s="229"/>
      <c r="D1176" s="219"/>
      <c r="E1176" s="182"/>
      <c r="F1176" s="220"/>
      <c r="G1176" s="220"/>
      <c r="H1176" s="220"/>
      <c r="I1176" s="218" t="str">
        <f>"Total item "&amp;A1173</f>
        <v>Total item 2.8.3</v>
      </c>
      <c r="J1176" s="217">
        <f>SUM(J1175:J1175)</f>
        <v>6</v>
      </c>
      <c r="K1176" s="195"/>
    </row>
    <row r="1177" spans="1:11" x14ac:dyDescent="0.2">
      <c r="A1177" s="206"/>
      <c r="B1177" s="206"/>
      <c r="C1177" s="229"/>
      <c r="D1177" s="219"/>
      <c r="E1177" s="182"/>
      <c r="F1177" s="220"/>
      <c r="G1177" s="220"/>
      <c r="H1177" s="220"/>
      <c r="I1177" s="210"/>
      <c r="J1177" s="209"/>
      <c r="K1177" s="195"/>
    </row>
    <row r="1178" spans="1:11" ht="51" x14ac:dyDescent="0.2">
      <c r="A1178" s="214" t="str">
        <f>'ORÇAMENTO COM DESON'!A205</f>
        <v>2.8.4</v>
      </c>
      <c r="B1178" s="230"/>
      <c r="C1178" s="231"/>
      <c r="D1178" s="232" t="str">
        <f>'ORÇAMENTO COM DESON'!D205</f>
        <v>GUARDA-CORPO DE AÇO GALVANIZADO DE 1,10M, MONTANTES TUBULARES DE 1.1/4" ESPAÇADOS DE 1,20M, TRAVESSA SUPERIOR DE 1.1/2", GRADIL FORMADO POR TUBOS HORIZONTAIS DE 1" E VERTICAIS DE 3/4", FIXADO COM CHUMBADOR MECÂNICO. AF_04/2019_P</v>
      </c>
      <c r="E1178" s="214" t="str">
        <f>'ORÇAMENTO COM DESON'!E205</f>
        <v>m</v>
      </c>
      <c r="F1178" s="217"/>
      <c r="G1178" s="217"/>
      <c r="H1178" s="217"/>
      <c r="I1178" s="218"/>
      <c r="J1178" s="217"/>
      <c r="K1178" s="195"/>
    </row>
    <row r="1179" spans="1:11" x14ac:dyDescent="0.2">
      <c r="A1179" s="206"/>
      <c r="B1179" s="206"/>
      <c r="C1179" s="229"/>
      <c r="D1179" s="219"/>
      <c r="E1179" s="182"/>
      <c r="F1179" s="185" t="s">
        <v>156</v>
      </c>
      <c r="G1179" s="156" t="s">
        <v>173</v>
      </c>
      <c r="H1179" s="185"/>
      <c r="I1179" s="223"/>
      <c r="J1179" s="220"/>
      <c r="K1179" s="195"/>
    </row>
    <row r="1180" spans="1:11" x14ac:dyDescent="0.2">
      <c r="A1180" s="206"/>
      <c r="B1180" s="206"/>
      <c r="C1180" s="229"/>
      <c r="D1180" s="219" t="s">
        <v>423</v>
      </c>
      <c r="E1180" s="182" t="s">
        <v>21</v>
      </c>
      <c r="F1180" s="185">
        <v>4</v>
      </c>
      <c r="G1180" s="185">
        <v>2</v>
      </c>
      <c r="H1180" s="185"/>
      <c r="I1180" s="223"/>
      <c r="J1180" s="220">
        <f>ROUND(PRODUCT(F1180:I1180),2)</f>
        <v>8</v>
      </c>
      <c r="K1180" s="195"/>
    </row>
    <row r="1181" spans="1:11" x14ac:dyDescent="0.2">
      <c r="A1181" s="206"/>
      <c r="B1181" s="206"/>
      <c r="C1181" s="229"/>
      <c r="D1181" s="219"/>
      <c r="E1181" s="182"/>
      <c r="F1181" s="220"/>
      <c r="G1181" s="220"/>
      <c r="H1181" s="220"/>
      <c r="I1181" s="218" t="str">
        <f>"Total item "&amp;A1178</f>
        <v>Total item 2.8.4</v>
      </c>
      <c r="J1181" s="217">
        <f>SUM(J1180:J1180)</f>
        <v>8</v>
      </c>
      <c r="K1181" s="195"/>
    </row>
    <row r="1182" spans="1:11" x14ac:dyDescent="0.2">
      <c r="A1182" s="206"/>
      <c r="B1182" s="206"/>
      <c r="C1182" s="229"/>
      <c r="D1182" s="219"/>
      <c r="E1182" s="182"/>
      <c r="F1182" s="220"/>
      <c r="G1182" s="220"/>
      <c r="H1182" s="220"/>
      <c r="I1182" s="210"/>
      <c r="J1182" s="209"/>
      <c r="K1182" s="195"/>
    </row>
    <row r="1183" spans="1:11" x14ac:dyDescent="0.2">
      <c r="A1183" s="175" t="str">
        <f>'ORÇAMENTO COM DESON'!A206</f>
        <v>2.9</v>
      </c>
      <c r="B1183" s="176"/>
      <c r="C1183" s="177"/>
      <c r="D1183" s="211" t="str">
        <f>'ORÇAMENTO COM DESON'!D206</f>
        <v>PAISAGISMO</v>
      </c>
      <c r="E1183" s="176"/>
      <c r="F1183" s="212"/>
      <c r="G1183" s="212"/>
      <c r="H1183" s="212"/>
      <c r="I1183" s="213"/>
      <c r="J1183" s="212"/>
    </row>
    <row r="1184" spans="1:11" x14ac:dyDescent="0.2">
      <c r="A1184" s="206"/>
      <c r="B1184" s="206"/>
      <c r="C1184" s="207"/>
      <c r="D1184" s="208"/>
      <c r="E1184" s="206"/>
      <c r="F1184" s="209"/>
      <c r="G1184" s="209"/>
      <c r="H1184" s="209"/>
      <c r="I1184" s="210"/>
      <c r="J1184" s="209"/>
    </row>
    <row r="1185" spans="1:10" ht="20.399999999999999" x14ac:dyDescent="0.2">
      <c r="A1185" s="214" t="str">
        <f>'ORÇAMENTO COM DESON'!A207</f>
        <v>2.9.1</v>
      </c>
      <c r="B1185" s="214"/>
      <c r="C1185" s="215"/>
      <c r="D1185" s="216" t="str">
        <f>'ORÇAMENTO COM DESON'!D207</f>
        <v>PLANTIO DE GRAMA ESMERALDA OU SÃO CARLOS OU CURITIBANA, EM PLACAS. AF_ 05/2022</v>
      </c>
      <c r="E1185" s="214" t="str">
        <f>'ORÇAMENTO COM DESON'!E207</f>
        <v>m²</v>
      </c>
      <c r="F1185" s="217"/>
      <c r="G1185" s="217"/>
      <c r="H1185" s="217"/>
      <c r="I1185" s="218"/>
      <c r="J1185" s="217"/>
    </row>
    <row r="1186" spans="1:10" x14ac:dyDescent="0.2">
      <c r="A1186" s="206"/>
      <c r="B1186" s="206"/>
      <c r="C1186" s="207"/>
      <c r="D1186" s="219"/>
      <c r="E1186" s="182"/>
      <c r="F1186" s="185" t="s">
        <v>18</v>
      </c>
      <c r="G1186" s="185"/>
      <c r="H1186" s="220"/>
      <c r="I1186" s="185"/>
      <c r="J1186" s="220"/>
    </row>
    <row r="1187" spans="1:10" x14ac:dyDescent="0.2">
      <c r="A1187" s="206"/>
      <c r="B1187" s="206"/>
      <c r="C1187" s="207"/>
      <c r="D1187" s="219" t="s">
        <v>425</v>
      </c>
      <c r="E1187" s="182" t="s">
        <v>8</v>
      </c>
      <c r="F1187" s="185">
        <f>38+23.2</f>
        <v>61.2</v>
      </c>
      <c r="G1187" s="185"/>
      <c r="H1187" s="220"/>
      <c r="I1187" s="222"/>
      <c r="J1187" s="220">
        <f>ROUND(PRODUCT(F1187:I1187),2)</f>
        <v>61.2</v>
      </c>
    </row>
    <row r="1188" spans="1:10" x14ac:dyDescent="0.2">
      <c r="A1188" s="206"/>
      <c r="B1188" s="206"/>
      <c r="C1188" s="207"/>
      <c r="D1188" s="221"/>
      <c r="E1188" s="182"/>
      <c r="F1188" s="220"/>
      <c r="G1188" s="220"/>
      <c r="H1188" s="220"/>
      <c r="I1188" s="218" t="str">
        <f>"Total item "&amp;A1185</f>
        <v>Total item 2.9.1</v>
      </c>
      <c r="J1188" s="217">
        <f>SUM(J1187:J1187)</f>
        <v>61.2</v>
      </c>
    </row>
    <row r="1189" spans="1:10" x14ac:dyDescent="0.2">
      <c r="A1189" s="206"/>
      <c r="B1189" s="206"/>
      <c r="C1189" s="207"/>
      <c r="D1189" s="208"/>
      <c r="E1189" s="206"/>
      <c r="F1189" s="209"/>
      <c r="G1189" s="209"/>
      <c r="H1189" s="209"/>
      <c r="I1189" s="210"/>
      <c r="J1189" s="209"/>
    </row>
  </sheetData>
  <mergeCells count="5">
    <mergeCell ref="A3:J3"/>
    <mergeCell ref="A1:J1"/>
    <mergeCell ref="A4:J4"/>
    <mergeCell ref="A5:J5"/>
    <mergeCell ref="A6:J6"/>
  </mergeCells>
  <phoneticPr fontId="8" type="noConversion"/>
  <printOptions horizontalCentered="1"/>
  <pageMargins left="0.59055118110236227" right="0.39370078740157483" top="1.5354330708661419" bottom="1.3385826771653544" header="0.39370078740157483" footer="0.39370078740157483"/>
  <pageSetup paperSize="9" scale="82" fitToHeight="0" orientation="portrait" r:id="rId1"/>
  <headerFooter>
    <oddHeader>&amp;C&amp;G</oddHead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8862B-420D-4139-87F8-F6C4136A14F9}">
  <sheetPr>
    <tabColor rgb="FFFF0000"/>
  </sheetPr>
  <dimension ref="A1:K232"/>
  <sheetViews>
    <sheetView view="pageBreakPreview" topLeftCell="A2" zoomScale="111" zoomScaleNormal="100" zoomScaleSheetLayoutView="111" workbookViewId="0">
      <selection activeCell="D12" sqref="D12:E13"/>
    </sheetView>
  </sheetViews>
  <sheetFormatPr defaultRowHeight="10.199999999999999" x14ac:dyDescent="0.2"/>
  <cols>
    <col min="1" max="1" width="19.6640625" style="46" customWidth="1"/>
    <col min="2" max="2" width="20.6640625" style="46" customWidth="1"/>
    <col min="3" max="3" width="8.88671875" style="46"/>
    <col min="4" max="4" width="9" style="46" customWidth="1"/>
    <col min="5" max="5" width="9.5546875" style="46" customWidth="1"/>
    <col min="6" max="6" width="12.109375" style="46" customWidth="1"/>
    <col min="7" max="256" width="8.88671875" style="46"/>
    <col min="257" max="257" width="17.5546875" style="46" customWidth="1"/>
    <col min="258" max="258" width="47.5546875" style="46" customWidth="1"/>
    <col min="259" max="259" width="8.88671875" style="46"/>
    <col min="260" max="260" width="10.33203125" style="46" customWidth="1"/>
    <col min="261" max="261" width="11.6640625" style="46" customWidth="1"/>
    <col min="262" max="262" width="15.88671875" style="46" customWidth="1"/>
    <col min="263" max="512" width="8.88671875" style="46"/>
    <col min="513" max="513" width="17.5546875" style="46" customWidth="1"/>
    <col min="514" max="514" width="47.5546875" style="46" customWidth="1"/>
    <col min="515" max="515" width="8.88671875" style="46"/>
    <col min="516" max="516" width="10.33203125" style="46" customWidth="1"/>
    <col min="517" max="517" width="11.6640625" style="46" customWidth="1"/>
    <col min="518" max="518" width="15.88671875" style="46" customWidth="1"/>
    <col min="519" max="768" width="8.88671875" style="46"/>
    <col min="769" max="769" width="17.5546875" style="46" customWidth="1"/>
    <col min="770" max="770" width="47.5546875" style="46" customWidth="1"/>
    <col min="771" max="771" width="8.88671875" style="46"/>
    <col min="772" max="772" width="10.33203125" style="46" customWidth="1"/>
    <col min="773" max="773" width="11.6640625" style="46" customWidth="1"/>
    <col min="774" max="774" width="15.88671875" style="46" customWidth="1"/>
    <col min="775" max="1024" width="8.88671875" style="46"/>
    <col min="1025" max="1025" width="17.5546875" style="46" customWidth="1"/>
    <col min="1026" max="1026" width="47.5546875" style="46" customWidth="1"/>
    <col min="1027" max="1027" width="8.88671875" style="46"/>
    <col min="1028" max="1028" width="10.33203125" style="46" customWidth="1"/>
    <col min="1029" max="1029" width="11.6640625" style="46" customWidth="1"/>
    <col min="1030" max="1030" width="15.88671875" style="46" customWidth="1"/>
    <col min="1031" max="1280" width="8.88671875" style="46"/>
    <col min="1281" max="1281" width="17.5546875" style="46" customWidth="1"/>
    <col min="1282" max="1282" width="47.5546875" style="46" customWidth="1"/>
    <col min="1283" max="1283" width="8.88671875" style="46"/>
    <col min="1284" max="1284" width="10.33203125" style="46" customWidth="1"/>
    <col min="1285" max="1285" width="11.6640625" style="46" customWidth="1"/>
    <col min="1286" max="1286" width="15.88671875" style="46" customWidth="1"/>
    <col min="1287" max="1536" width="8.88671875" style="46"/>
    <col min="1537" max="1537" width="17.5546875" style="46" customWidth="1"/>
    <col min="1538" max="1538" width="47.5546875" style="46" customWidth="1"/>
    <col min="1539" max="1539" width="8.88671875" style="46"/>
    <col min="1540" max="1540" width="10.33203125" style="46" customWidth="1"/>
    <col min="1541" max="1541" width="11.6640625" style="46" customWidth="1"/>
    <col min="1542" max="1542" width="15.88671875" style="46" customWidth="1"/>
    <col min="1543" max="1792" width="8.88671875" style="46"/>
    <col min="1793" max="1793" width="17.5546875" style="46" customWidth="1"/>
    <col min="1794" max="1794" width="47.5546875" style="46" customWidth="1"/>
    <col min="1795" max="1795" width="8.88671875" style="46"/>
    <col min="1796" max="1796" width="10.33203125" style="46" customWidth="1"/>
    <col min="1797" max="1797" width="11.6640625" style="46" customWidth="1"/>
    <col min="1798" max="1798" width="15.88671875" style="46" customWidth="1"/>
    <col min="1799" max="2048" width="8.88671875" style="46"/>
    <col min="2049" max="2049" width="17.5546875" style="46" customWidth="1"/>
    <col min="2050" max="2050" width="47.5546875" style="46" customWidth="1"/>
    <col min="2051" max="2051" width="8.88671875" style="46"/>
    <col min="2052" max="2052" width="10.33203125" style="46" customWidth="1"/>
    <col min="2053" max="2053" width="11.6640625" style="46" customWidth="1"/>
    <col min="2054" max="2054" width="15.88671875" style="46" customWidth="1"/>
    <col min="2055" max="2304" width="8.88671875" style="46"/>
    <col min="2305" max="2305" width="17.5546875" style="46" customWidth="1"/>
    <col min="2306" max="2306" width="47.5546875" style="46" customWidth="1"/>
    <col min="2307" max="2307" width="8.88671875" style="46"/>
    <col min="2308" max="2308" width="10.33203125" style="46" customWidth="1"/>
    <col min="2309" max="2309" width="11.6640625" style="46" customWidth="1"/>
    <col min="2310" max="2310" width="15.88671875" style="46" customWidth="1"/>
    <col min="2311" max="2560" width="8.88671875" style="46"/>
    <col min="2561" max="2561" width="17.5546875" style="46" customWidth="1"/>
    <col min="2562" max="2562" width="47.5546875" style="46" customWidth="1"/>
    <col min="2563" max="2563" width="8.88671875" style="46"/>
    <col min="2564" max="2564" width="10.33203125" style="46" customWidth="1"/>
    <col min="2565" max="2565" width="11.6640625" style="46" customWidth="1"/>
    <col min="2566" max="2566" width="15.88671875" style="46" customWidth="1"/>
    <col min="2567" max="2816" width="8.88671875" style="46"/>
    <col min="2817" max="2817" width="17.5546875" style="46" customWidth="1"/>
    <col min="2818" max="2818" width="47.5546875" style="46" customWidth="1"/>
    <col min="2819" max="2819" width="8.88671875" style="46"/>
    <col min="2820" max="2820" width="10.33203125" style="46" customWidth="1"/>
    <col min="2821" max="2821" width="11.6640625" style="46" customWidth="1"/>
    <col min="2822" max="2822" width="15.88671875" style="46" customWidth="1"/>
    <col min="2823" max="3072" width="8.88671875" style="46"/>
    <col min="3073" max="3073" width="17.5546875" style="46" customWidth="1"/>
    <col min="3074" max="3074" width="47.5546875" style="46" customWidth="1"/>
    <col min="3075" max="3075" width="8.88671875" style="46"/>
    <col min="3076" max="3076" width="10.33203125" style="46" customWidth="1"/>
    <col min="3077" max="3077" width="11.6640625" style="46" customWidth="1"/>
    <col min="3078" max="3078" width="15.88671875" style="46" customWidth="1"/>
    <col min="3079" max="3328" width="8.88671875" style="46"/>
    <col min="3329" max="3329" width="17.5546875" style="46" customWidth="1"/>
    <col min="3330" max="3330" width="47.5546875" style="46" customWidth="1"/>
    <col min="3331" max="3331" width="8.88671875" style="46"/>
    <col min="3332" max="3332" width="10.33203125" style="46" customWidth="1"/>
    <col min="3333" max="3333" width="11.6640625" style="46" customWidth="1"/>
    <col min="3334" max="3334" width="15.88671875" style="46" customWidth="1"/>
    <col min="3335" max="3584" width="8.88671875" style="46"/>
    <col min="3585" max="3585" width="17.5546875" style="46" customWidth="1"/>
    <col min="3586" max="3586" width="47.5546875" style="46" customWidth="1"/>
    <col min="3587" max="3587" width="8.88671875" style="46"/>
    <col min="3588" max="3588" width="10.33203125" style="46" customWidth="1"/>
    <col min="3589" max="3589" width="11.6640625" style="46" customWidth="1"/>
    <col min="3590" max="3590" width="15.88671875" style="46" customWidth="1"/>
    <col min="3591" max="3840" width="8.88671875" style="46"/>
    <col min="3841" max="3841" width="17.5546875" style="46" customWidth="1"/>
    <col min="3842" max="3842" width="47.5546875" style="46" customWidth="1"/>
    <col min="3843" max="3843" width="8.88671875" style="46"/>
    <col min="3844" max="3844" width="10.33203125" style="46" customWidth="1"/>
    <col min="3845" max="3845" width="11.6640625" style="46" customWidth="1"/>
    <col min="3846" max="3846" width="15.88671875" style="46" customWidth="1"/>
    <col min="3847" max="4096" width="8.88671875" style="46"/>
    <col min="4097" max="4097" width="17.5546875" style="46" customWidth="1"/>
    <col min="4098" max="4098" width="47.5546875" style="46" customWidth="1"/>
    <col min="4099" max="4099" width="8.88671875" style="46"/>
    <col min="4100" max="4100" width="10.33203125" style="46" customWidth="1"/>
    <col min="4101" max="4101" width="11.6640625" style="46" customWidth="1"/>
    <col min="4102" max="4102" width="15.88671875" style="46" customWidth="1"/>
    <col min="4103" max="4352" width="8.88671875" style="46"/>
    <col min="4353" max="4353" width="17.5546875" style="46" customWidth="1"/>
    <col min="4354" max="4354" width="47.5546875" style="46" customWidth="1"/>
    <col min="4355" max="4355" width="8.88671875" style="46"/>
    <col min="4356" max="4356" width="10.33203125" style="46" customWidth="1"/>
    <col min="4357" max="4357" width="11.6640625" style="46" customWidth="1"/>
    <col min="4358" max="4358" width="15.88671875" style="46" customWidth="1"/>
    <col min="4359" max="4608" width="8.88671875" style="46"/>
    <col min="4609" max="4609" width="17.5546875" style="46" customWidth="1"/>
    <col min="4610" max="4610" width="47.5546875" style="46" customWidth="1"/>
    <col min="4611" max="4611" width="8.88671875" style="46"/>
    <col min="4612" max="4612" width="10.33203125" style="46" customWidth="1"/>
    <col min="4613" max="4613" width="11.6640625" style="46" customWidth="1"/>
    <col min="4614" max="4614" width="15.88671875" style="46" customWidth="1"/>
    <col min="4615" max="4864" width="8.88671875" style="46"/>
    <col min="4865" max="4865" width="17.5546875" style="46" customWidth="1"/>
    <col min="4866" max="4866" width="47.5546875" style="46" customWidth="1"/>
    <col min="4867" max="4867" width="8.88671875" style="46"/>
    <col min="4868" max="4868" width="10.33203125" style="46" customWidth="1"/>
    <col min="4869" max="4869" width="11.6640625" style="46" customWidth="1"/>
    <col min="4870" max="4870" width="15.88671875" style="46" customWidth="1"/>
    <col min="4871" max="5120" width="8.88671875" style="46"/>
    <col min="5121" max="5121" width="17.5546875" style="46" customWidth="1"/>
    <col min="5122" max="5122" width="47.5546875" style="46" customWidth="1"/>
    <col min="5123" max="5123" width="8.88671875" style="46"/>
    <col min="5124" max="5124" width="10.33203125" style="46" customWidth="1"/>
    <col min="5125" max="5125" width="11.6640625" style="46" customWidth="1"/>
    <col min="5126" max="5126" width="15.88671875" style="46" customWidth="1"/>
    <col min="5127" max="5376" width="8.88671875" style="46"/>
    <col min="5377" max="5377" width="17.5546875" style="46" customWidth="1"/>
    <col min="5378" max="5378" width="47.5546875" style="46" customWidth="1"/>
    <col min="5379" max="5379" width="8.88671875" style="46"/>
    <col min="5380" max="5380" width="10.33203125" style="46" customWidth="1"/>
    <col min="5381" max="5381" width="11.6640625" style="46" customWidth="1"/>
    <col min="5382" max="5382" width="15.88671875" style="46" customWidth="1"/>
    <col min="5383" max="5632" width="8.88671875" style="46"/>
    <col min="5633" max="5633" width="17.5546875" style="46" customWidth="1"/>
    <col min="5634" max="5634" width="47.5546875" style="46" customWidth="1"/>
    <col min="5635" max="5635" width="8.88671875" style="46"/>
    <col min="5636" max="5636" width="10.33203125" style="46" customWidth="1"/>
    <col min="5637" max="5637" width="11.6640625" style="46" customWidth="1"/>
    <col min="5638" max="5638" width="15.88671875" style="46" customWidth="1"/>
    <col min="5639" max="5888" width="8.88671875" style="46"/>
    <col min="5889" max="5889" width="17.5546875" style="46" customWidth="1"/>
    <col min="5890" max="5890" width="47.5546875" style="46" customWidth="1"/>
    <col min="5891" max="5891" width="8.88671875" style="46"/>
    <col min="5892" max="5892" width="10.33203125" style="46" customWidth="1"/>
    <col min="5893" max="5893" width="11.6640625" style="46" customWidth="1"/>
    <col min="5894" max="5894" width="15.88671875" style="46" customWidth="1"/>
    <col min="5895" max="6144" width="8.88671875" style="46"/>
    <col min="6145" max="6145" width="17.5546875" style="46" customWidth="1"/>
    <col min="6146" max="6146" width="47.5546875" style="46" customWidth="1"/>
    <col min="6147" max="6147" width="8.88671875" style="46"/>
    <col min="6148" max="6148" width="10.33203125" style="46" customWidth="1"/>
    <col min="6149" max="6149" width="11.6640625" style="46" customWidth="1"/>
    <col min="6150" max="6150" width="15.88671875" style="46" customWidth="1"/>
    <col min="6151" max="6400" width="8.88671875" style="46"/>
    <col min="6401" max="6401" width="17.5546875" style="46" customWidth="1"/>
    <col min="6402" max="6402" width="47.5546875" style="46" customWidth="1"/>
    <col min="6403" max="6403" width="8.88671875" style="46"/>
    <col min="6404" max="6404" width="10.33203125" style="46" customWidth="1"/>
    <col min="6405" max="6405" width="11.6640625" style="46" customWidth="1"/>
    <col min="6406" max="6406" width="15.88671875" style="46" customWidth="1"/>
    <col min="6407" max="6656" width="8.88671875" style="46"/>
    <col min="6657" max="6657" width="17.5546875" style="46" customWidth="1"/>
    <col min="6658" max="6658" width="47.5546875" style="46" customWidth="1"/>
    <col min="6659" max="6659" width="8.88671875" style="46"/>
    <col min="6660" max="6660" width="10.33203125" style="46" customWidth="1"/>
    <col min="6661" max="6661" width="11.6640625" style="46" customWidth="1"/>
    <col min="6662" max="6662" width="15.88671875" style="46" customWidth="1"/>
    <col min="6663" max="6912" width="8.88671875" style="46"/>
    <col min="6913" max="6913" width="17.5546875" style="46" customWidth="1"/>
    <col min="6914" max="6914" width="47.5546875" style="46" customWidth="1"/>
    <col min="6915" max="6915" width="8.88671875" style="46"/>
    <col min="6916" max="6916" width="10.33203125" style="46" customWidth="1"/>
    <col min="6917" max="6917" width="11.6640625" style="46" customWidth="1"/>
    <col min="6918" max="6918" width="15.88671875" style="46" customWidth="1"/>
    <col min="6919" max="7168" width="8.88671875" style="46"/>
    <col min="7169" max="7169" width="17.5546875" style="46" customWidth="1"/>
    <col min="7170" max="7170" width="47.5546875" style="46" customWidth="1"/>
    <col min="7171" max="7171" width="8.88671875" style="46"/>
    <col min="7172" max="7172" width="10.33203125" style="46" customWidth="1"/>
    <col min="7173" max="7173" width="11.6640625" style="46" customWidth="1"/>
    <col min="7174" max="7174" width="15.88671875" style="46" customWidth="1"/>
    <col min="7175" max="7424" width="8.88671875" style="46"/>
    <col min="7425" max="7425" width="17.5546875" style="46" customWidth="1"/>
    <col min="7426" max="7426" width="47.5546875" style="46" customWidth="1"/>
    <col min="7427" max="7427" width="8.88671875" style="46"/>
    <col min="7428" max="7428" width="10.33203125" style="46" customWidth="1"/>
    <col min="7429" max="7429" width="11.6640625" style="46" customWidth="1"/>
    <col min="7430" max="7430" width="15.88671875" style="46" customWidth="1"/>
    <col min="7431" max="7680" width="8.88671875" style="46"/>
    <col min="7681" max="7681" width="17.5546875" style="46" customWidth="1"/>
    <col min="7682" max="7682" width="47.5546875" style="46" customWidth="1"/>
    <col min="7683" max="7683" width="8.88671875" style="46"/>
    <col min="7684" max="7684" width="10.33203125" style="46" customWidth="1"/>
    <col min="7685" max="7685" width="11.6640625" style="46" customWidth="1"/>
    <col min="7686" max="7686" width="15.88671875" style="46" customWidth="1"/>
    <col min="7687" max="7936" width="8.88671875" style="46"/>
    <col min="7937" max="7937" width="17.5546875" style="46" customWidth="1"/>
    <col min="7938" max="7938" width="47.5546875" style="46" customWidth="1"/>
    <col min="7939" max="7939" width="8.88671875" style="46"/>
    <col min="7940" max="7940" width="10.33203125" style="46" customWidth="1"/>
    <col min="7941" max="7941" width="11.6640625" style="46" customWidth="1"/>
    <col min="7942" max="7942" width="15.88671875" style="46" customWidth="1"/>
    <col min="7943" max="8192" width="8.88671875" style="46"/>
    <col min="8193" max="8193" width="17.5546875" style="46" customWidth="1"/>
    <col min="8194" max="8194" width="47.5546875" style="46" customWidth="1"/>
    <col min="8195" max="8195" width="8.88671875" style="46"/>
    <col min="8196" max="8196" width="10.33203125" style="46" customWidth="1"/>
    <col min="8197" max="8197" width="11.6640625" style="46" customWidth="1"/>
    <col min="8198" max="8198" width="15.88671875" style="46" customWidth="1"/>
    <col min="8199" max="8448" width="8.88671875" style="46"/>
    <col min="8449" max="8449" width="17.5546875" style="46" customWidth="1"/>
    <col min="8450" max="8450" width="47.5546875" style="46" customWidth="1"/>
    <col min="8451" max="8451" width="8.88671875" style="46"/>
    <col min="8452" max="8452" width="10.33203125" style="46" customWidth="1"/>
    <col min="8453" max="8453" width="11.6640625" style="46" customWidth="1"/>
    <col min="8454" max="8454" width="15.88671875" style="46" customWidth="1"/>
    <col min="8455" max="8704" width="8.88671875" style="46"/>
    <col min="8705" max="8705" width="17.5546875" style="46" customWidth="1"/>
    <col min="8706" max="8706" width="47.5546875" style="46" customWidth="1"/>
    <col min="8707" max="8707" width="8.88671875" style="46"/>
    <col min="8708" max="8708" width="10.33203125" style="46" customWidth="1"/>
    <col min="8709" max="8709" width="11.6640625" style="46" customWidth="1"/>
    <col min="8710" max="8710" width="15.88671875" style="46" customWidth="1"/>
    <col min="8711" max="8960" width="8.88671875" style="46"/>
    <col min="8961" max="8961" width="17.5546875" style="46" customWidth="1"/>
    <col min="8962" max="8962" width="47.5546875" style="46" customWidth="1"/>
    <col min="8963" max="8963" width="8.88671875" style="46"/>
    <col min="8964" max="8964" width="10.33203125" style="46" customWidth="1"/>
    <col min="8965" max="8965" width="11.6640625" style="46" customWidth="1"/>
    <col min="8966" max="8966" width="15.88671875" style="46" customWidth="1"/>
    <col min="8967" max="9216" width="8.88671875" style="46"/>
    <col min="9217" max="9217" width="17.5546875" style="46" customWidth="1"/>
    <col min="9218" max="9218" width="47.5546875" style="46" customWidth="1"/>
    <col min="9219" max="9219" width="8.88671875" style="46"/>
    <col min="9220" max="9220" width="10.33203125" style="46" customWidth="1"/>
    <col min="9221" max="9221" width="11.6640625" style="46" customWidth="1"/>
    <col min="9222" max="9222" width="15.88671875" style="46" customWidth="1"/>
    <col min="9223" max="9472" width="8.88671875" style="46"/>
    <col min="9473" max="9473" width="17.5546875" style="46" customWidth="1"/>
    <col min="9474" max="9474" width="47.5546875" style="46" customWidth="1"/>
    <col min="9475" max="9475" width="8.88671875" style="46"/>
    <col min="9476" max="9476" width="10.33203125" style="46" customWidth="1"/>
    <col min="9477" max="9477" width="11.6640625" style="46" customWidth="1"/>
    <col min="9478" max="9478" width="15.88671875" style="46" customWidth="1"/>
    <col min="9479" max="9728" width="8.88671875" style="46"/>
    <col min="9729" max="9729" width="17.5546875" style="46" customWidth="1"/>
    <col min="9730" max="9730" width="47.5546875" style="46" customWidth="1"/>
    <col min="9731" max="9731" width="8.88671875" style="46"/>
    <col min="9732" max="9732" width="10.33203125" style="46" customWidth="1"/>
    <col min="9733" max="9733" width="11.6640625" style="46" customWidth="1"/>
    <col min="9734" max="9734" width="15.88671875" style="46" customWidth="1"/>
    <col min="9735" max="9984" width="8.88671875" style="46"/>
    <col min="9985" max="9985" width="17.5546875" style="46" customWidth="1"/>
    <col min="9986" max="9986" width="47.5546875" style="46" customWidth="1"/>
    <col min="9987" max="9987" width="8.88671875" style="46"/>
    <col min="9988" max="9988" width="10.33203125" style="46" customWidth="1"/>
    <col min="9989" max="9989" width="11.6640625" style="46" customWidth="1"/>
    <col min="9990" max="9990" width="15.88671875" style="46" customWidth="1"/>
    <col min="9991" max="10240" width="8.88671875" style="46"/>
    <col min="10241" max="10241" width="17.5546875" style="46" customWidth="1"/>
    <col min="10242" max="10242" width="47.5546875" style="46" customWidth="1"/>
    <col min="10243" max="10243" width="8.88671875" style="46"/>
    <col min="10244" max="10244" width="10.33203125" style="46" customWidth="1"/>
    <col min="10245" max="10245" width="11.6640625" style="46" customWidth="1"/>
    <col min="10246" max="10246" width="15.88671875" style="46" customWidth="1"/>
    <col min="10247" max="10496" width="8.88671875" style="46"/>
    <col min="10497" max="10497" width="17.5546875" style="46" customWidth="1"/>
    <col min="10498" max="10498" width="47.5546875" style="46" customWidth="1"/>
    <col min="10499" max="10499" width="8.88671875" style="46"/>
    <col min="10500" max="10500" width="10.33203125" style="46" customWidth="1"/>
    <col min="10501" max="10501" width="11.6640625" style="46" customWidth="1"/>
    <col min="10502" max="10502" width="15.88671875" style="46" customWidth="1"/>
    <col min="10503" max="10752" width="8.88671875" style="46"/>
    <col min="10753" max="10753" width="17.5546875" style="46" customWidth="1"/>
    <col min="10754" max="10754" width="47.5546875" style="46" customWidth="1"/>
    <col min="10755" max="10755" width="8.88671875" style="46"/>
    <col min="10756" max="10756" width="10.33203125" style="46" customWidth="1"/>
    <col min="10757" max="10757" width="11.6640625" style="46" customWidth="1"/>
    <col min="10758" max="10758" width="15.88671875" style="46" customWidth="1"/>
    <col min="10759" max="11008" width="8.88671875" style="46"/>
    <col min="11009" max="11009" width="17.5546875" style="46" customWidth="1"/>
    <col min="11010" max="11010" width="47.5546875" style="46" customWidth="1"/>
    <col min="11011" max="11011" width="8.88671875" style="46"/>
    <col min="11012" max="11012" width="10.33203125" style="46" customWidth="1"/>
    <col min="11013" max="11013" width="11.6640625" style="46" customWidth="1"/>
    <col min="11014" max="11014" width="15.88671875" style="46" customWidth="1"/>
    <col min="11015" max="11264" width="8.88671875" style="46"/>
    <col min="11265" max="11265" width="17.5546875" style="46" customWidth="1"/>
    <col min="11266" max="11266" width="47.5546875" style="46" customWidth="1"/>
    <col min="11267" max="11267" width="8.88671875" style="46"/>
    <col min="11268" max="11268" width="10.33203125" style="46" customWidth="1"/>
    <col min="11269" max="11269" width="11.6640625" style="46" customWidth="1"/>
    <col min="11270" max="11270" width="15.88671875" style="46" customWidth="1"/>
    <col min="11271" max="11520" width="8.88671875" style="46"/>
    <col min="11521" max="11521" width="17.5546875" style="46" customWidth="1"/>
    <col min="11522" max="11522" width="47.5546875" style="46" customWidth="1"/>
    <col min="11523" max="11523" width="8.88671875" style="46"/>
    <col min="11524" max="11524" width="10.33203125" style="46" customWidth="1"/>
    <col min="11525" max="11525" width="11.6640625" style="46" customWidth="1"/>
    <col min="11526" max="11526" width="15.88671875" style="46" customWidth="1"/>
    <col min="11527" max="11776" width="8.88671875" style="46"/>
    <col min="11777" max="11777" width="17.5546875" style="46" customWidth="1"/>
    <col min="11778" max="11778" width="47.5546875" style="46" customWidth="1"/>
    <col min="11779" max="11779" width="8.88671875" style="46"/>
    <col min="11780" max="11780" width="10.33203125" style="46" customWidth="1"/>
    <col min="11781" max="11781" width="11.6640625" style="46" customWidth="1"/>
    <col min="11782" max="11782" width="15.88671875" style="46" customWidth="1"/>
    <col min="11783" max="12032" width="8.88671875" style="46"/>
    <col min="12033" max="12033" width="17.5546875" style="46" customWidth="1"/>
    <col min="12034" max="12034" width="47.5546875" style="46" customWidth="1"/>
    <col min="12035" max="12035" width="8.88671875" style="46"/>
    <col min="12036" max="12036" width="10.33203125" style="46" customWidth="1"/>
    <col min="12037" max="12037" width="11.6640625" style="46" customWidth="1"/>
    <col min="12038" max="12038" width="15.88671875" style="46" customWidth="1"/>
    <col min="12039" max="12288" width="8.88671875" style="46"/>
    <col min="12289" max="12289" width="17.5546875" style="46" customWidth="1"/>
    <col min="12290" max="12290" width="47.5546875" style="46" customWidth="1"/>
    <col min="12291" max="12291" width="8.88671875" style="46"/>
    <col min="12292" max="12292" width="10.33203125" style="46" customWidth="1"/>
    <col min="12293" max="12293" width="11.6640625" style="46" customWidth="1"/>
    <col min="12294" max="12294" width="15.88671875" style="46" customWidth="1"/>
    <col min="12295" max="12544" width="8.88671875" style="46"/>
    <col min="12545" max="12545" width="17.5546875" style="46" customWidth="1"/>
    <col min="12546" max="12546" width="47.5546875" style="46" customWidth="1"/>
    <col min="12547" max="12547" width="8.88671875" style="46"/>
    <col min="12548" max="12548" width="10.33203125" style="46" customWidth="1"/>
    <col min="12549" max="12549" width="11.6640625" style="46" customWidth="1"/>
    <col min="12550" max="12550" width="15.88671875" style="46" customWidth="1"/>
    <col min="12551" max="12800" width="8.88671875" style="46"/>
    <col min="12801" max="12801" width="17.5546875" style="46" customWidth="1"/>
    <col min="12802" max="12802" width="47.5546875" style="46" customWidth="1"/>
    <col min="12803" max="12803" width="8.88671875" style="46"/>
    <col min="12804" max="12804" width="10.33203125" style="46" customWidth="1"/>
    <col min="12805" max="12805" width="11.6640625" style="46" customWidth="1"/>
    <col min="12806" max="12806" width="15.88671875" style="46" customWidth="1"/>
    <col min="12807" max="13056" width="8.88671875" style="46"/>
    <col min="13057" max="13057" width="17.5546875" style="46" customWidth="1"/>
    <col min="13058" max="13058" width="47.5546875" style="46" customWidth="1"/>
    <col min="13059" max="13059" width="8.88671875" style="46"/>
    <col min="13060" max="13060" width="10.33203125" style="46" customWidth="1"/>
    <col min="13061" max="13061" width="11.6640625" style="46" customWidth="1"/>
    <col min="13062" max="13062" width="15.88671875" style="46" customWidth="1"/>
    <col min="13063" max="13312" width="8.88671875" style="46"/>
    <col min="13313" max="13313" width="17.5546875" style="46" customWidth="1"/>
    <col min="13314" max="13314" width="47.5546875" style="46" customWidth="1"/>
    <col min="13315" max="13315" width="8.88671875" style="46"/>
    <col min="13316" max="13316" width="10.33203125" style="46" customWidth="1"/>
    <col min="13317" max="13317" width="11.6640625" style="46" customWidth="1"/>
    <col min="13318" max="13318" width="15.88671875" style="46" customWidth="1"/>
    <col min="13319" max="13568" width="8.88671875" style="46"/>
    <col min="13569" max="13569" width="17.5546875" style="46" customWidth="1"/>
    <col min="13570" max="13570" width="47.5546875" style="46" customWidth="1"/>
    <col min="13571" max="13571" width="8.88671875" style="46"/>
    <col min="13572" max="13572" width="10.33203125" style="46" customWidth="1"/>
    <col min="13573" max="13573" width="11.6640625" style="46" customWidth="1"/>
    <col min="13574" max="13574" width="15.88671875" style="46" customWidth="1"/>
    <col min="13575" max="13824" width="8.88671875" style="46"/>
    <col min="13825" max="13825" width="17.5546875" style="46" customWidth="1"/>
    <col min="13826" max="13826" width="47.5546875" style="46" customWidth="1"/>
    <col min="13827" max="13827" width="8.88671875" style="46"/>
    <col min="13828" max="13828" width="10.33203125" style="46" customWidth="1"/>
    <col min="13829" max="13829" width="11.6640625" style="46" customWidth="1"/>
    <col min="13830" max="13830" width="15.88671875" style="46" customWidth="1"/>
    <col min="13831" max="14080" width="8.88671875" style="46"/>
    <col min="14081" max="14081" width="17.5546875" style="46" customWidth="1"/>
    <col min="14082" max="14082" width="47.5546875" style="46" customWidth="1"/>
    <col min="14083" max="14083" width="8.88671875" style="46"/>
    <col min="14084" max="14084" width="10.33203125" style="46" customWidth="1"/>
    <col min="14085" max="14085" width="11.6640625" style="46" customWidth="1"/>
    <col min="14086" max="14086" width="15.88671875" style="46" customWidth="1"/>
    <col min="14087" max="14336" width="8.88671875" style="46"/>
    <col min="14337" max="14337" width="17.5546875" style="46" customWidth="1"/>
    <col min="14338" max="14338" width="47.5546875" style="46" customWidth="1"/>
    <col min="14339" max="14339" width="8.88671875" style="46"/>
    <col min="14340" max="14340" width="10.33203125" style="46" customWidth="1"/>
    <col min="14341" max="14341" width="11.6640625" style="46" customWidth="1"/>
    <col min="14342" max="14342" width="15.88671875" style="46" customWidth="1"/>
    <col min="14343" max="14592" width="8.88671875" style="46"/>
    <col min="14593" max="14593" width="17.5546875" style="46" customWidth="1"/>
    <col min="14594" max="14594" width="47.5546875" style="46" customWidth="1"/>
    <col min="14595" max="14595" width="8.88671875" style="46"/>
    <col min="14596" max="14596" width="10.33203125" style="46" customWidth="1"/>
    <col min="14597" max="14597" width="11.6640625" style="46" customWidth="1"/>
    <col min="14598" max="14598" width="15.88671875" style="46" customWidth="1"/>
    <col min="14599" max="14848" width="8.88671875" style="46"/>
    <col min="14849" max="14849" width="17.5546875" style="46" customWidth="1"/>
    <col min="14850" max="14850" width="47.5546875" style="46" customWidth="1"/>
    <col min="14851" max="14851" width="8.88671875" style="46"/>
    <col min="14852" max="14852" width="10.33203125" style="46" customWidth="1"/>
    <col min="14853" max="14853" width="11.6640625" style="46" customWidth="1"/>
    <col min="14854" max="14854" width="15.88671875" style="46" customWidth="1"/>
    <col min="14855" max="15104" width="8.88671875" style="46"/>
    <col min="15105" max="15105" width="17.5546875" style="46" customWidth="1"/>
    <col min="15106" max="15106" width="47.5546875" style="46" customWidth="1"/>
    <col min="15107" max="15107" width="8.88671875" style="46"/>
    <col min="15108" max="15108" width="10.33203125" style="46" customWidth="1"/>
    <col min="15109" max="15109" width="11.6640625" style="46" customWidth="1"/>
    <col min="15110" max="15110" width="15.88671875" style="46" customWidth="1"/>
    <col min="15111" max="15360" width="8.88671875" style="46"/>
    <col min="15361" max="15361" width="17.5546875" style="46" customWidth="1"/>
    <col min="15362" max="15362" width="47.5546875" style="46" customWidth="1"/>
    <col min="15363" max="15363" width="8.88671875" style="46"/>
    <col min="15364" max="15364" width="10.33203125" style="46" customWidth="1"/>
    <col min="15365" max="15365" width="11.6640625" style="46" customWidth="1"/>
    <col min="15366" max="15366" width="15.88671875" style="46" customWidth="1"/>
    <col min="15367" max="15616" width="8.88671875" style="46"/>
    <col min="15617" max="15617" width="17.5546875" style="46" customWidth="1"/>
    <col min="15618" max="15618" width="47.5546875" style="46" customWidth="1"/>
    <col min="15619" max="15619" width="8.88671875" style="46"/>
    <col min="15620" max="15620" width="10.33203125" style="46" customWidth="1"/>
    <col min="15621" max="15621" width="11.6640625" style="46" customWidth="1"/>
    <col min="15622" max="15622" width="15.88671875" style="46" customWidth="1"/>
    <col min="15623" max="15872" width="8.88671875" style="46"/>
    <col min="15873" max="15873" width="17.5546875" style="46" customWidth="1"/>
    <col min="15874" max="15874" width="47.5546875" style="46" customWidth="1"/>
    <col min="15875" max="15875" width="8.88671875" style="46"/>
    <col min="15876" max="15876" width="10.33203125" style="46" customWidth="1"/>
    <col min="15877" max="15877" width="11.6640625" style="46" customWidth="1"/>
    <col min="15878" max="15878" width="15.88671875" style="46" customWidth="1"/>
    <col min="15879" max="16128" width="8.88671875" style="46"/>
    <col min="16129" max="16129" width="17.5546875" style="46" customWidth="1"/>
    <col min="16130" max="16130" width="47.5546875" style="46" customWidth="1"/>
    <col min="16131" max="16131" width="8.88671875" style="46"/>
    <col min="16132" max="16132" width="10.33203125" style="46" customWidth="1"/>
    <col min="16133" max="16133" width="11.6640625" style="46" customWidth="1"/>
    <col min="16134" max="16134" width="15.88671875" style="46" customWidth="1"/>
    <col min="16135" max="16384" width="8.88671875" style="46"/>
  </cols>
  <sheetData>
    <row r="1" spans="1:6" ht="10.8" thickBot="1" x14ac:dyDescent="0.25"/>
    <row r="2" spans="1:6" ht="20.399999999999999" thickBot="1" x14ac:dyDescent="0.45">
      <c r="A2" s="387" t="s">
        <v>31</v>
      </c>
      <c r="B2" s="388"/>
      <c r="C2" s="388"/>
      <c r="D2" s="388"/>
      <c r="E2" s="388"/>
      <c r="F2" s="389"/>
    </row>
    <row r="3" spans="1:6" ht="15" thickBot="1" x14ac:dyDescent="0.35">
      <c r="A3" s="5"/>
      <c r="B3" s="5"/>
      <c r="C3" s="5"/>
      <c r="D3" s="5"/>
      <c r="E3" s="5"/>
      <c r="F3" s="5"/>
    </row>
    <row r="4" spans="1:6" ht="23.4" customHeight="1" x14ac:dyDescent="0.2">
      <c r="A4" s="313" t="s">
        <v>138</v>
      </c>
      <c r="B4" s="314" t="e">
        <v>#REF!</v>
      </c>
      <c r="C4" s="315"/>
      <c r="D4" s="315"/>
      <c r="E4" s="315"/>
      <c r="F4" s="316"/>
    </row>
    <row r="5" spans="1:6" ht="15" customHeight="1" x14ac:dyDescent="0.2">
      <c r="A5" s="317" t="s">
        <v>757</v>
      </c>
      <c r="B5" s="318"/>
      <c r="C5" s="318"/>
      <c r="D5" s="318"/>
      <c r="E5" s="318"/>
      <c r="F5" s="319"/>
    </row>
    <row r="6" spans="1:6" ht="15" customHeight="1" x14ac:dyDescent="0.2">
      <c r="A6" s="317" t="s">
        <v>738</v>
      </c>
      <c r="B6" s="318"/>
      <c r="C6" s="318"/>
      <c r="D6" s="318"/>
      <c r="E6" s="318"/>
      <c r="F6" s="319"/>
    </row>
    <row r="7" spans="1:6" ht="15.75" customHeight="1" thickBot="1" x14ac:dyDescent="0.25">
      <c r="A7" s="307"/>
      <c r="B7" s="308"/>
      <c r="C7" s="308"/>
      <c r="D7" s="308"/>
      <c r="E7" s="308"/>
      <c r="F7" s="309"/>
    </row>
    <row r="9" spans="1:6" s="6" customFormat="1" ht="15.6" x14ac:dyDescent="0.3">
      <c r="A9" s="390" t="s">
        <v>237</v>
      </c>
      <c r="B9" s="390"/>
      <c r="C9" s="390"/>
      <c r="D9" s="390"/>
      <c r="E9" s="390"/>
      <c r="F9" s="390"/>
    </row>
    <row r="10" spans="1:6" s="6" customFormat="1" ht="11.25" customHeight="1" x14ac:dyDescent="0.2">
      <c r="A10" s="371" t="s">
        <v>758</v>
      </c>
      <c r="B10" s="372"/>
      <c r="C10" s="377"/>
      <c r="D10" s="378"/>
      <c r="E10" s="378"/>
      <c r="F10" s="379"/>
    </row>
    <row r="11" spans="1:6" s="6" customFormat="1" x14ac:dyDescent="0.2">
      <c r="A11" s="373"/>
      <c r="B11" s="374"/>
      <c r="C11" s="380" t="str">
        <f>A9</f>
        <v>LUMINARIA LED PLAFON QUADRADA DE EMBUTIR 12/13 W</v>
      </c>
      <c r="D11" s="380"/>
      <c r="E11" s="380"/>
      <c r="F11" s="380"/>
    </row>
    <row r="12" spans="1:6" s="6" customFormat="1" ht="11.25" customHeight="1" x14ac:dyDescent="0.2">
      <c r="A12" s="373"/>
      <c r="B12" s="374"/>
      <c r="C12" s="256" t="s">
        <v>93</v>
      </c>
      <c r="D12" s="381" t="s">
        <v>29</v>
      </c>
      <c r="E12" s="382"/>
      <c r="F12" s="385">
        <f>F19</f>
        <v>19.392499999999998</v>
      </c>
    </row>
    <row r="13" spans="1:6" s="6" customFormat="1" x14ac:dyDescent="0.2">
      <c r="A13" s="375"/>
      <c r="B13" s="376"/>
      <c r="C13" s="256">
        <v>1</v>
      </c>
      <c r="D13" s="383"/>
      <c r="E13" s="384"/>
      <c r="F13" s="386"/>
    </row>
    <row r="14" spans="1:6" s="6" customFormat="1" x14ac:dyDescent="0.2">
      <c r="A14" s="257"/>
      <c r="B14" s="257"/>
      <c r="C14" s="258"/>
      <c r="D14" s="369"/>
      <c r="E14" s="369"/>
      <c r="F14" s="259"/>
    </row>
    <row r="15" spans="1:6" s="6" customFormat="1" ht="21.75" customHeight="1" x14ac:dyDescent="0.2">
      <c r="A15" s="260" t="s">
        <v>759</v>
      </c>
      <c r="B15" s="260" t="s">
        <v>760</v>
      </c>
      <c r="C15" s="261" t="s">
        <v>28</v>
      </c>
      <c r="D15" s="262" t="s">
        <v>99</v>
      </c>
      <c r="E15" s="262" t="s">
        <v>100</v>
      </c>
      <c r="F15" s="262" t="s">
        <v>101</v>
      </c>
    </row>
    <row r="16" spans="1:6" s="6" customFormat="1" ht="51" x14ac:dyDescent="0.2">
      <c r="A16" s="263" t="s">
        <v>761</v>
      </c>
      <c r="B16" s="264" t="s">
        <v>762</v>
      </c>
      <c r="C16" s="265" t="s">
        <v>93</v>
      </c>
      <c r="D16" s="266">
        <v>1</v>
      </c>
      <c r="E16" s="267">
        <v>21.1</v>
      </c>
      <c r="F16" s="259">
        <f>E16</f>
        <v>21.1</v>
      </c>
    </row>
    <row r="17" spans="1:7" s="6" customFormat="1" ht="20.399999999999999" x14ac:dyDescent="0.2">
      <c r="A17" s="263" t="s">
        <v>763</v>
      </c>
      <c r="B17" s="264" t="s">
        <v>764</v>
      </c>
      <c r="C17" s="265" t="s">
        <v>93</v>
      </c>
      <c r="D17" s="266">
        <v>1</v>
      </c>
      <c r="E17" s="268">
        <v>26.06</v>
      </c>
      <c r="F17" s="259">
        <f>E17</f>
        <v>26.06</v>
      </c>
    </row>
    <row r="18" spans="1:7" s="6" customFormat="1" x14ac:dyDescent="0.2">
      <c r="A18" s="263" t="s">
        <v>765</v>
      </c>
      <c r="B18" s="263" t="s">
        <v>766</v>
      </c>
      <c r="C18" s="265" t="s">
        <v>93</v>
      </c>
      <c r="D18" s="266">
        <v>1</v>
      </c>
      <c r="E18" s="268">
        <v>28.41</v>
      </c>
      <c r="F18" s="259">
        <f>E18</f>
        <v>28.41</v>
      </c>
    </row>
    <row r="19" spans="1:7" s="6" customFormat="1" x14ac:dyDescent="0.2">
      <c r="A19" s="269"/>
      <c r="B19" s="269"/>
      <c r="C19" s="269"/>
      <c r="D19" s="269"/>
      <c r="E19" s="270" t="s">
        <v>19</v>
      </c>
      <c r="F19" s="271">
        <f>AVERAGE(F16:F18,2)</f>
        <v>19.392499999999998</v>
      </c>
      <c r="G19" s="6" t="s">
        <v>105</v>
      </c>
    </row>
    <row r="20" spans="1:7" ht="31.8" customHeight="1" x14ac:dyDescent="0.3">
      <c r="A20" s="370" t="s">
        <v>741</v>
      </c>
      <c r="B20" s="370"/>
      <c r="C20" s="370"/>
      <c r="D20" s="370"/>
      <c r="E20" s="370"/>
      <c r="F20" s="370"/>
    </row>
    <row r="21" spans="1:7" x14ac:dyDescent="0.2">
      <c r="A21" s="371" t="s">
        <v>767</v>
      </c>
      <c r="B21" s="372"/>
      <c r="C21" s="377"/>
      <c r="D21" s="378"/>
      <c r="E21" s="378"/>
      <c r="F21" s="379"/>
    </row>
    <row r="22" spans="1:7" x14ac:dyDescent="0.2">
      <c r="A22" s="373"/>
      <c r="B22" s="374"/>
      <c r="C22" s="380" t="str">
        <f>A20</f>
        <v>REVESTIMENTO EM CERAMICA ESMALTADA TIPO A, PEI MAIOR OU IGUAL A 4, 46X46 CM2</v>
      </c>
      <c r="D22" s="380"/>
      <c r="E22" s="380"/>
      <c r="F22" s="380"/>
    </row>
    <row r="23" spans="1:7" x14ac:dyDescent="0.2">
      <c r="A23" s="373"/>
      <c r="B23" s="374"/>
      <c r="C23" s="256" t="s">
        <v>93</v>
      </c>
      <c r="D23" s="381" t="s">
        <v>29</v>
      </c>
      <c r="E23" s="382"/>
      <c r="F23" s="385">
        <f>F30</f>
        <v>22.424999999999997</v>
      </c>
    </row>
    <row r="24" spans="1:7" x14ac:dyDescent="0.2">
      <c r="A24" s="375"/>
      <c r="B24" s="376"/>
      <c r="C24" s="256">
        <v>1</v>
      </c>
      <c r="D24" s="383"/>
      <c r="E24" s="384"/>
      <c r="F24" s="386"/>
    </row>
    <row r="25" spans="1:7" x14ac:dyDescent="0.2">
      <c r="A25" s="257"/>
      <c r="B25" s="257"/>
      <c r="C25" s="258"/>
      <c r="D25" s="369"/>
      <c r="E25" s="369"/>
      <c r="F25" s="259"/>
    </row>
    <row r="26" spans="1:7" ht="20.399999999999999" x14ac:dyDescent="0.2">
      <c r="A26" s="260" t="s">
        <v>759</v>
      </c>
      <c r="B26" s="260" t="s">
        <v>760</v>
      </c>
      <c r="C26" s="261" t="s">
        <v>28</v>
      </c>
      <c r="D26" s="262" t="s">
        <v>99</v>
      </c>
      <c r="E26" s="262" t="s">
        <v>100</v>
      </c>
      <c r="F26" s="262" t="s">
        <v>101</v>
      </c>
    </row>
    <row r="27" spans="1:7" ht="20.399999999999999" x14ac:dyDescent="0.2">
      <c r="A27" s="263" t="s">
        <v>768</v>
      </c>
      <c r="B27" s="264" t="s">
        <v>769</v>
      </c>
      <c r="C27" s="265" t="s">
        <v>8</v>
      </c>
      <c r="D27" s="266">
        <v>1</v>
      </c>
      <c r="E27" s="267">
        <v>27.9</v>
      </c>
      <c r="F27" s="259">
        <f>E27</f>
        <v>27.9</v>
      </c>
    </row>
    <row r="28" spans="1:7" x14ac:dyDescent="0.2">
      <c r="A28" s="263" t="s">
        <v>770</v>
      </c>
      <c r="B28" s="264" t="s">
        <v>771</v>
      </c>
      <c r="C28" s="265" t="s">
        <v>8</v>
      </c>
      <c r="D28" s="266">
        <v>1</v>
      </c>
      <c r="E28" s="268">
        <v>34.9</v>
      </c>
      <c r="F28" s="259">
        <f>E28</f>
        <v>34.9</v>
      </c>
    </row>
    <row r="29" spans="1:7" ht="20.399999999999999" x14ac:dyDescent="0.2">
      <c r="A29" s="263" t="s">
        <v>772</v>
      </c>
      <c r="B29" s="264" t="s">
        <v>773</v>
      </c>
      <c r="C29" s="265" t="s">
        <v>8</v>
      </c>
      <c r="D29" s="266">
        <v>1</v>
      </c>
      <c r="E29" s="268">
        <v>24.9</v>
      </c>
      <c r="F29" s="259">
        <f>E29</f>
        <v>24.9</v>
      </c>
    </row>
    <row r="30" spans="1:7" x14ac:dyDescent="0.2">
      <c r="A30" s="269"/>
      <c r="B30" s="269"/>
      <c r="C30" s="269"/>
      <c r="D30" s="269"/>
      <c r="E30" s="270" t="s">
        <v>19</v>
      </c>
      <c r="F30" s="271">
        <f>AVERAGE(F27:F29,2)</f>
        <v>22.424999999999997</v>
      </c>
    </row>
    <row r="232" spans="11:11" x14ac:dyDescent="0.2">
      <c r="K232" s="57" t="e">
        <f>COTAÇÕES!#REF!</f>
        <v>#REF!</v>
      </c>
    </row>
  </sheetData>
  <autoFilter ref="A8:F19" xr:uid="{00000000-0009-0000-0000-000005000000}"/>
  <mergeCells count="19">
    <mergeCell ref="D14:E14"/>
    <mergeCell ref="A2:F2"/>
    <mergeCell ref="A4:F4"/>
    <mergeCell ref="A5:F5"/>
    <mergeCell ref="A6:F6"/>
    <mergeCell ref="A7:F7"/>
    <mergeCell ref="A9:F9"/>
    <mergeCell ref="A10:B13"/>
    <mergeCell ref="C10:F10"/>
    <mergeCell ref="C11:F11"/>
    <mergeCell ref="D12:E13"/>
    <mergeCell ref="F12:F13"/>
    <mergeCell ref="D25:E25"/>
    <mergeCell ref="A20:F20"/>
    <mergeCell ref="A21:B24"/>
    <mergeCell ref="C21:F21"/>
    <mergeCell ref="C22:F22"/>
    <mergeCell ref="D23:E24"/>
    <mergeCell ref="F23:F24"/>
  </mergeCells>
  <printOptions horizontalCentered="1"/>
  <pageMargins left="0.51181102362204722" right="0.51181102362204722" top="1.1811023622047245" bottom="1.2598425196850394" header="0.31496062992125984" footer="0.31496062992125984"/>
  <pageSetup paperSize="9" scale="90" orientation="portrait" horizontalDpi="360" verticalDpi="36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</vt:i4>
      </vt:variant>
    </vt:vector>
  </HeadingPairs>
  <TitlesOfParts>
    <vt:vector size="20" baseType="lpstr">
      <vt:lpstr>RESUMO COM DESON</vt:lpstr>
      <vt:lpstr>ORÇAMENTO COM DESON</vt:lpstr>
      <vt:lpstr>COMPOSICOES COM DESON</vt:lpstr>
      <vt:lpstr>CRONOGRAMA COM DESON</vt:lpstr>
      <vt:lpstr>COMP_BDI_EDIFICACOES_20,84%_COM</vt:lpstr>
      <vt:lpstr>MEMORIA DE CALCULO</vt:lpstr>
      <vt:lpstr>COTAÇÕES</vt:lpstr>
      <vt:lpstr>'COMP_BDI_EDIFICACOES_20,84%_COM'!Area_de_impressao</vt:lpstr>
      <vt:lpstr>'COMPOSICOES COM DESON'!Area_de_impressao</vt:lpstr>
      <vt:lpstr>COTAÇÕES!Area_de_impressao</vt:lpstr>
      <vt:lpstr>'CRONOGRAMA COM DESON'!Area_de_impressao</vt:lpstr>
      <vt:lpstr>'MEMORIA DE CALCULO'!Area_de_impressao</vt:lpstr>
      <vt:lpstr>'ORÇAMENTO COM DESON'!Area_de_impressao</vt:lpstr>
      <vt:lpstr>'RESUMO COM DESON'!Area_de_impressao</vt:lpstr>
      <vt:lpstr>'COMPOSICOES COM DESON'!Titulos_de_impressao</vt:lpstr>
      <vt:lpstr>COTAÇÕES!Titulos_de_impressao</vt:lpstr>
      <vt:lpstr>'CRONOGRAMA COM DESON'!Titulos_de_impressao</vt:lpstr>
      <vt:lpstr>'MEMORIA DE CALCULO'!Titulos_de_impressao</vt:lpstr>
      <vt:lpstr>'ORÇAMENTO COM DESON'!Titulos_de_impressao</vt:lpstr>
      <vt:lpstr>'RESUMO COM DESON'!Titulos_de_impressao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2023-04-27T18:25:33Z</dcterms:modified>
</cp:coreProperties>
</file>