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ário\Desktop\PML\OBRAS\ESCOLAS\TAG\PROJETO TAG\MARIA QUITÉRIA\"/>
    </mc:Choice>
  </mc:AlternateContent>
  <xr:revisionPtr revIDLastSave="0" documentId="13_ncr:1_{73CDD961-3C06-4C7B-9463-1064AD0103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lha orç" sheetId="2" r:id="rId1"/>
    <sheet name="Memória de cálculo" sheetId="1" r:id="rId2"/>
    <sheet name="COMPOSIÇÕES" sheetId="6" r:id="rId3"/>
    <sheet name="COTAÇÕES" sheetId="7" r:id="rId4"/>
    <sheet name="RESUMO SEM DESON" sheetId="8" r:id="rId5"/>
    <sheet name="CRONOGRAMA" sheetId="9" r:id="rId6"/>
    <sheet name="COMP_BDI_EDIFICACOES_23,38%_SEM" sheetId="5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3" hidden="1">COTAÇÕES!$A$8:$F$19</definedName>
    <definedName name="_xlnm._FilterDatabase" localSheetId="1" hidden="1">'Memória de cálculo'!$A$6:$H$6</definedName>
    <definedName name="_xlnm._FilterDatabase" localSheetId="0" hidden="1">'Planilha orç'!$A$5:$J$74</definedName>
    <definedName name="_xlnm._FilterDatabase" localSheetId="4" hidden="1">'RESUMO SEM DESON'!$A$7:$C$26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6">'COMP_BDI_EDIFICACOES_23,38%_SEM'!$B$1:$D$51</definedName>
    <definedName name="_xlnm.Print_Area" localSheetId="2">COMPOSIÇÕES!$A$1:$J$24</definedName>
    <definedName name="_xlnm.Print_Area" localSheetId="3">COTAÇÕES!$A$1:$F$19</definedName>
    <definedName name="_xlnm.Print_Area" localSheetId="5">CRONOGRAMA!$A$1:$H$32</definedName>
    <definedName name="_xlnm.Print_Area" localSheetId="1">'Memória de cálculo'!$A$1:$H$364</definedName>
    <definedName name="_xlnm.Print_Area" localSheetId="0">'Planilha orç'!$A$1:$J$74</definedName>
    <definedName name="_xlnm.Print_Area" localSheetId="4">'RESUMO SEM DESON'!$A$1:$D$25</definedName>
    <definedName name="AreaTeste" localSheetId="6">#REF!</definedName>
    <definedName name="AreaTeste" localSheetId="3">#REF!</definedName>
    <definedName name="AreaTeste" localSheetId="5">#REF!</definedName>
    <definedName name="AreaTeste" localSheetId="4">#REF!</definedName>
    <definedName name="AreaTeste">#REF!</definedName>
    <definedName name="AreaTeste2" localSheetId="6">#REF!</definedName>
    <definedName name="AreaTeste2" localSheetId="3">#REF!</definedName>
    <definedName name="AreaTeste2" localSheetId="4">#REF!</definedName>
    <definedName name="AreaTeste2">#REF!</definedName>
    <definedName name="CélulaInicioPlanilha" localSheetId="6">#REF!</definedName>
    <definedName name="CélulaInicioPlanilha" localSheetId="3">#REF!</definedName>
    <definedName name="CélulaInicioPlanilha" localSheetId="4">#REF!</definedName>
    <definedName name="CélulaInicioPlanilha">#REF!</definedName>
    <definedName name="CélulaResumo" localSheetId="6">#REF!</definedName>
    <definedName name="CélulaResumo" localSheetId="3">#REF!</definedName>
    <definedName name="CélulaResumo" localSheetId="4">#REF!</definedName>
    <definedName name="CélulaResumo">#REF!</definedName>
    <definedName name="fdfd" localSheetId="6">#REF!</definedName>
    <definedName name="fdfd" localSheetId="3">#REF!</definedName>
    <definedName name="fdfd" localSheetId="5">#REF!</definedName>
    <definedName name="fdfd" localSheetId="4">#REF!</definedName>
    <definedName name="fdfd">#REF!</definedName>
    <definedName name="FFF">#REF!</definedName>
    <definedName name="GGGG">#REF!</definedName>
    <definedName name="HHHHH">#REF!</definedName>
    <definedName name="jfhdskjg" localSheetId="6">#REF!</definedName>
    <definedName name="jfhdskjg" localSheetId="3">#REF!</definedName>
    <definedName name="jfhdskjg" localSheetId="4">#REF!</definedName>
    <definedName name="jfhdskjg">#REF!</definedName>
    <definedName name="orçamento" localSheetId="6">#REF!</definedName>
    <definedName name="orçamento" localSheetId="3">#REF!</definedName>
    <definedName name="orçamento" localSheetId="4">#REF!</definedName>
    <definedName name="orçamento">#REF!</definedName>
    <definedName name="PINTURA">#REF!</definedName>
    <definedName name="RESUMO">#REF!</definedName>
    <definedName name="TABELA" localSheetId="6">'[1]PLANILHA FONTE'!$B$1:$G$290</definedName>
    <definedName name="TABELA" localSheetId="3">'[2]PLANILHA FONTE'!$B$1:$G$290</definedName>
    <definedName name="TABELA" localSheetId="5">'[2]PLANILHA FONTE'!$B$1:$G$290</definedName>
    <definedName name="TABELA" localSheetId="4">'[2]PLANILHA FONTE'!$B$1:$G$290</definedName>
    <definedName name="TABELA">'[3]PLANILHA FONTE'!$B$1:$G$290</definedName>
    <definedName name="_xlnm.Print_Titles" localSheetId="3">COTAÇÕES!$1:$8</definedName>
    <definedName name="_xlnm.Print_Titles" localSheetId="5">CRONOGRAMA!$1:$9</definedName>
    <definedName name="_xlnm.Print_Titles" localSheetId="4">'RESUMO SEM DESON'!$1:$7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2" l="1"/>
  <c r="J20" i="2"/>
  <c r="J27" i="2"/>
  <c r="H73" i="2" s="1"/>
  <c r="J37" i="2"/>
  <c r="J45" i="2"/>
  <c r="J47" i="2"/>
  <c r="J62" i="2"/>
  <c r="J68" i="2"/>
  <c r="H70" i="2"/>
  <c r="I70" i="2"/>
  <c r="J70" i="2"/>
  <c r="H71" i="2"/>
  <c r="J71" i="2" s="1"/>
  <c r="I71" i="2"/>
  <c r="H72" i="2"/>
  <c r="I72" i="2"/>
  <c r="J72" i="2"/>
  <c r="I69" i="2"/>
  <c r="H69" i="2"/>
  <c r="J69" i="2" s="1"/>
  <c r="H64" i="2"/>
  <c r="J64" i="2" s="1"/>
  <c r="I64" i="2"/>
  <c r="H65" i="2"/>
  <c r="J65" i="2" s="1"/>
  <c r="I65" i="2"/>
  <c r="H66" i="2"/>
  <c r="J66" i="2" s="1"/>
  <c r="I66" i="2"/>
  <c r="H67" i="2"/>
  <c r="J67" i="2" s="1"/>
  <c r="I67" i="2"/>
  <c r="I63" i="2"/>
  <c r="H63" i="2"/>
  <c r="J63" i="2" s="1"/>
  <c r="H49" i="2"/>
  <c r="I49" i="2"/>
  <c r="J49" i="2"/>
  <c r="H50" i="2"/>
  <c r="J50" i="2" s="1"/>
  <c r="I50" i="2"/>
  <c r="H51" i="2"/>
  <c r="J51" i="2" s="1"/>
  <c r="I51" i="2"/>
  <c r="H52" i="2"/>
  <c r="I52" i="2"/>
  <c r="J52" i="2"/>
  <c r="H53" i="2"/>
  <c r="I53" i="2"/>
  <c r="J53" i="2"/>
  <c r="H54" i="2"/>
  <c r="J54" i="2" s="1"/>
  <c r="I54" i="2"/>
  <c r="H55" i="2"/>
  <c r="J55" i="2" s="1"/>
  <c r="I55" i="2"/>
  <c r="H56" i="2"/>
  <c r="I56" i="2"/>
  <c r="J56" i="2"/>
  <c r="H57" i="2"/>
  <c r="I57" i="2"/>
  <c r="J57" i="2"/>
  <c r="H58" i="2"/>
  <c r="J58" i="2" s="1"/>
  <c r="I58" i="2"/>
  <c r="H59" i="2"/>
  <c r="J59" i="2" s="1"/>
  <c r="I59" i="2"/>
  <c r="H60" i="2"/>
  <c r="I60" i="2"/>
  <c r="J60" i="2"/>
  <c r="H61" i="2"/>
  <c r="I61" i="2"/>
  <c r="J61" i="2"/>
  <c r="I48" i="2"/>
  <c r="H48" i="2"/>
  <c r="J48" i="2" s="1"/>
  <c r="I46" i="2"/>
  <c r="H46" i="2"/>
  <c r="J46" i="2" s="1"/>
  <c r="H39" i="2"/>
  <c r="I39" i="2"/>
  <c r="J39" i="2"/>
  <c r="H40" i="2"/>
  <c r="J40" i="2" s="1"/>
  <c r="I40" i="2"/>
  <c r="H41" i="2"/>
  <c r="I41" i="2"/>
  <c r="J41" i="2"/>
  <c r="H42" i="2"/>
  <c r="J42" i="2" s="1"/>
  <c r="I42" i="2"/>
  <c r="H43" i="2"/>
  <c r="I43" i="2"/>
  <c r="J43" i="2"/>
  <c r="H44" i="2"/>
  <c r="J44" i="2" s="1"/>
  <c r="I44" i="2"/>
  <c r="I38" i="2"/>
  <c r="H38" i="2"/>
  <c r="J38" i="2" s="1"/>
  <c r="H29" i="2"/>
  <c r="I29" i="2"/>
  <c r="J29" i="2"/>
  <c r="H30" i="2"/>
  <c r="I30" i="2"/>
  <c r="J30" i="2"/>
  <c r="H31" i="2"/>
  <c r="I31" i="2"/>
  <c r="J31" i="2"/>
  <c r="H32" i="2"/>
  <c r="I32" i="2"/>
  <c r="J32" i="2"/>
  <c r="H33" i="2"/>
  <c r="J33" i="2" s="1"/>
  <c r="I33" i="2"/>
  <c r="H34" i="2"/>
  <c r="I34" i="2"/>
  <c r="J34" i="2"/>
  <c r="H35" i="2"/>
  <c r="I35" i="2"/>
  <c r="J35" i="2"/>
  <c r="H36" i="2"/>
  <c r="I36" i="2"/>
  <c r="J36" i="2"/>
  <c r="I28" i="2"/>
  <c r="H28" i="2"/>
  <c r="J28" i="2" s="1"/>
  <c r="H22" i="2"/>
  <c r="J22" i="2" s="1"/>
  <c r="I22" i="2"/>
  <c r="H23" i="2"/>
  <c r="I23" i="2"/>
  <c r="J23" i="2"/>
  <c r="H24" i="2"/>
  <c r="J24" i="2" s="1"/>
  <c r="I24" i="2"/>
  <c r="H25" i="2"/>
  <c r="I25" i="2"/>
  <c r="J25" i="2"/>
  <c r="H26" i="2"/>
  <c r="J26" i="2" s="1"/>
  <c r="I26" i="2"/>
  <c r="I21" i="2"/>
  <c r="H21" i="2"/>
  <c r="J21" i="2" s="1"/>
  <c r="H9" i="2"/>
  <c r="I9" i="2"/>
  <c r="J9" i="2"/>
  <c r="H10" i="2"/>
  <c r="I10" i="2"/>
  <c r="J10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F10" i="2"/>
  <c r="B24" i="9"/>
  <c r="A24" i="9"/>
  <c r="B23" i="8"/>
  <c r="A23" i="8"/>
  <c r="D256" i="1"/>
  <c r="C23" i="8" l="1"/>
  <c r="C24" i="9"/>
  <c r="D24" i="9" s="1"/>
  <c r="J9" i="6"/>
  <c r="J18" i="6"/>
  <c r="J22" i="6"/>
  <c r="H232" i="1"/>
  <c r="F36" i="2" s="1"/>
  <c r="H231" i="1"/>
  <c r="H230" i="1"/>
  <c r="H229" i="1"/>
  <c r="H228" i="1"/>
  <c r="H225" i="1"/>
  <c r="H224" i="1"/>
  <c r="H223" i="1"/>
  <c r="H222" i="1"/>
  <c r="H221" i="1"/>
  <c r="H226" i="1" s="1"/>
  <c r="C227" i="1"/>
  <c r="B227" i="1"/>
  <c r="A227" i="1"/>
  <c r="G232" i="1" s="1"/>
  <c r="A233" i="1"/>
  <c r="B233" i="1"/>
  <c r="C220" i="1"/>
  <c r="B220" i="1"/>
  <c r="A220" i="1"/>
  <c r="G226" i="1" s="1"/>
  <c r="H215" i="1"/>
  <c r="H184" i="1"/>
  <c r="C183" i="1"/>
  <c r="B183" i="1"/>
  <c r="A183" i="1"/>
  <c r="G185" i="1" s="1"/>
  <c r="A186" i="1"/>
  <c r="B186" i="1"/>
  <c r="C177" i="1"/>
  <c r="B177" i="1"/>
  <c r="A177" i="1"/>
  <c r="G179" i="1" s="1"/>
  <c r="H178" i="1"/>
  <c r="H179" i="1" s="1"/>
  <c r="H149" i="1"/>
  <c r="C311" i="1"/>
  <c r="B311" i="1"/>
  <c r="A311" i="1"/>
  <c r="G313" i="1" s="1"/>
  <c r="H312" i="1"/>
  <c r="H313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C31" i="1"/>
  <c r="B31" i="1"/>
  <c r="A31" i="1"/>
  <c r="G62" i="1" s="1"/>
  <c r="B189" i="1" s="1"/>
  <c r="C359" i="1"/>
  <c r="B359" i="1"/>
  <c r="A359" i="1"/>
  <c r="G364" i="1" s="1"/>
  <c r="C356" i="1"/>
  <c r="B356" i="1"/>
  <c r="A356" i="1"/>
  <c r="G358" i="1" s="1"/>
  <c r="C353" i="1"/>
  <c r="B353" i="1"/>
  <c r="A353" i="1"/>
  <c r="G355" i="1" s="1"/>
  <c r="C349" i="1"/>
  <c r="A349" i="1"/>
  <c r="G351" i="1" s="1"/>
  <c r="B348" i="1"/>
  <c r="A348" i="1"/>
  <c r="H363" i="1"/>
  <c r="H362" i="1"/>
  <c r="H361" i="1"/>
  <c r="H360" i="1"/>
  <c r="H364" i="1" s="1"/>
  <c r="H357" i="1"/>
  <c r="H358" i="1" s="1"/>
  <c r="H354" i="1"/>
  <c r="H355" i="1" s="1"/>
  <c r="H350" i="1"/>
  <c r="H351" i="1" s="1"/>
  <c r="G69" i="2"/>
  <c r="D69" i="2"/>
  <c r="B349" i="1" s="1"/>
  <c r="C69" i="2"/>
  <c r="J24" i="6"/>
  <c r="J23" i="6"/>
  <c r="H185" i="1" l="1"/>
  <c r="F26" i="2" s="1"/>
  <c r="F24" i="2"/>
  <c r="F69" i="2"/>
  <c r="F70" i="2"/>
  <c r="F63" i="2"/>
  <c r="F71" i="2"/>
  <c r="F35" i="2"/>
  <c r="F61" i="1"/>
  <c r="F72" i="2"/>
  <c r="H61" i="1" l="1"/>
  <c r="H62" i="1" s="1"/>
  <c r="J61" i="1" l="1"/>
  <c r="H273" i="1" l="1"/>
  <c r="H290" i="1"/>
  <c r="H265" i="1"/>
  <c r="H277" i="1"/>
  <c r="C307" i="1"/>
  <c r="B307" i="1"/>
  <c r="A307" i="1"/>
  <c r="G309" i="1" s="1"/>
  <c r="H308" i="1"/>
  <c r="H336" i="1"/>
  <c r="H335" i="1"/>
  <c r="H328" i="1"/>
  <c r="H329" i="1"/>
  <c r="H323" i="1"/>
  <c r="H324" i="1"/>
  <c r="H319" i="1"/>
  <c r="H320" i="1"/>
  <c r="H321" i="1"/>
  <c r="C108" i="1"/>
  <c r="B108" i="1"/>
  <c r="A108" i="1"/>
  <c r="G116" i="1" s="1"/>
  <c r="H115" i="1"/>
  <c r="H114" i="1"/>
  <c r="H113" i="1"/>
  <c r="H112" i="1"/>
  <c r="H111" i="1"/>
  <c r="H110" i="1"/>
  <c r="H109" i="1"/>
  <c r="H309" i="1" l="1"/>
  <c r="F61" i="2" s="1"/>
  <c r="H116" i="1"/>
  <c r="F16" i="2"/>
  <c r="E162" i="1"/>
  <c r="H162" i="1" s="1"/>
  <c r="H29" i="1"/>
  <c r="H148" i="1"/>
  <c r="H147" i="1"/>
  <c r="H146" i="1"/>
  <c r="H145" i="1"/>
  <c r="H144" i="1"/>
  <c r="H143" i="1"/>
  <c r="H142" i="1"/>
  <c r="H207" i="1"/>
  <c r="H208" i="1"/>
  <c r="H209" i="1"/>
  <c r="H210" i="1"/>
  <c r="H211" i="1"/>
  <c r="H212" i="1"/>
  <c r="H213" i="1"/>
  <c r="H214" i="1"/>
  <c r="H175" i="1"/>
  <c r="H174" i="1"/>
  <c r="H173" i="1"/>
  <c r="H172" i="1"/>
  <c r="H171" i="1"/>
  <c r="H170" i="1"/>
  <c r="E156" i="1"/>
  <c r="H156" i="1" s="1"/>
  <c r="E157" i="1"/>
  <c r="H157" i="1" s="1"/>
  <c r="E158" i="1"/>
  <c r="H158" i="1" s="1"/>
  <c r="E159" i="1"/>
  <c r="H159" i="1" s="1"/>
  <c r="E160" i="1"/>
  <c r="H160" i="1" s="1"/>
  <c r="E161" i="1"/>
  <c r="H161" i="1" s="1"/>
  <c r="H22" i="1"/>
  <c r="H23" i="1"/>
  <c r="H24" i="1"/>
  <c r="H25" i="1"/>
  <c r="H26" i="1"/>
  <c r="H27" i="1"/>
  <c r="H28" i="1"/>
  <c r="H169" i="1"/>
  <c r="D134" i="1"/>
  <c r="H134" i="1" s="1"/>
  <c r="C304" i="1"/>
  <c r="B304" i="1"/>
  <c r="A304" i="1"/>
  <c r="G306" i="1" s="1"/>
  <c r="C301" i="1"/>
  <c r="B301" i="1"/>
  <c r="A301" i="1"/>
  <c r="G303" i="1" s="1"/>
  <c r="C298" i="1"/>
  <c r="B298" i="1"/>
  <c r="A298" i="1"/>
  <c r="G300" i="1" s="1"/>
  <c r="C295" i="1"/>
  <c r="B295" i="1"/>
  <c r="A295" i="1"/>
  <c r="G297" i="1" s="1"/>
  <c r="H305" i="1"/>
  <c r="H306" i="1" s="1"/>
  <c r="H302" i="1"/>
  <c r="H303" i="1" s="1"/>
  <c r="H299" i="1"/>
  <c r="H300" i="1" s="1"/>
  <c r="H296" i="1"/>
  <c r="H297" i="1" s="1"/>
  <c r="L26" i="9"/>
  <c r="M26" i="9"/>
  <c r="N26" i="9"/>
  <c r="O26" i="9"/>
  <c r="F60" i="2" l="1"/>
  <c r="F59" i="2"/>
  <c r="F58" i="2"/>
  <c r="F57" i="2"/>
  <c r="H241" i="1"/>
  <c r="H242" i="1"/>
  <c r="H243" i="1"/>
  <c r="H244" i="1"/>
  <c r="D238" i="1"/>
  <c r="H238" i="1" s="1"/>
  <c r="H235" i="1"/>
  <c r="H236" i="1" s="1"/>
  <c r="C246" i="1"/>
  <c r="B246" i="1"/>
  <c r="A246" i="1"/>
  <c r="G248" i="1" s="1"/>
  <c r="C240" i="1"/>
  <c r="B240" i="1"/>
  <c r="A240" i="1"/>
  <c r="G245" i="1" s="1"/>
  <c r="B247" i="1" s="1"/>
  <c r="C237" i="1"/>
  <c r="B237" i="1"/>
  <c r="A237" i="1"/>
  <c r="G239" i="1" s="1"/>
  <c r="C234" i="1"/>
  <c r="B234" i="1"/>
  <c r="A234" i="1"/>
  <c r="G236" i="1" s="1"/>
  <c r="B238" i="1" s="1"/>
  <c r="H239" i="1" l="1"/>
  <c r="F39" i="2" s="1"/>
  <c r="H245" i="1"/>
  <c r="F38" i="2"/>
  <c r="C11" i="7"/>
  <c r="D18" i="6" s="1"/>
  <c r="D46" i="2" s="1"/>
  <c r="B259" i="1" s="1"/>
  <c r="F40" i="2" l="1"/>
  <c r="D247" i="1"/>
  <c r="H247" i="1" s="1"/>
  <c r="E153" i="1"/>
  <c r="H153" i="1" s="1"/>
  <c r="E154" i="1"/>
  <c r="H154" i="1" s="1"/>
  <c r="E155" i="1"/>
  <c r="H155" i="1" s="1"/>
  <c r="H168" i="1"/>
  <c r="H135" i="1"/>
  <c r="H132" i="1"/>
  <c r="H133" i="1"/>
  <c r="H136" i="1"/>
  <c r="H137" i="1"/>
  <c r="H248" i="1" l="1"/>
  <c r="F41" i="2" s="1"/>
  <c r="H120" i="1"/>
  <c r="H121" i="1"/>
  <c r="H122" i="1"/>
  <c r="H123" i="1"/>
  <c r="H124" i="1"/>
  <c r="H125" i="1"/>
  <c r="H101" i="1"/>
  <c r="H102" i="1"/>
  <c r="H103" i="1"/>
  <c r="H104" i="1"/>
  <c r="H105" i="1"/>
  <c r="H106" i="1"/>
  <c r="H92" i="1"/>
  <c r="H93" i="1"/>
  <c r="H94" i="1"/>
  <c r="H95" i="1"/>
  <c r="H96" i="1"/>
  <c r="H97" i="1"/>
  <c r="H83" i="1"/>
  <c r="H84" i="1"/>
  <c r="H85" i="1"/>
  <c r="H86" i="1"/>
  <c r="H87" i="1"/>
  <c r="H88" i="1"/>
  <c r="H74" i="1"/>
  <c r="H75" i="1"/>
  <c r="H76" i="1"/>
  <c r="H77" i="1"/>
  <c r="H78" i="1"/>
  <c r="H79" i="1"/>
  <c r="H67" i="1"/>
  <c r="H68" i="1"/>
  <c r="H69" i="1"/>
  <c r="H70" i="1"/>
  <c r="E18" i="1" l="1"/>
  <c r="H18" i="1" s="1"/>
  <c r="H19" i="1"/>
  <c r="H20" i="1"/>
  <c r="H21" i="1"/>
  <c r="H30" i="1" l="1"/>
  <c r="F9" i="2"/>
  <c r="H15" i="1"/>
  <c r="H10" i="1"/>
  <c r="H11" i="1"/>
  <c r="H12" i="1"/>
  <c r="H13" i="1"/>
  <c r="H14" i="1"/>
  <c r="C130" i="1" l="1"/>
  <c r="B130" i="1"/>
  <c r="A130" i="1"/>
  <c r="G138" i="1" s="1"/>
  <c r="B188" i="1" s="1"/>
  <c r="C127" i="1"/>
  <c r="B127" i="1"/>
  <c r="A127" i="1"/>
  <c r="G129" i="1" s="1"/>
  <c r="C118" i="1"/>
  <c r="B118" i="1"/>
  <c r="A118" i="1"/>
  <c r="G126" i="1" s="1"/>
  <c r="C99" i="1"/>
  <c r="B99" i="1"/>
  <c r="A99" i="1"/>
  <c r="G107" i="1" s="1"/>
  <c r="C90" i="1"/>
  <c r="B90" i="1"/>
  <c r="A90" i="1"/>
  <c r="G98" i="1" s="1"/>
  <c r="C81" i="1"/>
  <c r="B81" i="1"/>
  <c r="A81" i="1"/>
  <c r="G89" i="1" s="1"/>
  <c r="C72" i="1"/>
  <c r="B72" i="1"/>
  <c r="A72" i="1"/>
  <c r="G80" i="1" s="1"/>
  <c r="C63" i="1"/>
  <c r="B63" i="1"/>
  <c r="A63" i="1"/>
  <c r="G71" i="1" s="1"/>
  <c r="C17" i="1"/>
  <c r="B17" i="1"/>
  <c r="A17" i="1"/>
  <c r="G30" i="1" s="1"/>
  <c r="C8" i="1"/>
  <c r="B8" i="1"/>
  <c r="A8" i="1"/>
  <c r="G16" i="1" s="1"/>
  <c r="H131" i="1"/>
  <c r="H138" i="1" s="1"/>
  <c r="H119" i="1"/>
  <c r="H126" i="1" s="1"/>
  <c r="H100" i="1"/>
  <c r="H107" i="1" s="1"/>
  <c r="H91" i="1"/>
  <c r="H98" i="1" s="1"/>
  <c r="H82" i="1"/>
  <c r="H89" i="1" s="1"/>
  <c r="H73" i="1"/>
  <c r="H80" i="1" s="1"/>
  <c r="H66" i="1"/>
  <c r="H65" i="1"/>
  <c r="H64" i="1"/>
  <c r="H71" i="1" s="1"/>
  <c r="H9" i="1"/>
  <c r="H16" i="1" s="1"/>
  <c r="F12" i="2" l="1"/>
  <c r="F13" i="2"/>
  <c r="F17" i="2"/>
  <c r="F14" i="2"/>
  <c r="F15" i="2"/>
  <c r="F8" i="2"/>
  <c r="I8" i="2" s="1"/>
  <c r="F19" i="2"/>
  <c r="E188" i="1"/>
  <c r="H188" i="1" s="1"/>
  <c r="D128" i="1" l="1"/>
  <c r="H128" i="1" s="1"/>
  <c r="H129" i="1" s="1"/>
  <c r="F11" i="2"/>
  <c r="D20" i="6"/>
  <c r="C20" i="6"/>
  <c r="B22" i="9"/>
  <c r="A22" i="9"/>
  <c r="B20" i="9"/>
  <c r="A20" i="9"/>
  <c r="B21" i="8"/>
  <c r="A21" i="8"/>
  <c r="B19" i="8"/>
  <c r="A19" i="8"/>
  <c r="F18" i="2" l="1"/>
  <c r="C252" i="1"/>
  <c r="B252" i="1"/>
  <c r="A252" i="1"/>
  <c r="G254" i="1" s="1"/>
  <c r="H256" i="1" l="1"/>
  <c r="H257" i="1" s="1"/>
  <c r="F44" i="2" s="1"/>
  <c r="C255" i="1"/>
  <c r="B255" i="1"/>
  <c r="A255" i="1"/>
  <c r="G257" i="1" s="1"/>
  <c r="H346" i="1"/>
  <c r="H345" i="1"/>
  <c r="H344" i="1"/>
  <c r="H343" i="1"/>
  <c r="H342" i="1"/>
  <c r="H347" i="1" s="1"/>
  <c r="H330" i="1"/>
  <c r="H331" i="1"/>
  <c r="H332" i="1"/>
  <c r="H333" i="1"/>
  <c r="H334" i="1"/>
  <c r="H316" i="1"/>
  <c r="H317" i="1"/>
  <c r="H318" i="1"/>
  <c r="H322" i="1"/>
  <c r="C341" i="1"/>
  <c r="B341" i="1"/>
  <c r="A341" i="1"/>
  <c r="G347" i="1" s="1"/>
  <c r="C338" i="1"/>
  <c r="B338" i="1"/>
  <c r="A338" i="1"/>
  <c r="G340" i="1" s="1"/>
  <c r="C326" i="1"/>
  <c r="B326" i="1"/>
  <c r="A326" i="1"/>
  <c r="G337" i="1" s="1"/>
  <c r="H339" i="1"/>
  <c r="H340" i="1" s="1"/>
  <c r="H327" i="1"/>
  <c r="C314" i="1"/>
  <c r="B314" i="1"/>
  <c r="A314" i="1"/>
  <c r="G325" i="1" s="1"/>
  <c r="B310" i="1"/>
  <c r="A310" i="1"/>
  <c r="C288" i="1"/>
  <c r="B288" i="1"/>
  <c r="A288" i="1"/>
  <c r="G291" i="1" s="1"/>
  <c r="H289" i="1"/>
  <c r="H291" i="1" s="1"/>
  <c r="C285" i="1"/>
  <c r="B285" i="1"/>
  <c r="A285" i="1"/>
  <c r="G287" i="1" s="1"/>
  <c r="C282" i="1"/>
  <c r="B282" i="1"/>
  <c r="A282" i="1"/>
  <c r="G284" i="1" s="1"/>
  <c r="H286" i="1"/>
  <c r="H287" i="1" s="1"/>
  <c r="H283" i="1"/>
  <c r="H284" i="1" s="1"/>
  <c r="C275" i="1"/>
  <c r="B275" i="1"/>
  <c r="A275" i="1"/>
  <c r="G278" i="1" s="1"/>
  <c r="H276" i="1"/>
  <c r="H278" i="1" s="1"/>
  <c r="C270" i="1"/>
  <c r="B270" i="1"/>
  <c r="A270" i="1"/>
  <c r="G274" i="1" s="1"/>
  <c r="C267" i="1"/>
  <c r="B267" i="1"/>
  <c r="A267" i="1"/>
  <c r="G269" i="1" s="1"/>
  <c r="H272" i="1"/>
  <c r="H274" i="1" s="1"/>
  <c r="H268" i="1"/>
  <c r="H315" i="1"/>
  <c r="H325" i="1" s="1"/>
  <c r="H293" i="1"/>
  <c r="C292" i="1"/>
  <c r="B292" i="1"/>
  <c r="A292" i="1"/>
  <c r="G294" i="1" s="1"/>
  <c r="H280" i="1"/>
  <c r="H281" i="1" s="1"/>
  <c r="C279" i="1"/>
  <c r="B279" i="1"/>
  <c r="A279" i="1"/>
  <c r="G281" i="1" s="1"/>
  <c r="C263" i="1"/>
  <c r="B263" i="1"/>
  <c r="A263" i="1"/>
  <c r="G266" i="1" s="1"/>
  <c r="B262" i="1"/>
  <c r="A262" i="1"/>
  <c r="H264" i="1"/>
  <c r="H266" i="1" s="1"/>
  <c r="H294" i="1" l="1"/>
  <c r="F56" i="2" s="1"/>
  <c r="H337" i="1"/>
  <c r="H269" i="1"/>
  <c r="F49" i="2" s="1"/>
  <c r="F50" i="2"/>
  <c r="F55" i="2"/>
  <c r="F48" i="2"/>
  <c r="F65" i="2"/>
  <c r="F64" i="2"/>
  <c r="F67" i="2"/>
  <c r="F53" i="2"/>
  <c r="F54" i="2"/>
  <c r="F51" i="2"/>
  <c r="F66" i="2"/>
  <c r="F52" i="2"/>
  <c r="E181" i="1"/>
  <c r="G25" i="2"/>
  <c r="D25" i="2"/>
  <c r="C25" i="2"/>
  <c r="J15" i="6"/>
  <c r="J14" i="6"/>
  <c r="H206" i="1"/>
  <c r="H205" i="1"/>
  <c r="H204" i="1"/>
  <c r="H216" i="1" s="1"/>
  <c r="C200" i="1"/>
  <c r="B200" i="1"/>
  <c r="A200" i="1"/>
  <c r="C197" i="1"/>
  <c r="B197" i="1"/>
  <c r="A197" i="1"/>
  <c r="C194" i="1"/>
  <c r="B194" i="1"/>
  <c r="A194" i="1"/>
  <c r="C191" i="1"/>
  <c r="B191" i="1"/>
  <c r="A191" i="1"/>
  <c r="C187" i="1"/>
  <c r="B187" i="1"/>
  <c r="A187" i="1"/>
  <c r="E152" i="1"/>
  <c r="D218" i="1" l="1"/>
  <c r="H218" i="1" s="1"/>
  <c r="H219" i="1" s="1"/>
  <c r="J19" i="6"/>
  <c r="H165" i="1"/>
  <c r="H176" i="1" s="1"/>
  <c r="H166" i="1"/>
  <c r="H167" i="1"/>
  <c r="H141" i="1"/>
  <c r="H150" i="1" s="1"/>
  <c r="C46" i="2"/>
  <c r="C203" i="1"/>
  <c r="B203" i="1"/>
  <c r="A203" i="1"/>
  <c r="G216" i="1" s="1"/>
  <c r="B218" i="1" s="1"/>
  <c r="C217" i="1"/>
  <c r="B217" i="1"/>
  <c r="A217" i="1"/>
  <c r="G219" i="1" s="1"/>
  <c r="F34" i="2" l="1"/>
  <c r="F33" i="2" l="1"/>
  <c r="C140" i="1" l="1"/>
  <c r="B140" i="1"/>
  <c r="A140" i="1"/>
  <c r="G150" i="1" s="1"/>
  <c r="B18" i="9"/>
  <c r="A18" i="9"/>
  <c r="B16" i="9"/>
  <c r="A16" i="9"/>
  <c r="B14" i="9"/>
  <c r="A14" i="9"/>
  <c r="B12" i="9"/>
  <c r="A12" i="9"/>
  <c r="B10" i="9"/>
  <c r="A10" i="9"/>
  <c r="C35" i="9"/>
  <c r="B17" i="8"/>
  <c r="A17" i="8"/>
  <c r="B15" i="8"/>
  <c r="A15" i="8"/>
  <c r="B13" i="8"/>
  <c r="A13" i="8"/>
  <c r="B11" i="8"/>
  <c r="A11" i="8"/>
  <c r="B9" i="8"/>
  <c r="A9" i="8"/>
  <c r="C34" i="8"/>
  <c r="F21" i="2" l="1"/>
  <c r="C180" i="1" l="1"/>
  <c r="B180" i="1"/>
  <c r="A180" i="1"/>
  <c r="G182" i="1" s="1"/>
  <c r="H181" i="1"/>
  <c r="H182" i="1" s="1"/>
  <c r="F25" i="2" l="1"/>
  <c r="K305" i="7" l="1"/>
  <c r="F18" i="7"/>
  <c r="F17" i="7"/>
  <c r="F16" i="7"/>
  <c r="F19" i="7" s="1"/>
  <c r="F12" i="7" l="1"/>
  <c r="H20" i="6" s="1"/>
  <c r="J20" i="6" s="1"/>
  <c r="G46" i="2" s="1"/>
  <c r="C259" i="1" l="1"/>
  <c r="C249" i="1"/>
  <c r="C164" i="1"/>
  <c r="C151" i="1"/>
  <c r="G196" i="1"/>
  <c r="B198" i="1" s="1"/>
  <c r="H260" i="1"/>
  <c r="H261" i="1" s="1"/>
  <c r="A259" i="1"/>
  <c r="G261" i="1" s="1"/>
  <c r="A258" i="1"/>
  <c r="B258" i="1"/>
  <c r="H250" i="1"/>
  <c r="H251" i="1" s="1"/>
  <c r="F42" i="2" l="1"/>
  <c r="F23" i="2"/>
  <c r="F46" i="2"/>
  <c r="D253" i="1" l="1"/>
  <c r="H253" i="1" s="1"/>
  <c r="H254" i="1" s="1"/>
  <c r="H152" i="1"/>
  <c r="H163" i="1" s="1"/>
  <c r="F43" i="2" l="1"/>
  <c r="A164" i="1" l="1"/>
  <c r="B164" i="1"/>
  <c r="A249" i="1"/>
  <c r="G251" i="1" s="1"/>
  <c r="B253" i="1" s="1"/>
  <c r="B249" i="1"/>
  <c r="F22" i="2" l="1"/>
  <c r="G176" i="1"/>
  <c r="G190" i="1" l="1"/>
  <c r="B192" i="1" s="1"/>
  <c r="G193" i="1"/>
  <c r="B195" i="1" s="1"/>
  <c r="G199" i="1"/>
  <c r="B201" i="1" s="1"/>
  <c r="G202" i="1"/>
  <c r="B139" i="1"/>
  <c r="B151" i="1"/>
  <c r="A139" i="1"/>
  <c r="A151" i="1"/>
  <c r="G163" i="1" s="1"/>
  <c r="A7" i="1"/>
  <c r="D33" i="5" l="1"/>
  <c r="J10" i="6" l="1"/>
  <c r="J11" i="6"/>
  <c r="J12" i="6"/>
  <c r="J13" i="6"/>
  <c r="A6" i="6" l="1"/>
  <c r="A5" i="6"/>
  <c r="D37" i="5" l="1"/>
  <c r="I3" i="2" s="1"/>
  <c r="E31" i="5"/>
  <c r="H8" i="2" l="1"/>
  <c r="J8" i="2" s="1"/>
  <c r="C16" i="9" l="1"/>
  <c r="F16" i="9" s="1"/>
  <c r="C10" i="9" l="1"/>
  <c r="D10" i="9" s="1"/>
  <c r="C20" i="9"/>
  <c r="C19" i="8"/>
  <c r="C22" i="9"/>
  <c r="C21" i="8"/>
  <c r="C18" i="9"/>
  <c r="F18" i="9" s="1"/>
  <c r="F26" i="9" s="1"/>
  <c r="C12" i="9"/>
  <c r="E12" i="9" s="1"/>
  <c r="C15" i="8"/>
  <c r="C11" i="8"/>
  <c r="C9" i="8"/>
  <c r="C17" i="8"/>
  <c r="D22" i="9" l="1"/>
  <c r="D20" i="9"/>
  <c r="H26" i="9"/>
  <c r="G26" i="9"/>
  <c r="I26" i="9"/>
  <c r="D26" i="9" l="1"/>
  <c r="K26" i="9"/>
  <c r="J26" i="9"/>
  <c r="D29" i="9" l="1"/>
  <c r="G35" i="9"/>
  <c r="D35" i="9" l="1"/>
  <c r="E189" i="1" l="1"/>
  <c r="H189" i="1"/>
  <c r="H190" i="1" s="1"/>
  <c r="D192" i="1" l="1"/>
  <c r="H192" i="1" s="1"/>
  <c r="H193" i="1" s="1"/>
  <c r="F28" i="2"/>
  <c r="D195" i="1" l="1"/>
  <c r="H195" i="1" s="1"/>
  <c r="H196" i="1" s="1"/>
  <c r="F29" i="2"/>
  <c r="D198" i="1" l="1"/>
  <c r="H198" i="1" s="1"/>
  <c r="H199" i="1" s="1"/>
  <c r="F30" i="2"/>
  <c r="D201" i="1" l="1"/>
  <c r="H201" i="1" s="1"/>
  <c r="F31" i="2"/>
  <c r="H202" i="1" l="1"/>
  <c r="F32" i="2" s="1"/>
  <c r="C14" i="9" l="1"/>
  <c r="E14" i="9" s="1"/>
  <c r="E26" i="9" s="1"/>
  <c r="C13" i="8"/>
  <c r="C25" i="8" s="1"/>
  <c r="E35" i="9" l="1"/>
  <c r="E29" i="9"/>
  <c r="D23" i="8"/>
  <c r="C34" i="9"/>
  <c r="F29" i="9" l="1"/>
  <c r="G29" i="9" s="1"/>
  <c r="H29" i="9" s="1"/>
  <c r="I29" i="9" s="1"/>
  <c r="J29" i="9" s="1"/>
  <c r="K29" i="9" s="1"/>
  <c r="L29" i="9" s="1"/>
  <c r="M29" i="9" s="1"/>
  <c r="N29" i="9" s="1"/>
  <c r="O29" i="9" s="1"/>
  <c r="D32" i="9"/>
  <c r="F27" i="9" s="1"/>
  <c r="F35" i="9"/>
  <c r="F36" i="9" s="1"/>
  <c r="E36" i="9"/>
  <c r="D36" i="9"/>
  <c r="G36" i="9"/>
  <c r="D25" i="8"/>
  <c r="D15" i="8"/>
  <c r="D11" i="8"/>
  <c r="D9" i="8"/>
  <c r="D19" i="8"/>
  <c r="D17" i="8"/>
  <c r="D21" i="8"/>
  <c r="D13" i="8"/>
  <c r="J27" i="9" l="1"/>
  <c r="H27" i="9"/>
  <c r="G27" i="9"/>
  <c r="D27" i="9"/>
  <c r="D30" i="9" s="1"/>
  <c r="O27" i="9"/>
  <c r="E27" i="9"/>
  <c r="K27" i="9"/>
  <c r="L27" i="9"/>
  <c r="N27" i="9"/>
  <c r="I27" i="9"/>
  <c r="M27" i="9"/>
  <c r="C36" i="9"/>
  <c r="E30" i="9" l="1"/>
  <c r="F30" i="9" s="1"/>
  <c r="G30" i="9" s="1"/>
  <c r="H30" i="9" s="1"/>
  <c r="I30" i="9" s="1"/>
  <c r="J30" i="9" s="1"/>
  <c r="K30" i="9" s="1"/>
  <c r="L30" i="9" s="1"/>
  <c r="M30" i="9" s="1"/>
  <c r="N30" i="9" s="1"/>
  <c r="O30" i="9" s="1"/>
</calcChain>
</file>

<file path=xl/sharedStrings.xml><?xml version="1.0" encoding="utf-8"?>
<sst xmlns="http://schemas.openxmlformats.org/spreadsheetml/2006/main" count="643" uniqueCount="350">
  <si>
    <t>ITEM</t>
  </si>
  <si>
    <t>ESPECIFICAÇÕES</t>
  </si>
  <si>
    <t>UND</t>
  </si>
  <si>
    <t>QUANT.</t>
  </si>
  <si>
    <t>1.1</t>
  </si>
  <si>
    <t>CÓDIGO</t>
  </si>
  <si>
    <t>DESCRIÇÃO</t>
  </si>
  <si>
    <t>UN.</t>
  </si>
  <si>
    <t>QUANTIDADE</t>
  </si>
  <si>
    <t>CUSTO UNITÁRIO</t>
  </si>
  <si>
    <t>CUSTO TOTAL</t>
  </si>
  <si>
    <t>AC</t>
  </si>
  <si>
    <t>R</t>
  </si>
  <si>
    <t>DF</t>
  </si>
  <si>
    <t>L</t>
  </si>
  <si>
    <t>ISS</t>
  </si>
  <si>
    <t>TOTAL COM BDI</t>
  </si>
  <si>
    <t>SECRETARIA DE INFRAESTRUTURA</t>
  </si>
  <si>
    <t>H</t>
  </si>
  <si>
    <t xml:space="preserve">BONIFICAÇÃO E DESPESAS INDIRETAS - SEM DESONERAÇÃO
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</si>
  <si>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</si>
  <si>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</si>
  <si>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</si>
  <si>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</si>
  <si>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</si>
  <si>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med</t>
  </si>
  <si>
    <t xml:space="preserve">Taxa de Despesas Financeiras </t>
  </si>
  <si>
    <t>Taxa de Risco</t>
  </si>
  <si>
    <t>Taxa de Seguro e Taxa de Garantia</t>
  </si>
  <si>
    <t>S + G</t>
  </si>
  <si>
    <t>*med=min</t>
  </si>
  <si>
    <t>COFINS</t>
  </si>
  <si>
    <t>ISS (**)</t>
  </si>
  <si>
    <t>PIS</t>
  </si>
  <si>
    <t xml:space="preserve">Taxa de Tributos (Soma dos itens COFINS, ISS, PIS e CPRB) </t>
  </si>
  <si>
    <t>I</t>
  </si>
  <si>
    <t>Taxa de Lucro</t>
  </si>
  <si>
    <t>min-med</t>
  </si>
  <si>
    <t>BDI Resultante</t>
  </si>
  <si>
    <t>(BDI padrão Edificações sem desoneração considerando M.O. de 40%)</t>
  </si>
  <si>
    <t xml:space="preserve">Ressalta-se que os parâmetros apresentados nas tabelas não contemplam a Contribuição
Previdenciária sobre a Receita Bruta (CPRB), instituída pela Lei 12.844/2013, aplicável às empresas que estão sujeitas à desoneração da folha de pagamento. 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</si>
  <si>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</si>
  <si>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</si>
  <si>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</si>
  <si>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</si>
  <si>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</si>
  <si>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Fórmula BDI conforme Acórdão TCU 325/2007:</t>
  </si>
  <si>
    <t xml:space="preserve">(**) A alíquota de ISS no Município de Limoeiro/PE é de 5% sobre os custos de mão de obra. 
</t>
  </si>
  <si>
    <t>CUSTO</t>
  </si>
  <si>
    <t>BDI:</t>
  </si>
  <si>
    <t>SEM BDI</t>
  </si>
  <si>
    <t>COM BDI</t>
  </si>
  <si>
    <t>LOCALIZAÇÃO: LIMOEIRO - PE</t>
  </si>
  <si>
    <t>LOCALIZAÇÃO: LIMOEIRO-PE</t>
  </si>
  <si>
    <t>COMPOSIÇÃO DE BDI PARA CONSTRUÇÃO DE RODOVIAS E FERROVIAS</t>
  </si>
  <si>
    <t>COMPOSIÇÃO 1</t>
  </si>
  <si>
    <t>TAXA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</si>
  <si>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</si>
  <si>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</si>
  <si>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</si>
  <si>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r>
      <t>De</t>
    </r>
    <r>
      <rPr>
        <b/>
        <sz val="10"/>
        <color theme="1"/>
        <rFont val="Arial"/>
        <family val="2"/>
      </rPr>
      <t xml:space="preserve"> 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</si>
  <si>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</t>
    </r>
    <r>
      <rPr>
        <b/>
        <sz val="10"/>
        <color theme="1"/>
        <rFont val="Arial"/>
        <family val="2"/>
      </rPr>
      <t xml:space="preserve"> 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</si>
  <si>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</si>
  <si>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t>LARG.</t>
  </si>
  <si>
    <t>COMPR.</t>
  </si>
  <si>
    <t>ALT.</t>
  </si>
  <si>
    <t>TOTAL</t>
  </si>
  <si>
    <t>SINAPI</t>
  </si>
  <si>
    <t>1.0</t>
  </si>
  <si>
    <t>3.0</t>
  </si>
  <si>
    <t>3.1</t>
  </si>
  <si>
    <t>3.2</t>
  </si>
  <si>
    <t>3.3</t>
  </si>
  <si>
    <t>4.0</t>
  </si>
  <si>
    <t>5.0</t>
  </si>
  <si>
    <t>4.1</t>
  </si>
  <si>
    <t>4.2</t>
  </si>
  <si>
    <t>5.1</t>
  </si>
  <si>
    <t>6.0</t>
  </si>
  <si>
    <t>6.1</t>
  </si>
  <si>
    <t>4.3</t>
  </si>
  <si>
    <t>4.4</t>
  </si>
  <si>
    <t>VERGA PRÉ-MOLDADA PARA PORTAS COM ATÉ 1,5 M DE VÃO. AF_03/2016</t>
  </si>
  <si>
    <t>M</t>
  </si>
  <si>
    <t>4.5</t>
  </si>
  <si>
    <t>APLICAÇÃO MANUAL DE PINTURA COM TINTA LÁTEX ACRÍLICA EM PAREDES, DUAS DEMÃOS. AF_06/2014</t>
  </si>
  <si>
    <t>COMPOSIÇÃO 2</t>
  </si>
  <si>
    <t>M3</t>
  </si>
  <si>
    <t>SEINFRA</t>
  </si>
  <si>
    <t>M2</t>
  </si>
  <si>
    <t>REBOCO C/ ARGAMASSA DE CIMENTO E AREIA S/ PENEIRAR, TRAÇO 1:3</t>
  </si>
  <si>
    <t>C3408</t>
  </si>
  <si>
    <t xml:space="preserve">SINAPI 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</si>
  <si>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</si>
  <si>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 xml:space="preserve"> PORTAS E ESQUADRIAS</t>
  </si>
  <si>
    <t xml:space="preserve">PINTURA </t>
  </si>
  <si>
    <t>CHAPISCO COM ARGAMASSA DE CIMENTO E AREIA NO
TRACO 1 3.</t>
  </si>
  <si>
    <t>APLICAÇÃO E LIXAMENTO DE MASSA LÁTEX EM PAREDES, UMA DEMÃO. AF_06/2014</t>
  </si>
  <si>
    <t>3.4</t>
  </si>
  <si>
    <t>REVESTIMENTOS</t>
  </si>
  <si>
    <t>UN</t>
  </si>
  <si>
    <t>COMPOSIÇÃO</t>
  </si>
  <si>
    <t>PLAYGROUND</t>
  </si>
  <si>
    <t xml:space="preserve">APLICAÇÃO DE FUNDO SELADOR ACRÍLICO EM PAREDES, UMA DEMÃO. AF_06/2014 </t>
  </si>
  <si>
    <t>KG</t>
  </si>
  <si>
    <t>COMPOSIÇÕES DE CUSTO UNITÁRIOS COMPLEMENTARES</t>
  </si>
  <si>
    <t>COTAÇÃO 1</t>
  </si>
  <si>
    <t>Preço Unitário Custo</t>
  </si>
  <si>
    <t>CNPJ</t>
  </si>
  <si>
    <t xml:space="preserve">ESTABELECIMENTO </t>
  </si>
  <si>
    <t>Unidade</t>
  </si>
  <si>
    <t>Coeficiente</t>
  </si>
  <si>
    <t>Custo
Unitário</t>
  </si>
  <si>
    <t>Custo
Total</t>
  </si>
  <si>
    <t>Total</t>
  </si>
  <si>
    <t>OK</t>
  </si>
  <si>
    <t>4.6</t>
  </si>
  <si>
    <t>RESUMO DO ORÇAMENTO</t>
  </si>
  <si>
    <t>DESCRIÇÃO DOS SERVIÇOS</t>
  </si>
  <si>
    <t>VALOR TOTAL (R$)</t>
  </si>
  <si>
    <t>REPRESEN-
TATIVIDADE</t>
  </si>
  <si>
    <t>TOTAL GLOBAL</t>
  </si>
  <si>
    <t>4.2.3</t>
  </si>
  <si>
    <t xml:space="preserve">TRAMA DE MADEIRA COMPOSTA POR RIPAS, CAIBROS E TERÇAS PARA TELHADOS DE ATÉ 2 ÁGUAS PARA TELHA CERÂMICA CAPA-CANAL, INCLUSO TRANSPORTE VERTICAL. </t>
  </si>
  <si>
    <t>CRONOGRAMA FÍSICO FINANCEIRO</t>
  </si>
  <si>
    <t>ETAPA</t>
  </si>
  <si>
    <t>SERVIÇO</t>
  </si>
  <si>
    <t>TOTAL ETAPA (R$)</t>
  </si>
  <si>
    <t>MÊS/ DESEMBOLSO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</si>
  <si>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</si>
  <si>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</si>
  <si>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</si>
  <si>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</si>
  <si>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</si>
  <si>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</si>
  <si>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</si>
  <si>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</si>
  <si>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</si>
  <si>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</si>
  <si>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</si>
  <si>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</si>
  <si>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TOTAIS PARCIAIS</t>
  </si>
  <si>
    <t>TOTAIS ACUMULADOS</t>
  </si>
  <si>
    <t>TOTAL GERAL</t>
  </si>
  <si>
    <t>MEDIA MENSAL</t>
  </si>
  <si>
    <t>SERVENTE</t>
  </si>
  <si>
    <t>C0776</t>
  </si>
  <si>
    <t>SUPERESTRUTURA</t>
  </si>
  <si>
    <t>C2210</t>
  </si>
  <si>
    <t>RETIRADA DE PORTAS E JANELAS, INCLUSIVE BATENTES</t>
  </si>
  <si>
    <t>PINTURA TINTA DE ACABAMENTO (PIGMENTADA) A ÓLEO EM MADEIRA, 2 DEMÃOS. AF_01/2021</t>
  </si>
  <si>
    <t>LIXAMENTO DE MADEIRA PARA APLICAÇÃO DE FUNDO OU PINTURA. AF_01/2021</t>
  </si>
  <si>
    <t>LASTRO DE CONCRETO MAGRO, APLICADO EM PISOS, LAJES SOBRE SOLO OU RADIERS. AF_08/2017</t>
  </si>
  <si>
    <t>4.7</t>
  </si>
  <si>
    <t>C1066</t>
  </si>
  <si>
    <t>DEMOLIÇÃO DE PISO CIMENTADO SOBRE LASTRO DE CONCRETO</t>
  </si>
  <si>
    <t>C1043</t>
  </si>
  <si>
    <t>DEMOLIÇÃO DE ALVENARIA DE TIJOLOS S/ REAPROVEITAMENTO</t>
  </si>
  <si>
    <t>Cantina</t>
  </si>
  <si>
    <t>Biblioteca</t>
  </si>
  <si>
    <t>Sala de aula 2</t>
  </si>
  <si>
    <t>Refeitório</t>
  </si>
  <si>
    <t>Área frontal a ser construído o playground</t>
  </si>
  <si>
    <t>I1530</t>
  </si>
  <si>
    <t>MONTADOR</t>
  </si>
  <si>
    <t xml:space="preserve">I2391 </t>
  </si>
  <si>
    <t xml:space="preserve">PEDREIRO </t>
  </si>
  <si>
    <t xml:space="preserve">I2543 </t>
  </si>
  <si>
    <t xml:space="preserve">I0749 </t>
  </si>
  <si>
    <t>MÁQUINA DE SOLDA (CHP)</t>
  </si>
  <si>
    <t xml:space="preserve">I1061 </t>
  </si>
  <si>
    <t>ELETRODOS</t>
  </si>
  <si>
    <t xml:space="preserve">I2172 </t>
  </si>
  <si>
    <t xml:space="preserve">TUBO AÇO GALVANIZADO DE 65MM (2 1/2') </t>
  </si>
  <si>
    <t>GUARDA CORPO DE TUBO DE AÇO INOX</t>
  </si>
  <si>
    <t>Área externa</t>
  </si>
  <si>
    <t>7.0</t>
  </si>
  <si>
    <t>7.1</t>
  </si>
  <si>
    <t>INSTALAÇÕES HIDROSSANITÁRIAS</t>
  </si>
  <si>
    <t>PT</t>
  </si>
  <si>
    <t>7.2</t>
  </si>
  <si>
    <t>7.3</t>
  </si>
  <si>
    <t>7.4</t>
  </si>
  <si>
    <t>7.5</t>
  </si>
  <si>
    <t>VASO SANITÁRIO SIFONADO COM CAIXA ACOPLADA LOUÇA BRANCA - FORNECIMENTO E INSTALAÇÃO. AF_01/2020</t>
  </si>
  <si>
    <t>UM</t>
  </si>
  <si>
    <t>BARRA DE APOIO RETA, EM ACO INOX POLIDO, COMPRIMENTO 70 CM, FIXADA NA PAREDE - FORNECIMENTO E INSTALAÇÃO. AF_01/2020</t>
  </si>
  <si>
    <t>PUXADOR PARA PCD, FIXADO NA PORTA - FORNECIMENTO E INSTALAÇÃO. AF_01/2020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</si>
  <si>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</si>
  <si>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PONTO DE AGUA, INCLUSIVE TUBULACOES E CONE XOES DE PVC RIGIDO ROSQUEAVEL E ABERTURA DE RASGOS EM ALVENARIA,ATE O REGISTRO GERAL DO AMBIENTE. </t>
  </si>
  <si>
    <t>INSTALAÇÕES ELÉTRICAS</t>
  </si>
  <si>
    <t>LUMINÁRIA TIPO PLAFON EM PLÁSTICO, DE SOBREPOR, COM 1 LÂMPADA FLUORESCENTE DE 15 W, SEM REATOR - FORNECIMENTO E INSTALAÇÃO. AF_02/2020</t>
  </si>
  <si>
    <t>LUMINÁRIA TIPO CALHA, DE SOBREPOR, COM 2 LÂMPADAS TUBULARES FLUORESCENTES DE 18 W, COM REATOR DE PARTIDA RÁPIDA - FORNECIMENTO E INSTALAÇÃO. AF_02/2020</t>
  </si>
  <si>
    <t>Sala 4</t>
  </si>
  <si>
    <t>Sala 5</t>
  </si>
  <si>
    <t>Sala 2</t>
  </si>
  <si>
    <t>Sala 4 - 2 altas para ventilador e 2 baixas (sendo uma abaixo do quadro)</t>
  </si>
  <si>
    <t>Sala 5 - 2 altas para ventilador e 2 baixas (sendo uma abaixo do quadro)</t>
  </si>
  <si>
    <t>Sala 2 - 2 altas para ventilador e 2 baixas (sendo uma abaixo do quadro)</t>
  </si>
  <si>
    <t>Refeitório - 2 altas para ventilador e 1 baixa</t>
  </si>
  <si>
    <t>Biblioteca - 2 altas para ventilador e 2 baixas</t>
  </si>
  <si>
    <t>87620</t>
  </si>
  <si>
    <t>CONTRAPISO EM ARGAMASSA TRAÇO 1:4 (CIMENTO E AREIA), PREPARO MECÂNICO COM BETONEIRA 400 L, APLICADO EM ÁREAS SECAS SOBRE LAJE, ADERIDO, ACABAMENTO NÃO REFORÇADO, ESPESSURA 2CM. AF_07/2021</t>
  </si>
  <si>
    <t>COTAÇÃO</t>
  </si>
  <si>
    <t>69.890.267/0001-06</t>
  </si>
  <si>
    <t>LUIZ AMARO DE SENA - ME</t>
  </si>
  <si>
    <t>33.937.533/0001-53</t>
  </si>
  <si>
    <t>JADERITO BARBOZA DE SOARES</t>
  </si>
  <si>
    <t>Banheiro acessível</t>
  </si>
  <si>
    <t>Banheiro acessível a ser construído</t>
  </si>
  <si>
    <t xml:space="preserve">C0073 </t>
  </si>
  <si>
    <t xml:space="preserve">ALVENARIA DE TIJOLO CERÂMICO FURADO (9x19x19)cm C/ARGAMASSA MISTA DE CAL HIDRATADA ESP.=10cm (1:2:8) </t>
  </si>
  <si>
    <t>1.2</t>
  </si>
  <si>
    <t>1.3</t>
  </si>
  <si>
    <t>ESCAVAÇÃO MANUAL DE VALA COM PROFUNDIDADE MENOR OU IGUAL A 1,30 M. AF_02/2021</t>
  </si>
  <si>
    <t>1.4</t>
  </si>
  <si>
    <t>1.5</t>
  </si>
  <si>
    <t>C0074</t>
  </si>
  <si>
    <t xml:space="preserve">ALVENARIA DE TIJOLO CERÂMICO FURADO (9x19x19)cm C/ARGAMASSA MISTA DE CAL HIDRATADA ESP=20 cm </t>
  </si>
  <si>
    <t>1.6</t>
  </si>
  <si>
    <t>ESCAVAÇÃO MANUAL DE VALA PARA VIGA BALDRAME, COM PREVISÃO DE FÔRMA. AF_06/2017</t>
  </si>
  <si>
    <t>1.7</t>
  </si>
  <si>
    <t>1.8</t>
  </si>
  <si>
    <t>IMPERMEABILIZAÇÃO DE FLOREIRA OU VIGA BALDRAME COM ARGAMASSA DE CIMENTO E AREIA, COM ADITIVO IMPERMEABILIZANTE, E = 2 CM. AF_06/2018</t>
  </si>
  <si>
    <t>1.9</t>
  </si>
  <si>
    <t>REATERRO MANUAL APILOADO COM SOQUETE. AF_10/2017</t>
  </si>
  <si>
    <t>1.10</t>
  </si>
  <si>
    <t>Parede entre a sala 4 e sala 5</t>
  </si>
  <si>
    <t>Parede entre a sala 2 e a biblioteca/refeitório</t>
  </si>
  <si>
    <t>Parede entre refeitório e biblioteca</t>
  </si>
  <si>
    <t xml:space="preserve">Volume escavado descontando-se as estruturas construídas </t>
  </si>
  <si>
    <t>09.585.656/0001-98</t>
  </si>
  <si>
    <t>A1 TOYS SERVIÇOS ADMINISTRATIVOS E COMÉRCIO</t>
  </si>
  <si>
    <t>PLAYGROUND DE EUCALIPTO COMPLETO: 1 BALANÇO DUPLO, 1 LIXEIRA 1 E GANGORRA DUPLA</t>
  </si>
  <si>
    <t>CONTRAPISO EM ARGAMASSA TRAÇO 1:4 (CIMENTO E AREIA), PREPARO MECÂNICO COM BETONEIRA 400 L, APLICADO EM ÁREAS MOLHADAS SOBRE IMPERMEABILIZAÇÃO, ACABAMENTO NÃO REFORÇADO, ESPESSURA 3CM. AF_07/2021</t>
  </si>
  <si>
    <t>EMBOÇO, PARA RECEBIMENTO DE CERÂMICA, EM ARGAMASSA TRAÇO 1:2:8, PREPARO MECÂNICO COM BETONEIRA 400L, APLICADO MANUALMENTE EM FACES INTERNASDE PAREDES, PARA AMBIENTE COM ÁREA MAIOR QUE 10M2, ESPESSURA DE 20MM,COM EXECUÇÃO DE TALISCAS. AF_06/2014</t>
  </si>
  <si>
    <t>2.0</t>
  </si>
  <si>
    <t>2.1</t>
  </si>
  <si>
    <t>2.2</t>
  </si>
  <si>
    <t>2.3</t>
  </si>
  <si>
    <t>2.4</t>
  </si>
  <si>
    <t>3.5</t>
  </si>
  <si>
    <t>3.6</t>
  </si>
  <si>
    <t>3.7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</si>
  <si>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</si>
  <si>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</si>
  <si>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</si>
  <si>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</si>
  <si>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</si>
  <si>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</si>
  <si>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</si>
  <si>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</si>
  <si>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</si>
  <si>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</si>
  <si>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</si>
  <si>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</si>
  <si>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 xml:space="preserve">C4670 </t>
  </si>
  <si>
    <t>PORTA PAPEL METÁLICO</t>
  </si>
  <si>
    <t>C4835</t>
  </si>
  <si>
    <t>ESPELHO CRISTAL, ESPESSURA 4MM, COM PARAFUSOS DE FIXAÇÃO, SEM MOLDURA</t>
  </si>
  <si>
    <t>C4825</t>
  </si>
  <si>
    <t>PORTA PAPEL TOALHA (DISPENSER)EM ABS</t>
  </si>
  <si>
    <t>SABONETEIRA PLASTICA TIPO DISPENSER PARA SABONETE LIQUIDO COM RESERVATORIO 800 A 1500 ML, INCLUSO FIXAÇÃO. AF_01/2020</t>
  </si>
  <si>
    <t>Desconto</t>
  </si>
  <si>
    <t>Sala de aula 4</t>
  </si>
  <si>
    <t>Sala 1</t>
  </si>
  <si>
    <t>Direção</t>
  </si>
  <si>
    <t>WC ao lado da despensa</t>
  </si>
  <si>
    <t>Sala de aula 5</t>
  </si>
  <si>
    <t>Sala de aula 3</t>
  </si>
  <si>
    <t>MONTAGEM E DESMONTAGEM DE FÔRMA DE VIGA, ESCORAMENTO COM GARFO DE MADEIRA, PÉ-DIREITO SIMPLES, EM CHAPA DE MADEIRA PLASTIFICADA, 12 UTILIZAÇÕES. AF_09/2020</t>
  </si>
  <si>
    <t>1.11</t>
  </si>
  <si>
    <t>(COMPOSIÇÃO REPRESENTATIVA) EXECUÇÃO DE ESTRUTURAS DE CONCRETO ARMADO, PARA EDIFICAÇÃO INSTITUCIONAL TÉRREA, FCK = 25 MPA. AF_01/2017</t>
  </si>
  <si>
    <t>REVESTIMENTO CERÂMICO PARA PISO COM PLACAS TIPO ESMALTADA EXTRA DE DIMENSÕES 45X45 CM APLICADA EM AMBIENTES DE ÁREA MENOR QUE 5 M2. AF_06/2014</t>
  </si>
  <si>
    <t>REVESTIMENTO CERÂMICO PARA PAREDES INTERNAS COM PLACAS TIPO ESMALTADA EXTRA DE DIMENSÕES 33X45 CM APLICADAS EM AMBIENTES DE ÁREA MAIOR QUE 5 M² A MEIA ALTURA DAS PAREDES. AF_06/2014</t>
  </si>
  <si>
    <t>C4603</t>
  </si>
  <si>
    <t xml:space="preserve">PONTO DE ESGOTO EM PVC P/ SANITÁRIO INCLUSIVE COLUNA VENTILAÇÃO
MSD FUNASA TIPO 10 (MATERIAL E EXECUÇÃO) </t>
  </si>
  <si>
    <t>C4602</t>
  </si>
  <si>
    <t xml:space="preserve">PONTO DE ESGOTO EM PVC P/ TANQUE E LAVATÓRIO MSD FUNASA TIPO 10
(MATERIAL E EXECUÇÃO) </t>
  </si>
  <si>
    <t>C1950</t>
  </si>
  <si>
    <t>PONTO SANITÁRIO, MATERIAL E EXECUÇÃO</t>
  </si>
  <si>
    <t xml:space="preserve">C1948 </t>
  </si>
  <si>
    <t>C2157</t>
  </si>
  <si>
    <t>REGISTRO DE GAVETA BRUTO D= 20mm (3/4")</t>
  </si>
  <si>
    <t>PONTO DE ILUMINAÇÃO RESIDENCIAL INCLUINDO INTERRUPTOR SIMPLES, CAIXA ELÉTRICA, ELETRODUTO, CABO, RASGO, QUEBRA E CHUMBAMENTO (EXCLUINDO LUMINÁRIA E LÂMPADA). AF_01/2016</t>
  </si>
  <si>
    <t>PONTO DE TOMADA RESIDENCIAL INCLUINDO TOMADA 10A/250V, CAIXA ELÉTRICA, ELETRODUTO, CABO, RASGO, QUEBRA E CHUMBAMENTO. AF_01/2016</t>
  </si>
  <si>
    <t>DEMOLIÇÕES E ALVENARIAS</t>
  </si>
  <si>
    <t>Sala 3</t>
  </si>
  <si>
    <t>Recreio</t>
  </si>
  <si>
    <t>Circulação</t>
  </si>
  <si>
    <t>Sala 1 - 2 altas para ventilador e 2 baixas (sendo uma abaixo do quadro)</t>
  </si>
  <si>
    <t>Sala 3 - 2 altas para ventilador e 2 baixas (sendo uma abaixo do quadro)</t>
  </si>
  <si>
    <t>6.14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</si>
  <si>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</si>
  <si>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 xml:space="preserve">Próximo aos banheiros </t>
  </si>
  <si>
    <t>Banheiros</t>
  </si>
  <si>
    <t>Ralos</t>
  </si>
  <si>
    <t>COBERTURA</t>
  </si>
  <si>
    <t>m²</t>
  </si>
  <si>
    <t>C4466</t>
  </si>
  <si>
    <t>COBERTURA TELHA CERÂMICA (RIPA, CAIBRO, LINHA)</t>
  </si>
  <si>
    <t>94227</t>
  </si>
  <si>
    <t>CALHA EM CHAPA DE AÇO GALVANIZADO NÚMERO 24, DESENVOLVIMENTO DE 33 CM, INCLUSO TRANSPORTE VERTICAL. AF_07/2019</t>
  </si>
  <si>
    <t>m</t>
  </si>
  <si>
    <t>FORRO EM RÉGUAS DE PVC, FRISADO, PARA AMBIENTES COMERCIAIS, INCLUSIVE ESTRUTURA DE FIXAÇÃO. AF_05/2017_P</t>
  </si>
  <si>
    <t>8.0</t>
  </si>
  <si>
    <t>8.1</t>
  </si>
  <si>
    <t>8.2</t>
  </si>
  <si>
    <t>8.3</t>
  </si>
  <si>
    <t>8.4</t>
  </si>
  <si>
    <t>REVISAO GERAL DE TELHADOS DE TELHAS CERAMICAS, COMPREENDENDO RETIRADA E REASSENTAEMENTO DAS TELHAS, COM REAPROVEITAMENTO DO MATERIAL</t>
  </si>
  <si>
    <t>SERVENTE COM ENCARGOS COMPLEMENTARES</t>
  </si>
  <si>
    <t>88323</t>
  </si>
  <si>
    <t>TELHADISTA COM ENCARGOS COMPLEMENTARES</t>
  </si>
  <si>
    <t>COMPOSIÇÃO 3</t>
  </si>
  <si>
    <t xml:space="preserve">Área medida no cad </t>
  </si>
  <si>
    <t xml:space="preserve">Considerar 20% da área total </t>
  </si>
  <si>
    <t>Calha da unidade</t>
  </si>
  <si>
    <t xml:space="preserve">Sala 1 </t>
  </si>
  <si>
    <t xml:space="preserve">Sala 3 </t>
  </si>
  <si>
    <t>1.12</t>
  </si>
  <si>
    <t>DEMOLIÇÃO DE ARGAMASSAS, DE FORMA MANUAL, SEM REAPROVEITAMENTO. AF_12/2017</t>
  </si>
  <si>
    <t xml:space="preserve">Área interna </t>
  </si>
  <si>
    <t xml:space="preserve">Sala 2 </t>
  </si>
  <si>
    <t xml:space="preserve">Circulação </t>
  </si>
  <si>
    <t xml:space="preserve">Recreio </t>
  </si>
  <si>
    <t xml:space="preserve">Considerar 10% do somatório total </t>
  </si>
  <si>
    <t>REMOÇÃO DE LUMINÁRIAS, DE FORMA MANUAL, SEM REAPROVEITAMENTO. AF_12/2017</t>
  </si>
  <si>
    <t>90820</t>
  </si>
  <si>
    <t>2.5</t>
  </si>
  <si>
    <t>PORTA DE MADEIRA PARA PINTURA, SEMI-OCA (LEVE OU MÉDIA), 60X210CM, ESPESSURA DE 3,5CM, INCLUSO DOBRADIÇAS - FORNECIMENTO E INSTALAÇÃO. AF_12/2019</t>
  </si>
  <si>
    <t>C1362</t>
  </si>
  <si>
    <t>2.6</t>
  </si>
  <si>
    <t>FECHADURA DE TARJETA (LIVRE-OCUPADA)</t>
  </si>
  <si>
    <t xml:space="preserve">Portão frontal </t>
  </si>
  <si>
    <t>3.8</t>
  </si>
  <si>
    <t>C1279</t>
  </si>
  <si>
    <t>ESMALTE DUAS DEMÃOS EM ESQUADRIAS DE FERRO -</t>
  </si>
  <si>
    <t>3.9</t>
  </si>
  <si>
    <t>APLICAÇÃO MANUAL DE PINTURA COM TINTA LÁTEX ACRÍLICA EM TETO, DUAS DEMÃOS. AF_06/2014</t>
  </si>
  <si>
    <t>C1611</t>
  </si>
  <si>
    <t>LASTRO DE CONCRETO REGULARIZADO ESP.= 5CM</t>
  </si>
  <si>
    <t>PISO PODOTÁTIL, DIRECIONAL OU ALERTA, ASSENTADO SOBRE ARGAMASSA. AF_05/2020</t>
  </si>
  <si>
    <t>FONTES DE PREÇOS: SINAPI ABRIL-2022 / SEINFRA 027 MARÇO-2021 - SEM DESONERAÇÃO (BDI = 20,64%)</t>
  </si>
  <si>
    <t>DATA: JUNHO/2022 - SINAPI 04/2022; SEINFRA MAR/2021 - NÃO DESONERADO</t>
  </si>
  <si>
    <t>DATA: JUNHO/2022</t>
  </si>
  <si>
    <t>CENTO E CINQUENTA E SEIS MIL, SEISCENTOS E SESSENTA E OITO REAIS E OITENTA E CINCO CENTAVOS</t>
  </si>
  <si>
    <t>OBRA: REFORMA DA ESCOLA MARIA QUITÉRIA DE FREITAS</t>
  </si>
  <si>
    <t>MEMORIAL DE CÁLCULO - REFORMA DA ESCOLA MARIA QUITÉRIA DE FREITAS</t>
  </si>
  <si>
    <t>COMPOSIÇÃO ANALÍTICA - REFORMA DA ESCOLA MARIA QUITÉRIA DE FREITAS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</si>
</sst>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0.000"/>
    <numFmt numFmtId="168" formatCode="0000"/>
    <numFmt numFmtId="169" formatCode="_(* #,##0.00_);_(* \(#,##0.00\);_(* \-??_);_(@_)"/>
    <numFmt numFmtId="170" formatCode="_ &quot;R$&quot;\ * #,##0.00_ ;_ &quot;R$&quot;\ * \-#,##0.00_ ;_ &quot;R$&quot;\ * &quot;-&quot;??_ ;_ @_ "/>
    <numFmt numFmtId="171" formatCode="_ * #,##0.00_ ;_ * \-#,##0.00_ ;_ * &quot;-&quot;??_ ;_ @_ "/>
    <numFmt numFmtId="172" formatCode="#,##0.00_ ;[Red]\-#,##0.00\ "/>
    <numFmt numFmtId="173" formatCode="_(* #,##0.0000_);_(* \(#,##0.0000\);_(* &quot;-&quot;??_);_(@_)"/>
    <numFmt numFmtId="174" formatCode="0.0%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Calibri"/>
      <family val="2"/>
    </font>
    <font>
      <sz val="9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u/>
      <sz val="8"/>
      <color theme="1"/>
      <name val="Arial"/>
      <family val="2"/>
    </font>
    <font>
      <sz val="8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color rgb="FF00000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15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b/>
      <sz val="8"/>
      <color rgb="FFFF0000"/>
      <name val="Arial"/>
      <family val="2"/>
    </font>
    <font>
      <b/>
      <sz val="8"/>
      <name val="Calibri"/>
      <family val="2"/>
      <scheme val="minor"/>
    </font>
    <font>
      <i/>
      <sz val="9"/>
      <name val="Arial"/>
      <family val="2"/>
    </font>
    <font>
      <b/>
      <sz val="8"/>
      <color theme="1"/>
      <name val="Arial"/>
      <family val="2"/>
    </font>
    <font>
      <b/>
      <sz val="12"/>
      <name val="Calibri"/>
      <family val="2"/>
    </font>
    <font>
      <sz val="8"/>
      <color rgb="FF000000"/>
      <name val="ArialMT"/>
    </font>
    <font>
      <sz val="8"/>
      <name val="AraIL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hair">
        <color indexed="64"/>
      </bottom>
      <diagonal/>
    </border>
  </borders>
  <cellStyleXfs count="106">
    <xf numFmtId="0" fontId="0" fillId="0" borderId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4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</cellStyleXfs>
  <cellXfs count="406">
    <xf numFmtId="0" fontId="0" fillId="0" borderId="0" xfId="0"/>
    <xf numFmtId="0" fontId="12" fillId="0" borderId="0" xfId="0" applyFont="1"/>
    <xf numFmtId="4" fontId="3" fillId="0" borderId="5" xfId="8" applyNumberFormat="1" applyFont="1" applyFill="1" applyBorder="1" applyAlignment="1">
      <alignment horizontal="center" vertical="center"/>
    </xf>
    <xf numFmtId="0" fontId="2" fillId="0" borderId="0" xfId="0" applyFont="1"/>
    <xf numFmtId="0" fontId="12" fillId="3" borderId="0" xfId="0" applyFont="1" applyFill="1"/>
    <xf numFmtId="0" fontId="0" fillId="3" borderId="0" xfId="0" applyFill="1"/>
    <xf numFmtId="0" fontId="9" fillId="3" borderId="5" xfId="4" applyFont="1" applyFill="1" applyBorder="1" applyAlignment="1">
      <alignment horizontal="center" vertical="center" wrapText="1"/>
    </xf>
    <xf numFmtId="4" fontId="12" fillId="0" borderId="0" xfId="0" applyNumberFormat="1" applyFont="1"/>
    <xf numFmtId="44" fontId="0" fillId="0" borderId="0" xfId="27" applyFont="1"/>
    <xf numFmtId="44" fontId="0" fillId="3" borderId="0" xfId="27" applyFont="1" applyFill="1"/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5" borderId="5" xfId="0" applyFont="1" applyFill="1" applyBorder="1"/>
    <xf numFmtId="0" fontId="24" fillId="5" borderId="5" xfId="0" applyFont="1" applyFill="1" applyBorder="1" applyAlignment="1">
      <alignment horizontal="center"/>
    </xf>
    <xf numFmtId="0" fontId="23" fillId="0" borderId="5" xfId="0" applyFont="1" applyBorder="1" applyAlignment="1">
      <alignment horizontal="left"/>
    </xf>
    <xf numFmtId="0" fontId="24" fillId="0" borderId="9" xfId="0" applyFont="1" applyBorder="1"/>
    <xf numFmtId="0" fontId="24" fillId="0" borderId="9" xfId="0" applyFont="1" applyBorder="1" applyAlignment="1">
      <alignment horizontal="center"/>
    </xf>
    <xf numFmtId="0" fontId="24" fillId="0" borderId="5" xfId="0" applyFont="1" applyBorder="1"/>
    <xf numFmtId="0" fontId="24" fillId="0" borderId="5" xfId="0" applyFont="1" applyBorder="1" applyAlignment="1">
      <alignment horizontal="center"/>
    </xf>
    <xf numFmtId="10" fontId="13" fillId="4" borderId="5" xfId="28" applyNumberFormat="1" applyFont="1" applyFill="1" applyBorder="1" applyAlignment="1">
      <alignment horizontal="center"/>
    </xf>
    <xf numFmtId="0" fontId="17" fillId="0" borderId="5" xfId="0" applyFont="1" applyBorder="1"/>
    <xf numFmtId="2" fontId="22" fillId="0" borderId="5" xfId="0" applyNumberFormat="1" applyFont="1" applyBorder="1" applyAlignment="1">
      <alignment horizontal="center"/>
    </xf>
    <xf numFmtId="10" fontId="22" fillId="0" borderId="5" xfId="28" applyNumberFormat="1" applyFont="1" applyBorder="1" applyAlignment="1">
      <alignment horizontal="center"/>
    </xf>
    <xf numFmtId="0" fontId="24" fillId="0" borderId="5" xfId="29" applyFont="1" applyBorder="1"/>
    <xf numFmtId="0" fontId="24" fillId="0" borderId="5" xfId="29" applyFont="1" applyBorder="1" applyAlignment="1">
      <alignment horizontal="center"/>
    </xf>
    <xf numFmtId="10" fontId="13" fillId="4" borderId="5" xfId="30" applyNumberFormat="1" applyFont="1" applyFill="1" applyBorder="1" applyAlignment="1">
      <alignment horizontal="center"/>
    </xf>
    <xf numFmtId="10" fontId="13" fillId="0" borderId="5" xfId="28" applyNumberFormat="1" applyFont="1" applyBorder="1" applyAlignment="1">
      <alignment horizontal="center"/>
    </xf>
    <xf numFmtId="167" fontId="25" fillId="0" borderId="0" xfId="0" applyNumberFormat="1" applyFont="1" applyAlignment="1">
      <alignment horizontal="left"/>
    </xf>
    <xf numFmtId="10" fontId="13" fillId="0" borderId="9" xfId="28" applyNumberFormat="1" applyFont="1" applyFill="1" applyBorder="1" applyAlignment="1">
      <alignment horizontal="center"/>
    </xf>
    <xf numFmtId="0" fontId="24" fillId="5" borderId="7" xfId="0" applyFont="1" applyFill="1" applyBorder="1"/>
    <xf numFmtId="0" fontId="26" fillId="5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/>
    <xf numFmtId="0" fontId="26" fillId="0" borderId="18" xfId="0" applyFont="1" applyBorder="1"/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0" xfId="0" applyFont="1"/>
    <xf numFmtId="0" fontId="26" fillId="0" borderId="21" xfId="0" applyFont="1" applyBorder="1"/>
    <xf numFmtId="0" fontId="26" fillId="0" borderId="0" xfId="0" applyFont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23" xfId="0" applyFont="1" applyBorder="1"/>
    <xf numFmtId="0" fontId="26" fillId="0" borderId="24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24" fillId="0" borderId="0" xfId="0" applyFont="1"/>
    <xf numFmtId="0" fontId="26" fillId="0" borderId="0" xfId="31" applyFont="1"/>
    <xf numFmtId="49" fontId="0" fillId="0" borderId="0" xfId="27" applyNumberFormat="1" applyFont="1"/>
    <xf numFmtId="4" fontId="3" fillId="4" borderId="5" xfId="8" applyNumberFormat="1" applyFont="1" applyFill="1" applyBorder="1" applyAlignment="1">
      <alignment horizontal="center"/>
    </xf>
    <xf numFmtId="0" fontId="0" fillId="4" borderId="0" xfId="0" applyFill="1"/>
    <xf numFmtId="0" fontId="9" fillId="4" borderId="5" xfId="8" applyFont="1" applyFill="1" applyBorder="1" applyAlignment="1">
      <alignment horizontal="center" vertical="center"/>
    </xf>
    <xf numFmtId="0" fontId="9" fillId="4" borderId="5" xfId="8" applyFont="1" applyFill="1" applyBorder="1" applyAlignment="1">
      <alignment horizontal="center"/>
    </xf>
    <xf numFmtId="4" fontId="9" fillId="4" borderId="5" xfId="8" applyNumberFormat="1" applyFont="1" applyFill="1" applyBorder="1" applyAlignment="1">
      <alignment horizontal="center"/>
    </xf>
    <xf numFmtId="0" fontId="3" fillId="0" borderId="5" xfId="8" applyFont="1" applyFill="1" applyBorder="1" applyAlignment="1">
      <alignment horizontal="center" vertical="center"/>
    </xf>
    <xf numFmtId="0" fontId="33" fillId="0" borderId="5" xfId="0" applyFont="1" applyFill="1" applyBorder="1"/>
    <xf numFmtId="0" fontId="33" fillId="0" borderId="5" xfId="0" applyFont="1" applyFill="1" applyBorder="1" applyAlignment="1">
      <alignment horizontal="center" vertical="center"/>
    </xf>
    <xf numFmtId="0" fontId="9" fillId="4" borderId="5" xfId="8" applyFont="1" applyFill="1" applyBorder="1" applyAlignment="1">
      <alignment horizontal="left" vertical="center"/>
    </xf>
    <xf numFmtId="0" fontId="34" fillId="4" borderId="0" xfId="0" applyFont="1" applyFill="1"/>
    <xf numFmtId="44" fontId="33" fillId="4" borderId="0" xfId="27" applyFont="1" applyFill="1"/>
    <xf numFmtId="0" fontId="33" fillId="4" borderId="0" xfId="0" applyFont="1" applyFill="1"/>
    <xf numFmtId="0" fontId="33" fillId="4" borderId="0" xfId="0" applyFont="1" applyFill="1" applyAlignment="1">
      <alignment horizontal="center" vertical="center"/>
    </xf>
    <xf numFmtId="0" fontId="35" fillId="0" borderId="5" xfId="0" applyFont="1" applyBorder="1" applyAlignment="1">
      <alignment horizontal="center" vertical="center" wrapText="1"/>
    </xf>
    <xf numFmtId="168" fontId="36" fillId="0" borderId="5" xfId="0" applyNumberFormat="1" applyFont="1" applyBorder="1" applyAlignment="1">
      <alignment horizontal="center" vertical="center" shrinkToFit="1"/>
    </xf>
    <xf numFmtId="4" fontId="3" fillId="2" borderId="5" xfId="8" applyNumberFormat="1" applyFont="1" applyFill="1" applyBorder="1" applyAlignment="1">
      <alignment horizontal="center" vertical="center"/>
    </xf>
    <xf numFmtId="0" fontId="37" fillId="0" borderId="5" xfId="0" applyFont="1" applyBorder="1" applyAlignment="1">
      <alignment horizontal="left" vertical="center" wrapText="1"/>
    </xf>
    <xf numFmtId="0" fontId="38" fillId="0" borderId="5" xfId="0" applyFont="1" applyBorder="1" applyAlignment="1">
      <alignment horizontal="left"/>
    </xf>
    <xf numFmtId="0" fontId="38" fillId="0" borderId="5" xfId="0" applyFont="1" applyBorder="1" applyAlignment="1">
      <alignment horizontal="left" vertical="center"/>
    </xf>
    <xf numFmtId="0" fontId="38" fillId="0" borderId="5" xfId="0" applyFont="1" applyBorder="1" applyAlignment="1">
      <alignment horizontal="center" vertical="center"/>
    </xf>
    <xf numFmtId="0" fontId="38" fillId="0" borderId="5" xfId="0" applyNumberFormat="1" applyFont="1" applyBorder="1" applyAlignment="1">
      <alignment horizontal="left" vertical="center"/>
    </xf>
    <xf numFmtId="4" fontId="38" fillId="0" borderId="5" xfId="4" applyNumberFormat="1" applyFont="1" applyFill="1" applyBorder="1" applyAlignment="1">
      <alignment horizontal="center" vertical="center"/>
    </xf>
    <xf numFmtId="0" fontId="38" fillId="0" borderId="5" xfId="0" applyFont="1" applyBorder="1" applyAlignment="1">
      <alignment horizontal="right" vertical="center"/>
    </xf>
    <xf numFmtId="0" fontId="38" fillId="0" borderId="5" xfId="0" applyFont="1" applyBorder="1" applyAlignment="1">
      <alignment horizontal="left" vertical="center" wrapText="1"/>
    </xf>
    <xf numFmtId="0" fontId="38" fillId="0" borderId="5" xfId="4" applyFont="1" applyFill="1" applyBorder="1" applyAlignment="1">
      <alignment horizontal="center" vertical="center" wrapText="1"/>
    </xf>
    <xf numFmtId="0" fontId="39" fillId="0" borderId="5" xfId="4" applyFont="1" applyFill="1" applyBorder="1" applyAlignment="1">
      <alignment horizontal="center" vertical="center" wrapText="1"/>
    </xf>
    <xf numFmtId="0" fontId="39" fillId="0" borderId="5" xfId="4" applyFont="1" applyFill="1" applyBorder="1" applyAlignment="1">
      <alignment vertical="center" wrapText="1"/>
    </xf>
    <xf numFmtId="4" fontId="39" fillId="0" borderId="5" xfId="4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left" vertical="center" wrapText="1"/>
    </xf>
    <xf numFmtId="4" fontId="3" fillId="2" borderId="5" xfId="8" applyNumberFormat="1" applyFont="1" applyFill="1" applyBorder="1" applyAlignment="1">
      <alignment horizontal="center"/>
    </xf>
    <xf numFmtId="0" fontId="37" fillId="2" borderId="5" xfId="0" applyFont="1" applyFill="1" applyBorder="1" applyAlignment="1">
      <alignment horizontal="left" vertical="center" wrapText="1"/>
    </xf>
    <xf numFmtId="0" fontId="3" fillId="2" borderId="5" xfId="8" applyFont="1" applyFill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wrapText="1"/>
    </xf>
    <xf numFmtId="0" fontId="9" fillId="0" borderId="5" xfId="8" applyFont="1" applyFill="1" applyBorder="1" applyAlignment="1">
      <alignment horizontal="left" vertical="center" wrapText="1"/>
    </xf>
    <xf numFmtId="0" fontId="3" fillId="0" borderId="5" xfId="32" applyFont="1" applyBorder="1" applyAlignment="1">
      <alignment horizontal="center" vertical="center"/>
    </xf>
    <xf numFmtId="0" fontId="3" fillId="0" borderId="5" xfId="32" applyFont="1" applyFill="1" applyBorder="1" applyAlignment="1">
      <alignment horizontal="center" vertical="center"/>
    </xf>
    <xf numFmtId="4" fontId="3" fillId="0" borderId="5" xfId="32" applyNumberFormat="1" applyFont="1" applyFill="1" applyBorder="1" applyAlignment="1">
      <alignment horizontal="center" vertical="center"/>
    </xf>
    <xf numFmtId="0" fontId="40" fillId="0" borderId="5" xfId="0" applyFont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left" vertical="center" wrapText="1"/>
    </xf>
    <xf numFmtId="0" fontId="40" fillId="0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32" applyFont="1" applyBorder="1" applyAlignment="1">
      <alignment horizontal="center" vertical="center" wrapText="1"/>
    </xf>
    <xf numFmtId="0" fontId="3" fillId="0" borderId="5" xfId="32" applyFont="1" applyFill="1" applyBorder="1" applyAlignment="1">
      <alignment horizontal="right" vertical="center" wrapText="1"/>
    </xf>
    <xf numFmtId="0" fontId="9" fillId="3" borderId="5" xfId="40" applyFont="1" applyFill="1" applyBorder="1" applyAlignment="1">
      <alignment horizontal="center" vertical="center" wrapText="1"/>
    </xf>
    <xf numFmtId="0" fontId="39" fillId="0" borderId="5" xfId="40" applyFont="1" applyFill="1" applyBorder="1" applyAlignment="1">
      <alignment horizontal="center" vertical="center" wrapText="1"/>
    </xf>
    <xf numFmtId="0" fontId="39" fillId="0" borderId="5" xfId="40" applyFont="1" applyFill="1" applyBorder="1" applyAlignment="1">
      <alignment vertical="center" wrapText="1"/>
    </xf>
    <xf numFmtId="4" fontId="38" fillId="0" borderId="5" xfId="40" applyNumberFormat="1" applyFont="1" applyFill="1" applyBorder="1" applyAlignment="1">
      <alignment horizontal="center" vertical="center"/>
    </xf>
    <xf numFmtId="4" fontId="39" fillId="0" borderId="5" xfId="40" applyNumberFormat="1" applyFont="1" applyFill="1" applyBorder="1" applyAlignment="1">
      <alignment horizontal="center" vertical="center"/>
    </xf>
    <xf numFmtId="0" fontId="9" fillId="6" borderId="5" xfId="8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/>
    </xf>
    <xf numFmtId="0" fontId="40" fillId="0" borderId="5" xfId="0" applyFont="1" applyBorder="1" applyAlignment="1">
      <alignment horizontal="left" vertical="center" wrapText="1"/>
    </xf>
    <xf numFmtId="2" fontId="9" fillId="0" borderId="5" xfId="32" applyNumberFormat="1" applyFont="1" applyFill="1" applyBorder="1" applyAlignment="1">
      <alignment horizontal="right" vertical="center"/>
    </xf>
    <xf numFmtId="4" fontId="9" fillId="6" borderId="5" xfId="32" applyNumberFormat="1" applyFont="1" applyFill="1" applyBorder="1" applyAlignment="1">
      <alignment horizontal="right" vertical="center"/>
    </xf>
    <xf numFmtId="2" fontId="3" fillId="0" borderId="5" xfId="8" applyNumberFormat="1" applyFont="1" applyFill="1" applyBorder="1" applyAlignment="1">
      <alignment horizontal="right" vertical="center" wrapText="1"/>
    </xf>
    <xf numFmtId="0" fontId="43" fillId="0" borderId="0" xfId="0" applyFont="1"/>
    <xf numFmtId="0" fontId="45" fillId="0" borderId="0" xfId="0" applyFont="1"/>
    <xf numFmtId="0" fontId="3" fillId="0" borderId="0" xfId="0" applyFont="1"/>
    <xf numFmtId="165" fontId="9" fillId="2" borderId="34" xfId="104" applyFont="1" applyFill="1" applyBorder="1" applyAlignment="1">
      <alignment horizontal="center" vertical="distributed" wrapText="1"/>
    </xf>
    <xf numFmtId="168" fontId="3" fillId="2" borderId="34" xfId="104" applyNumberFormat="1" applyFont="1" applyFill="1" applyBorder="1" applyAlignment="1">
      <alignment horizontal="justify" vertical="distributed" wrapText="1"/>
    </xf>
    <xf numFmtId="165" fontId="9" fillId="2" borderId="34" xfId="104" applyFont="1" applyFill="1" applyBorder="1" applyAlignment="1">
      <alignment horizontal="justify" vertical="distributed" wrapText="1"/>
    </xf>
    <xf numFmtId="165" fontId="3" fillId="2" borderId="34" xfId="104" applyFont="1" applyFill="1" applyBorder="1" applyAlignment="1">
      <alignment horizontal="justify" vertical="distributed" wrapText="1"/>
    </xf>
    <xf numFmtId="168" fontId="9" fillId="6" borderId="34" xfId="104" applyNumberFormat="1" applyFont="1" applyFill="1" applyBorder="1" applyAlignment="1">
      <alignment horizontal="center" vertical="distributed" wrapText="1"/>
    </xf>
    <xf numFmtId="165" fontId="9" fillId="6" borderId="34" xfId="104" applyFont="1" applyFill="1" applyBorder="1" applyAlignment="1">
      <alignment horizontal="justify" vertical="distributed" wrapText="1"/>
    </xf>
    <xf numFmtId="165" fontId="9" fillId="6" borderId="34" xfId="104" applyFont="1" applyFill="1" applyBorder="1" applyAlignment="1">
      <alignment horizontal="center" vertical="distributed" wrapText="1"/>
    </xf>
    <xf numFmtId="168" fontId="3" fillId="2" borderId="34" xfId="73" applyNumberFormat="1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distributed"/>
    </xf>
    <xf numFmtId="173" fontId="3" fillId="0" borderId="34" xfId="73" applyNumberFormat="1" applyFont="1" applyFill="1" applyBorder="1" applyAlignment="1">
      <alignment horizontal="justify" vertical="distributed" wrapText="1"/>
    </xf>
    <xf numFmtId="172" fontId="3" fillId="0" borderId="34" xfId="0" applyNumberFormat="1" applyFont="1" applyBorder="1" applyAlignment="1">
      <alignment horizontal="right" vertical="center"/>
    </xf>
    <xf numFmtId="49" fontId="3" fillId="2" borderId="34" xfId="104" applyNumberFormat="1" applyFont="1" applyFill="1" applyBorder="1" applyAlignment="1">
      <alignment horizontal="center" vertical="center" wrapText="1"/>
    </xf>
    <xf numFmtId="0" fontId="3" fillId="0" borderId="34" xfId="0" applyFont="1" applyBorder="1"/>
    <xf numFmtId="165" fontId="9" fillId="6" borderId="34" xfId="104" applyFont="1" applyFill="1" applyBorder="1" applyAlignment="1">
      <alignment horizontal="right" vertical="distributed" wrapText="1"/>
    </xf>
    <xf numFmtId="165" fontId="9" fillId="10" borderId="34" xfId="104" applyFont="1" applyFill="1" applyBorder="1" applyAlignment="1">
      <alignment horizontal="justify" vertical="distributed" wrapText="1"/>
    </xf>
    <xf numFmtId="165" fontId="43" fillId="0" borderId="0" xfId="0" applyNumberFormat="1" applyFont="1"/>
    <xf numFmtId="0" fontId="37" fillId="0" borderId="5" xfId="0" applyFont="1" applyBorder="1" applyAlignment="1">
      <alignment horizontal="justify" vertical="justify" wrapText="1"/>
    </xf>
    <xf numFmtId="166" fontId="0" fillId="4" borderId="0" xfId="0" applyNumberFormat="1" applyFill="1"/>
    <xf numFmtId="168" fontId="36" fillId="0" borderId="5" xfId="0" applyNumberFormat="1" applyFont="1" applyFill="1" applyBorder="1" applyAlignment="1">
      <alignment horizontal="center" vertical="center" shrinkToFit="1"/>
    </xf>
    <xf numFmtId="4" fontId="3" fillId="0" borderId="5" xfId="32" applyNumberFormat="1" applyFont="1" applyBorder="1" applyAlignment="1">
      <alignment horizontal="center" vertical="center"/>
    </xf>
    <xf numFmtId="2" fontId="3" fillId="0" borderId="5" xfId="32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center" vertical="center"/>
    </xf>
    <xf numFmtId="9" fontId="43" fillId="0" borderId="0" xfId="28" applyFont="1" applyFill="1" applyBorder="1" applyAlignment="1">
      <alignment horizontal="left"/>
    </xf>
    <xf numFmtId="0" fontId="9" fillId="0" borderId="0" xfId="32" applyFont="1" applyAlignment="1">
      <alignment horizontal="center" vertical="center"/>
    </xf>
    <xf numFmtId="0" fontId="7" fillId="0" borderId="0" xfId="32" applyFont="1" applyAlignment="1">
      <alignment horizontal="left" vertical="center"/>
    </xf>
    <xf numFmtId="9" fontId="16" fillId="0" borderId="0" xfId="28" applyFont="1" applyFill="1" applyBorder="1" applyAlignment="1">
      <alignment horizontal="left"/>
    </xf>
    <xf numFmtId="0" fontId="9" fillId="0" borderId="47" xfId="32" applyFont="1" applyBorder="1" applyAlignment="1">
      <alignment horizontal="center" vertical="center"/>
    </xf>
    <xf numFmtId="0" fontId="9" fillId="0" borderId="47" xfId="32" applyFont="1" applyBorder="1" applyAlignment="1">
      <alignment horizontal="center" vertical="top" wrapText="1"/>
    </xf>
    <xf numFmtId="4" fontId="3" fillId="0" borderId="47" xfId="32" applyNumberFormat="1" applyFont="1" applyBorder="1" applyAlignment="1">
      <alignment horizontal="center" vertical="center"/>
    </xf>
    <xf numFmtId="0" fontId="9" fillId="6" borderId="27" xfId="32" applyFont="1" applyFill="1" applyBorder="1" applyAlignment="1">
      <alignment horizontal="center" vertical="center"/>
    </xf>
    <xf numFmtId="4" fontId="9" fillId="6" borderId="48" xfId="32" applyNumberFormat="1" applyFont="1" applyFill="1" applyBorder="1" applyAlignment="1">
      <alignment horizontal="center" vertical="center" wrapText="1"/>
    </xf>
    <xf numFmtId="9" fontId="9" fillId="6" borderId="48" xfId="28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/>
    </xf>
    <xf numFmtId="0" fontId="9" fillId="4" borderId="27" xfId="0" applyFont="1" applyFill="1" applyBorder="1" applyAlignment="1">
      <alignment horizontal="center"/>
    </xf>
    <xf numFmtId="0" fontId="3" fillId="0" borderId="27" xfId="32" applyFont="1" applyBorder="1" applyAlignment="1">
      <alignment horizontal="center" vertical="center"/>
    </xf>
    <xf numFmtId="0" fontId="3" fillId="0" borderId="27" xfId="32" applyFont="1" applyBorder="1" applyAlignment="1">
      <alignment horizontal="justify" vertical="justify" wrapText="1"/>
    </xf>
    <xf numFmtId="4" fontId="3" fillId="0" borderId="48" xfId="32" applyNumberFormat="1" applyFont="1" applyBorder="1" applyAlignment="1">
      <alignment horizontal="center" vertical="center"/>
    </xf>
    <xf numFmtId="174" fontId="3" fillId="0" borderId="48" xfId="28" applyNumberFormat="1" applyFont="1" applyFill="1" applyBorder="1" applyAlignment="1">
      <alignment horizontal="center" vertical="center"/>
    </xf>
    <xf numFmtId="0" fontId="3" fillId="0" borderId="27" xfId="0" applyFont="1" applyBorder="1"/>
    <xf numFmtId="0" fontId="2" fillId="11" borderId="0" xfId="0" applyFont="1" applyFill="1"/>
    <xf numFmtId="0" fontId="2" fillId="11" borderId="27" xfId="0" applyFont="1" applyFill="1" applyBorder="1"/>
    <xf numFmtId="43" fontId="13" fillId="6" borderId="5" xfId="105" applyFont="1" applyFill="1" applyBorder="1" applyAlignment="1">
      <alignment horizontal="center" vertical="center"/>
    </xf>
    <xf numFmtId="9" fontId="13" fillId="6" borderId="5" xfId="28" applyFont="1" applyFill="1" applyBorder="1" applyAlignment="1">
      <alignment horizontal="center" vertical="center"/>
    </xf>
    <xf numFmtId="0" fontId="28" fillId="6" borderId="0" xfId="0" applyFont="1" applyFill="1"/>
    <xf numFmtId="0" fontId="28" fillId="6" borderId="27" xfId="0" applyFont="1" applyFill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justify" vertical="justify"/>
    </xf>
    <xf numFmtId="43" fontId="3" fillId="0" borderId="0" xfId="105" applyFont="1" applyFill="1" applyBorder="1" applyAlignment="1">
      <alignment horizontal="center" vertical="center"/>
    </xf>
    <xf numFmtId="0" fontId="49" fillId="6" borderId="27" xfId="32" applyFont="1" applyFill="1" applyBorder="1" applyAlignment="1">
      <alignment horizontal="center" vertical="center"/>
    </xf>
    <xf numFmtId="0" fontId="49" fillId="12" borderId="27" xfId="32" applyFont="1" applyFill="1" applyBorder="1" applyAlignment="1">
      <alignment horizontal="justify" vertical="justify"/>
    </xf>
    <xf numFmtId="4" fontId="49" fillId="6" borderId="48" xfId="32" applyNumberFormat="1" applyFont="1" applyFill="1" applyBorder="1" applyAlignment="1">
      <alignment horizontal="center" vertical="center"/>
    </xf>
    <xf numFmtId="9" fontId="49" fillId="6" borderId="0" xfId="28" applyFont="1" applyFill="1" applyBorder="1" applyAlignment="1">
      <alignment horizontal="left"/>
    </xf>
    <xf numFmtId="0" fontId="49" fillId="6" borderId="0" xfId="0" applyFont="1" applyFill="1"/>
    <xf numFmtId="0" fontId="49" fillId="6" borderId="27" xfId="0" applyFont="1" applyFill="1" applyBorder="1"/>
    <xf numFmtId="0" fontId="15" fillId="6" borderId="0" xfId="0" applyFont="1" applyFill="1"/>
    <xf numFmtId="0" fontId="9" fillId="0" borderId="0" xfId="32" applyFont="1" applyAlignment="1">
      <alignment horizontal="center"/>
    </xf>
    <xf numFmtId="43" fontId="15" fillId="0" borderId="0" xfId="105" applyFont="1" applyFill="1" applyBorder="1"/>
    <xf numFmtId="0" fontId="15" fillId="0" borderId="0" xfId="0" applyFont="1"/>
    <xf numFmtId="0" fontId="8" fillId="0" borderId="0" xfId="32" applyFont="1" applyAlignment="1">
      <alignment horizontal="left"/>
    </xf>
    <xf numFmtId="0" fontId="7" fillId="0" borderId="0" xfId="32" applyFont="1" applyAlignment="1">
      <alignment horizontal="left"/>
    </xf>
    <xf numFmtId="0" fontId="7" fillId="0" borderId="0" xfId="32" applyFont="1" applyAlignment="1">
      <alignment horizontal="center"/>
    </xf>
    <xf numFmtId="0" fontId="7" fillId="0" borderId="0" xfId="32" applyFont="1"/>
    <xf numFmtId="0" fontId="9" fillId="0" borderId="0" xfId="32" applyFont="1" applyAlignment="1">
      <alignment horizontal="center" vertical="top"/>
    </xf>
    <xf numFmtId="0" fontId="3" fillId="0" borderId="0" xfId="32" applyFont="1" applyAlignment="1">
      <alignment horizontal="center"/>
    </xf>
    <xf numFmtId="4" fontId="3" fillId="0" borderId="0" xfId="32" applyNumberFormat="1" applyFont="1" applyAlignment="1">
      <alignment horizontal="center"/>
    </xf>
    <xf numFmtId="0" fontId="50" fillId="13" borderId="0" xfId="0" applyFont="1" applyFill="1" applyAlignment="1">
      <alignment horizontal="center"/>
    </xf>
    <xf numFmtId="4" fontId="9" fillId="13" borderId="52" xfId="32" applyNumberFormat="1" applyFont="1" applyFill="1" applyBorder="1" applyAlignment="1">
      <alignment horizontal="center"/>
    </xf>
    <xf numFmtId="0" fontId="9" fillId="0" borderId="27" xfId="32" applyFont="1" applyBorder="1" applyAlignment="1">
      <alignment horizontal="center" vertical="top"/>
    </xf>
    <xf numFmtId="0" fontId="9" fillId="0" borderId="27" xfId="32" applyFont="1" applyBorder="1" applyAlignment="1">
      <alignment horizontal="center"/>
    </xf>
    <xf numFmtId="4" fontId="9" fillId="0" borderId="27" xfId="32" applyNumberFormat="1" applyFont="1" applyBorder="1" applyAlignment="1">
      <alignment horizontal="center"/>
    </xf>
    <xf numFmtId="43" fontId="50" fillId="0" borderId="27" xfId="105" applyFont="1" applyFill="1" applyBorder="1" applyAlignment="1">
      <alignment horizontal="center"/>
    </xf>
    <xf numFmtId="0" fontId="50" fillId="0" borderId="27" xfId="0" applyFont="1" applyBorder="1" applyAlignment="1">
      <alignment horizontal="center"/>
    </xf>
    <xf numFmtId="0" fontId="50" fillId="0" borderId="0" xfId="0" applyFont="1" applyAlignment="1">
      <alignment horizontal="center"/>
    </xf>
    <xf numFmtId="0" fontId="8" fillId="6" borderId="27" xfId="32" applyFont="1" applyFill="1" applyBorder="1" applyAlignment="1">
      <alignment horizontal="center" vertical="top"/>
    </xf>
    <xf numFmtId="0" fontId="8" fillId="6" borderId="27" xfId="32" applyFont="1" applyFill="1" applyBorder="1" applyAlignment="1">
      <alignment horizontal="left" vertical="top"/>
    </xf>
    <xf numFmtId="4" fontId="8" fillId="6" borderId="27" xfId="32" applyNumberFormat="1" applyFont="1" applyFill="1" applyBorder="1" applyAlignment="1">
      <alignment horizontal="center"/>
    </xf>
    <xf numFmtId="43" fontId="15" fillId="6" borderId="27" xfId="105" applyFont="1" applyFill="1" applyBorder="1"/>
    <xf numFmtId="0" fontId="8" fillId="0" borderId="27" xfId="32" applyFont="1" applyBorder="1" applyAlignment="1">
      <alignment horizontal="center" vertical="top"/>
    </xf>
    <xf numFmtId="0" fontId="8" fillId="0" borderId="27" xfId="32" applyFont="1" applyBorder="1" applyAlignment="1">
      <alignment horizontal="left" vertical="top"/>
    </xf>
    <xf numFmtId="4" fontId="8" fillId="0" borderId="27" xfId="32" applyNumberFormat="1" applyFont="1" applyBorder="1" applyAlignment="1">
      <alignment horizontal="center"/>
    </xf>
    <xf numFmtId="10" fontId="51" fillId="6" borderId="27" xfId="28" applyNumberFormat="1" applyFont="1" applyFill="1" applyBorder="1" applyAlignment="1">
      <alignment horizontal="center"/>
    </xf>
    <xf numFmtId="43" fontId="15" fillId="0" borderId="27" xfId="105" applyFont="1" applyFill="1" applyBorder="1"/>
    <xf numFmtId="0" fontId="15" fillId="0" borderId="27" xfId="0" applyFont="1" applyBorder="1"/>
    <xf numFmtId="10" fontId="51" fillId="0" borderId="27" xfId="28" applyNumberFormat="1" applyFont="1" applyFill="1" applyBorder="1" applyAlignment="1">
      <alignment horizontal="center"/>
    </xf>
    <xf numFmtId="0" fontId="50" fillId="6" borderId="0" xfId="0" applyFont="1" applyFill="1"/>
    <xf numFmtId="0" fontId="50" fillId="0" borderId="0" xfId="0" applyFont="1"/>
    <xf numFmtId="43" fontId="50" fillId="0" borderId="27" xfId="105" applyFont="1" applyFill="1" applyBorder="1"/>
    <xf numFmtId="0" fontId="50" fillId="0" borderId="27" xfId="0" applyFont="1" applyBorder="1"/>
    <xf numFmtId="0" fontId="9" fillId="0" borderId="53" xfId="32" applyFont="1" applyBorder="1" applyAlignment="1">
      <alignment horizontal="center" vertical="top"/>
    </xf>
    <xf numFmtId="0" fontId="9" fillId="0" borderId="54" xfId="32" applyFont="1" applyBorder="1" applyAlignment="1">
      <alignment horizontal="center" vertical="top"/>
    </xf>
    <xf numFmtId="4" fontId="9" fillId="0" borderId="54" xfId="32" applyNumberFormat="1" applyFont="1" applyBorder="1" applyAlignment="1">
      <alignment horizontal="center"/>
    </xf>
    <xf numFmtId="4" fontId="9" fillId="0" borderId="55" xfId="32" applyNumberFormat="1" applyFont="1" applyBorder="1" applyAlignment="1">
      <alignment horizontal="center"/>
    </xf>
    <xf numFmtId="43" fontId="50" fillId="0" borderId="54" xfId="105" applyFont="1" applyFill="1" applyBorder="1"/>
    <xf numFmtId="0" fontId="50" fillId="0" borderId="54" xfId="0" applyFont="1" applyBorder="1"/>
    <xf numFmtId="0" fontId="50" fillId="13" borderId="0" xfId="0" applyFont="1" applyFill="1"/>
    <xf numFmtId="43" fontId="15" fillId="0" borderId="13" xfId="105" applyFont="1" applyFill="1" applyBorder="1"/>
    <xf numFmtId="43" fontId="15" fillId="0" borderId="5" xfId="105" applyFont="1" applyFill="1" applyBorder="1" applyAlignment="1">
      <alignment horizontal="right"/>
    </xf>
    <xf numFmtId="43" fontId="15" fillId="0" borderId="26" xfId="105" applyFont="1" applyFill="1" applyBorder="1" applyAlignment="1">
      <alignment horizontal="center"/>
    </xf>
    <xf numFmtId="43" fontId="15" fillId="0" borderId="5" xfId="105" applyFont="1" applyFill="1" applyBorder="1"/>
    <xf numFmtId="174" fontId="15" fillId="0" borderId="5" xfId="28" applyNumberFormat="1" applyFont="1" applyFill="1" applyBorder="1"/>
    <xf numFmtId="4" fontId="8" fillId="6" borderId="27" xfId="32" applyNumberFormat="1" applyFont="1" applyFill="1" applyBorder="1" applyAlignment="1">
      <alignment horizontal="left" vertical="top"/>
    </xf>
    <xf numFmtId="0" fontId="3" fillId="0" borderId="0" xfId="32" applyFont="1" applyBorder="1" applyAlignment="1">
      <alignment horizontal="center" vertical="center" wrapText="1"/>
    </xf>
    <xf numFmtId="0" fontId="8" fillId="2" borderId="5" xfId="40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 wrapText="1"/>
    </xf>
    <xf numFmtId="0" fontId="9" fillId="4" borderId="5" xfId="4" applyFont="1" applyFill="1" applyBorder="1" applyAlignment="1">
      <alignment horizontal="left" vertical="center" wrapText="1"/>
    </xf>
    <xf numFmtId="0" fontId="52" fillId="2" borderId="5" xfId="0" applyFont="1" applyFill="1" applyBorder="1" applyAlignment="1">
      <alignment horizontal="center"/>
    </xf>
    <xf numFmtId="0" fontId="52" fillId="6" borderId="5" xfId="0" applyFont="1" applyFill="1" applyBorder="1" applyAlignment="1">
      <alignment horizontal="center"/>
    </xf>
    <xf numFmtId="9" fontId="19" fillId="6" borderId="5" xfId="28" applyFont="1" applyFill="1" applyBorder="1" applyAlignment="1">
      <alignment horizontal="center"/>
    </xf>
    <xf numFmtId="2" fontId="19" fillId="6" borderId="5" xfId="0" applyNumberFormat="1" applyFont="1" applyFill="1" applyBorder="1" applyAlignment="1">
      <alignment horizontal="center"/>
    </xf>
    <xf numFmtId="0" fontId="19" fillId="6" borderId="5" xfId="0" applyFont="1" applyFill="1" applyBorder="1" applyAlignment="1">
      <alignment horizontal="center" vertical="center"/>
    </xf>
    <xf numFmtId="0" fontId="19" fillId="6" borderId="5" xfId="0" applyFont="1" applyFill="1" applyBorder="1"/>
    <xf numFmtId="4" fontId="3" fillId="6" borderId="5" xfId="8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2" fontId="19" fillId="0" borderId="5" xfId="0" applyNumberFormat="1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 vertical="center"/>
    </xf>
    <xf numFmtId="4" fontId="3" fillId="0" borderId="5" xfId="8" applyNumberFormat="1" applyFont="1" applyFill="1" applyBorder="1" applyAlignment="1">
      <alignment horizontal="right"/>
    </xf>
    <xf numFmtId="0" fontId="19" fillId="0" borderId="5" xfId="0" applyFont="1" applyFill="1" applyBorder="1"/>
    <xf numFmtId="2" fontId="19" fillId="0" borderId="5" xfId="0" applyNumberFormat="1" applyFont="1" applyFill="1" applyBorder="1" applyAlignment="1">
      <alignment horizontal="center" vertical="center"/>
    </xf>
    <xf numFmtId="4" fontId="3" fillId="0" borderId="5" xfId="32" applyNumberFormat="1" applyFont="1" applyFill="1" applyBorder="1" applyAlignment="1">
      <alignment horizontal="right"/>
    </xf>
    <xf numFmtId="9" fontId="19" fillId="0" borderId="5" xfId="28" applyFont="1" applyFill="1" applyBorder="1" applyAlignment="1">
      <alignment horizontal="center"/>
    </xf>
    <xf numFmtId="9" fontId="19" fillId="2" borderId="5" xfId="28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52" fillId="0" borderId="5" xfId="0" applyFont="1" applyFill="1" applyBorder="1"/>
    <xf numFmtId="2" fontId="19" fillId="0" borderId="5" xfId="0" applyNumberFormat="1" applyFont="1" applyBorder="1" applyAlignment="1">
      <alignment horizontal="center" vertical="center"/>
    </xf>
    <xf numFmtId="2" fontId="19" fillId="2" borderId="5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/>
    </xf>
    <xf numFmtId="0" fontId="19" fillId="2" borderId="5" xfId="28" applyNumberFormat="1" applyFont="1" applyFill="1" applyBorder="1" applyAlignment="1">
      <alignment horizontal="center"/>
    </xf>
    <xf numFmtId="4" fontId="3" fillId="0" borderId="5" xfId="32" applyNumberFormat="1" applyFont="1" applyBorder="1" applyAlignment="1">
      <alignment horizontal="right"/>
    </xf>
    <xf numFmtId="0" fontId="8" fillId="2" borderId="5" xfId="4" applyFont="1" applyFill="1" applyBorder="1" applyAlignment="1">
      <alignment horizontal="center" vertical="center" wrapText="1"/>
    </xf>
    <xf numFmtId="0" fontId="7" fillId="14" borderId="27" xfId="32" applyFont="1" applyFill="1" applyBorder="1" applyAlignment="1">
      <alignment horizontal="center" vertical="center"/>
    </xf>
    <xf numFmtId="0" fontId="7" fillId="14" borderId="27" xfId="32" applyFont="1" applyFill="1" applyBorder="1" applyAlignment="1">
      <alignment horizontal="left" vertical="justify"/>
    </xf>
    <xf numFmtId="4" fontId="7" fillId="14" borderId="48" xfId="32" applyNumberFormat="1" applyFont="1" applyFill="1" applyBorder="1" applyAlignment="1">
      <alignment horizontal="center" vertical="center"/>
    </xf>
    <xf numFmtId="174" fontId="7" fillId="14" borderId="48" xfId="28" applyNumberFormat="1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 wrapText="1"/>
    </xf>
    <xf numFmtId="0" fontId="0" fillId="4" borderId="0" xfId="0" applyFill="1" applyBorder="1"/>
    <xf numFmtId="4" fontId="19" fillId="2" borderId="5" xfId="28" applyNumberFormat="1" applyFont="1" applyFill="1" applyBorder="1" applyAlignment="1">
      <alignment horizontal="center"/>
    </xf>
    <xf numFmtId="4" fontId="19" fillId="0" borderId="5" xfId="0" applyNumberFormat="1" applyFont="1" applyFill="1" applyBorder="1" applyAlignment="1">
      <alignment horizontal="center"/>
    </xf>
    <xf numFmtId="2" fontId="3" fillId="2" borderId="5" xfId="32" applyNumberFormat="1" applyFont="1" applyFill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" fontId="9" fillId="0" borderId="5" xfId="32" applyNumberFormat="1" applyFont="1" applyBorder="1" applyAlignment="1">
      <alignment horizontal="center" vertical="center"/>
    </xf>
    <xf numFmtId="2" fontId="3" fillId="0" borderId="5" xfId="32" applyNumberFormat="1" applyFont="1" applyFill="1" applyBorder="1" applyAlignment="1">
      <alignment horizontal="right" vertical="center" wrapText="1"/>
    </xf>
    <xf numFmtId="0" fontId="38" fillId="0" borderId="5" xfId="40" applyFont="1" applyFill="1" applyBorder="1" applyAlignment="1">
      <alignment horizontal="center" vertical="center" wrapText="1"/>
    </xf>
    <xf numFmtId="4" fontId="3" fillId="2" borderId="5" xfId="32" applyNumberFormat="1" applyFont="1" applyFill="1" applyBorder="1" applyAlignment="1">
      <alignment horizontal="center" vertical="center"/>
    </xf>
    <xf numFmtId="0" fontId="3" fillId="2" borderId="5" xfId="32" applyFont="1" applyFill="1" applyBorder="1" applyAlignment="1">
      <alignment horizontal="right" vertical="center" wrapText="1"/>
    </xf>
    <xf numFmtId="0" fontId="34" fillId="4" borderId="0" xfId="0" applyFont="1" applyFill="1" applyBorder="1"/>
    <xf numFmtId="44" fontId="33" fillId="4" borderId="0" xfId="27" applyFont="1" applyFill="1" applyBorder="1"/>
    <xf numFmtId="0" fontId="33" fillId="4" borderId="0" xfId="0" applyFont="1" applyFill="1" applyBorder="1"/>
    <xf numFmtId="172" fontId="3" fillId="0" borderId="34" xfId="73" applyNumberFormat="1" applyFont="1" applyFill="1" applyBorder="1" applyAlignment="1">
      <alignment horizontal="right" vertical="center"/>
    </xf>
    <xf numFmtId="168" fontId="36" fillId="2" borderId="5" xfId="0" applyNumberFormat="1" applyFont="1" applyFill="1" applyBorder="1" applyAlignment="1">
      <alignment horizontal="center" vertical="center" shrinkToFit="1"/>
    </xf>
    <xf numFmtId="0" fontId="8" fillId="2" borderId="5" xfId="40" applyFont="1" applyFill="1" applyBorder="1" applyAlignment="1">
      <alignment horizontal="center" vertical="center" wrapText="1"/>
    </xf>
    <xf numFmtId="0" fontId="8" fillId="6" borderId="27" xfId="32" applyFont="1" applyFill="1" applyBorder="1" applyAlignment="1">
      <alignment horizontal="center" vertical="top"/>
    </xf>
    <xf numFmtId="0" fontId="3" fillId="2" borderId="5" xfId="32" applyFont="1" applyFill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right" vertical="justify"/>
    </xf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19" fillId="0" borderId="5" xfId="0" applyFont="1" applyFill="1" applyBorder="1" applyAlignment="1">
      <alignment horizontal="right"/>
    </xf>
    <xf numFmtId="0" fontId="3" fillId="0" borderId="5" xfId="8" applyFont="1" applyFill="1" applyBorder="1" applyAlignment="1">
      <alignment horizontal="right" vertical="center" wrapText="1"/>
    </xf>
    <xf numFmtId="9" fontId="19" fillId="0" borderId="5" xfId="28" applyFont="1" applyFill="1" applyBorder="1" applyAlignment="1">
      <alignment horizontal="right"/>
    </xf>
    <xf numFmtId="2" fontId="19" fillId="0" borderId="5" xfId="0" applyNumberFormat="1" applyFont="1" applyFill="1" applyBorder="1" applyAlignment="1">
      <alignment horizontal="right"/>
    </xf>
    <xf numFmtId="0" fontId="19" fillId="0" borderId="5" xfId="0" applyFont="1" applyFill="1" applyBorder="1" applyAlignment="1">
      <alignment horizontal="right" vertical="center"/>
    </xf>
    <xf numFmtId="0" fontId="3" fillId="0" borderId="5" xfId="32" applyFont="1" applyBorder="1" applyAlignment="1">
      <alignment horizontal="justify" vertical="justify" wrapText="1"/>
    </xf>
    <xf numFmtId="0" fontId="19" fillId="0" borderId="5" xfId="0" applyFont="1" applyBorder="1" applyAlignment="1">
      <alignment horizontal="center" vertical="center"/>
    </xf>
    <xf numFmtId="0" fontId="19" fillId="0" borderId="5" xfId="0" applyFont="1" applyBorder="1"/>
    <xf numFmtId="0" fontId="39" fillId="0" borderId="5" xfId="40" applyFont="1" applyBorder="1" applyAlignment="1">
      <alignment horizontal="center" vertical="center" wrapText="1"/>
    </xf>
    <xf numFmtId="0" fontId="39" fillId="0" borderId="5" xfId="40" applyFont="1" applyBorder="1" applyAlignment="1">
      <alignment vertical="center" wrapText="1"/>
    </xf>
    <xf numFmtId="4" fontId="38" fillId="0" borderId="5" xfId="40" applyNumberFormat="1" applyFont="1" applyBorder="1" applyAlignment="1">
      <alignment horizontal="center" vertical="center"/>
    </xf>
    <xf numFmtId="4" fontId="39" fillId="0" borderId="5" xfId="40" applyNumberFormat="1" applyFont="1" applyBorder="1" applyAlignment="1">
      <alignment horizontal="center" vertical="center"/>
    </xf>
    <xf numFmtId="0" fontId="38" fillId="0" borderId="5" xfId="40" applyFont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justify" vertical="justify"/>
    </xf>
    <xf numFmtId="4" fontId="9" fillId="6" borderId="5" xfId="0" applyNumberFormat="1" applyFont="1" applyFill="1" applyBorder="1" applyAlignment="1">
      <alignment horizontal="center" vertical="center"/>
    </xf>
    <xf numFmtId="2" fontId="9" fillId="6" borderId="5" xfId="0" applyNumberFormat="1" applyFont="1" applyFill="1" applyBorder="1" applyAlignment="1">
      <alignment horizontal="right" vertical="center"/>
    </xf>
    <xf numFmtId="0" fontId="9" fillId="6" borderId="5" xfId="0" applyFont="1" applyFill="1" applyBorder="1"/>
    <xf numFmtId="0" fontId="9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/>
    </xf>
    <xf numFmtId="4" fontId="3" fillId="0" borderId="5" xfId="32" applyNumberFormat="1" applyFont="1" applyBorder="1" applyAlignment="1">
      <alignment vertical="center"/>
    </xf>
    <xf numFmtId="0" fontId="3" fillId="0" borderId="5" xfId="0" applyFont="1" applyBorder="1"/>
    <xf numFmtId="4" fontId="3" fillId="0" borderId="5" xfId="32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justify" vertical="justify"/>
    </xf>
    <xf numFmtId="2" fontId="9" fillId="0" borderId="5" xfId="32" applyNumberFormat="1" applyFont="1" applyBorder="1" applyAlignment="1">
      <alignment horizontal="right" vertical="center"/>
    </xf>
    <xf numFmtId="4" fontId="9" fillId="6" borderId="5" xfId="32" applyNumberFormat="1" applyFont="1" applyFill="1" applyBorder="1" applyAlignment="1">
      <alignment vertical="center"/>
    </xf>
    <xf numFmtId="0" fontId="55" fillId="0" borderId="5" xfId="0" applyFont="1" applyBorder="1" applyAlignment="1">
      <alignment horizontal="center" vertical="center"/>
    </xf>
    <xf numFmtId="0" fontId="52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justify" vertical="justify"/>
    </xf>
    <xf numFmtId="0" fontId="3" fillId="0" borderId="5" xfId="104" applyNumberFormat="1" applyFont="1" applyFill="1" applyBorder="1" applyAlignment="1">
      <alignment horizontal="center" vertical="distributed" wrapText="1"/>
    </xf>
    <xf numFmtId="4" fontId="3" fillId="0" borderId="5" xfId="104" applyNumberFormat="1" applyFont="1" applyFill="1" applyBorder="1" applyAlignment="1">
      <alignment horizontal="center" vertical="distributed" wrapText="1"/>
    </xf>
    <xf numFmtId="0" fontId="3" fillId="0" borderId="5" xfId="32" applyFont="1" applyBorder="1" applyAlignment="1">
      <alignment horizontal="left" vertical="center" wrapText="1"/>
    </xf>
    <xf numFmtId="4" fontId="9" fillId="0" borderId="5" xfId="8" applyNumberFormat="1" applyFont="1" applyFill="1" applyBorder="1" applyAlignment="1">
      <alignment horizontal="center" wrapText="1"/>
    </xf>
    <xf numFmtId="0" fontId="7" fillId="0" borderId="5" xfId="8" applyFont="1" applyFill="1" applyBorder="1" applyAlignment="1">
      <alignment horizontal="left" vertical="center" wrapText="1"/>
    </xf>
    <xf numFmtId="166" fontId="32" fillId="4" borderId="5" xfId="6" applyNumberFormat="1" applyFont="1" applyFill="1" applyBorder="1" applyAlignment="1" applyProtection="1">
      <alignment horizontal="center" vertical="center"/>
      <protection locked="0"/>
    </xf>
    <xf numFmtId="10" fontId="7" fillId="0" borderId="5" xfId="8" applyNumberFormat="1" applyFont="1" applyFill="1" applyBorder="1" applyAlignment="1">
      <alignment horizontal="center" vertical="center"/>
    </xf>
    <xf numFmtId="0" fontId="10" fillId="4" borderId="5" xfId="6" applyFont="1" applyFill="1" applyBorder="1" applyAlignment="1" applyProtection="1">
      <alignment horizontal="center" vertical="center"/>
      <protection locked="0"/>
    </xf>
    <xf numFmtId="4" fontId="9" fillId="0" borderId="5" xfId="8" applyNumberFormat="1" applyFont="1" applyFill="1" applyBorder="1" applyAlignment="1">
      <alignment horizontal="center" wrapText="1"/>
    </xf>
    <xf numFmtId="4" fontId="9" fillId="0" borderId="5" xfId="8" applyNumberFormat="1" applyFont="1" applyFill="1" applyBorder="1" applyAlignment="1">
      <alignment horizontal="center" vertical="center"/>
    </xf>
    <xf numFmtId="0" fontId="9" fillId="0" borderId="5" xfId="8" applyFont="1" applyFill="1" applyBorder="1" applyAlignment="1">
      <alignment horizontal="center" vertical="center"/>
    </xf>
    <xf numFmtId="0" fontId="7" fillId="0" borderId="7" xfId="8" applyFont="1" applyFill="1" applyBorder="1" applyAlignment="1">
      <alignment horizontal="left" vertical="center"/>
    </xf>
    <xf numFmtId="0" fontId="7" fillId="0" borderId="9" xfId="8" applyFont="1" applyFill="1" applyBorder="1" applyAlignment="1">
      <alignment horizontal="left" vertical="center"/>
    </xf>
    <xf numFmtId="0" fontId="7" fillId="0" borderId="10" xfId="8" applyFont="1" applyFill="1" applyBorder="1" applyAlignment="1">
      <alignment horizontal="left" vertical="center"/>
    </xf>
    <xf numFmtId="0" fontId="9" fillId="0" borderId="7" xfId="8" applyFont="1" applyFill="1" applyBorder="1" applyAlignment="1">
      <alignment horizontal="center" vertical="center"/>
    </xf>
    <xf numFmtId="0" fontId="9" fillId="0" borderId="9" xfId="8" applyFont="1" applyFill="1" applyBorder="1" applyAlignment="1">
      <alignment horizontal="center" vertical="center"/>
    </xf>
    <xf numFmtId="0" fontId="9" fillId="0" borderId="10" xfId="8" applyFont="1" applyFill="1" applyBorder="1" applyAlignment="1">
      <alignment horizontal="center" vertical="center"/>
    </xf>
    <xf numFmtId="0" fontId="7" fillId="0" borderId="5" xfId="8" applyFont="1" applyFill="1" applyBorder="1" applyAlignment="1">
      <alignment horizontal="center" vertical="center"/>
    </xf>
    <xf numFmtId="166" fontId="53" fillId="4" borderId="5" xfId="6" applyNumberFormat="1" applyFont="1" applyFill="1" applyBorder="1" applyAlignment="1" applyProtection="1">
      <alignment horizontal="center" vertical="center" wrapText="1"/>
      <protection locked="0"/>
    </xf>
    <xf numFmtId="0" fontId="53" fillId="4" borderId="5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5" xfId="8" applyFont="1" applyFill="1" applyBorder="1" applyAlignment="1">
      <alignment horizontal="center"/>
    </xf>
    <xf numFmtId="0" fontId="13" fillId="0" borderId="5" xfId="8" applyFont="1" applyFill="1" applyBorder="1" applyAlignment="1">
      <alignment horizontal="left"/>
    </xf>
    <xf numFmtId="0" fontId="13" fillId="0" borderId="5" xfId="8" applyFont="1" applyFill="1" applyBorder="1" applyAlignment="1">
      <alignment horizontal="left" wrapText="1"/>
    </xf>
    <xf numFmtId="0" fontId="8" fillId="2" borderId="5" xfId="40" applyFont="1" applyFill="1" applyBorder="1" applyAlignment="1">
      <alignment horizontal="center" vertical="center" wrapText="1"/>
    </xf>
    <xf numFmtId="0" fontId="13" fillId="0" borderId="4" xfId="4" applyFont="1" applyBorder="1" applyAlignment="1">
      <alignment horizontal="center" wrapText="1"/>
    </xf>
    <xf numFmtId="0" fontId="11" fillId="0" borderId="5" xfId="4" applyFont="1" applyFill="1" applyBorder="1" applyAlignment="1">
      <alignment horizontal="center" vertical="top" wrapText="1"/>
    </xf>
    <xf numFmtId="0" fontId="8" fillId="2" borderId="8" xfId="4" applyFont="1" applyFill="1" applyBorder="1" applyAlignment="1">
      <alignment horizontal="center" vertical="center" wrapText="1"/>
    </xf>
    <xf numFmtId="0" fontId="8" fillId="2" borderId="17" xfId="4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/>
    </xf>
    <xf numFmtId="0" fontId="6" fillId="0" borderId="1" xfId="8" applyFont="1" applyFill="1" applyBorder="1" applyAlignment="1">
      <alignment horizontal="center" wrapText="1"/>
    </xf>
    <xf numFmtId="0" fontId="6" fillId="0" borderId="6" xfId="8" applyFont="1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7" fillId="0" borderId="2" xfId="8" applyFont="1" applyFill="1" applyBorder="1" applyAlignment="1">
      <alignment horizontal="left"/>
    </xf>
    <xf numFmtId="0" fontId="7" fillId="0" borderId="0" xfId="8" applyFont="1" applyFill="1" applyBorder="1" applyAlignment="1">
      <alignment horizontal="left"/>
    </xf>
    <xf numFmtId="0" fontId="7" fillId="0" borderId="2" xfId="8" applyFont="1" applyFill="1" applyBorder="1" applyAlignment="1">
      <alignment horizontal="left" wrapText="1"/>
    </xf>
    <xf numFmtId="0" fontId="7" fillId="0" borderId="0" xfId="8" applyFont="1" applyFill="1" applyBorder="1" applyAlignment="1">
      <alignment horizontal="left" wrapText="1"/>
    </xf>
    <xf numFmtId="0" fontId="44" fillId="6" borderId="15" xfId="0" applyFont="1" applyFill="1" applyBorder="1" applyAlignment="1">
      <alignment horizontal="center"/>
    </xf>
    <xf numFmtId="0" fontId="44" fillId="6" borderId="16" xfId="0" applyFont="1" applyFill="1" applyBorder="1" applyAlignment="1">
      <alignment horizontal="center"/>
    </xf>
    <xf numFmtId="0" fontId="44" fillId="6" borderId="28" xfId="0" applyFont="1" applyFill="1" applyBorder="1" applyAlignment="1">
      <alignment horizontal="center"/>
    </xf>
    <xf numFmtId="4" fontId="46" fillId="0" borderId="29" xfId="0" applyNumberFormat="1" applyFont="1" applyBorder="1" applyAlignment="1">
      <alignment horizontal="left" vertical="top" wrapText="1"/>
    </xf>
    <xf numFmtId="4" fontId="46" fillId="0" borderId="14" xfId="0" applyNumberFormat="1" applyFont="1" applyBorder="1" applyAlignment="1">
      <alignment horizontal="left" vertical="top" wrapText="1"/>
    </xf>
    <xf numFmtId="0" fontId="46" fillId="0" borderId="14" xfId="0" applyFont="1" applyBorder="1" applyAlignment="1">
      <alignment horizontal="left" vertical="top" wrapText="1"/>
    </xf>
    <xf numFmtId="0" fontId="46" fillId="0" borderId="30" xfId="0" applyFont="1" applyBorder="1" applyAlignment="1">
      <alignment horizontal="left" vertical="top" wrapText="1"/>
    </xf>
    <xf numFmtId="4" fontId="46" fillId="0" borderId="31" xfId="0" applyNumberFormat="1" applyFont="1" applyBorder="1" applyAlignment="1">
      <alignment horizontal="left" vertical="top" wrapText="1"/>
    </xf>
    <xf numFmtId="4" fontId="46" fillId="0" borderId="0" xfId="0" applyNumberFormat="1" applyFont="1" applyAlignment="1">
      <alignment horizontal="left" vertical="top" wrapText="1"/>
    </xf>
    <xf numFmtId="4" fontId="46" fillId="0" borderId="32" xfId="0" applyNumberFormat="1" applyFont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3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165" fontId="9" fillId="2" borderId="34" xfId="104" applyFont="1" applyFill="1" applyBorder="1" applyAlignment="1">
      <alignment horizontal="justify" vertical="distributed" wrapText="1"/>
    </xf>
    <xf numFmtId="0" fontId="47" fillId="7" borderId="34" xfId="0" applyFont="1" applyFill="1" applyBorder="1" applyAlignment="1">
      <alignment horizontal="center" wrapText="1"/>
    </xf>
    <xf numFmtId="168" fontId="9" fillId="2" borderId="35" xfId="104" applyNumberFormat="1" applyFont="1" applyFill="1" applyBorder="1" applyAlignment="1">
      <alignment horizontal="center" vertical="distributed" wrapText="1"/>
    </xf>
    <xf numFmtId="168" fontId="9" fillId="2" borderId="36" xfId="104" applyNumberFormat="1" applyFont="1" applyFill="1" applyBorder="1" applyAlignment="1">
      <alignment horizontal="center" vertical="distributed" wrapText="1"/>
    </xf>
    <xf numFmtId="168" fontId="9" fillId="2" borderId="2" xfId="104" applyNumberFormat="1" applyFont="1" applyFill="1" applyBorder="1" applyAlignment="1">
      <alignment horizontal="center" vertical="distributed" wrapText="1"/>
    </xf>
    <xf numFmtId="168" fontId="9" fillId="2" borderId="3" xfId="104" applyNumberFormat="1" applyFont="1" applyFill="1" applyBorder="1" applyAlignment="1">
      <alignment horizontal="center" vertical="distributed" wrapText="1"/>
    </xf>
    <xf numFmtId="168" fontId="9" fillId="2" borderId="41" xfId="104" applyNumberFormat="1" applyFont="1" applyFill="1" applyBorder="1" applyAlignment="1">
      <alignment horizontal="center" vertical="distributed" wrapText="1"/>
    </xf>
    <xf numFmtId="168" fontId="9" fillId="2" borderId="42" xfId="104" applyNumberFormat="1" applyFont="1" applyFill="1" applyBorder="1" applyAlignment="1">
      <alignment horizontal="center" vertical="distributed" wrapText="1"/>
    </xf>
    <xf numFmtId="165" fontId="9" fillId="2" borderId="37" xfId="104" applyFont="1" applyFill="1" applyBorder="1" applyAlignment="1">
      <alignment horizontal="left" vertical="distributed" wrapText="1"/>
    </xf>
    <xf numFmtId="165" fontId="9" fillId="2" borderId="38" xfId="104" applyFont="1" applyFill="1" applyBorder="1" applyAlignment="1">
      <alignment horizontal="left" vertical="distributed" wrapText="1"/>
    </xf>
    <xf numFmtId="165" fontId="9" fillId="2" borderId="39" xfId="104" applyFont="1" applyFill="1" applyBorder="1" applyAlignment="1">
      <alignment horizontal="left" vertical="distributed" wrapText="1"/>
    </xf>
    <xf numFmtId="0" fontId="9" fillId="8" borderId="34" xfId="104" applyNumberFormat="1" applyFont="1" applyFill="1" applyBorder="1" applyAlignment="1">
      <alignment horizontal="justify" vertical="distributed" wrapText="1"/>
    </xf>
    <xf numFmtId="165" fontId="9" fillId="2" borderId="35" xfId="104" applyFont="1" applyFill="1" applyBorder="1" applyAlignment="1">
      <alignment horizontal="center" vertical="distributed" wrapText="1"/>
    </xf>
    <xf numFmtId="165" fontId="9" fillId="2" borderId="36" xfId="104" applyFont="1" applyFill="1" applyBorder="1" applyAlignment="1">
      <alignment horizontal="center" vertical="distributed" wrapText="1"/>
    </xf>
    <xf numFmtId="165" fontId="9" fillId="2" borderId="41" xfId="104" applyFont="1" applyFill="1" applyBorder="1" applyAlignment="1">
      <alignment horizontal="center" vertical="distributed" wrapText="1"/>
    </xf>
    <xf numFmtId="165" fontId="9" fillId="2" borderId="42" xfId="104" applyFont="1" applyFill="1" applyBorder="1" applyAlignment="1">
      <alignment horizontal="center" vertical="distributed" wrapText="1"/>
    </xf>
    <xf numFmtId="165" fontId="9" fillId="9" borderId="40" xfId="104" applyFont="1" applyFill="1" applyBorder="1" applyAlignment="1">
      <alignment horizontal="center" vertical="distributed" wrapText="1"/>
    </xf>
    <xf numFmtId="165" fontId="9" fillId="9" borderId="43" xfId="104" applyFont="1" applyFill="1" applyBorder="1" applyAlignment="1">
      <alignment horizontal="center" vertical="distributed" wrapText="1"/>
    </xf>
    <xf numFmtId="0" fontId="32" fillId="0" borderId="44" xfId="32" applyFont="1" applyBorder="1" applyAlignment="1">
      <alignment horizontal="center"/>
    </xf>
    <xf numFmtId="0" fontId="32" fillId="0" borderId="45" xfId="32" applyFont="1" applyBorder="1" applyAlignment="1">
      <alignment horizontal="center"/>
    </xf>
    <xf numFmtId="0" fontId="32" fillId="0" borderId="46" xfId="32" applyFont="1" applyBorder="1" applyAlignment="1">
      <alignment horizontal="center"/>
    </xf>
    <xf numFmtId="0" fontId="32" fillId="0" borderId="0" xfId="32" applyFont="1" applyAlignment="1">
      <alignment horizontal="center"/>
    </xf>
    <xf numFmtId="0" fontId="7" fillId="0" borderId="0" xfId="32" applyFont="1" applyAlignment="1">
      <alignment horizontal="left" vertical="center" wrapText="1"/>
    </xf>
    <xf numFmtId="0" fontId="13" fillId="6" borderId="5" xfId="0" applyFont="1" applyFill="1" applyBorder="1" applyAlignment="1">
      <alignment horizontal="center" vertical="center"/>
    </xf>
    <xf numFmtId="0" fontId="8" fillId="6" borderId="27" xfId="32" applyFont="1" applyFill="1" applyBorder="1" applyAlignment="1">
      <alignment horizontal="center" vertical="top"/>
    </xf>
    <xf numFmtId="0" fontId="13" fillId="13" borderId="56" xfId="32" applyFont="1" applyFill="1" applyBorder="1" applyAlignment="1">
      <alignment horizontal="center" vertical="center"/>
    </xf>
    <xf numFmtId="166" fontId="13" fillId="13" borderId="57" xfId="27" applyNumberFormat="1" applyFont="1" applyFill="1" applyBorder="1" applyAlignment="1">
      <alignment horizontal="center" vertical="center"/>
    </xf>
    <xf numFmtId="166" fontId="13" fillId="13" borderId="58" xfId="27" applyNumberFormat="1" applyFont="1" applyFill="1" applyBorder="1" applyAlignment="1">
      <alignment horizontal="center" vertical="center"/>
    </xf>
    <xf numFmtId="0" fontId="6" fillId="6" borderId="49" xfId="32" applyFont="1" applyFill="1" applyBorder="1" applyAlignment="1">
      <alignment horizontal="center"/>
    </xf>
    <xf numFmtId="0" fontId="6" fillId="6" borderId="50" xfId="32" applyFont="1" applyFill="1" applyBorder="1" applyAlignment="1">
      <alignment horizontal="center"/>
    </xf>
    <xf numFmtId="0" fontId="8" fillId="0" borderId="0" xfId="32" applyFont="1" applyAlignment="1">
      <alignment horizontal="left" wrapText="1"/>
    </xf>
    <xf numFmtId="0" fontId="9" fillId="13" borderId="51" xfId="32" applyFont="1" applyFill="1" applyBorder="1" applyAlignment="1">
      <alignment horizontal="center" vertical="center"/>
    </xf>
    <xf numFmtId="0" fontId="9" fillId="13" borderId="52" xfId="32" applyFont="1" applyFill="1" applyBorder="1" applyAlignment="1">
      <alignment horizontal="center" vertical="center"/>
    </xf>
    <xf numFmtId="0" fontId="9" fillId="13" borderId="59" xfId="32" applyFont="1" applyFill="1" applyBorder="1" applyAlignment="1">
      <alignment horizontal="center" vertical="center"/>
    </xf>
    <xf numFmtId="0" fontId="9" fillId="13" borderId="52" xfId="32" applyFont="1" applyFill="1" applyBorder="1" applyAlignment="1">
      <alignment horizontal="center" vertical="center" wrapText="1"/>
    </xf>
    <xf numFmtId="0" fontId="9" fillId="13" borderId="59" xfId="32" applyFont="1" applyFill="1" applyBorder="1" applyAlignment="1">
      <alignment horizontal="center" vertical="center" wrapText="1"/>
    </xf>
    <xf numFmtId="4" fontId="9" fillId="13" borderId="49" xfId="32" applyNumberFormat="1" applyFont="1" applyFill="1" applyBorder="1" applyAlignment="1">
      <alignment horizontal="center"/>
    </xf>
    <xf numFmtId="4" fontId="9" fillId="13" borderId="50" xfId="32" applyNumberFormat="1" applyFont="1" applyFill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6" fillId="0" borderId="0" xfId="31" applyFont="1" applyAlignment="1">
      <alignment horizontal="justify" wrapText="1"/>
    </xf>
    <xf numFmtId="0" fontId="28" fillId="0" borderId="0" xfId="31" applyFont="1" applyAlignment="1">
      <alignment horizontal="justify" wrapText="1"/>
    </xf>
    <xf numFmtId="0" fontId="29" fillId="0" borderId="7" xfId="0" applyFont="1" applyBorder="1" applyAlignment="1">
      <alignment horizontal="left" vertical="justify" wrapText="1"/>
    </xf>
    <xf numFmtId="0" fontId="29" fillId="0" borderId="9" xfId="0" applyFont="1" applyBorder="1" applyAlignment="1">
      <alignment horizontal="left" vertical="justify" wrapText="1"/>
    </xf>
    <xf numFmtId="0" fontId="29" fillId="0" borderId="10" xfId="0" applyFont="1" applyBorder="1" applyAlignment="1">
      <alignment horizontal="left" vertical="justify" wrapText="1"/>
    </xf>
    <xf numFmtId="0" fontId="3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17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7" fillId="0" borderId="8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3" fillId="0" borderId="10" xfId="0" applyFont="1" applyBorder="1"/>
  </cellXfs>
  <cellStyles count="106">
    <cellStyle name="0,0_x000d__x000a_NA_x000d__x000a_" xfId="2" xr:uid="{00000000-0005-0000-0000-000000000000}"/>
    <cellStyle name="0,0_x000d__x000a_NA_x000d__x000a_ 2" xfId="15" xr:uid="{00000000-0005-0000-0000-000001000000}"/>
    <cellStyle name="0,0_x000d__x000a_NA_x000d__x000a__QUADRA 3 ALTA" xfId="14" xr:uid="{00000000-0005-0000-0000-000002000000}"/>
    <cellStyle name="Moeda" xfId="27" builtinId="4"/>
    <cellStyle name="Moeda 2" xfId="3" xr:uid="{00000000-0005-0000-0000-000004000000}"/>
    <cellStyle name="Moeda 2 2" xfId="16" xr:uid="{00000000-0005-0000-0000-000005000000}"/>
    <cellStyle name="Moeda 2 3" xfId="37" xr:uid="{00000000-0005-0000-0000-000006000000}"/>
    <cellStyle name="Moeda 3" xfId="41" xr:uid="{00000000-0005-0000-0000-000007000000}"/>
    <cellStyle name="Moeda 3 2" xfId="81" xr:uid="{00000000-0005-0000-0000-000008000000}"/>
    <cellStyle name="Moeda 3 3" xfId="92" xr:uid="{00000000-0005-0000-0000-000009000000}"/>
    <cellStyle name="Moeda 4" xfId="42" xr:uid="{00000000-0005-0000-0000-00000A000000}"/>
    <cellStyle name="Moeda 5" xfId="43" xr:uid="{00000000-0005-0000-0000-00000B000000}"/>
    <cellStyle name="Moeda 6" xfId="90" xr:uid="{00000000-0005-0000-0000-00000C000000}"/>
    <cellStyle name="Moeda 7" xfId="101" xr:uid="{00000000-0005-0000-0000-00000D000000}"/>
    <cellStyle name="Moeda 8" xfId="72" xr:uid="{00000000-0005-0000-0000-00000E000000}"/>
    <cellStyle name="Normal" xfId="0" builtinId="0"/>
    <cellStyle name="Normal 19" xfId="75" xr:uid="{00000000-0005-0000-0000-000010000000}"/>
    <cellStyle name="Normal 2" xfId="4" xr:uid="{00000000-0005-0000-0000-000011000000}"/>
    <cellStyle name="Normal 2 2" xfId="5" xr:uid="{00000000-0005-0000-0000-000012000000}"/>
    <cellStyle name="Normal 2 3" xfId="17" xr:uid="{00000000-0005-0000-0000-000013000000}"/>
    <cellStyle name="Normal 2 3 2" xfId="40" xr:uid="{00000000-0005-0000-0000-000014000000}"/>
    <cellStyle name="Normal 2 3 3" xfId="44" xr:uid="{00000000-0005-0000-0000-000015000000}"/>
    <cellStyle name="Normal 2 4" xfId="45" xr:uid="{00000000-0005-0000-0000-000016000000}"/>
    <cellStyle name="Normal 2 5" xfId="74" xr:uid="{00000000-0005-0000-0000-000017000000}"/>
    <cellStyle name="Normal 3" xfId="6" xr:uid="{00000000-0005-0000-0000-000018000000}"/>
    <cellStyle name="Normal 3 2" xfId="29" xr:uid="{00000000-0005-0000-0000-000019000000}"/>
    <cellStyle name="Normal 3 2 2" xfId="46" xr:uid="{00000000-0005-0000-0000-00001A000000}"/>
    <cellStyle name="Normal 3 2 3" xfId="47" xr:uid="{00000000-0005-0000-0000-00001B000000}"/>
    <cellStyle name="Normal 3 3" xfId="31" xr:uid="{00000000-0005-0000-0000-00001C000000}"/>
    <cellStyle name="Normal 4" xfId="7" xr:uid="{00000000-0005-0000-0000-00001D000000}"/>
    <cellStyle name="Normal 4 2" xfId="18" xr:uid="{00000000-0005-0000-0000-00001E000000}"/>
    <cellStyle name="Normal 4 2 2" xfId="49" xr:uid="{00000000-0005-0000-0000-00001F000000}"/>
    <cellStyle name="Normal 4 2 3" xfId="48" xr:uid="{00000000-0005-0000-0000-000020000000}"/>
    <cellStyle name="Normal 4 3" xfId="50" xr:uid="{00000000-0005-0000-0000-000021000000}"/>
    <cellStyle name="Normal 4 4" xfId="38" xr:uid="{00000000-0005-0000-0000-000022000000}"/>
    <cellStyle name="Normal 5" xfId="1" xr:uid="{00000000-0005-0000-0000-000023000000}"/>
    <cellStyle name="Normal 5 2" xfId="19" xr:uid="{00000000-0005-0000-0000-000024000000}"/>
    <cellStyle name="Normal 5 2 2" xfId="52" xr:uid="{00000000-0005-0000-0000-000025000000}"/>
    <cellStyle name="Normal 5 3" xfId="53" xr:uid="{00000000-0005-0000-0000-000026000000}"/>
    <cellStyle name="Normal 5 4" xfId="51" xr:uid="{00000000-0005-0000-0000-000027000000}"/>
    <cellStyle name="Normal 6" xfId="26" xr:uid="{00000000-0005-0000-0000-000028000000}"/>
    <cellStyle name="Normal 6 2" xfId="54" xr:uid="{00000000-0005-0000-0000-000029000000}"/>
    <cellStyle name="Normal 7" xfId="55" xr:uid="{00000000-0005-0000-0000-00002A000000}"/>
    <cellStyle name="Normal 7 2" xfId="56" xr:uid="{00000000-0005-0000-0000-00002B000000}"/>
    <cellStyle name="Normal 7 3" xfId="79" xr:uid="{00000000-0005-0000-0000-00002C000000}"/>
    <cellStyle name="Normal 7 4" xfId="103" xr:uid="{00000000-0005-0000-0000-00002D000000}"/>
    <cellStyle name="Normal 8" xfId="57" xr:uid="{00000000-0005-0000-0000-00002E000000}"/>
    <cellStyle name="Normal_cronograma 6 meses 2" xfId="8" xr:uid="{00000000-0005-0000-0000-00002F000000}"/>
    <cellStyle name="Normal_cronograma 6 meses 2 2" xfId="32" xr:uid="{00000000-0005-0000-0000-000030000000}"/>
    <cellStyle name="Porcentagem" xfId="28" builtinId="5"/>
    <cellStyle name="Porcentagem 2" xfId="9" xr:uid="{00000000-0005-0000-0000-000032000000}"/>
    <cellStyle name="Porcentagem 2 2" xfId="20" xr:uid="{00000000-0005-0000-0000-000033000000}"/>
    <cellStyle name="Porcentagem 2 2 2" xfId="59" xr:uid="{00000000-0005-0000-0000-000034000000}"/>
    <cellStyle name="Porcentagem 2 2 3" xfId="58" xr:uid="{00000000-0005-0000-0000-000035000000}"/>
    <cellStyle name="Porcentagem 2 3" xfId="34" xr:uid="{00000000-0005-0000-0000-000036000000}"/>
    <cellStyle name="Porcentagem 3" xfId="30" xr:uid="{00000000-0005-0000-0000-000037000000}"/>
    <cellStyle name="Porcentagem 7" xfId="76" xr:uid="{00000000-0005-0000-0000-000038000000}"/>
    <cellStyle name="Separador de milhares 2" xfId="10" xr:uid="{00000000-0005-0000-0000-000039000000}"/>
    <cellStyle name="Separador de milhares 2 2" xfId="11" xr:uid="{00000000-0005-0000-0000-00003A000000}"/>
    <cellStyle name="Separador de milhares 2 2 2" xfId="21" xr:uid="{00000000-0005-0000-0000-00003B000000}"/>
    <cellStyle name="Separador de milhares 2 2 2 2" xfId="62" xr:uid="{00000000-0005-0000-0000-00003C000000}"/>
    <cellStyle name="Separador de milhares 2 2 2 2 2" xfId="82" xr:uid="{00000000-0005-0000-0000-00003D000000}"/>
    <cellStyle name="Separador de milhares 2 2 2 2 3" xfId="93" xr:uid="{00000000-0005-0000-0000-00003E000000}"/>
    <cellStyle name="Separador de milhares 2 2 2 3" xfId="61" xr:uid="{00000000-0005-0000-0000-00003F000000}"/>
    <cellStyle name="Separador de milhares 2 2 3" xfId="60" xr:uid="{00000000-0005-0000-0000-000040000000}"/>
    <cellStyle name="Separador de milhares 2 3" xfId="22" xr:uid="{00000000-0005-0000-0000-000041000000}"/>
    <cellStyle name="Separador de milhares 2 4" xfId="35" xr:uid="{00000000-0005-0000-0000-000042000000}"/>
    <cellStyle name="Separador de milhares 3" xfId="12" xr:uid="{00000000-0005-0000-0000-000043000000}"/>
    <cellStyle name="Separador de milhares 3 2" xfId="23" xr:uid="{00000000-0005-0000-0000-000044000000}"/>
    <cellStyle name="Separador de milhares 3 2 2" xfId="63" xr:uid="{00000000-0005-0000-0000-000045000000}"/>
    <cellStyle name="Separador de milhares 3 3" xfId="64" xr:uid="{00000000-0005-0000-0000-000046000000}"/>
    <cellStyle name="Separador de milhares 3 3 2" xfId="83" xr:uid="{00000000-0005-0000-0000-000047000000}"/>
    <cellStyle name="Separador de milhares 3 3 3" xfId="94" xr:uid="{00000000-0005-0000-0000-000048000000}"/>
    <cellStyle name="Separador de milhares 3 4" xfId="33" xr:uid="{00000000-0005-0000-0000-000049000000}"/>
    <cellStyle name="Separador de milhares 4" xfId="65" xr:uid="{00000000-0005-0000-0000-00004A000000}"/>
    <cellStyle name="Separador de milhares 4 2" xfId="66" xr:uid="{00000000-0005-0000-0000-00004B000000}"/>
    <cellStyle name="Separador de milhares 4 2 2" xfId="85" xr:uid="{00000000-0005-0000-0000-00004C000000}"/>
    <cellStyle name="Separador de milhares 4 2 3" xfId="96" xr:uid="{00000000-0005-0000-0000-00004D000000}"/>
    <cellStyle name="Separador de milhares 4 3" xfId="67" xr:uid="{00000000-0005-0000-0000-00004E000000}"/>
    <cellStyle name="Separador de milhares 4 4" xfId="77" xr:uid="{00000000-0005-0000-0000-00004F000000}"/>
    <cellStyle name="Separador de milhares 4 5" xfId="84" xr:uid="{00000000-0005-0000-0000-000050000000}"/>
    <cellStyle name="Separador de milhares 4 6" xfId="95" xr:uid="{00000000-0005-0000-0000-000051000000}"/>
    <cellStyle name="Separador de milhares 5" xfId="68" xr:uid="{00000000-0005-0000-0000-000052000000}"/>
    <cellStyle name="Separador de milhares 5 2" xfId="86" xr:uid="{00000000-0005-0000-0000-000053000000}"/>
    <cellStyle name="Separador de milhares 5 3" xfId="97" xr:uid="{00000000-0005-0000-0000-000054000000}"/>
    <cellStyle name="Vírgula" xfId="105" builtinId="3"/>
    <cellStyle name="Vírgula 2" xfId="13" xr:uid="{00000000-0005-0000-0000-000056000000}"/>
    <cellStyle name="Vírgula 2 2" xfId="25" xr:uid="{00000000-0005-0000-0000-000057000000}"/>
    <cellStyle name="Vírgula 2 2 2" xfId="73" xr:uid="{00000000-0005-0000-0000-000058000000}"/>
    <cellStyle name="Vírgula 2 2 3" xfId="39" xr:uid="{00000000-0005-0000-0000-000059000000}"/>
    <cellStyle name="Vírgula 2 3" xfId="69" xr:uid="{00000000-0005-0000-0000-00005A000000}"/>
    <cellStyle name="Vírgula 2 3 2" xfId="87" xr:uid="{00000000-0005-0000-0000-00005B000000}"/>
    <cellStyle name="Vírgula 2 3 3" xfId="98" xr:uid="{00000000-0005-0000-0000-00005C000000}"/>
    <cellStyle name="Vírgula 2 4" xfId="36" xr:uid="{00000000-0005-0000-0000-00005D000000}"/>
    <cellStyle name="Vírgula 2 5" xfId="104" xr:uid="{00000000-0005-0000-0000-00005E000000}"/>
    <cellStyle name="Vírgula 3" xfId="24" xr:uid="{00000000-0005-0000-0000-00005F000000}"/>
    <cellStyle name="Vírgula 3 2" xfId="88" xr:uid="{00000000-0005-0000-0000-000060000000}"/>
    <cellStyle name="Vírgula 3 3" xfId="99" xr:uid="{00000000-0005-0000-0000-000061000000}"/>
    <cellStyle name="Vírgula 3 4" xfId="70" xr:uid="{00000000-0005-0000-0000-000062000000}"/>
    <cellStyle name="Vírgula 4" xfId="71" xr:uid="{00000000-0005-0000-0000-000063000000}"/>
    <cellStyle name="Vírgula 4 2" xfId="80" xr:uid="{00000000-0005-0000-0000-000064000000}"/>
    <cellStyle name="Vírgula 4 3" xfId="89" xr:uid="{00000000-0005-0000-0000-000065000000}"/>
    <cellStyle name="Vírgula 4 4" xfId="100" xr:uid="{00000000-0005-0000-0000-000066000000}"/>
    <cellStyle name="Vírgula 5" xfId="91" xr:uid="{00000000-0005-0000-0000-000067000000}"/>
    <cellStyle name="Vírgula 6" xfId="102" xr:uid="{00000000-0005-0000-0000-000068000000}"/>
    <cellStyle name="Vírgula 7" xfId="78" xr:uid="{00000000-0005-0000-0000-00006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69</xdr:row>
      <xdr:rowOff>11301</xdr:rowOff>
    </xdr:from>
    <xdr:to>
      <xdr:col>1</xdr:col>
      <xdr:colOff>4000501</xdr:colOff>
      <xdr:row>72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33351" y="12401421"/>
          <a:ext cx="3943350" cy="666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69</xdr:row>
      <xdr:rowOff>19050</xdr:rowOff>
    </xdr:from>
    <xdr:to>
      <xdr:col>1</xdr:col>
      <xdr:colOff>3190875</xdr:colOff>
      <xdr:row>72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657225" y="12409170"/>
          <a:ext cx="2609850" cy="60198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69</xdr:row>
      <xdr:rowOff>0</xdr:rowOff>
    </xdr:from>
    <xdr:to>
      <xdr:col>1</xdr:col>
      <xdr:colOff>3415393</xdr:colOff>
      <xdr:row>72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33400" y="12390120"/>
          <a:ext cx="2958193" cy="66865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70</xdr:row>
      <xdr:rowOff>95250</xdr:rowOff>
    </xdr:from>
    <xdr:to>
      <xdr:col>1</xdr:col>
      <xdr:colOff>2333625</xdr:colOff>
      <xdr:row>72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952625" y="12660630"/>
          <a:ext cx="457200" cy="31241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70</xdr:row>
      <xdr:rowOff>57150</xdr:rowOff>
    </xdr:from>
    <xdr:to>
      <xdr:col>1</xdr:col>
      <xdr:colOff>2419349</xdr:colOff>
      <xdr:row>72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1647824" y="12622530"/>
          <a:ext cx="847725" cy="4362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42</xdr:row>
          <xdr:rowOff>0</xdr:rowOff>
        </xdr:from>
        <xdr:to>
          <xdr:col>1</xdr:col>
          <xdr:colOff>4671060</xdr:colOff>
          <xdr:row>46</xdr:row>
          <xdr:rowOff>7620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&#225;rio/Desktop/PML/OBRAS/RODOVI&#193;RIA/LICITA&#199;&#195;O/RODOVI&#193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_BDI_EDIFICACOES_26,53%_COM"/>
      <sheetName val="(PLANILHA GERAL COM DESON)"/>
      <sheetName val="ORÇAMENTO COM DESON"/>
      <sheetName val="COMPOSICOES - SINAPI COM DESON"/>
      <sheetName val="CRONOGRAMA"/>
      <sheetName val="ORÇAMENTO SEM DESON"/>
      <sheetName val="MEMORIA DE CALCULO"/>
      <sheetName val="COMPOSICOES - SINAPI SEM DESON"/>
      <sheetName val="RESUMO SEM DESON"/>
      <sheetName val="COMP_BDI_EDIFICACOES_20,50%_S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"/>
  <sheetViews>
    <sheetView tabSelected="1" view="pageBreakPreview" zoomScaleNormal="100" zoomScaleSheetLayoutView="100" workbookViewId="0">
      <selection activeCell="D10" sqref="D10"/>
    </sheetView>
  </sheetViews>
  <sheetFormatPr defaultColWidth="9.109375" defaultRowHeight="14.4"/>
  <cols>
    <col min="1" max="1" width="9.109375" style="52"/>
    <col min="2" max="2" width="11.33203125" style="52" customWidth="1"/>
    <col min="3" max="3" width="19.44140625" style="52" customWidth="1"/>
    <col min="4" max="4" width="55.5546875" style="52" customWidth="1"/>
    <col min="5" max="5" width="7.44140625" style="52" customWidth="1"/>
    <col min="6" max="6" width="10.5546875" style="52" customWidth="1"/>
    <col min="7" max="8" width="9.109375" style="52"/>
    <col min="9" max="9" width="12.5546875" style="52" bestFit="1" customWidth="1"/>
    <col min="10" max="10" width="12" style="52" bestFit="1" customWidth="1"/>
    <col min="11" max="11" width="20.88671875" style="52" customWidth="1"/>
    <col min="12" max="12" width="9.109375" style="52" hidden="1" customWidth="1"/>
    <col min="13" max="13" width="17" style="52" bestFit="1" customWidth="1"/>
    <col min="14" max="16384" width="9.109375" style="52"/>
  </cols>
  <sheetData>
    <row r="1" spans="1:10" ht="30" customHeight="1">
      <c r="A1" s="305" t="s">
        <v>347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ht="18" customHeight="1">
      <c r="A2" s="305" t="s">
        <v>52</v>
      </c>
      <c r="B2" s="305"/>
      <c r="C2" s="305"/>
      <c r="D2" s="305"/>
      <c r="E2" s="305"/>
      <c r="F2" s="305"/>
      <c r="G2" s="305"/>
      <c r="H2" s="305"/>
      <c r="I2" s="305"/>
      <c r="J2" s="305"/>
    </row>
    <row r="3" spans="1:10" ht="19.2" customHeight="1">
      <c r="A3" s="312" t="s">
        <v>344</v>
      </c>
      <c r="B3" s="313"/>
      <c r="C3" s="313"/>
      <c r="D3" s="313"/>
      <c r="E3" s="313"/>
      <c r="F3" s="314"/>
      <c r="G3" s="318" t="s">
        <v>49</v>
      </c>
      <c r="H3" s="318"/>
      <c r="I3" s="307">
        <f>'COMP_BDI_EDIFICACOES_23,38%_SEM'!D37</f>
        <v>0.22639999999999999</v>
      </c>
      <c r="J3" s="307"/>
    </row>
    <row r="4" spans="1:10">
      <c r="A4" s="315"/>
      <c r="B4" s="316"/>
      <c r="C4" s="316"/>
      <c r="D4" s="316"/>
      <c r="E4" s="316"/>
      <c r="F4" s="317"/>
      <c r="G4" s="318"/>
      <c r="H4" s="318"/>
      <c r="I4" s="307"/>
      <c r="J4" s="307"/>
    </row>
    <row r="5" spans="1:10" ht="17.399999999999999" customHeight="1">
      <c r="A5" s="311" t="s">
        <v>0</v>
      </c>
      <c r="B5" s="311"/>
      <c r="C5" s="311" t="s">
        <v>5</v>
      </c>
      <c r="D5" s="311" t="s">
        <v>6</v>
      </c>
      <c r="E5" s="311" t="s">
        <v>7</v>
      </c>
      <c r="F5" s="310" t="s">
        <v>8</v>
      </c>
      <c r="G5" s="309" t="s">
        <v>9</v>
      </c>
      <c r="H5" s="309"/>
      <c r="I5" s="310" t="s">
        <v>10</v>
      </c>
      <c r="J5" s="310"/>
    </row>
    <row r="6" spans="1:10" ht="17.399999999999999" customHeight="1">
      <c r="A6" s="311"/>
      <c r="B6" s="311"/>
      <c r="C6" s="311"/>
      <c r="D6" s="311"/>
      <c r="E6" s="311"/>
      <c r="F6" s="310"/>
      <c r="G6" s="304" t="s">
        <v>50</v>
      </c>
      <c r="H6" s="304" t="s">
        <v>51</v>
      </c>
      <c r="I6" s="304" t="s">
        <v>50</v>
      </c>
      <c r="J6" s="304" t="s">
        <v>51</v>
      </c>
    </row>
    <row r="7" spans="1:10">
      <c r="A7" s="53" t="s">
        <v>68</v>
      </c>
      <c r="B7" s="53"/>
      <c r="C7" s="53"/>
      <c r="D7" s="59" t="s">
        <v>286</v>
      </c>
      <c r="E7" s="54"/>
      <c r="F7" s="51"/>
      <c r="G7" s="55"/>
      <c r="H7" s="55"/>
      <c r="I7" s="55"/>
      <c r="J7" s="55">
        <f>SUM(J8:J19)</f>
        <v>14119.392352799998</v>
      </c>
    </row>
    <row r="8" spans="1:10">
      <c r="A8" s="86" t="s">
        <v>4</v>
      </c>
      <c r="B8" s="86" t="s">
        <v>88</v>
      </c>
      <c r="C8" s="65" t="s">
        <v>154</v>
      </c>
      <c r="D8" s="67" t="s">
        <v>155</v>
      </c>
      <c r="E8" s="64" t="s">
        <v>89</v>
      </c>
      <c r="F8" s="128">
        <f>'Memória de cálculo'!H16</f>
        <v>11.86</v>
      </c>
      <c r="G8" s="128">
        <v>25.29</v>
      </c>
      <c r="H8" s="128">
        <f t="shared" ref="H8" si="0">G8*(1+$I$3)</f>
        <v>31.015655999999996</v>
      </c>
      <c r="I8" s="128">
        <f t="shared" ref="I8" si="1">ROUND(F8*G8,2)</f>
        <v>299.94</v>
      </c>
      <c r="J8" s="251">
        <f t="shared" ref="J8" si="2">H8*F8</f>
        <v>367.84568015999992</v>
      </c>
    </row>
    <row r="9" spans="1:10">
      <c r="A9" s="86" t="s">
        <v>212</v>
      </c>
      <c r="B9" s="86" t="s">
        <v>88</v>
      </c>
      <c r="C9" s="65" t="s">
        <v>156</v>
      </c>
      <c r="D9" s="67" t="s">
        <v>157</v>
      </c>
      <c r="E9" s="64" t="s">
        <v>87</v>
      </c>
      <c r="F9" s="128">
        <f>'Memória de cálculo'!H30</f>
        <v>2.0500000000000003</v>
      </c>
      <c r="G9" s="128">
        <v>58.37</v>
      </c>
      <c r="H9" s="128">
        <f t="shared" ref="H9:H19" si="3">G9*(1+$I$3)</f>
        <v>71.584967999999989</v>
      </c>
      <c r="I9" s="128">
        <f t="shared" ref="I9:I19" si="4">ROUND(F9*G9,2)</f>
        <v>119.66</v>
      </c>
      <c r="J9" s="251">
        <f t="shared" ref="J9:J19" si="5">H9*F9</f>
        <v>146.74918439999999</v>
      </c>
    </row>
    <row r="10" spans="1:10" ht="21.6">
      <c r="A10" s="86" t="s">
        <v>213</v>
      </c>
      <c r="B10" s="86" t="s">
        <v>67</v>
      </c>
      <c r="C10" s="93">
        <v>97631</v>
      </c>
      <c r="D10" s="264" t="s">
        <v>321</v>
      </c>
      <c r="E10" s="86" t="s">
        <v>89</v>
      </c>
      <c r="F10" s="128">
        <f>'Memória de cálculo'!H62</f>
        <v>72.569999999999993</v>
      </c>
      <c r="G10" s="128">
        <v>2.75</v>
      </c>
      <c r="H10" s="128">
        <f t="shared" si="3"/>
        <v>3.3725999999999998</v>
      </c>
      <c r="I10" s="128">
        <f t="shared" si="4"/>
        <v>199.57</v>
      </c>
      <c r="J10" s="251">
        <f t="shared" si="5"/>
        <v>244.74958199999998</v>
      </c>
    </row>
    <row r="11" spans="1:10" ht="20.399999999999999">
      <c r="A11" s="86" t="s">
        <v>215</v>
      </c>
      <c r="B11" s="86" t="s">
        <v>92</v>
      </c>
      <c r="C11" s="65">
        <v>93358</v>
      </c>
      <c r="D11" s="125" t="s">
        <v>214</v>
      </c>
      <c r="E11" s="249" t="s">
        <v>87</v>
      </c>
      <c r="F11" s="128">
        <f>'Memória de cálculo'!H71</f>
        <v>2.3800000000000003</v>
      </c>
      <c r="G11" s="128">
        <v>71.95</v>
      </c>
      <c r="H11" s="128">
        <f t="shared" si="3"/>
        <v>88.23948</v>
      </c>
      <c r="I11" s="128">
        <f t="shared" si="4"/>
        <v>171.24</v>
      </c>
      <c r="J11" s="251">
        <f t="shared" si="5"/>
        <v>210.00996240000003</v>
      </c>
    </row>
    <row r="12" spans="1:10" ht="20.399999999999999">
      <c r="A12" s="86" t="s">
        <v>216</v>
      </c>
      <c r="B12" s="86" t="s">
        <v>67</v>
      </c>
      <c r="C12" s="65">
        <v>96620</v>
      </c>
      <c r="D12" s="81" t="s">
        <v>152</v>
      </c>
      <c r="E12" s="64" t="s">
        <v>87</v>
      </c>
      <c r="F12" s="254">
        <f>'Memória de cálculo'!H80</f>
        <v>0.33</v>
      </c>
      <c r="G12" s="128">
        <v>547.48</v>
      </c>
      <c r="H12" s="128">
        <f t="shared" si="3"/>
        <v>671.42947200000003</v>
      </c>
      <c r="I12" s="128">
        <f t="shared" si="4"/>
        <v>180.67</v>
      </c>
      <c r="J12" s="251">
        <f t="shared" si="5"/>
        <v>221.57172576000002</v>
      </c>
    </row>
    <row r="13" spans="1:10" ht="20.399999999999999">
      <c r="A13" s="86" t="s">
        <v>219</v>
      </c>
      <c r="B13" s="86" t="s">
        <v>88</v>
      </c>
      <c r="C13" s="65" t="s">
        <v>217</v>
      </c>
      <c r="D13" s="67" t="s">
        <v>218</v>
      </c>
      <c r="E13" s="64" t="s">
        <v>89</v>
      </c>
      <c r="F13" s="254">
        <f>'Memória de cálculo'!H89</f>
        <v>11.86</v>
      </c>
      <c r="G13" s="128">
        <v>111.32</v>
      </c>
      <c r="H13" s="128">
        <f t="shared" si="3"/>
        <v>136.52284799999998</v>
      </c>
      <c r="I13" s="128">
        <f t="shared" si="4"/>
        <v>1320.26</v>
      </c>
      <c r="J13" s="251">
        <f t="shared" si="5"/>
        <v>1619.1609772799998</v>
      </c>
    </row>
    <row r="14" spans="1:10" ht="20.399999999999999">
      <c r="A14" s="86" t="s">
        <v>221</v>
      </c>
      <c r="B14" s="86" t="s">
        <v>67</v>
      </c>
      <c r="C14" s="65">
        <v>96527</v>
      </c>
      <c r="D14" s="81" t="s">
        <v>220</v>
      </c>
      <c r="E14" s="64" t="s">
        <v>87</v>
      </c>
      <c r="F14" s="254">
        <f>'Memória de cálculo'!H98</f>
        <v>0.94000000000000006</v>
      </c>
      <c r="G14" s="128">
        <v>108.17</v>
      </c>
      <c r="H14" s="128">
        <f t="shared" si="3"/>
        <v>132.65968799999999</v>
      </c>
      <c r="I14" s="128">
        <f t="shared" si="4"/>
        <v>101.68</v>
      </c>
      <c r="J14" s="251">
        <f t="shared" si="5"/>
        <v>124.70010671999999</v>
      </c>
    </row>
    <row r="15" spans="1:10" ht="30.6">
      <c r="A15" s="86" t="s">
        <v>222</v>
      </c>
      <c r="B15" s="86" t="s">
        <v>67</v>
      </c>
      <c r="C15" s="65">
        <v>92471</v>
      </c>
      <c r="D15" s="67" t="s">
        <v>270</v>
      </c>
      <c r="E15" s="64" t="s">
        <v>89</v>
      </c>
      <c r="F15" s="254">
        <f>'Memória de cálculo'!H107</f>
        <v>4.74</v>
      </c>
      <c r="G15" s="128">
        <v>91.71</v>
      </c>
      <c r="H15" s="128">
        <f t="shared" si="3"/>
        <v>112.47314399999999</v>
      </c>
      <c r="I15" s="128">
        <f t="shared" si="4"/>
        <v>434.71</v>
      </c>
      <c r="J15" s="251">
        <f t="shared" si="5"/>
        <v>533.12270255999999</v>
      </c>
    </row>
    <row r="16" spans="1:10" ht="30.6">
      <c r="A16" s="86" t="s">
        <v>224</v>
      </c>
      <c r="B16" s="86" t="s">
        <v>67</v>
      </c>
      <c r="C16" s="65">
        <v>95957</v>
      </c>
      <c r="D16" s="67" t="s">
        <v>272</v>
      </c>
      <c r="E16" s="64" t="s">
        <v>87</v>
      </c>
      <c r="F16" s="254">
        <f>'Memória de cálculo'!H116</f>
        <v>0.94000000000000006</v>
      </c>
      <c r="G16" s="128">
        <v>3445.97</v>
      </c>
      <c r="H16" s="128">
        <f t="shared" si="3"/>
        <v>4226.1376079999991</v>
      </c>
      <c r="I16" s="128">
        <f t="shared" si="4"/>
        <v>3239.21</v>
      </c>
      <c r="J16" s="251">
        <f t="shared" si="5"/>
        <v>3972.5693515199996</v>
      </c>
    </row>
    <row r="17" spans="1:10" ht="30.6">
      <c r="A17" s="86" t="s">
        <v>226</v>
      </c>
      <c r="B17" s="86" t="s">
        <v>67</v>
      </c>
      <c r="C17" s="65">
        <v>98562</v>
      </c>
      <c r="D17" s="67" t="s">
        <v>223</v>
      </c>
      <c r="E17" s="64" t="s">
        <v>89</v>
      </c>
      <c r="F17" s="254">
        <f>'Memória de cálculo'!H126</f>
        <v>14.22</v>
      </c>
      <c r="G17" s="128">
        <v>39.380000000000003</v>
      </c>
      <c r="H17" s="128">
        <f t="shared" si="3"/>
        <v>48.295631999999998</v>
      </c>
      <c r="I17" s="128">
        <f t="shared" si="4"/>
        <v>559.98</v>
      </c>
      <c r="J17" s="251">
        <f t="shared" si="5"/>
        <v>686.76388703999999</v>
      </c>
    </row>
    <row r="18" spans="1:10">
      <c r="A18" s="86" t="s">
        <v>271</v>
      </c>
      <c r="B18" s="86" t="s">
        <v>67</v>
      </c>
      <c r="C18" s="65">
        <v>96995</v>
      </c>
      <c r="D18" s="67" t="s">
        <v>225</v>
      </c>
      <c r="E18" s="64" t="s">
        <v>87</v>
      </c>
      <c r="F18" s="128">
        <f>'Memória de cálculo'!H129</f>
        <v>13.28</v>
      </c>
      <c r="G18" s="128">
        <v>43.63</v>
      </c>
      <c r="H18" s="128">
        <f t="shared" si="3"/>
        <v>53.507832000000001</v>
      </c>
      <c r="I18" s="128">
        <f t="shared" si="4"/>
        <v>579.41</v>
      </c>
      <c r="J18" s="251">
        <f t="shared" si="5"/>
        <v>710.58400896000001</v>
      </c>
    </row>
    <row r="19" spans="1:10" ht="20.399999999999999">
      <c r="A19" s="86" t="s">
        <v>320</v>
      </c>
      <c r="B19" s="86" t="s">
        <v>88</v>
      </c>
      <c r="C19" s="65" t="s">
        <v>210</v>
      </c>
      <c r="D19" s="102" t="s">
        <v>211</v>
      </c>
      <c r="E19" s="64" t="s">
        <v>89</v>
      </c>
      <c r="F19" s="128">
        <f>'Memória de cálculo'!H138</f>
        <v>67.290000000000006</v>
      </c>
      <c r="G19" s="128">
        <v>64</v>
      </c>
      <c r="H19" s="128">
        <f t="shared" si="3"/>
        <v>78.489599999999996</v>
      </c>
      <c r="I19" s="128">
        <f t="shared" si="4"/>
        <v>4306.5600000000004</v>
      </c>
      <c r="J19" s="251">
        <f t="shared" si="5"/>
        <v>5281.565184</v>
      </c>
    </row>
    <row r="20" spans="1:10">
      <c r="A20" s="53" t="s">
        <v>236</v>
      </c>
      <c r="B20" s="53"/>
      <c r="C20" s="53"/>
      <c r="D20" s="59" t="s">
        <v>94</v>
      </c>
      <c r="E20" s="54"/>
      <c r="F20" s="51"/>
      <c r="G20" s="55"/>
      <c r="H20" s="55"/>
      <c r="I20" s="55"/>
      <c r="J20" s="55">
        <f>SUM(J21:J26)</f>
        <v>30214.374829968001</v>
      </c>
    </row>
    <row r="21" spans="1:10">
      <c r="A21" s="56" t="s">
        <v>237</v>
      </c>
      <c r="B21" s="87" t="s">
        <v>88</v>
      </c>
      <c r="C21" s="65" t="s">
        <v>148</v>
      </c>
      <c r="D21" s="67" t="s">
        <v>149</v>
      </c>
      <c r="E21" s="101" t="s">
        <v>89</v>
      </c>
      <c r="F21" s="88">
        <f>'Memória de cálculo'!H150</f>
        <v>14.309999999999999</v>
      </c>
      <c r="G21" s="88">
        <v>15.57</v>
      </c>
      <c r="H21" s="128">
        <f t="shared" ref="H21" si="6">G21*(1+$I$3)</f>
        <v>19.095047999999998</v>
      </c>
      <c r="I21" s="128">
        <f t="shared" ref="I21" si="7">ROUND(F21*G21,2)</f>
        <v>222.81</v>
      </c>
      <c r="J21" s="251">
        <f t="shared" ref="J21" si="8">H21*F21</f>
        <v>273.25013687999996</v>
      </c>
    </row>
    <row r="22" spans="1:10">
      <c r="A22" s="56" t="s">
        <v>238</v>
      </c>
      <c r="B22" s="87" t="s">
        <v>67</v>
      </c>
      <c r="C22" s="65">
        <v>93184</v>
      </c>
      <c r="D22" s="67" t="s">
        <v>82</v>
      </c>
      <c r="E22" s="101" t="s">
        <v>83</v>
      </c>
      <c r="F22" s="88">
        <f>'Memória de cálculo'!H163</f>
        <v>16.5</v>
      </c>
      <c r="G22" s="88">
        <v>34</v>
      </c>
      <c r="H22" s="128">
        <f t="shared" ref="H22:H26" si="9">G22*(1+$I$3)</f>
        <v>41.697599999999994</v>
      </c>
      <c r="I22" s="128">
        <f t="shared" ref="I22:I26" si="10">ROUND(F22*G22,2)</f>
        <v>561</v>
      </c>
      <c r="J22" s="251">
        <f t="shared" ref="J22:J26" si="11">H22*F22</f>
        <v>688.01039999999989</v>
      </c>
    </row>
    <row r="23" spans="1:10" ht="40.799999999999997">
      <c r="A23" s="56" t="s">
        <v>239</v>
      </c>
      <c r="B23" s="87" t="s">
        <v>92</v>
      </c>
      <c r="C23" s="65">
        <v>91315</v>
      </c>
      <c r="D23" s="67" t="s">
        <v>93</v>
      </c>
      <c r="E23" s="101" t="s">
        <v>100</v>
      </c>
      <c r="F23" s="88">
        <f>'Memória de cálculo'!H176</f>
        <v>11</v>
      </c>
      <c r="G23" s="88">
        <v>818.58</v>
      </c>
      <c r="H23" s="128">
        <f t="shared" si="9"/>
        <v>1003.906512</v>
      </c>
      <c r="I23" s="128">
        <f t="shared" si="10"/>
        <v>9004.3799999999992</v>
      </c>
      <c r="J23" s="251">
        <f t="shared" si="11"/>
        <v>11042.971632000001</v>
      </c>
    </row>
    <row r="24" spans="1:10" ht="31.8">
      <c r="A24" s="56" t="s">
        <v>240</v>
      </c>
      <c r="B24" s="87" t="s">
        <v>92</v>
      </c>
      <c r="C24" s="266" t="s">
        <v>328</v>
      </c>
      <c r="D24" s="264" t="s">
        <v>330</v>
      </c>
      <c r="E24" s="101" t="s">
        <v>100</v>
      </c>
      <c r="F24" s="88">
        <f>'Memória de cálculo'!H179</f>
        <v>2</v>
      </c>
      <c r="G24" s="88">
        <v>301.85000000000002</v>
      </c>
      <c r="H24" s="128">
        <f t="shared" si="9"/>
        <v>370.18884000000003</v>
      </c>
      <c r="I24" s="128">
        <f t="shared" si="10"/>
        <v>603.70000000000005</v>
      </c>
      <c r="J24" s="251">
        <f t="shared" si="11"/>
        <v>740.37768000000005</v>
      </c>
    </row>
    <row r="25" spans="1:10">
      <c r="A25" s="56" t="s">
        <v>329</v>
      </c>
      <c r="B25" s="87" t="s">
        <v>101</v>
      </c>
      <c r="C25" s="65">
        <f>COMPOSIÇÕES!A9</f>
        <v>1</v>
      </c>
      <c r="D25" s="125" t="str">
        <f>COMPOSIÇÕES!D9</f>
        <v>GUARDA CORPO DE TUBO DE AÇO INOX</v>
      </c>
      <c r="E25" s="64" t="s">
        <v>83</v>
      </c>
      <c r="F25" s="88">
        <f>'Memória de cálculo'!H182</f>
        <v>37.89</v>
      </c>
      <c r="G25" s="88">
        <f>COMPOSIÇÕES!J9</f>
        <v>370.82800000000003</v>
      </c>
      <c r="H25" s="128">
        <f t="shared" si="9"/>
        <v>454.78345920000004</v>
      </c>
      <c r="I25" s="128">
        <f t="shared" si="10"/>
        <v>14050.67</v>
      </c>
      <c r="J25" s="251">
        <f t="shared" si="11"/>
        <v>17231.745269088002</v>
      </c>
    </row>
    <row r="26" spans="1:10">
      <c r="A26" s="56" t="s">
        <v>332</v>
      </c>
      <c r="B26" s="87" t="s">
        <v>88</v>
      </c>
      <c r="C26" s="65" t="s">
        <v>331</v>
      </c>
      <c r="D26" s="125" t="s">
        <v>333</v>
      </c>
      <c r="E26" s="101" t="s">
        <v>100</v>
      </c>
      <c r="F26" s="88">
        <f>'Memória de cálculo'!H185</f>
        <v>2</v>
      </c>
      <c r="G26" s="88">
        <v>97.04</v>
      </c>
      <c r="H26" s="128">
        <f t="shared" si="9"/>
        <v>119.009856</v>
      </c>
      <c r="I26" s="128">
        <f t="shared" si="10"/>
        <v>194.08</v>
      </c>
      <c r="J26" s="251">
        <f t="shared" si="11"/>
        <v>238.019712</v>
      </c>
    </row>
    <row r="27" spans="1:10">
      <c r="A27" s="53" t="s">
        <v>69</v>
      </c>
      <c r="B27" s="53"/>
      <c r="C27" s="53"/>
      <c r="D27" s="59" t="s">
        <v>95</v>
      </c>
      <c r="E27" s="54"/>
      <c r="F27" s="51"/>
      <c r="G27" s="55"/>
      <c r="H27" s="55"/>
      <c r="I27" s="55"/>
      <c r="J27" s="55">
        <f>SUM(J28:J36)</f>
        <v>20391.110585999999</v>
      </c>
    </row>
    <row r="28" spans="1:10" ht="20.399999999999999">
      <c r="A28" s="82" t="s">
        <v>70</v>
      </c>
      <c r="B28" s="86" t="s">
        <v>88</v>
      </c>
      <c r="C28" s="89" t="s">
        <v>146</v>
      </c>
      <c r="D28" s="91" t="s">
        <v>96</v>
      </c>
      <c r="E28" s="64" t="s">
        <v>89</v>
      </c>
      <c r="F28" s="80">
        <f>'Memória de cálculo'!H190</f>
        <v>207.15</v>
      </c>
      <c r="G28" s="66">
        <v>6.66</v>
      </c>
      <c r="H28" s="128">
        <f t="shared" ref="H28" si="12">G28*(1+$I$3)</f>
        <v>8.1678239999999995</v>
      </c>
      <c r="I28" s="128">
        <f t="shared" ref="I28" si="13">ROUND(F28*G28,2)</f>
        <v>1379.62</v>
      </c>
      <c r="J28" s="251">
        <f t="shared" ref="J28" si="14">H28*F28</f>
        <v>1691.9647416</v>
      </c>
    </row>
    <row r="29" spans="1:10">
      <c r="A29" s="82" t="s">
        <v>71</v>
      </c>
      <c r="B29" s="56" t="s">
        <v>88</v>
      </c>
      <c r="C29" s="65" t="s">
        <v>91</v>
      </c>
      <c r="D29" s="79" t="s">
        <v>90</v>
      </c>
      <c r="E29" s="64" t="s">
        <v>89</v>
      </c>
      <c r="F29" s="88">
        <f>'Memória de cálculo'!H193</f>
        <v>207.15</v>
      </c>
      <c r="G29" s="66">
        <v>37.33</v>
      </c>
      <c r="H29" s="128">
        <f t="shared" ref="H29:H36" si="15">G29*(1+$I$3)</f>
        <v>45.781511999999992</v>
      </c>
      <c r="I29" s="128">
        <f t="shared" ref="I29:I36" si="16">ROUND(F29*G29,2)</f>
        <v>7732.91</v>
      </c>
      <c r="J29" s="251">
        <f t="shared" ref="J29:J36" si="17">H29*F29</f>
        <v>9483.6402107999984</v>
      </c>
    </row>
    <row r="30" spans="1:10" ht="21.6">
      <c r="A30" s="82" t="s">
        <v>72</v>
      </c>
      <c r="B30" s="87" t="s">
        <v>67</v>
      </c>
      <c r="C30" s="83">
        <v>88485</v>
      </c>
      <c r="D30" s="84" t="s">
        <v>103</v>
      </c>
      <c r="E30" s="64" t="s">
        <v>89</v>
      </c>
      <c r="F30" s="2">
        <f>'Memória de cálculo'!H196</f>
        <v>207.15</v>
      </c>
      <c r="G30" s="2">
        <v>2.65</v>
      </c>
      <c r="H30" s="128">
        <f t="shared" si="15"/>
        <v>3.2499599999999997</v>
      </c>
      <c r="I30" s="128">
        <f t="shared" si="16"/>
        <v>548.95000000000005</v>
      </c>
      <c r="J30" s="251">
        <f t="shared" si="17"/>
        <v>673.22921399999996</v>
      </c>
    </row>
    <row r="31" spans="1:10" ht="20.399999999999999">
      <c r="A31" s="82" t="s">
        <v>98</v>
      </c>
      <c r="B31" s="87" t="s">
        <v>67</v>
      </c>
      <c r="C31" s="89">
        <v>88495</v>
      </c>
      <c r="D31" s="91" t="s">
        <v>97</v>
      </c>
      <c r="E31" s="64" t="s">
        <v>89</v>
      </c>
      <c r="F31" s="88">
        <f>'Memória de cálculo'!H199</f>
        <v>207.15</v>
      </c>
      <c r="G31" s="66">
        <v>9.41</v>
      </c>
      <c r="H31" s="128">
        <f t="shared" si="15"/>
        <v>11.540424</v>
      </c>
      <c r="I31" s="128">
        <f t="shared" si="16"/>
        <v>1949.28</v>
      </c>
      <c r="J31" s="251">
        <f t="shared" si="17"/>
        <v>2390.5988315999998</v>
      </c>
    </row>
    <row r="32" spans="1:10" ht="20.399999999999999">
      <c r="A32" s="82" t="s">
        <v>241</v>
      </c>
      <c r="B32" s="87" t="s">
        <v>67</v>
      </c>
      <c r="C32" s="83">
        <v>88489</v>
      </c>
      <c r="D32" s="90" t="s">
        <v>85</v>
      </c>
      <c r="E32" s="64" t="s">
        <v>89</v>
      </c>
      <c r="F32" s="2">
        <f>'Memória de cálculo'!H202</f>
        <v>207.15</v>
      </c>
      <c r="G32" s="2">
        <v>14.66</v>
      </c>
      <c r="H32" s="128">
        <f t="shared" si="15"/>
        <v>17.979023999999999</v>
      </c>
      <c r="I32" s="128">
        <f t="shared" si="16"/>
        <v>3036.82</v>
      </c>
      <c r="J32" s="251">
        <f t="shared" si="17"/>
        <v>3724.3548215999999</v>
      </c>
    </row>
    <row r="33" spans="1:11" ht="20.399999999999999">
      <c r="A33" s="82" t="s">
        <v>242</v>
      </c>
      <c r="B33" s="87" t="s">
        <v>92</v>
      </c>
      <c r="C33" s="65">
        <v>102193</v>
      </c>
      <c r="D33" s="67" t="s">
        <v>151</v>
      </c>
      <c r="E33" s="101" t="s">
        <v>89</v>
      </c>
      <c r="F33" s="88">
        <f>'Memória de cálculo'!H216</f>
        <v>66.150000000000006</v>
      </c>
      <c r="G33" s="88">
        <v>1.56</v>
      </c>
      <c r="H33" s="128">
        <f t="shared" si="15"/>
        <v>1.913184</v>
      </c>
      <c r="I33" s="128">
        <f t="shared" si="16"/>
        <v>103.19</v>
      </c>
      <c r="J33" s="251">
        <f t="shared" si="17"/>
        <v>126.55712160000002</v>
      </c>
    </row>
    <row r="34" spans="1:11" s="245" customFormat="1" ht="20.399999999999999">
      <c r="A34" s="82" t="s">
        <v>243</v>
      </c>
      <c r="B34" s="87" t="s">
        <v>92</v>
      </c>
      <c r="C34" s="93">
        <v>102217</v>
      </c>
      <c r="D34" s="67" t="s">
        <v>150</v>
      </c>
      <c r="E34" s="101" t="s">
        <v>89</v>
      </c>
      <c r="F34" s="88">
        <f>'Memória de cálculo'!H219</f>
        <v>66.150000000000006</v>
      </c>
      <c r="G34" s="88">
        <v>14.6</v>
      </c>
      <c r="H34" s="128">
        <f t="shared" si="15"/>
        <v>17.905439999999999</v>
      </c>
      <c r="I34" s="128">
        <f t="shared" si="16"/>
        <v>965.79</v>
      </c>
      <c r="J34" s="251">
        <f t="shared" si="17"/>
        <v>1184.4448560000001</v>
      </c>
      <c r="K34" s="210"/>
    </row>
    <row r="35" spans="1:11" s="245" customFormat="1">
      <c r="A35" s="82" t="s">
        <v>335</v>
      </c>
      <c r="B35" s="86" t="s">
        <v>88</v>
      </c>
      <c r="C35" s="93" t="s">
        <v>336</v>
      </c>
      <c r="D35" s="264" t="s">
        <v>337</v>
      </c>
      <c r="E35" s="301" t="s">
        <v>298</v>
      </c>
      <c r="F35" s="302">
        <f>'Memória de cálculo'!H226</f>
        <v>8.1000000000000014</v>
      </c>
      <c r="G35" s="128">
        <v>41.17</v>
      </c>
      <c r="H35" s="128">
        <f t="shared" si="15"/>
        <v>50.490887999999998</v>
      </c>
      <c r="I35" s="128">
        <f t="shared" si="16"/>
        <v>333.48</v>
      </c>
      <c r="J35" s="251">
        <f t="shared" si="17"/>
        <v>408.97619280000004</v>
      </c>
      <c r="K35" s="210"/>
    </row>
    <row r="36" spans="1:11" s="245" customFormat="1" ht="20.399999999999999">
      <c r="A36" s="82" t="s">
        <v>338</v>
      </c>
      <c r="B36" s="86" t="s">
        <v>67</v>
      </c>
      <c r="C36" s="93">
        <v>88488</v>
      </c>
      <c r="D36" s="303" t="s">
        <v>339</v>
      </c>
      <c r="E36" s="86" t="s">
        <v>298</v>
      </c>
      <c r="F36" s="128">
        <f>'Memória de cálculo'!H232</f>
        <v>36.620000000000005</v>
      </c>
      <c r="G36" s="128">
        <v>15.75</v>
      </c>
      <c r="H36" s="128">
        <f t="shared" si="15"/>
        <v>19.315799999999999</v>
      </c>
      <c r="I36" s="128">
        <f t="shared" si="16"/>
        <v>576.77</v>
      </c>
      <c r="J36" s="251">
        <f t="shared" si="17"/>
        <v>707.34459600000002</v>
      </c>
      <c r="K36" s="210"/>
    </row>
    <row r="37" spans="1:11">
      <c r="A37" s="53" t="s">
        <v>73</v>
      </c>
      <c r="B37" s="53"/>
      <c r="C37" s="53"/>
      <c r="D37" s="59" t="s">
        <v>99</v>
      </c>
      <c r="E37" s="54"/>
      <c r="F37" s="51"/>
      <c r="G37" s="55"/>
      <c r="H37" s="55"/>
      <c r="I37" s="55"/>
      <c r="J37" s="55">
        <f>SUM(J38:J44)</f>
        <v>31589.589615360001</v>
      </c>
    </row>
    <row r="38" spans="1:11" ht="40.799999999999997">
      <c r="A38" s="56" t="s">
        <v>75</v>
      </c>
      <c r="B38" s="86" t="s">
        <v>67</v>
      </c>
      <c r="C38" s="92">
        <v>87755</v>
      </c>
      <c r="D38" s="67" t="s">
        <v>234</v>
      </c>
      <c r="E38" s="64" t="s">
        <v>89</v>
      </c>
      <c r="F38" s="128">
        <f>'Memória de cálculo'!H236</f>
        <v>4.8600000000000003</v>
      </c>
      <c r="G38" s="128">
        <v>43.46</v>
      </c>
      <c r="H38" s="128">
        <f t="shared" ref="H38" si="18">G38*(1+$I$3)</f>
        <v>53.299343999999998</v>
      </c>
      <c r="I38" s="128">
        <f t="shared" ref="I38" si="19">ROUND(F38*G38,2)</f>
        <v>211.22</v>
      </c>
      <c r="J38" s="251">
        <f t="shared" ref="J38" si="20">H38*F38</f>
        <v>259.03481184000003</v>
      </c>
    </row>
    <row r="39" spans="1:11" ht="30.6">
      <c r="A39" s="56" t="s">
        <v>76</v>
      </c>
      <c r="B39" s="86" t="s">
        <v>67</v>
      </c>
      <c r="C39" s="260">
        <v>87249</v>
      </c>
      <c r="D39" s="81" t="s">
        <v>273</v>
      </c>
      <c r="E39" s="64" t="s">
        <v>89</v>
      </c>
      <c r="F39" s="128">
        <f>'Memória de cálculo'!H239</f>
        <v>4.8600000000000003</v>
      </c>
      <c r="G39" s="128">
        <v>65.349999999999994</v>
      </c>
      <c r="H39" s="128">
        <f t="shared" ref="H39:H44" si="21">G39*(1+$I$3)</f>
        <v>80.145239999999987</v>
      </c>
      <c r="I39" s="128">
        <f t="shared" ref="I39:I44" si="22">ROUND(F39*G39,2)</f>
        <v>317.60000000000002</v>
      </c>
      <c r="J39" s="251">
        <f t="shared" ref="J39:J44" si="23">H39*F39</f>
        <v>389.50586639999995</v>
      </c>
    </row>
    <row r="40" spans="1:11" ht="51">
      <c r="A40" s="56" t="s">
        <v>80</v>
      </c>
      <c r="B40" s="86" t="s">
        <v>67</v>
      </c>
      <c r="C40" s="65">
        <v>87535</v>
      </c>
      <c r="D40" s="67" t="s">
        <v>235</v>
      </c>
      <c r="E40" s="64" t="s">
        <v>89</v>
      </c>
      <c r="F40" s="128">
        <f>'Memória de cálculo'!H245</f>
        <v>26.490000000000002</v>
      </c>
      <c r="G40" s="128">
        <v>31.29</v>
      </c>
      <c r="H40" s="128">
        <f t="shared" si="21"/>
        <v>38.374055999999996</v>
      </c>
      <c r="I40" s="128">
        <f t="shared" si="22"/>
        <v>828.87</v>
      </c>
      <c r="J40" s="251">
        <f t="shared" si="23"/>
        <v>1016.52874344</v>
      </c>
    </row>
    <row r="41" spans="1:11" ht="30.6">
      <c r="A41" s="56" t="s">
        <v>81</v>
      </c>
      <c r="B41" s="86" t="s">
        <v>67</v>
      </c>
      <c r="C41" s="260">
        <v>87275</v>
      </c>
      <c r="D41" s="67" t="s">
        <v>274</v>
      </c>
      <c r="E41" s="64" t="s">
        <v>89</v>
      </c>
      <c r="F41" s="128">
        <f>'Memória de cálculo'!H248</f>
        <v>26.49</v>
      </c>
      <c r="G41" s="128">
        <v>78.23</v>
      </c>
      <c r="H41" s="128">
        <f t="shared" si="21"/>
        <v>95.941271999999998</v>
      </c>
      <c r="I41" s="128">
        <f t="shared" si="22"/>
        <v>2072.31</v>
      </c>
      <c r="J41" s="251">
        <f t="shared" si="23"/>
        <v>2541.48429528</v>
      </c>
    </row>
    <row r="42" spans="1:11" ht="40.799999999999997">
      <c r="A42" s="56" t="s">
        <v>84</v>
      </c>
      <c r="B42" s="87" t="s">
        <v>67</v>
      </c>
      <c r="C42" s="93" t="s">
        <v>201</v>
      </c>
      <c r="D42" s="67" t="s">
        <v>202</v>
      </c>
      <c r="E42" s="101" t="s">
        <v>89</v>
      </c>
      <c r="F42" s="88">
        <f>'Memória de cálculo'!H251</f>
        <v>108.1</v>
      </c>
      <c r="G42" s="88">
        <v>28.26</v>
      </c>
      <c r="H42" s="128">
        <f t="shared" si="21"/>
        <v>34.658064000000003</v>
      </c>
      <c r="I42" s="128">
        <f t="shared" si="22"/>
        <v>3054.91</v>
      </c>
      <c r="J42" s="251">
        <f t="shared" si="23"/>
        <v>3746.5367184000002</v>
      </c>
    </row>
    <row r="43" spans="1:11">
      <c r="A43" s="56" t="s">
        <v>116</v>
      </c>
      <c r="B43" s="87" t="s">
        <v>88</v>
      </c>
      <c r="C43" s="93" t="s">
        <v>340</v>
      </c>
      <c r="D43" s="67" t="s">
        <v>341</v>
      </c>
      <c r="E43" s="101" t="s">
        <v>89</v>
      </c>
      <c r="F43" s="88">
        <f>'Memória de cálculo'!H254</f>
        <v>108.1</v>
      </c>
      <c r="G43" s="88">
        <v>40.75</v>
      </c>
      <c r="H43" s="128">
        <f t="shared" si="21"/>
        <v>49.9758</v>
      </c>
      <c r="I43" s="128">
        <f t="shared" si="22"/>
        <v>4405.08</v>
      </c>
      <c r="J43" s="251">
        <f t="shared" si="23"/>
        <v>5402.3839799999996</v>
      </c>
    </row>
    <row r="44" spans="1:11" ht="20.399999999999999">
      <c r="A44" s="56" t="s">
        <v>153</v>
      </c>
      <c r="B44" s="86" t="s">
        <v>67</v>
      </c>
      <c r="C44" s="92">
        <v>101094</v>
      </c>
      <c r="D44" s="67" t="s">
        <v>342</v>
      </c>
      <c r="E44" s="249" t="s">
        <v>83</v>
      </c>
      <c r="F44" s="128">
        <f>'Memória de cálculo'!H257</f>
        <v>87.5</v>
      </c>
      <c r="G44" s="128">
        <v>169.92</v>
      </c>
      <c r="H44" s="128">
        <f t="shared" si="21"/>
        <v>208.38988799999998</v>
      </c>
      <c r="I44" s="128">
        <f t="shared" si="22"/>
        <v>14868</v>
      </c>
      <c r="J44" s="251">
        <f t="shared" si="23"/>
        <v>18234.1152</v>
      </c>
    </row>
    <row r="45" spans="1:11">
      <c r="A45" s="53" t="s">
        <v>74</v>
      </c>
      <c r="B45" s="53"/>
      <c r="C45" s="53"/>
      <c r="D45" s="59" t="s">
        <v>102</v>
      </c>
      <c r="E45" s="54"/>
      <c r="F45" s="51"/>
      <c r="G45" s="55"/>
      <c r="H45" s="55"/>
      <c r="I45" s="55"/>
      <c r="J45" s="55">
        <f>SUM(J46:J46)</f>
        <v>10759.188803999999</v>
      </c>
    </row>
    <row r="46" spans="1:11" ht="20.399999999999999">
      <c r="A46" s="82" t="s">
        <v>77</v>
      </c>
      <c r="B46" s="87" t="s">
        <v>101</v>
      </c>
      <c r="C46" s="127">
        <f>COMPOSIÇÕES!A18</f>
        <v>2</v>
      </c>
      <c r="D46" s="67" t="str">
        <f>COMPOSIÇÕES!D18</f>
        <v>PLAYGROUND DE EUCALIPTO COMPLETO: 1 BALANÇO DUPLO, 1 LIXEIRA 1 E GANGORRA DUPLA</v>
      </c>
      <c r="E46" s="101" t="s">
        <v>100</v>
      </c>
      <c r="F46" s="88">
        <f>'Memória de cálculo'!H261</f>
        <v>1</v>
      </c>
      <c r="G46" s="88">
        <f>COMPOSIÇÕES!J18</f>
        <v>8772.9850000000006</v>
      </c>
      <c r="H46" s="128">
        <f t="shared" ref="H46" si="24">G46*(1+$I$3)</f>
        <v>10759.188803999999</v>
      </c>
      <c r="I46" s="128">
        <f t="shared" ref="I46" si="25">ROUND(F46*G46,2)</f>
        <v>8772.99</v>
      </c>
      <c r="J46" s="251">
        <f t="shared" ref="J46" si="26">H46*F46</f>
        <v>10759.188803999999</v>
      </c>
    </row>
    <row r="47" spans="1:11">
      <c r="A47" s="53" t="s">
        <v>78</v>
      </c>
      <c r="B47" s="53"/>
      <c r="C47" s="53"/>
      <c r="D47" s="59" t="s">
        <v>178</v>
      </c>
      <c r="E47" s="54"/>
      <c r="F47" s="51"/>
      <c r="G47" s="55"/>
      <c r="H47" s="55"/>
      <c r="I47" s="55"/>
      <c r="J47" s="55">
        <f>SUM(J48:J61)</f>
        <v>7757.0658480000002</v>
      </c>
    </row>
    <row r="48" spans="1:11" ht="30.6">
      <c r="A48" s="263" t="s">
        <v>79</v>
      </c>
      <c r="B48" s="86" t="s">
        <v>88</v>
      </c>
      <c r="C48" s="65" t="s">
        <v>275</v>
      </c>
      <c r="D48" s="67" t="s">
        <v>276</v>
      </c>
      <c r="E48" s="249" t="s">
        <v>179</v>
      </c>
      <c r="F48" s="128">
        <f>'Memória de cálculo'!H266</f>
        <v>3</v>
      </c>
      <c r="G48" s="128">
        <v>228.48</v>
      </c>
      <c r="H48" s="128">
        <f t="shared" ref="H48" si="27">G48*(1+$I$3)</f>
        <v>280.20787199999995</v>
      </c>
      <c r="I48" s="128">
        <f t="shared" ref="I48" si="28">ROUND(F48*G48,2)</f>
        <v>685.44</v>
      </c>
      <c r="J48" s="251">
        <f t="shared" ref="J48" si="29">H48*F48</f>
        <v>840.62361599999986</v>
      </c>
    </row>
    <row r="49" spans="1:10" ht="30.6">
      <c r="A49" s="263" t="s">
        <v>244</v>
      </c>
      <c r="B49" s="86" t="s">
        <v>88</v>
      </c>
      <c r="C49" s="65" t="s">
        <v>277</v>
      </c>
      <c r="D49" s="67" t="s">
        <v>278</v>
      </c>
      <c r="E49" s="249" t="s">
        <v>179</v>
      </c>
      <c r="F49" s="128">
        <f>'Memória de cálculo'!H269</f>
        <v>1</v>
      </c>
      <c r="G49" s="128">
        <v>224.12</v>
      </c>
      <c r="H49" s="128">
        <f t="shared" ref="H49:H61" si="30">G49*(1+$I$3)</f>
        <v>274.86076800000001</v>
      </c>
      <c r="I49" s="128">
        <f t="shared" ref="I49:I61" si="31">ROUND(F49*G49,2)</f>
        <v>224.12</v>
      </c>
      <c r="J49" s="251">
        <f t="shared" ref="J49:J61" si="32">H49*F49</f>
        <v>274.86076800000001</v>
      </c>
    </row>
    <row r="50" spans="1:10">
      <c r="A50" s="263" t="s">
        <v>245</v>
      </c>
      <c r="B50" s="86" t="s">
        <v>88</v>
      </c>
      <c r="C50" s="65" t="s">
        <v>279</v>
      </c>
      <c r="D50" s="67" t="s">
        <v>280</v>
      </c>
      <c r="E50" s="249" t="s">
        <v>179</v>
      </c>
      <c r="F50" s="128">
        <f>'Memória de cálculo'!H274</f>
        <v>3</v>
      </c>
      <c r="G50" s="128">
        <v>209.97</v>
      </c>
      <c r="H50" s="128">
        <f t="shared" si="30"/>
        <v>257.50720799999999</v>
      </c>
      <c r="I50" s="128">
        <f t="shared" si="31"/>
        <v>629.91</v>
      </c>
      <c r="J50" s="251">
        <f t="shared" si="32"/>
        <v>772.52162399999997</v>
      </c>
    </row>
    <row r="51" spans="1:10" ht="20.399999999999999">
      <c r="A51" s="82" t="s">
        <v>246</v>
      </c>
      <c r="B51" s="86" t="s">
        <v>67</v>
      </c>
      <c r="C51" s="127">
        <v>86888</v>
      </c>
      <c r="D51" s="67" t="s">
        <v>184</v>
      </c>
      <c r="E51" s="101" t="s">
        <v>100</v>
      </c>
      <c r="F51" s="88">
        <f>'Memória de cálculo'!H278</f>
        <v>3</v>
      </c>
      <c r="G51" s="88">
        <v>439.6</v>
      </c>
      <c r="H51" s="128">
        <f t="shared" si="30"/>
        <v>539.12544000000003</v>
      </c>
      <c r="I51" s="128">
        <f t="shared" si="31"/>
        <v>1318.8</v>
      </c>
      <c r="J51" s="251">
        <f t="shared" si="32"/>
        <v>1617.3763200000001</v>
      </c>
    </row>
    <row r="52" spans="1:10" ht="20.399999999999999">
      <c r="A52" s="82" t="s">
        <v>247</v>
      </c>
      <c r="B52" s="86" t="s">
        <v>67</v>
      </c>
      <c r="C52" s="65">
        <v>100867</v>
      </c>
      <c r="D52" s="67" t="s">
        <v>186</v>
      </c>
      <c r="E52" s="249" t="s">
        <v>100</v>
      </c>
      <c r="F52" s="128">
        <f>'Memória de cálculo'!H281</f>
        <v>2</v>
      </c>
      <c r="G52" s="250">
        <v>331.56</v>
      </c>
      <c r="H52" s="128">
        <f t="shared" si="30"/>
        <v>406.62518399999999</v>
      </c>
      <c r="I52" s="128">
        <f t="shared" si="31"/>
        <v>663.12</v>
      </c>
      <c r="J52" s="251">
        <f t="shared" si="32"/>
        <v>813.25036799999998</v>
      </c>
    </row>
    <row r="53" spans="1:10" ht="20.399999999999999">
      <c r="A53" s="82" t="s">
        <v>248</v>
      </c>
      <c r="B53" s="86" t="s">
        <v>67</v>
      </c>
      <c r="C53" s="65">
        <v>100874</v>
      </c>
      <c r="D53" s="67" t="s">
        <v>187</v>
      </c>
      <c r="E53" s="249" t="s">
        <v>100</v>
      </c>
      <c r="F53" s="128">
        <f>'Memória de cálculo'!H284</f>
        <v>1</v>
      </c>
      <c r="G53" s="250">
        <v>312.89</v>
      </c>
      <c r="H53" s="128">
        <f t="shared" si="30"/>
        <v>383.72829599999994</v>
      </c>
      <c r="I53" s="128">
        <f t="shared" si="31"/>
        <v>312.89</v>
      </c>
      <c r="J53" s="251">
        <f t="shared" si="32"/>
        <v>383.72829599999994</v>
      </c>
    </row>
    <row r="54" spans="1:10" ht="40.799999999999997">
      <c r="A54" s="82" t="s">
        <v>249</v>
      </c>
      <c r="B54" s="86" t="s">
        <v>67</v>
      </c>
      <c r="C54" s="65">
        <v>86943</v>
      </c>
      <c r="D54" s="67" t="s">
        <v>188</v>
      </c>
      <c r="E54" s="249" t="s">
        <v>100</v>
      </c>
      <c r="F54" s="88">
        <f>'Memória de cálculo'!H287</f>
        <v>1</v>
      </c>
      <c r="G54" s="88">
        <v>235.91</v>
      </c>
      <c r="H54" s="128">
        <f t="shared" si="30"/>
        <v>289.32002399999999</v>
      </c>
      <c r="I54" s="128">
        <f t="shared" si="31"/>
        <v>235.91</v>
      </c>
      <c r="J54" s="251">
        <f t="shared" si="32"/>
        <v>289.32002399999999</v>
      </c>
    </row>
    <row r="55" spans="1:10" ht="30.6">
      <c r="A55" s="82" t="s">
        <v>250</v>
      </c>
      <c r="B55" s="86" t="s">
        <v>88</v>
      </c>
      <c r="C55" s="65" t="s">
        <v>281</v>
      </c>
      <c r="D55" s="67" t="s">
        <v>189</v>
      </c>
      <c r="E55" s="249" t="s">
        <v>179</v>
      </c>
      <c r="F55" s="128">
        <f>'Memória de cálculo'!H291</f>
        <v>4</v>
      </c>
      <c r="G55" s="128">
        <v>231.04</v>
      </c>
      <c r="H55" s="128">
        <f t="shared" si="30"/>
        <v>283.34745599999997</v>
      </c>
      <c r="I55" s="128">
        <f t="shared" si="31"/>
        <v>924.16</v>
      </c>
      <c r="J55" s="251">
        <f t="shared" si="32"/>
        <v>1133.3898239999999</v>
      </c>
    </row>
    <row r="56" spans="1:10">
      <c r="A56" s="82" t="s">
        <v>251</v>
      </c>
      <c r="B56" s="86" t="s">
        <v>88</v>
      </c>
      <c r="C56" s="65" t="s">
        <v>282</v>
      </c>
      <c r="D56" s="67" t="s">
        <v>283</v>
      </c>
      <c r="E56" s="249" t="s">
        <v>185</v>
      </c>
      <c r="F56" s="128">
        <f>'Memória de cálculo'!H294</f>
        <v>1</v>
      </c>
      <c r="G56" s="128">
        <v>45.63</v>
      </c>
      <c r="H56" s="128">
        <f t="shared" si="30"/>
        <v>55.960631999999997</v>
      </c>
      <c r="I56" s="128">
        <f t="shared" si="31"/>
        <v>45.63</v>
      </c>
      <c r="J56" s="251">
        <f t="shared" si="32"/>
        <v>55.960631999999997</v>
      </c>
    </row>
    <row r="57" spans="1:10">
      <c r="A57" s="82" t="s">
        <v>252</v>
      </c>
      <c r="B57" s="86" t="s">
        <v>88</v>
      </c>
      <c r="C57" s="65" t="s">
        <v>256</v>
      </c>
      <c r="D57" s="67" t="s">
        <v>257</v>
      </c>
      <c r="E57" s="249" t="s">
        <v>100</v>
      </c>
      <c r="F57" s="128">
        <f>'Memória de cálculo'!H297</f>
        <v>1</v>
      </c>
      <c r="G57" s="250">
        <v>32.1</v>
      </c>
      <c r="H57" s="128">
        <f t="shared" si="30"/>
        <v>39.367440000000002</v>
      </c>
      <c r="I57" s="128">
        <f t="shared" si="31"/>
        <v>32.1</v>
      </c>
      <c r="J57" s="251">
        <f t="shared" si="32"/>
        <v>39.367440000000002</v>
      </c>
    </row>
    <row r="58" spans="1:10" ht="20.399999999999999">
      <c r="A58" s="82" t="s">
        <v>253</v>
      </c>
      <c r="B58" s="86" t="s">
        <v>88</v>
      </c>
      <c r="C58" s="65" t="s">
        <v>258</v>
      </c>
      <c r="D58" s="67" t="s">
        <v>259</v>
      </c>
      <c r="E58" s="249" t="s">
        <v>89</v>
      </c>
      <c r="F58" s="128">
        <f>'Memória de cálculo'!H300</f>
        <v>1</v>
      </c>
      <c r="G58" s="250">
        <v>455.93</v>
      </c>
      <c r="H58" s="128">
        <f t="shared" si="30"/>
        <v>559.15255200000001</v>
      </c>
      <c r="I58" s="128">
        <f t="shared" si="31"/>
        <v>455.93</v>
      </c>
      <c r="J58" s="251">
        <f t="shared" si="32"/>
        <v>559.15255200000001</v>
      </c>
    </row>
    <row r="59" spans="1:10">
      <c r="A59" s="82" t="s">
        <v>254</v>
      </c>
      <c r="B59" s="86" t="s">
        <v>88</v>
      </c>
      <c r="C59" s="65" t="s">
        <v>260</v>
      </c>
      <c r="D59" s="67" t="s">
        <v>261</v>
      </c>
      <c r="E59" s="249" t="s">
        <v>100</v>
      </c>
      <c r="F59" s="128">
        <f>'Memória de cálculo'!H303</f>
        <v>1</v>
      </c>
      <c r="G59" s="250">
        <v>53.94</v>
      </c>
      <c r="H59" s="128">
        <f t="shared" si="30"/>
        <v>66.152015999999989</v>
      </c>
      <c r="I59" s="128">
        <f t="shared" si="31"/>
        <v>53.94</v>
      </c>
      <c r="J59" s="251">
        <f t="shared" si="32"/>
        <v>66.152015999999989</v>
      </c>
    </row>
    <row r="60" spans="1:10" ht="20.399999999999999">
      <c r="A60" s="82" t="s">
        <v>255</v>
      </c>
      <c r="B60" s="86" t="s">
        <v>67</v>
      </c>
      <c r="C60" s="65">
        <v>95547</v>
      </c>
      <c r="D60" s="67" t="s">
        <v>262</v>
      </c>
      <c r="E60" s="249" t="s">
        <v>100</v>
      </c>
      <c r="F60" s="128">
        <f>'Memória de cálculo'!H306</f>
        <v>1</v>
      </c>
      <c r="G60" s="250">
        <v>58.64</v>
      </c>
      <c r="H60" s="128">
        <f t="shared" si="30"/>
        <v>71.916095999999996</v>
      </c>
      <c r="I60" s="128">
        <f t="shared" si="31"/>
        <v>58.64</v>
      </c>
      <c r="J60" s="251">
        <f t="shared" si="32"/>
        <v>71.916095999999996</v>
      </c>
    </row>
    <row r="61" spans="1:10" ht="42">
      <c r="A61" s="82" t="s">
        <v>292</v>
      </c>
      <c r="B61" s="86" t="s">
        <v>67</v>
      </c>
      <c r="C61" s="93">
        <v>93396</v>
      </c>
      <c r="D61" s="264" t="s">
        <v>293</v>
      </c>
      <c r="E61" s="249" t="s">
        <v>100</v>
      </c>
      <c r="F61" s="128">
        <f>'Memória de cálculo'!H309</f>
        <v>1</v>
      </c>
      <c r="G61" s="128">
        <v>684.48</v>
      </c>
      <c r="H61" s="128">
        <f t="shared" si="30"/>
        <v>839.44627200000002</v>
      </c>
      <c r="I61" s="128">
        <f t="shared" si="31"/>
        <v>684.48</v>
      </c>
      <c r="J61" s="251">
        <f t="shared" si="32"/>
        <v>839.44627200000002</v>
      </c>
    </row>
    <row r="62" spans="1:10">
      <c r="A62" s="53" t="s">
        <v>176</v>
      </c>
      <c r="B62" s="53"/>
      <c r="C62" s="53"/>
      <c r="D62" s="59" t="s">
        <v>190</v>
      </c>
      <c r="E62" s="54"/>
      <c r="F62" s="51"/>
      <c r="G62" s="55"/>
      <c r="H62" s="55"/>
      <c r="I62" s="55"/>
      <c r="J62" s="55">
        <f>SUM(J63:J67)</f>
        <v>9483.7757279999987</v>
      </c>
    </row>
    <row r="63" spans="1:10" ht="21.6">
      <c r="A63" s="86" t="s">
        <v>177</v>
      </c>
      <c r="B63" s="86" t="s">
        <v>67</v>
      </c>
      <c r="C63" s="294">
        <v>97665</v>
      </c>
      <c r="D63" s="264" t="s">
        <v>327</v>
      </c>
      <c r="E63" s="249" t="s">
        <v>100</v>
      </c>
      <c r="F63" s="128">
        <f>'Memória de cálculo'!H313</f>
        <v>16</v>
      </c>
      <c r="G63" s="128">
        <v>1.06</v>
      </c>
      <c r="H63" s="128">
        <f t="shared" ref="H63" si="33">G63*(1+$I$3)</f>
        <v>1.299984</v>
      </c>
      <c r="I63" s="128">
        <f t="shared" ref="I63" si="34">ROUND(F63*G63,2)</f>
        <v>16.96</v>
      </c>
      <c r="J63" s="251">
        <f t="shared" ref="J63" si="35">H63*F63</f>
        <v>20.799744</v>
      </c>
    </row>
    <row r="64" spans="1:10" ht="30.6">
      <c r="A64" s="263" t="s">
        <v>180</v>
      </c>
      <c r="B64" s="86" t="s">
        <v>67</v>
      </c>
      <c r="C64" s="65">
        <v>93128</v>
      </c>
      <c r="D64" s="67" t="s">
        <v>284</v>
      </c>
      <c r="E64" s="249" t="s">
        <v>179</v>
      </c>
      <c r="F64" s="128">
        <f>'Memória de cálculo'!H325</f>
        <v>20</v>
      </c>
      <c r="G64" s="128">
        <v>135.22</v>
      </c>
      <c r="H64" s="128">
        <f t="shared" ref="H64:H67" si="36">G64*(1+$I$3)</f>
        <v>165.83380799999998</v>
      </c>
      <c r="I64" s="128">
        <f t="shared" ref="I64:I67" si="37">ROUND(F64*G64,2)</f>
        <v>2704.4</v>
      </c>
      <c r="J64" s="251">
        <f t="shared" ref="J64:J67" si="38">H64*F64</f>
        <v>3316.6761599999995</v>
      </c>
    </row>
    <row r="65" spans="1:11" ht="30.6">
      <c r="A65" s="263" t="s">
        <v>181</v>
      </c>
      <c r="B65" s="86" t="s">
        <v>67</v>
      </c>
      <c r="C65" s="65">
        <v>93141</v>
      </c>
      <c r="D65" s="67" t="s">
        <v>285</v>
      </c>
      <c r="E65" s="249" t="s">
        <v>179</v>
      </c>
      <c r="F65" s="128">
        <f>'Memória de cálculo'!H337</f>
        <v>27</v>
      </c>
      <c r="G65" s="128">
        <v>168.76</v>
      </c>
      <c r="H65" s="128">
        <f t="shared" si="36"/>
        <v>206.96726399999997</v>
      </c>
      <c r="I65" s="128">
        <f t="shared" si="37"/>
        <v>4556.5200000000004</v>
      </c>
      <c r="J65" s="251">
        <f t="shared" si="38"/>
        <v>5588.1161279999997</v>
      </c>
    </row>
    <row r="66" spans="1:11" ht="30.6">
      <c r="A66" s="263" t="s">
        <v>182</v>
      </c>
      <c r="B66" s="86" t="s">
        <v>67</v>
      </c>
      <c r="C66" s="127">
        <v>97589</v>
      </c>
      <c r="D66" s="67" t="s">
        <v>191</v>
      </c>
      <c r="E66" s="101" t="s">
        <v>100</v>
      </c>
      <c r="F66" s="88">
        <f>'Memória de cálculo'!H340</f>
        <v>1</v>
      </c>
      <c r="G66" s="88">
        <v>36.14</v>
      </c>
      <c r="H66" s="128">
        <f t="shared" si="36"/>
        <v>44.322095999999995</v>
      </c>
      <c r="I66" s="128">
        <f t="shared" si="37"/>
        <v>36.14</v>
      </c>
      <c r="J66" s="251">
        <f t="shared" si="38"/>
        <v>44.322095999999995</v>
      </c>
    </row>
    <row r="67" spans="1:11" ht="30.6">
      <c r="A67" s="263" t="s">
        <v>183</v>
      </c>
      <c r="B67" s="86" t="s">
        <v>67</v>
      </c>
      <c r="C67" s="127">
        <v>97585</v>
      </c>
      <c r="D67" s="67" t="s">
        <v>192</v>
      </c>
      <c r="E67" s="101" t="s">
        <v>100</v>
      </c>
      <c r="F67" s="88">
        <f>'Memória de cálculo'!H347</f>
        <v>5</v>
      </c>
      <c r="G67" s="88">
        <v>83.8</v>
      </c>
      <c r="H67" s="128">
        <f t="shared" si="36"/>
        <v>102.77231999999999</v>
      </c>
      <c r="I67" s="128">
        <f t="shared" si="37"/>
        <v>419</v>
      </c>
      <c r="J67" s="251">
        <f t="shared" si="38"/>
        <v>513.86159999999995</v>
      </c>
    </row>
    <row r="68" spans="1:11">
      <c r="A68" s="53" t="s">
        <v>305</v>
      </c>
      <c r="B68" s="53"/>
      <c r="C68" s="53"/>
      <c r="D68" s="59" t="s">
        <v>297</v>
      </c>
      <c r="E68" s="54"/>
      <c r="F68" s="51"/>
      <c r="G68" s="55"/>
      <c r="H68" s="55"/>
      <c r="I68" s="55"/>
      <c r="J68" s="55">
        <f>SUM(J69:J72)</f>
        <v>32354.35278768</v>
      </c>
    </row>
    <row r="69" spans="1:11" ht="30.6">
      <c r="A69" s="86" t="s">
        <v>306</v>
      </c>
      <c r="B69" s="86" t="s">
        <v>101</v>
      </c>
      <c r="C69" s="93">
        <f>COMPOSIÇÕES!A22</f>
        <v>3</v>
      </c>
      <c r="D69" s="273" t="str">
        <f>COMPOSIÇÕES!D22</f>
        <v>REVISAO GERAL DE TELHADOS DE TELHAS CERAMICAS, COMPREENDENDO RETIRADA E REASSENTAEMENTO DAS TELHAS, COM REAPROVEITAMENTO DO MATERIAL</v>
      </c>
      <c r="E69" s="86" t="s">
        <v>298</v>
      </c>
      <c r="F69" s="128">
        <f>'Memória de cálculo'!H351</f>
        <v>293.3</v>
      </c>
      <c r="G69" s="128">
        <f>COMPOSIÇÕES!J22</f>
        <v>7.6660000000000004</v>
      </c>
      <c r="H69" s="128">
        <f t="shared" ref="H69" si="39">G69*(1+$I$3)</f>
        <v>9.4015824000000006</v>
      </c>
      <c r="I69" s="128">
        <f t="shared" ref="I69" si="40">ROUND(F69*G69,2)</f>
        <v>2248.44</v>
      </c>
      <c r="J69" s="251">
        <f t="shared" ref="J69" si="41">H69*F69</f>
        <v>2757.4841179200002</v>
      </c>
    </row>
    <row r="70" spans="1:11">
      <c r="A70" s="86" t="s">
        <v>307</v>
      </c>
      <c r="B70" s="86" t="s">
        <v>88</v>
      </c>
      <c r="C70" s="274" t="s">
        <v>299</v>
      </c>
      <c r="D70" s="275" t="s">
        <v>300</v>
      </c>
      <c r="E70" s="86" t="s">
        <v>298</v>
      </c>
      <c r="F70" s="128">
        <f>'Memória de cálculo'!H355</f>
        <v>58.66</v>
      </c>
      <c r="G70" s="128">
        <v>160.33000000000001</v>
      </c>
      <c r="H70" s="128">
        <f t="shared" ref="H70:H72" si="42">G70*(1+$I$3)</f>
        <v>196.62871200000001</v>
      </c>
      <c r="I70" s="128">
        <f t="shared" ref="I70:I72" si="43">ROUND(F70*G70,2)</f>
        <v>9404.9599999999991</v>
      </c>
      <c r="J70" s="251">
        <f t="shared" ref="J70:J72" si="44">H70*F70</f>
        <v>11534.24024592</v>
      </c>
    </row>
    <row r="71" spans="1:11" ht="21.6">
      <c r="A71" s="86" t="s">
        <v>308</v>
      </c>
      <c r="B71" s="86" t="s">
        <v>67</v>
      </c>
      <c r="C71" s="266" t="s">
        <v>301</v>
      </c>
      <c r="D71" s="264" t="s">
        <v>302</v>
      </c>
      <c r="E71" s="86" t="s">
        <v>303</v>
      </c>
      <c r="F71" s="128">
        <f>'Memória de cálculo'!H358</f>
        <v>20</v>
      </c>
      <c r="G71" s="128">
        <v>69.41</v>
      </c>
      <c r="H71" s="128">
        <f t="shared" si="42"/>
        <v>85.124423999999991</v>
      </c>
      <c r="I71" s="128">
        <f t="shared" si="43"/>
        <v>1388.2</v>
      </c>
      <c r="J71" s="251">
        <f t="shared" si="44"/>
        <v>1702.4884799999998</v>
      </c>
    </row>
    <row r="72" spans="1:11" ht="21.6">
      <c r="A72" s="86" t="s">
        <v>309</v>
      </c>
      <c r="B72" s="86" t="s">
        <v>67</v>
      </c>
      <c r="C72" s="93">
        <v>96116</v>
      </c>
      <c r="D72" s="264" t="s">
        <v>304</v>
      </c>
      <c r="E72" s="86" t="s">
        <v>298</v>
      </c>
      <c r="F72" s="128">
        <f>'Memória de cálculo'!H364</f>
        <v>163.22</v>
      </c>
      <c r="G72" s="128">
        <v>81.73</v>
      </c>
      <c r="H72" s="128">
        <f t="shared" si="42"/>
        <v>100.233672</v>
      </c>
      <c r="I72" s="128">
        <f t="shared" si="43"/>
        <v>13339.97</v>
      </c>
      <c r="J72" s="251">
        <f t="shared" si="44"/>
        <v>16360.13994384</v>
      </c>
    </row>
    <row r="73" spans="1:11">
      <c r="A73" s="319" t="s">
        <v>346</v>
      </c>
      <c r="B73" s="319"/>
      <c r="C73" s="320"/>
      <c r="D73" s="320"/>
      <c r="E73" s="320"/>
      <c r="F73" s="308" t="s">
        <v>16</v>
      </c>
      <c r="G73" s="308"/>
      <c r="H73" s="306">
        <f>J7+J20+J27+J37+J45+J47+J62+J68</f>
        <v>156668.85055180799</v>
      </c>
      <c r="I73" s="306"/>
      <c r="J73" s="306"/>
      <c r="K73" s="126"/>
    </row>
    <row r="74" spans="1:11">
      <c r="A74" s="320"/>
      <c r="B74" s="320"/>
      <c r="C74" s="320"/>
      <c r="D74" s="320"/>
      <c r="E74" s="320"/>
      <c r="F74" s="308"/>
      <c r="G74" s="308"/>
      <c r="H74" s="306"/>
      <c r="I74" s="306"/>
      <c r="J74" s="306"/>
    </row>
    <row r="77" spans="1:11">
      <c r="I77" s="126"/>
    </row>
  </sheetData>
  <mergeCells count="17">
    <mergeCell ref="A73:E74"/>
    <mergeCell ref="A1:J1"/>
    <mergeCell ref="H73:J74"/>
    <mergeCell ref="I3:J4"/>
    <mergeCell ref="F73:G74"/>
    <mergeCell ref="G5:H5"/>
    <mergeCell ref="F5:F6"/>
    <mergeCell ref="E5:E6"/>
    <mergeCell ref="D5:D6"/>
    <mergeCell ref="C5:C6"/>
    <mergeCell ref="A5:A6"/>
    <mergeCell ref="A3:F3"/>
    <mergeCell ref="A4:F4"/>
    <mergeCell ref="A2:J2"/>
    <mergeCell ref="G3:H4"/>
    <mergeCell ref="I5:J5"/>
    <mergeCell ref="B5:B6"/>
  </mergeCells>
  <phoneticPr fontId="15" type="noConversion"/>
  <printOptions horizontalCentered="1"/>
  <pageMargins left="0.35433070866141736" right="0.51181102362204722" top="1.2010833333333333" bottom="0.82677165354330717" header="0.15531249999999999" footer="0.31496062992125984"/>
  <pageSetup paperSize="9" scale="60" fitToWidth="0" orientation="portrait" horizontalDpi="360" verticalDpi="360" r:id="rId1"/>
  <headerFooter>
    <oddHeader xml:space="preserve">&amp;C&amp;G
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4"/>
  <sheetViews>
    <sheetView view="pageBreakPreview" zoomScaleNormal="100" zoomScaleSheetLayoutView="100" workbookViewId="0">
      <selection activeCell="B14" sqref="B14"/>
    </sheetView>
  </sheetViews>
  <sheetFormatPr defaultColWidth="9.109375" defaultRowHeight="10.199999999999999"/>
  <cols>
    <col min="1" max="1" width="9.109375" style="62"/>
    <col min="2" max="2" width="53.44140625" style="62" customWidth="1"/>
    <col min="3" max="3" width="9.109375" style="62"/>
    <col min="4" max="4" width="16" style="62" customWidth="1"/>
    <col min="5" max="5" width="13.88671875" style="62" customWidth="1"/>
    <col min="6" max="6" width="16.44140625" style="63" customWidth="1"/>
    <col min="7" max="7" width="15.5546875" style="62" customWidth="1"/>
    <col min="8" max="8" width="10.33203125" style="62" customWidth="1"/>
    <col min="9" max="9" width="62.6640625" style="60" customWidth="1"/>
    <col min="10" max="10" width="16.6640625" style="61" bestFit="1" customWidth="1"/>
    <col min="11" max="16384" width="9.109375" style="62"/>
  </cols>
  <sheetData>
    <row r="1" spans="1:8" ht="20.25" customHeight="1">
      <c r="A1" s="321" t="s">
        <v>17</v>
      </c>
      <c r="B1" s="321"/>
      <c r="C1" s="321"/>
      <c r="D1" s="321"/>
      <c r="E1" s="321"/>
      <c r="F1" s="321"/>
      <c r="G1" s="321"/>
      <c r="H1" s="321"/>
    </row>
    <row r="2" spans="1:8" ht="25.2" customHeight="1">
      <c r="A2" s="321" t="s">
        <v>348</v>
      </c>
      <c r="B2" s="321"/>
      <c r="C2" s="321"/>
      <c r="D2" s="321"/>
      <c r="E2" s="321"/>
      <c r="F2" s="321"/>
      <c r="G2" s="321"/>
      <c r="H2" s="321"/>
    </row>
    <row r="3" spans="1:8" ht="15" customHeight="1">
      <c r="A3" s="323" t="s">
        <v>53</v>
      </c>
      <c r="B3" s="323"/>
      <c r="C3" s="323"/>
      <c r="D3" s="323"/>
      <c r="E3" s="323"/>
      <c r="F3" s="323"/>
      <c r="G3" s="323"/>
      <c r="H3" s="323"/>
    </row>
    <row r="4" spans="1:8" ht="13.8">
      <c r="A4" s="322" t="s">
        <v>345</v>
      </c>
      <c r="B4" s="322"/>
      <c r="C4" s="322"/>
      <c r="D4" s="322"/>
      <c r="E4" s="322"/>
      <c r="F4" s="322"/>
      <c r="G4" s="322"/>
      <c r="H4" s="322"/>
    </row>
    <row r="5" spans="1:8">
      <c r="A5" s="57"/>
      <c r="B5" s="57"/>
      <c r="C5" s="57"/>
      <c r="D5" s="57"/>
      <c r="E5" s="57"/>
      <c r="F5" s="58"/>
      <c r="G5" s="57"/>
      <c r="H5" s="57"/>
    </row>
    <row r="6" spans="1:8">
      <c r="A6" s="212" t="s">
        <v>0</v>
      </c>
      <c r="B6" s="212" t="s">
        <v>1</v>
      </c>
      <c r="C6" s="213" t="s">
        <v>2</v>
      </c>
      <c r="D6" s="212" t="s">
        <v>56</v>
      </c>
      <c r="E6" s="212" t="s">
        <v>64</v>
      </c>
      <c r="F6" s="212" t="s">
        <v>63</v>
      </c>
      <c r="G6" s="212" t="s">
        <v>65</v>
      </c>
      <c r="H6" s="212" t="s">
        <v>66</v>
      </c>
    </row>
    <row r="7" spans="1:8">
      <c r="A7" s="212" t="str">
        <f>'Planilha orç'!A7</f>
        <v>1.0</v>
      </c>
      <c r="B7" s="214" t="s">
        <v>147</v>
      </c>
      <c r="C7" s="213"/>
      <c r="D7" s="212"/>
      <c r="E7" s="212"/>
      <c r="F7" s="212"/>
      <c r="G7" s="212"/>
      <c r="H7" s="212"/>
    </row>
    <row r="8" spans="1:8">
      <c r="A8" s="216" t="str">
        <f>'Planilha orç'!A8</f>
        <v>1.1</v>
      </c>
      <c r="B8" s="100" t="str">
        <f>'Planilha orç'!D8</f>
        <v>DEMOLIÇÃO DE PISO CIMENTADO SOBRE LASTRO DE CONCRETO</v>
      </c>
      <c r="C8" s="216" t="str">
        <f>'Planilha orç'!E8</f>
        <v>M2</v>
      </c>
      <c r="D8" s="217"/>
      <c r="E8" s="218"/>
      <c r="F8" s="219"/>
      <c r="G8" s="220"/>
      <c r="H8" s="221"/>
    </row>
    <row r="9" spans="1:8">
      <c r="A9" s="233"/>
      <c r="B9" s="255" t="s">
        <v>208</v>
      </c>
      <c r="C9" s="236"/>
      <c r="D9" s="230"/>
      <c r="E9" s="235">
        <v>2.2999999999999998</v>
      </c>
      <c r="F9" s="235">
        <v>0.5</v>
      </c>
      <c r="G9" s="234"/>
      <c r="H9" s="238">
        <f t="shared" ref="H9:H14" si="0">ROUND(PRODUCT(D9:G9),2)</f>
        <v>1.1499999999999999</v>
      </c>
    </row>
    <row r="10" spans="1:8">
      <c r="A10" s="233"/>
      <c r="B10" s="255"/>
      <c r="C10" s="236"/>
      <c r="D10" s="230"/>
      <c r="E10" s="235">
        <v>2.2599999999999998</v>
      </c>
      <c r="F10" s="235">
        <v>0.5</v>
      </c>
      <c r="G10" s="234"/>
      <c r="H10" s="238">
        <f t="shared" si="0"/>
        <v>1.1299999999999999</v>
      </c>
    </row>
    <row r="11" spans="1:8">
      <c r="A11" s="233"/>
      <c r="B11" s="255"/>
      <c r="C11" s="236"/>
      <c r="D11" s="230"/>
      <c r="E11" s="235">
        <v>0.83</v>
      </c>
      <c r="F11" s="235">
        <v>0.5</v>
      </c>
      <c r="G11" s="234"/>
      <c r="H11" s="238">
        <f t="shared" si="0"/>
        <v>0.42</v>
      </c>
    </row>
    <row r="12" spans="1:8">
      <c r="A12" s="233"/>
      <c r="B12" s="255" t="s">
        <v>227</v>
      </c>
      <c r="C12" s="236"/>
      <c r="D12" s="230"/>
      <c r="E12" s="235">
        <v>5.55</v>
      </c>
      <c r="F12" s="235">
        <v>0.5</v>
      </c>
      <c r="G12" s="234"/>
      <c r="H12" s="238">
        <f t="shared" si="0"/>
        <v>2.78</v>
      </c>
    </row>
    <row r="13" spans="1:8">
      <c r="A13" s="233"/>
      <c r="B13" s="255" t="s">
        <v>195</v>
      </c>
      <c r="C13" s="236"/>
      <c r="D13" s="230"/>
      <c r="E13" s="235">
        <v>2.79</v>
      </c>
      <c r="F13" s="235">
        <v>0.5</v>
      </c>
      <c r="G13" s="234"/>
      <c r="H13" s="238">
        <f t="shared" si="0"/>
        <v>1.4</v>
      </c>
    </row>
    <row r="14" spans="1:8">
      <c r="A14" s="233"/>
      <c r="B14" s="255" t="s">
        <v>228</v>
      </c>
      <c r="C14" s="236"/>
      <c r="D14" s="230"/>
      <c r="E14" s="235">
        <v>5.66</v>
      </c>
      <c r="F14" s="235">
        <v>0.5</v>
      </c>
      <c r="G14" s="234"/>
      <c r="H14" s="238">
        <f t="shared" si="0"/>
        <v>2.83</v>
      </c>
    </row>
    <row r="15" spans="1:8">
      <c r="A15" s="233"/>
      <c r="B15" s="255" t="s">
        <v>229</v>
      </c>
      <c r="C15" s="236"/>
      <c r="D15" s="230"/>
      <c r="E15" s="235">
        <v>4.3</v>
      </c>
      <c r="F15" s="235">
        <v>0.5</v>
      </c>
      <c r="G15" s="234"/>
      <c r="H15" s="238">
        <f>ROUND(PRODUCT(D15:G15),2)</f>
        <v>2.15</v>
      </c>
    </row>
    <row r="16" spans="1:8">
      <c r="A16" s="233"/>
      <c r="B16" s="85"/>
      <c r="C16" s="222"/>
      <c r="D16" s="229"/>
      <c r="E16" s="223"/>
      <c r="F16" s="224"/>
      <c r="G16" s="103" t="str">
        <f>"Total item "&amp;A8</f>
        <v>Total item 1.1</v>
      </c>
      <c r="H16" s="104">
        <f>SUM(H9:H15)</f>
        <v>11.86</v>
      </c>
    </row>
    <row r="17" spans="1:10">
      <c r="A17" s="216" t="str">
        <f>'Planilha orç'!A9</f>
        <v>1.2</v>
      </c>
      <c r="B17" s="100" t="str">
        <f>'Planilha orç'!D9</f>
        <v>DEMOLIÇÃO DE ALVENARIA DE TIJOLOS S/ REAPROVEITAMENTO</v>
      </c>
      <c r="C17" s="216" t="str">
        <f>'Planilha orç'!E9</f>
        <v>M3</v>
      </c>
      <c r="D17" s="217"/>
      <c r="E17" s="218"/>
      <c r="F17" s="219"/>
      <c r="G17" s="220"/>
      <c r="H17" s="221"/>
    </row>
    <row r="18" spans="1:10">
      <c r="A18" s="215"/>
      <c r="B18" s="255" t="s">
        <v>209</v>
      </c>
      <c r="C18" s="236"/>
      <c r="D18" s="230"/>
      <c r="E18" s="235">
        <f>2.3</f>
        <v>2.2999999999999998</v>
      </c>
      <c r="F18" s="235">
        <v>0.14000000000000001</v>
      </c>
      <c r="G18" s="235">
        <v>3</v>
      </c>
      <c r="H18" s="238">
        <f>ROUND(PRODUCT(D18:G18),2)</f>
        <v>0.97</v>
      </c>
    </row>
    <row r="19" spans="1:10">
      <c r="A19" s="215"/>
      <c r="B19" s="255" t="s">
        <v>158</v>
      </c>
      <c r="C19" s="236"/>
      <c r="D19" s="230"/>
      <c r="E19" s="235">
        <v>0.2</v>
      </c>
      <c r="F19" s="235">
        <v>0.14000000000000001</v>
      </c>
      <c r="G19" s="235">
        <v>2.1</v>
      </c>
      <c r="H19" s="238">
        <f t="shared" ref="H19:H29" si="1">ROUND(PRODUCT(D19:G19),2)</f>
        <v>0.06</v>
      </c>
    </row>
    <row r="20" spans="1:10">
      <c r="A20" s="215"/>
      <c r="B20" s="255" t="s">
        <v>160</v>
      </c>
      <c r="C20" s="236"/>
      <c r="D20" s="230"/>
      <c r="E20" s="235">
        <v>0.9</v>
      </c>
      <c r="F20" s="235">
        <v>0.14000000000000001</v>
      </c>
      <c r="G20" s="235">
        <v>2.1</v>
      </c>
      <c r="H20" s="238">
        <f t="shared" si="1"/>
        <v>0.26</v>
      </c>
    </row>
    <row r="21" spans="1:10">
      <c r="A21" s="215"/>
      <c r="B21" s="255" t="s">
        <v>161</v>
      </c>
      <c r="C21" s="236"/>
      <c r="D21" s="230"/>
      <c r="E21" s="235">
        <v>0.9</v>
      </c>
      <c r="F21" s="235">
        <v>0.14000000000000001</v>
      </c>
      <c r="G21" s="235">
        <v>2.1</v>
      </c>
      <c r="H21" s="238">
        <f t="shared" si="1"/>
        <v>0.26</v>
      </c>
    </row>
    <row r="22" spans="1:10">
      <c r="A22" s="215"/>
      <c r="B22" s="255" t="s">
        <v>265</v>
      </c>
      <c r="C22" s="236"/>
      <c r="D22" s="230"/>
      <c r="E22" s="235">
        <v>0.1</v>
      </c>
      <c r="F22" s="235">
        <v>0.14000000000000001</v>
      </c>
      <c r="G22" s="235">
        <v>2.1</v>
      </c>
      <c r="H22" s="238">
        <f t="shared" si="1"/>
        <v>0.03</v>
      </c>
    </row>
    <row r="23" spans="1:10">
      <c r="A23" s="215"/>
      <c r="B23" s="255" t="s">
        <v>266</v>
      </c>
      <c r="C23" s="236"/>
      <c r="D23" s="230"/>
      <c r="E23" s="235">
        <v>0.1</v>
      </c>
      <c r="F23" s="235">
        <v>0.14000000000000001</v>
      </c>
      <c r="G23" s="235">
        <v>2.1</v>
      </c>
      <c r="H23" s="238">
        <f t="shared" si="1"/>
        <v>0.03</v>
      </c>
    </row>
    <row r="24" spans="1:10">
      <c r="A24" s="215"/>
      <c r="B24" s="255" t="s">
        <v>267</v>
      </c>
      <c r="C24" s="236"/>
      <c r="D24" s="230"/>
      <c r="E24" s="235">
        <v>0.1</v>
      </c>
      <c r="F24" s="235">
        <v>0.14000000000000001</v>
      </c>
      <c r="G24" s="235">
        <v>2.1</v>
      </c>
      <c r="H24" s="238">
        <f t="shared" si="1"/>
        <v>0.03</v>
      </c>
    </row>
    <row r="25" spans="1:10">
      <c r="A25" s="215"/>
      <c r="B25" s="255" t="s">
        <v>158</v>
      </c>
      <c r="C25" s="236"/>
      <c r="D25" s="230"/>
      <c r="E25" s="235">
        <v>0.2</v>
      </c>
      <c r="F25" s="235">
        <v>0.14000000000000001</v>
      </c>
      <c r="G25" s="235">
        <v>2.1</v>
      </c>
      <c r="H25" s="238">
        <f t="shared" si="1"/>
        <v>0.06</v>
      </c>
    </row>
    <row r="26" spans="1:10">
      <c r="A26" s="215"/>
      <c r="B26" s="255" t="s">
        <v>268</v>
      </c>
      <c r="C26" s="236"/>
      <c r="D26" s="230"/>
      <c r="E26" s="235">
        <v>0.1</v>
      </c>
      <c r="F26" s="235">
        <v>0.14000000000000001</v>
      </c>
      <c r="G26" s="235">
        <v>2.1</v>
      </c>
      <c r="H26" s="238">
        <f t="shared" si="1"/>
        <v>0.03</v>
      </c>
    </row>
    <row r="27" spans="1:10">
      <c r="A27" s="215"/>
      <c r="B27" s="255" t="s">
        <v>269</v>
      </c>
      <c r="C27" s="236"/>
      <c r="D27" s="230"/>
      <c r="E27" s="235">
        <v>0.1</v>
      </c>
      <c r="F27" s="235">
        <v>0.14000000000000001</v>
      </c>
      <c r="G27" s="235">
        <v>2.1</v>
      </c>
      <c r="H27" s="238">
        <f t="shared" si="1"/>
        <v>0.03</v>
      </c>
    </row>
    <row r="28" spans="1:10">
      <c r="A28" s="215"/>
      <c r="B28" s="255" t="s">
        <v>159</v>
      </c>
      <c r="C28" s="236"/>
      <c r="D28" s="230"/>
      <c r="E28" s="235">
        <v>0.1</v>
      </c>
      <c r="F28" s="235">
        <v>0.14000000000000001</v>
      </c>
      <c r="G28" s="235">
        <v>2.1</v>
      </c>
      <c r="H28" s="238">
        <f t="shared" si="1"/>
        <v>0.03</v>
      </c>
    </row>
    <row r="29" spans="1:10">
      <c r="A29" s="215"/>
      <c r="B29" s="255" t="s">
        <v>193</v>
      </c>
      <c r="C29" s="236"/>
      <c r="D29" s="230"/>
      <c r="E29" s="235">
        <v>0.9</v>
      </c>
      <c r="F29" s="235">
        <v>0.14000000000000001</v>
      </c>
      <c r="G29" s="235">
        <v>2.1</v>
      </c>
      <c r="H29" s="238">
        <f t="shared" si="1"/>
        <v>0.26</v>
      </c>
    </row>
    <row r="30" spans="1:10">
      <c r="A30" s="233"/>
      <c r="B30" s="85"/>
      <c r="C30" s="222"/>
      <c r="D30" s="229"/>
      <c r="E30" s="223"/>
      <c r="F30" s="224"/>
      <c r="G30" s="103" t="str">
        <f>"Total item "&amp;A17</f>
        <v>Total item 1.2</v>
      </c>
      <c r="H30" s="104">
        <f>SUM(H18:H29)</f>
        <v>2.0500000000000003</v>
      </c>
    </row>
    <row r="31" spans="1:10" ht="20.399999999999999">
      <c r="A31" s="216" t="str">
        <f>'Planilha orç'!A10</f>
        <v>1.3</v>
      </c>
      <c r="B31" s="100" t="str">
        <f>'Planilha orç'!D10</f>
        <v>DEMOLIÇÃO DE ARGAMASSAS, DE FORMA MANUAL, SEM REAPROVEITAMENTO. AF_12/2017</v>
      </c>
      <c r="C31" s="216" t="str">
        <f>'Planilha orç'!E10</f>
        <v>M2</v>
      </c>
      <c r="D31" s="217"/>
      <c r="E31" s="218"/>
      <c r="F31" s="219"/>
      <c r="G31" s="220"/>
      <c r="H31" s="221"/>
    </row>
    <row r="32" spans="1:10">
      <c r="A32" s="215"/>
      <c r="B32" s="265" t="s">
        <v>175</v>
      </c>
      <c r="C32" s="266"/>
      <c r="D32" s="267">
        <v>1</v>
      </c>
      <c r="E32" s="266">
        <v>18.45</v>
      </c>
      <c r="F32" s="266"/>
      <c r="G32" s="288">
        <v>2.2999999999999998</v>
      </c>
      <c r="H32" s="238">
        <f t="shared" ref="H32:H61" si="2">ROUND(PRODUCT(D32:G32),2)</f>
        <v>42.44</v>
      </c>
      <c r="I32" s="405"/>
      <c r="J32" s="290">
        <f t="shared" ref="J32:J61" si="3">ROUND(PRODUCT(D32:I32),2)</f>
        <v>1800.94</v>
      </c>
    </row>
    <row r="33" spans="1:10">
      <c r="A33" s="215"/>
      <c r="B33" s="291"/>
      <c r="C33" s="266"/>
      <c r="D33" s="267">
        <v>1</v>
      </c>
      <c r="E33" s="266">
        <v>22.3</v>
      </c>
      <c r="F33" s="266"/>
      <c r="G33" s="288">
        <v>2.9</v>
      </c>
      <c r="H33" s="238">
        <f t="shared" si="2"/>
        <v>64.67</v>
      </c>
      <c r="I33" s="405"/>
      <c r="J33" s="290">
        <f t="shared" si="3"/>
        <v>4182.21</v>
      </c>
    </row>
    <row r="34" spans="1:10">
      <c r="A34" s="215"/>
      <c r="B34" s="291"/>
      <c r="C34" s="266"/>
      <c r="D34" s="267">
        <v>1</v>
      </c>
      <c r="E34" s="266">
        <v>6.5</v>
      </c>
      <c r="F34" s="266"/>
      <c r="G34" s="288">
        <v>2.9</v>
      </c>
      <c r="H34" s="238">
        <f t="shared" si="2"/>
        <v>18.850000000000001</v>
      </c>
      <c r="I34" s="405"/>
      <c r="J34" s="290">
        <f t="shared" si="3"/>
        <v>355.32</v>
      </c>
    </row>
    <row r="35" spans="1:10">
      <c r="A35" s="215"/>
      <c r="B35" s="291"/>
      <c r="C35" s="266"/>
      <c r="D35" s="267">
        <v>2</v>
      </c>
      <c r="E35" s="266">
        <v>1.5</v>
      </c>
      <c r="F35" s="266"/>
      <c r="G35" s="288">
        <v>2.9</v>
      </c>
      <c r="H35" s="238">
        <f t="shared" si="2"/>
        <v>8.6999999999999993</v>
      </c>
      <c r="I35" s="405"/>
      <c r="J35" s="290">
        <f t="shared" si="3"/>
        <v>75.69</v>
      </c>
    </row>
    <row r="36" spans="1:10">
      <c r="A36" s="215"/>
      <c r="B36" s="291"/>
      <c r="C36" s="266"/>
      <c r="D36" s="267">
        <v>1</v>
      </c>
      <c r="E36" s="266">
        <v>5.94</v>
      </c>
      <c r="F36" s="266"/>
      <c r="G36" s="288">
        <v>2.9</v>
      </c>
      <c r="H36" s="238">
        <f t="shared" si="2"/>
        <v>17.23</v>
      </c>
      <c r="I36" s="405"/>
      <c r="J36" s="290">
        <f t="shared" si="3"/>
        <v>296.8</v>
      </c>
    </row>
    <row r="37" spans="1:10">
      <c r="A37" s="215"/>
      <c r="B37" s="291"/>
      <c r="C37" s="266"/>
      <c r="D37" s="267">
        <v>1</v>
      </c>
      <c r="E37" s="266">
        <v>4.8499999999999996</v>
      </c>
      <c r="F37" s="266"/>
      <c r="G37" s="288">
        <v>2.9</v>
      </c>
      <c r="H37" s="238">
        <f t="shared" si="2"/>
        <v>14.07</v>
      </c>
      <c r="I37" s="405"/>
      <c r="J37" s="290">
        <f t="shared" si="3"/>
        <v>197.89</v>
      </c>
    </row>
    <row r="38" spans="1:10">
      <c r="A38" s="215"/>
      <c r="B38" s="291"/>
      <c r="C38" s="266"/>
      <c r="D38" s="267">
        <v>1</v>
      </c>
      <c r="E38" s="266">
        <v>3.72</v>
      </c>
      <c r="F38" s="266"/>
      <c r="G38" s="288">
        <v>2.9</v>
      </c>
      <c r="H38" s="238">
        <f t="shared" si="2"/>
        <v>10.79</v>
      </c>
      <c r="I38" s="405"/>
      <c r="J38" s="290">
        <f t="shared" si="3"/>
        <v>116.4</v>
      </c>
    </row>
    <row r="39" spans="1:10">
      <c r="A39" s="215"/>
      <c r="B39" s="291"/>
      <c r="C39" s="266"/>
      <c r="D39" s="267">
        <v>1</v>
      </c>
      <c r="E39" s="266">
        <v>6.3</v>
      </c>
      <c r="F39" s="266"/>
      <c r="G39" s="288">
        <v>1.5</v>
      </c>
      <c r="H39" s="238">
        <f t="shared" si="2"/>
        <v>9.4499999999999993</v>
      </c>
      <c r="I39" s="405"/>
      <c r="J39" s="290">
        <f t="shared" si="3"/>
        <v>89.3</v>
      </c>
    </row>
    <row r="40" spans="1:10">
      <c r="A40" s="215"/>
      <c r="B40" s="291"/>
      <c r="C40" s="266"/>
      <c r="D40" s="267">
        <v>2</v>
      </c>
      <c r="E40" s="266">
        <v>20.2</v>
      </c>
      <c r="F40" s="266"/>
      <c r="G40" s="288">
        <v>1.5</v>
      </c>
      <c r="H40" s="238">
        <f t="shared" si="2"/>
        <v>60.6</v>
      </c>
      <c r="I40" s="405"/>
      <c r="J40" s="290">
        <f t="shared" si="3"/>
        <v>3672.36</v>
      </c>
    </row>
    <row r="41" spans="1:10">
      <c r="A41" s="215"/>
      <c r="B41" s="291"/>
      <c r="C41" s="266"/>
      <c r="D41" s="267">
        <v>2</v>
      </c>
      <c r="E41" s="266">
        <v>20.67</v>
      </c>
      <c r="F41" s="266"/>
      <c r="G41" s="288">
        <v>1.5</v>
      </c>
      <c r="H41" s="238">
        <f t="shared" si="2"/>
        <v>62.01</v>
      </c>
      <c r="I41" s="405"/>
      <c r="J41" s="290">
        <f t="shared" si="3"/>
        <v>3845.24</v>
      </c>
    </row>
    <row r="42" spans="1:10">
      <c r="A42" s="215"/>
      <c r="B42" s="265" t="s">
        <v>322</v>
      </c>
      <c r="C42" s="266"/>
      <c r="D42" s="267"/>
      <c r="E42" s="266"/>
      <c r="F42" s="266"/>
      <c r="G42" s="288"/>
      <c r="H42" s="238">
        <f t="shared" si="2"/>
        <v>0</v>
      </c>
      <c r="I42" s="405"/>
      <c r="J42" s="290">
        <f t="shared" si="3"/>
        <v>0</v>
      </c>
    </row>
    <row r="43" spans="1:10">
      <c r="A43" s="215"/>
      <c r="B43" s="265" t="s">
        <v>318</v>
      </c>
      <c r="C43" s="266"/>
      <c r="D43" s="267">
        <v>2</v>
      </c>
      <c r="E43" s="266">
        <v>5.9</v>
      </c>
      <c r="F43" s="266"/>
      <c r="G43" s="288">
        <v>2.5</v>
      </c>
      <c r="H43" s="238">
        <f t="shared" si="2"/>
        <v>29.5</v>
      </c>
      <c r="I43" s="405"/>
      <c r="J43" s="290">
        <f t="shared" si="3"/>
        <v>870.25</v>
      </c>
    </row>
    <row r="44" spans="1:10">
      <c r="A44" s="215"/>
      <c r="B44" s="291"/>
      <c r="C44" s="266"/>
      <c r="D44" s="267">
        <v>2</v>
      </c>
      <c r="E44" s="266">
        <v>4.9000000000000004</v>
      </c>
      <c r="F44" s="266"/>
      <c r="G44" s="288">
        <v>2.5</v>
      </c>
      <c r="H44" s="238">
        <f t="shared" si="2"/>
        <v>24.5</v>
      </c>
      <c r="I44" s="405"/>
      <c r="J44" s="290">
        <f t="shared" si="3"/>
        <v>600.25</v>
      </c>
    </row>
    <row r="45" spans="1:10">
      <c r="A45" s="215"/>
      <c r="B45" s="265" t="s">
        <v>323</v>
      </c>
      <c r="C45" s="266"/>
      <c r="D45" s="267">
        <v>2</v>
      </c>
      <c r="E45" s="266">
        <v>5.9</v>
      </c>
      <c r="F45" s="266"/>
      <c r="G45" s="288">
        <v>2.5</v>
      </c>
      <c r="H45" s="238">
        <f t="shared" si="2"/>
        <v>29.5</v>
      </c>
      <c r="I45" s="405"/>
      <c r="J45" s="290">
        <f t="shared" si="3"/>
        <v>870.25</v>
      </c>
    </row>
    <row r="46" spans="1:10">
      <c r="A46" s="215"/>
      <c r="B46" s="291"/>
      <c r="C46" s="266"/>
      <c r="D46" s="267">
        <v>2</v>
      </c>
      <c r="E46" s="266">
        <v>8</v>
      </c>
      <c r="F46" s="266"/>
      <c r="G46" s="288">
        <v>2.5</v>
      </c>
      <c r="H46" s="238">
        <f t="shared" si="2"/>
        <v>40</v>
      </c>
      <c r="I46" s="405"/>
      <c r="J46" s="290">
        <f t="shared" si="3"/>
        <v>1600</v>
      </c>
    </row>
    <row r="47" spans="1:10">
      <c r="A47" s="215"/>
      <c r="B47" s="265" t="s">
        <v>287</v>
      </c>
      <c r="C47" s="266"/>
      <c r="D47" s="267">
        <v>2</v>
      </c>
      <c r="E47" s="266">
        <v>8</v>
      </c>
      <c r="F47" s="266"/>
      <c r="G47" s="288">
        <v>2.5</v>
      </c>
      <c r="H47" s="238">
        <f t="shared" si="2"/>
        <v>40</v>
      </c>
      <c r="I47" s="405"/>
      <c r="J47" s="290">
        <f t="shared" si="3"/>
        <v>1600</v>
      </c>
    </row>
    <row r="48" spans="1:10">
      <c r="A48" s="215"/>
      <c r="B48" s="291"/>
      <c r="C48" s="266"/>
      <c r="D48" s="267">
        <v>2</v>
      </c>
      <c r="E48" s="266">
        <v>5.75</v>
      </c>
      <c r="F48" s="266"/>
      <c r="G48" s="288">
        <v>2.5</v>
      </c>
      <c r="H48" s="238">
        <f t="shared" si="2"/>
        <v>28.75</v>
      </c>
      <c r="I48" s="405"/>
      <c r="J48" s="290">
        <f t="shared" si="3"/>
        <v>826.56</v>
      </c>
    </row>
    <row r="49" spans="1:10">
      <c r="A49" s="215"/>
      <c r="B49" s="265" t="s">
        <v>193</v>
      </c>
      <c r="C49" s="266"/>
      <c r="D49" s="267">
        <v>2</v>
      </c>
      <c r="E49" s="266">
        <v>7.15</v>
      </c>
      <c r="F49" s="266"/>
      <c r="G49" s="288">
        <v>2.5</v>
      </c>
      <c r="H49" s="238">
        <f t="shared" si="2"/>
        <v>35.75</v>
      </c>
      <c r="I49" s="405"/>
      <c r="J49" s="290">
        <f t="shared" si="3"/>
        <v>1278.06</v>
      </c>
    </row>
    <row r="50" spans="1:10">
      <c r="A50" s="215"/>
      <c r="B50" s="291"/>
      <c r="C50" s="266"/>
      <c r="D50" s="267">
        <v>2</v>
      </c>
      <c r="E50" s="266">
        <v>5.75</v>
      </c>
      <c r="F50" s="266"/>
      <c r="G50" s="288">
        <v>2.5</v>
      </c>
      <c r="H50" s="238">
        <f t="shared" si="2"/>
        <v>28.75</v>
      </c>
      <c r="I50" s="405"/>
      <c r="J50" s="290">
        <f t="shared" si="3"/>
        <v>826.56</v>
      </c>
    </row>
    <row r="51" spans="1:10">
      <c r="A51" s="215"/>
      <c r="B51" s="265" t="s">
        <v>266</v>
      </c>
      <c r="C51" s="266"/>
      <c r="D51" s="267">
        <v>2</v>
      </c>
      <c r="E51" s="266">
        <v>2.0499999999999998</v>
      </c>
      <c r="F51" s="266"/>
      <c r="G51" s="288">
        <v>2.5</v>
      </c>
      <c r="H51" s="238">
        <f t="shared" si="2"/>
        <v>10.25</v>
      </c>
      <c r="I51" s="405"/>
      <c r="J51" s="290">
        <f t="shared" si="3"/>
        <v>105.06</v>
      </c>
    </row>
    <row r="52" spans="1:10">
      <c r="A52" s="215"/>
      <c r="B52" s="291"/>
      <c r="C52" s="266"/>
      <c r="D52" s="267">
        <v>2</v>
      </c>
      <c r="E52" s="266">
        <v>4.9000000000000004</v>
      </c>
      <c r="F52" s="266"/>
      <c r="G52" s="288">
        <v>2.9</v>
      </c>
      <c r="H52" s="238">
        <f t="shared" si="2"/>
        <v>28.42</v>
      </c>
      <c r="I52" s="405"/>
      <c r="J52" s="290">
        <f t="shared" si="3"/>
        <v>807.7</v>
      </c>
    </row>
    <row r="53" spans="1:10">
      <c r="A53" s="215"/>
      <c r="B53" s="265" t="s">
        <v>324</v>
      </c>
      <c r="C53" s="266"/>
      <c r="D53" s="267">
        <v>2</v>
      </c>
      <c r="E53" s="266">
        <v>9.5</v>
      </c>
      <c r="F53" s="266"/>
      <c r="G53" s="288">
        <v>2.5</v>
      </c>
      <c r="H53" s="238">
        <f t="shared" si="2"/>
        <v>47.5</v>
      </c>
      <c r="I53" s="405"/>
      <c r="J53" s="290">
        <f t="shared" si="3"/>
        <v>2256.25</v>
      </c>
    </row>
    <row r="54" spans="1:10">
      <c r="A54" s="215"/>
      <c r="B54" s="265" t="s">
        <v>325</v>
      </c>
      <c r="C54" s="266"/>
      <c r="D54" s="267">
        <v>2</v>
      </c>
      <c r="E54" s="266">
        <v>6.05</v>
      </c>
      <c r="F54" s="266"/>
      <c r="G54" s="288">
        <v>2.5</v>
      </c>
      <c r="H54" s="238">
        <f t="shared" si="2"/>
        <v>30.25</v>
      </c>
      <c r="I54" s="405"/>
      <c r="J54" s="290">
        <f t="shared" si="3"/>
        <v>915.06</v>
      </c>
    </row>
    <row r="55" spans="1:10">
      <c r="A55" s="215"/>
      <c r="B55" s="291"/>
      <c r="C55" s="266"/>
      <c r="D55" s="267">
        <v>1</v>
      </c>
      <c r="E55" s="266">
        <v>4.95</v>
      </c>
      <c r="F55" s="266"/>
      <c r="G55" s="288">
        <v>2.5</v>
      </c>
      <c r="H55" s="238">
        <f t="shared" si="2"/>
        <v>12.38</v>
      </c>
      <c r="I55" s="405"/>
      <c r="J55" s="290">
        <f t="shared" si="3"/>
        <v>153.19999999999999</v>
      </c>
    </row>
    <row r="56" spans="1:10">
      <c r="A56" s="215"/>
      <c r="B56" s="291"/>
      <c r="C56" s="266"/>
      <c r="D56" s="267">
        <v>2</v>
      </c>
      <c r="E56" s="266">
        <v>4.05</v>
      </c>
      <c r="F56" s="266"/>
      <c r="G56" s="288">
        <v>2.5</v>
      </c>
      <c r="H56" s="238">
        <f t="shared" si="2"/>
        <v>20.25</v>
      </c>
      <c r="I56" s="405"/>
      <c r="J56" s="290">
        <f t="shared" si="3"/>
        <v>410.06</v>
      </c>
    </row>
    <row r="57" spans="1:10">
      <c r="A57" s="215"/>
      <c r="B57" s="291"/>
      <c r="C57" s="266"/>
      <c r="D57" s="267">
        <v>1</v>
      </c>
      <c r="E57" s="266">
        <v>2.2999999999999998</v>
      </c>
      <c r="F57" s="266"/>
      <c r="G57" s="288">
        <v>1.4</v>
      </c>
      <c r="H57" s="238">
        <f t="shared" si="2"/>
        <v>3.22</v>
      </c>
      <c r="I57" s="405"/>
      <c r="J57" s="290">
        <f t="shared" si="3"/>
        <v>10.37</v>
      </c>
    </row>
    <row r="58" spans="1:10">
      <c r="A58" s="215"/>
      <c r="B58" s="291"/>
      <c r="C58" s="266"/>
      <c r="D58" s="267">
        <v>1</v>
      </c>
      <c r="E58" s="266">
        <v>1.75</v>
      </c>
      <c r="F58" s="266"/>
      <c r="G58" s="288">
        <v>2.5</v>
      </c>
      <c r="H58" s="238">
        <f t="shared" si="2"/>
        <v>4.38</v>
      </c>
      <c r="I58" s="405"/>
      <c r="J58" s="290">
        <f t="shared" si="3"/>
        <v>19.16</v>
      </c>
    </row>
    <row r="59" spans="1:10">
      <c r="A59" s="215"/>
      <c r="B59" s="291"/>
      <c r="C59" s="266"/>
      <c r="D59" s="267">
        <v>1</v>
      </c>
      <c r="E59" s="266">
        <v>1.38</v>
      </c>
      <c r="F59" s="266"/>
      <c r="G59" s="288">
        <v>2.5</v>
      </c>
      <c r="H59" s="238">
        <f t="shared" si="2"/>
        <v>3.45</v>
      </c>
      <c r="I59" s="405"/>
      <c r="J59" s="290">
        <f t="shared" si="3"/>
        <v>11.9</v>
      </c>
    </row>
    <row r="60" spans="1:10">
      <c r="A60" s="215"/>
      <c r="B60" s="289"/>
      <c r="C60" s="266"/>
      <c r="D60" s="267"/>
      <c r="E60" s="266"/>
      <c r="F60" s="266"/>
      <c r="G60" s="292"/>
      <c r="H60" s="238">
        <f t="shared" si="2"/>
        <v>0</v>
      </c>
      <c r="I60" s="405"/>
      <c r="J60" s="290">
        <f t="shared" si="3"/>
        <v>0</v>
      </c>
    </row>
    <row r="61" spans="1:10">
      <c r="A61" s="215"/>
      <c r="B61" s="265" t="s">
        <v>326</v>
      </c>
      <c r="C61" s="266"/>
      <c r="D61" s="267">
        <v>0.1</v>
      </c>
      <c r="E61" s="267"/>
      <c r="F61" s="267">
        <f>SUM(H32:H59)</f>
        <v>725.66</v>
      </c>
      <c r="G61" s="287"/>
      <c r="H61" s="238">
        <f t="shared" si="2"/>
        <v>72.569999999999993</v>
      </c>
      <c r="I61" s="405"/>
      <c r="J61" s="290">
        <f t="shared" si="3"/>
        <v>5266.11</v>
      </c>
    </row>
    <row r="62" spans="1:10">
      <c r="A62" s="233"/>
      <c r="B62" s="85"/>
      <c r="C62" s="222"/>
      <c r="D62" s="229"/>
      <c r="E62" s="223"/>
      <c r="F62" s="224"/>
      <c r="G62" s="103" t="str">
        <f>"Total item "&amp;A31</f>
        <v>Total item 1.3</v>
      </c>
      <c r="H62" s="104">
        <f>SUM(H61)</f>
        <v>72.569999999999993</v>
      </c>
    </row>
    <row r="63" spans="1:10" ht="20.399999999999999">
      <c r="A63" s="216" t="str">
        <f>'Planilha orç'!A11</f>
        <v>1.4</v>
      </c>
      <c r="B63" s="100" t="str">
        <f>'Planilha orç'!D11</f>
        <v>ESCAVAÇÃO MANUAL DE VALA COM PROFUNDIDADE MENOR OU IGUAL A 1,30 M. AF_02/2021</v>
      </c>
      <c r="C63" s="216" t="str">
        <f>'Planilha orç'!E11</f>
        <v>M3</v>
      </c>
      <c r="D63" s="217"/>
      <c r="E63" s="218"/>
      <c r="F63" s="219"/>
      <c r="G63" s="220"/>
      <c r="H63" s="221"/>
    </row>
    <row r="64" spans="1:10">
      <c r="A64" s="233"/>
      <c r="B64" s="255" t="s">
        <v>208</v>
      </c>
      <c r="C64" s="236"/>
      <c r="D64" s="230"/>
      <c r="E64" s="235">
        <v>2.2999999999999998</v>
      </c>
      <c r="F64" s="235">
        <v>0.2</v>
      </c>
      <c r="G64" s="234">
        <v>0.5</v>
      </c>
      <c r="H64" s="238">
        <f t="shared" ref="H64:H70" si="4">ROUND(PRODUCT(D64:G64),2)</f>
        <v>0.23</v>
      </c>
    </row>
    <row r="65" spans="1:8">
      <c r="A65" s="233"/>
      <c r="B65" s="255"/>
      <c r="C65" s="236"/>
      <c r="D65" s="230"/>
      <c r="E65" s="235">
        <v>2.2599999999999998</v>
      </c>
      <c r="F65" s="235">
        <v>0.2</v>
      </c>
      <c r="G65" s="234">
        <v>0.5</v>
      </c>
      <c r="H65" s="238">
        <f t="shared" si="4"/>
        <v>0.23</v>
      </c>
    </row>
    <row r="66" spans="1:8">
      <c r="A66" s="233"/>
      <c r="B66" s="255"/>
      <c r="C66" s="236"/>
      <c r="D66" s="230"/>
      <c r="E66" s="235">
        <v>0.83</v>
      </c>
      <c r="F66" s="235">
        <v>0.2</v>
      </c>
      <c r="G66" s="234">
        <v>0.5</v>
      </c>
      <c r="H66" s="238">
        <f t="shared" si="4"/>
        <v>0.08</v>
      </c>
    </row>
    <row r="67" spans="1:8">
      <c r="A67" s="233"/>
      <c r="B67" s="255" t="s">
        <v>227</v>
      </c>
      <c r="C67" s="236"/>
      <c r="D67" s="230"/>
      <c r="E67" s="235">
        <v>5.55</v>
      </c>
      <c r="F67" s="235">
        <v>0.2</v>
      </c>
      <c r="G67" s="234">
        <v>0.5</v>
      </c>
      <c r="H67" s="238">
        <f t="shared" si="4"/>
        <v>0.56000000000000005</v>
      </c>
    </row>
    <row r="68" spans="1:8">
      <c r="A68" s="233"/>
      <c r="B68" s="255" t="s">
        <v>195</v>
      </c>
      <c r="C68" s="236"/>
      <c r="D68" s="230"/>
      <c r="E68" s="235">
        <v>2.79</v>
      </c>
      <c r="F68" s="235">
        <v>0.2</v>
      </c>
      <c r="G68" s="234">
        <v>0.5</v>
      </c>
      <c r="H68" s="238">
        <f t="shared" si="4"/>
        <v>0.28000000000000003</v>
      </c>
    </row>
    <row r="69" spans="1:8">
      <c r="A69" s="233"/>
      <c r="B69" s="255" t="s">
        <v>228</v>
      </c>
      <c r="C69" s="236"/>
      <c r="D69" s="230"/>
      <c r="E69" s="235">
        <v>5.66</v>
      </c>
      <c r="F69" s="235">
        <v>0.2</v>
      </c>
      <c r="G69" s="234">
        <v>0.5</v>
      </c>
      <c r="H69" s="238">
        <f t="shared" si="4"/>
        <v>0.56999999999999995</v>
      </c>
    </row>
    <row r="70" spans="1:8">
      <c r="A70" s="233"/>
      <c r="B70" s="255" t="s">
        <v>229</v>
      </c>
      <c r="C70" s="236"/>
      <c r="D70" s="230"/>
      <c r="E70" s="235">
        <v>4.3</v>
      </c>
      <c r="F70" s="235">
        <v>0.2</v>
      </c>
      <c r="G70" s="234">
        <v>0.5</v>
      </c>
      <c r="H70" s="238">
        <f t="shared" si="4"/>
        <v>0.43</v>
      </c>
    </row>
    <row r="71" spans="1:8">
      <c r="A71" s="233"/>
      <c r="B71" s="85"/>
      <c r="C71" s="222"/>
      <c r="D71" s="229"/>
      <c r="E71" s="223"/>
      <c r="F71" s="224"/>
      <c r="G71" s="103" t="str">
        <f>"Total item "&amp;A63</f>
        <v>Total item 1.4</v>
      </c>
      <c r="H71" s="104">
        <f>SUM(H64:H70)</f>
        <v>2.3800000000000003</v>
      </c>
    </row>
    <row r="72" spans="1:8" ht="20.399999999999999">
      <c r="A72" s="216" t="str">
        <f>'Planilha orç'!A12</f>
        <v>1.5</v>
      </c>
      <c r="B72" s="100" t="str">
        <f>'Planilha orç'!D12</f>
        <v>LASTRO DE CONCRETO MAGRO, APLICADO EM PISOS, LAJES SOBRE SOLO OU RADIERS. AF_08/2017</v>
      </c>
      <c r="C72" s="216" t="str">
        <f>'Planilha orç'!E12</f>
        <v>M3</v>
      </c>
      <c r="D72" s="217"/>
      <c r="E72" s="218"/>
      <c r="F72" s="219"/>
      <c r="G72" s="220"/>
      <c r="H72" s="221"/>
    </row>
    <row r="73" spans="1:8">
      <c r="A73" s="233"/>
      <c r="B73" s="255" t="s">
        <v>208</v>
      </c>
      <c r="C73" s="236"/>
      <c r="D73" s="230"/>
      <c r="E73" s="235">
        <v>2.2999999999999998</v>
      </c>
      <c r="F73" s="235">
        <v>0.2</v>
      </c>
      <c r="G73" s="234">
        <v>7.0000000000000007E-2</v>
      </c>
      <c r="H73" s="238">
        <f t="shared" ref="H73:H79" si="5">ROUND(PRODUCT(D73:G73),2)</f>
        <v>0.03</v>
      </c>
    </row>
    <row r="74" spans="1:8">
      <c r="A74" s="233"/>
      <c r="B74" s="255"/>
      <c r="C74" s="236"/>
      <c r="D74" s="230"/>
      <c r="E74" s="235">
        <v>2.2599999999999998</v>
      </c>
      <c r="F74" s="235">
        <v>0.2</v>
      </c>
      <c r="G74" s="234">
        <v>7.0000000000000007E-2</v>
      </c>
      <c r="H74" s="238">
        <f t="shared" si="5"/>
        <v>0.03</v>
      </c>
    </row>
    <row r="75" spans="1:8">
      <c r="A75" s="233"/>
      <c r="B75" s="255"/>
      <c r="C75" s="236"/>
      <c r="D75" s="230"/>
      <c r="E75" s="235">
        <v>0.83</v>
      </c>
      <c r="F75" s="235">
        <v>0.2</v>
      </c>
      <c r="G75" s="234">
        <v>7.0000000000000007E-2</v>
      </c>
      <c r="H75" s="238">
        <f t="shared" si="5"/>
        <v>0.01</v>
      </c>
    </row>
    <row r="76" spans="1:8">
      <c r="A76" s="233"/>
      <c r="B76" s="255" t="s">
        <v>227</v>
      </c>
      <c r="C76" s="236"/>
      <c r="D76" s="230"/>
      <c r="E76" s="235">
        <v>5.55</v>
      </c>
      <c r="F76" s="235">
        <v>0.2</v>
      </c>
      <c r="G76" s="234">
        <v>7.0000000000000007E-2</v>
      </c>
      <c r="H76" s="238">
        <f t="shared" si="5"/>
        <v>0.08</v>
      </c>
    </row>
    <row r="77" spans="1:8">
      <c r="A77" s="233"/>
      <c r="B77" s="255" t="s">
        <v>195</v>
      </c>
      <c r="C77" s="236"/>
      <c r="D77" s="230"/>
      <c r="E77" s="235">
        <v>2.79</v>
      </c>
      <c r="F77" s="235">
        <v>0.2</v>
      </c>
      <c r="G77" s="234">
        <v>7.0000000000000007E-2</v>
      </c>
      <c r="H77" s="238">
        <f t="shared" si="5"/>
        <v>0.04</v>
      </c>
    </row>
    <row r="78" spans="1:8">
      <c r="A78" s="233"/>
      <c r="B78" s="255" t="s">
        <v>228</v>
      </c>
      <c r="C78" s="236"/>
      <c r="D78" s="230"/>
      <c r="E78" s="235">
        <v>5.66</v>
      </c>
      <c r="F78" s="235">
        <v>0.2</v>
      </c>
      <c r="G78" s="234">
        <v>7.0000000000000007E-2</v>
      </c>
      <c r="H78" s="238">
        <f t="shared" si="5"/>
        <v>0.08</v>
      </c>
    </row>
    <row r="79" spans="1:8">
      <c r="A79" s="233"/>
      <c r="B79" s="255" t="s">
        <v>229</v>
      </c>
      <c r="C79" s="236"/>
      <c r="D79" s="230"/>
      <c r="E79" s="235">
        <v>4.3</v>
      </c>
      <c r="F79" s="235">
        <v>0.2</v>
      </c>
      <c r="G79" s="234">
        <v>7.0000000000000007E-2</v>
      </c>
      <c r="H79" s="238">
        <f t="shared" si="5"/>
        <v>0.06</v>
      </c>
    </row>
    <row r="80" spans="1:8">
      <c r="A80" s="233"/>
      <c r="B80" s="85"/>
      <c r="C80" s="222"/>
      <c r="D80" s="229"/>
      <c r="E80" s="223"/>
      <c r="F80" s="224"/>
      <c r="G80" s="103" t="str">
        <f>"Total item "&amp;A72</f>
        <v>Total item 1.5</v>
      </c>
      <c r="H80" s="104">
        <f>SUM(H73:H79)</f>
        <v>0.33</v>
      </c>
    </row>
    <row r="81" spans="1:8" ht="20.399999999999999">
      <c r="A81" s="216" t="str">
        <f>'Planilha orç'!A13</f>
        <v>1.6</v>
      </c>
      <c r="B81" s="100" t="str">
        <f>'Planilha orç'!D13</f>
        <v xml:space="preserve">ALVENARIA DE TIJOLO CERÂMICO FURADO (9x19x19)cm C/ARGAMASSA MISTA DE CAL HIDRATADA ESP=20 cm </v>
      </c>
      <c r="C81" s="216" t="str">
        <f>'Planilha orç'!E13</f>
        <v>M2</v>
      </c>
      <c r="D81" s="217"/>
      <c r="E81" s="218"/>
      <c r="F81" s="219"/>
      <c r="G81" s="220"/>
      <c r="H81" s="221"/>
    </row>
    <row r="82" spans="1:8">
      <c r="A82" s="233"/>
      <c r="B82" s="255" t="s">
        <v>208</v>
      </c>
      <c r="C82" s="236"/>
      <c r="D82" s="230"/>
      <c r="E82" s="235">
        <v>2.2999999999999998</v>
      </c>
      <c r="F82" s="235"/>
      <c r="G82" s="234">
        <v>0.5</v>
      </c>
      <c r="H82" s="238">
        <f t="shared" ref="H82:H88" si="6">ROUND(PRODUCT(D82:G82),2)</f>
        <v>1.1499999999999999</v>
      </c>
    </row>
    <row r="83" spans="1:8">
      <c r="A83" s="233"/>
      <c r="B83" s="255"/>
      <c r="C83" s="236"/>
      <c r="D83" s="230"/>
      <c r="E83" s="235">
        <v>2.2599999999999998</v>
      </c>
      <c r="F83" s="235"/>
      <c r="G83" s="234">
        <v>0.5</v>
      </c>
      <c r="H83" s="238">
        <f t="shared" si="6"/>
        <v>1.1299999999999999</v>
      </c>
    </row>
    <row r="84" spans="1:8">
      <c r="A84" s="233"/>
      <c r="B84" s="255"/>
      <c r="C84" s="236"/>
      <c r="D84" s="230"/>
      <c r="E84" s="235">
        <v>0.83</v>
      </c>
      <c r="F84" s="235"/>
      <c r="G84" s="234">
        <v>0.5</v>
      </c>
      <c r="H84" s="238">
        <f t="shared" si="6"/>
        <v>0.42</v>
      </c>
    </row>
    <row r="85" spans="1:8">
      <c r="A85" s="233"/>
      <c r="B85" s="255" t="s">
        <v>227</v>
      </c>
      <c r="C85" s="236"/>
      <c r="D85" s="230"/>
      <c r="E85" s="235">
        <v>5.55</v>
      </c>
      <c r="F85" s="235"/>
      <c r="G85" s="234">
        <v>0.5</v>
      </c>
      <c r="H85" s="238">
        <f t="shared" si="6"/>
        <v>2.78</v>
      </c>
    </row>
    <row r="86" spans="1:8">
      <c r="A86" s="233"/>
      <c r="B86" s="255" t="s">
        <v>195</v>
      </c>
      <c r="C86" s="236"/>
      <c r="D86" s="230"/>
      <c r="E86" s="235">
        <v>2.79</v>
      </c>
      <c r="F86" s="235"/>
      <c r="G86" s="234">
        <v>0.5</v>
      </c>
      <c r="H86" s="238">
        <f t="shared" si="6"/>
        <v>1.4</v>
      </c>
    </row>
    <row r="87" spans="1:8">
      <c r="A87" s="233"/>
      <c r="B87" s="255" t="s">
        <v>228</v>
      </c>
      <c r="C87" s="236"/>
      <c r="D87" s="230"/>
      <c r="E87" s="235">
        <v>5.66</v>
      </c>
      <c r="F87" s="235"/>
      <c r="G87" s="234">
        <v>0.5</v>
      </c>
      <c r="H87" s="238">
        <f t="shared" si="6"/>
        <v>2.83</v>
      </c>
    </row>
    <row r="88" spans="1:8">
      <c r="A88" s="233"/>
      <c r="B88" s="255" t="s">
        <v>229</v>
      </c>
      <c r="C88" s="236"/>
      <c r="D88" s="230"/>
      <c r="E88" s="235">
        <v>4.3</v>
      </c>
      <c r="F88" s="235"/>
      <c r="G88" s="234">
        <v>0.5</v>
      </c>
      <c r="H88" s="238">
        <f t="shared" si="6"/>
        <v>2.15</v>
      </c>
    </row>
    <row r="89" spans="1:8">
      <c r="A89" s="233"/>
      <c r="B89" s="85"/>
      <c r="C89" s="222"/>
      <c r="D89" s="229"/>
      <c r="E89" s="223"/>
      <c r="F89" s="224"/>
      <c r="G89" s="103" t="str">
        <f>"Total item "&amp;A81</f>
        <v>Total item 1.6</v>
      </c>
      <c r="H89" s="104">
        <f>SUM(H82:H88)</f>
        <v>11.86</v>
      </c>
    </row>
    <row r="90" spans="1:8" ht="20.399999999999999">
      <c r="A90" s="216" t="str">
        <f>'Planilha orç'!A14</f>
        <v>1.7</v>
      </c>
      <c r="B90" s="100" t="str">
        <f>'Planilha orç'!D14</f>
        <v>ESCAVAÇÃO MANUAL DE VALA PARA VIGA BALDRAME, COM PREVISÃO DE FÔRMA. AF_06/2017</v>
      </c>
      <c r="C90" s="216" t="str">
        <f>'Planilha orç'!E14</f>
        <v>M3</v>
      </c>
      <c r="D90" s="217"/>
      <c r="E90" s="218"/>
      <c r="F90" s="219"/>
      <c r="G90" s="220"/>
      <c r="H90" s="221"/>
    </row>
    <row r="91" spans="1:8">
      <c r="A91" s="233"/>
      <c r="B91" s="255" t="s">
        <v>208</v>
      </c>
      <c r="C91" s="236"/>
      <c r="D91" s="230"/>
      <c r="E91" s="235">
        <v>2.2999999999999998</v>
      </c>
      <c r="F91" s="235">
        <v>0.2</v>
      </c>
      <c r="G91" s="234">
        <v>0.2</v>
      </c>
      <c r="H91" s="238">
        <f t="shared" ref="H91:H97" si="7">ROUND(PRODUCT(D91:G91),2)</f>
        <v>0.09</v>
      </c>
    </row>
    <row r="92" spans="1:8">
      <c r="A92" s="233"/>
      <c r="B92" s="255"/>
      <c r="C92" s="236"/>
      <c r="D92" s="230"/>
      <c r="E92" s="235">
        <v>2.2599999999999998</v>
      </c>
      <c r="F92" s="235">
        <v>0.2</v>
      </c>
      <c r="G92" s="234">
        <v>0.2</v>
      </c>
      <c r="H92" s="238">
        <f t="shared" si="7"/>
        <v>0.09</v>
      </c>
    </row>
    <row r="93" spans="1:8">
      <c r="A93" s="233"/>
      <c r="B93" s="255"/>
      <c r="C93" s="236"/>
      <c r="D93" s="230"/>
      <c r="E93" s="235">
        <v>0.83</v>
      </c>
      <c r="F93" s="235">
        <v>0.2</v>
      </c>
      <c r="G93" s="234">
        <v>0.2</v>
      </c>
      <c r="H93" s="238">
        <f t="shared" si="7"/>
        <v>0.03</v>
      </c>
    </row>
    <row r="94" spans="1:8">
      <c r="A94" s="233"/>
      <c r="B94" s="255" t="s">
        <v>227</v>
      </c>
      <c r="C94" s="236"/>
      <c r="D94" s="230"/>
      <c r="E94" s="235">
        <v>5.55</v>
      </c>
      <c r="F94" s="235">
        <v>0.2</v>
      </c>
      <c r="G94" s="234">
        <v>0.2</v>
      </c>
      <c r="H94" s="238">
        <f t="shared" si="7"/>
        <v>0.22</v>
      </c>
    </row>
    <row r="95" spans="1:8">
      <c r="A95" s="233"/>
      <c r="B95" s="255" t="s">
        <v>195</v>
      </c>
      <c r="C95" s="236"/>
      <c r="D95" s="230"/>
      <c r="E95" s="235">
        <v>2.79</v>
      </c>
      <c r="F95" s="235">
        <v>0.2</v>
      </c>
      <c r="G95" s="234">
        <v>0.2</v>
      </c>
      <c r="H95" s="238">
        <f t="shared" si="7"/>
        <v>0.11</v>
      </c>
    </row>
    <row r="96" spans="1:8">
      <c r="A96" s="233"/>
      <c r="B96" s="255" t="s">
        <v>228</v>
      </c>
      <c r="C96" s="236"/>
      <c r="D96" s="230"/>
      <c r="E96" s="235">
        <v>5.66</v>
      </c>
      <c r="F96" s="235">
        <v>0.2</v>
      </c>
      <c r="G96" s="234">
        <v>0.2</v>
      </c>
      <c r="H96" s="238">
        <f t="shared" si="7"/>
        <v>0.23</v>
      </c>
    </row>
    <row r="97" spans="1:10">
      <c r="A97" s="233"/>
      <c r="B97" s="255" t="s">
        <v>229</v>
      </c>
      <c r="C97" s="236"/>
      <c r="D97" s="230"/>
      <c r="E97" s="235">
        <v>4.3</v>
      </c>
      <c r="F97" s="235">
        <v>0.2</v>
      </c>
      <c r="G97" s="234">
        <v>0.2</v>
      </c>
      <c r="H97" s="238">
        <f t="shared" si="7"/>
        <v>0.17</v>
      </c>
    </row>
    <row r="98" spans="1:10">
      <c r="A98" s="233"/>
      <c r="B98" s="85"/>
      <c r="C98" s="222"/>
      <c r="D98" s="229"/>
      <c r="E98" s="223"/>
      <c r="F98" s="224"/>
      <c r="G98" s="103" t="str">
        <f>"Total item "&amp;A90</f>
        <v>Total item 1.7</v>
      </c>
      <c r="H98" s="104">
        <f>SUM(H91:H97)</f>
        <v>0.94000000000000006</v>
      </c>
    </row>
    <row r="99" spans="1:10" ht="30.6">
      <c r="A99" s="216" t="str">
        <f>'Planilha orç'!A15</f>
        <v>1.8</v>
      </c>
      <c r="B99" s="100" t="str">
        <f>'Planilha orç'!D15</f>
        <v>MONTAGEM E DESMONTAGEM DE FÔRMA DE VIGA, ESCORAMENTO COM GARFO DE MADEIRA, PÉ-DIREITO SIMPLES, EM CHAPA DE MADEIRA PLASTIFICADA, 12 UTILIZAÇÕES. AF_09/2020</v>
      </c>
      <c r="C99" s="216" t="str">
        <f>'Planilha orç'!E15</f>
        <v>M2</v>
      </c>
      <c r="D99" s="217"/>
      <c r="E99" s="218"/>
      <c r="F99" s="219"/>
      <c r="G99" s="220"/>
      <c r="H99" s="221"/>
    </row>
    <row r="100" spans="1:10">
      <c r="A100" s="233"/>
      <c r="B100" s="255" t="s">
        <v>208</v>
      </c>
      <c r="C100" s="236"/>
      <c r="D100" s="230"/>
      <c r="E100" s="235">
        <v>2.2999999999999998</v>
      </c>
      <c r="F100" s="235">
        <v>0.2</v>
      </c>
      <c r="G100" s="234"/>
      <c r="H100" s="238">
        <f t="shared" ref="H100:H106" si="8">ROUND(PRODUCT(D100:G100),2)</f>
        <v>0.46</v>
      </c>
    </row>
    <row r="101" spans="1:10">
      <c r="A101" s="233"/>
      <c r="B101" s="255"/>
      <c r="C101" s="236"/>
      <c r="D101" s="230"/>
      <c r="E101" s="235">
        <v>2.2599999999999998</v>
      </c>
      <c r="F101" s="235">
        <v>0.2</v>
      </c>
      <c r="G101" s="234"/>
      <c r="H101" s="238">
        <f t="shared" si="8"/>
        <v>0.45</v>
      </c>
    </row>
    <row r="102" spans="1:10">
      <c r="A102" s="233"/>
      <c r="B102" s="255"/>
      <c r="C102" s="236"/>
      <c r="D102" s="230"/>
      <c r="E102" s="235">
        <v>0.83</v>
      </c>
      <c r="F102" s="235">
        <v>0.2</v>
      </c>
      <c r="G102" s="234"/>
      <c r="H102" s="238">
        <f t="shared" si="8"/>
        <v>0.17</v>
      </c>
    </row>
    <row r="103" spans="1:10">
      <c r="A103" s="233"/>
      <c r="B103" s="255" t="s">
        <v>227</v>
      </c>
      <c r="C103" s="236"/>
      <c r="D103" s="230"/>
      <c r="E103" s="235">
        <v>5.55</v>
      </c>
      <c r="F103" s="235">
        <v>0.2</v>
      </c>
      <c r="G103" s="234"/>
      <c r="H103" s="238">
        <f t="shared" si="8"/>
        <v>1.1100000000000001</v>
      </c>
    </row>
    <row r="104" spans="1:10">
      <c r="A104" s="233"/>
      <c r="B104" s="255" t="s">
        <v>195</v>
      </c>
      <c r="C104" s="236"/>
      <c r="D104" s="230"/>
      <c r="E104" s="235">
        <v>2.79</v>
      </c>
      <c r="F104" s="235">
        <v>0.2</v>
      </c>
      <c r="G104" s="234"/>
      <c r="H104" s="238">
        <f t="shared" si="8"/>
        <v>0.56000000000000005</v>
      </c>
    </row>
    <row r="105" spans="1:10" s="258" customFormat="1">
      <c r="A105" s="233"/>
      <c r="B105" s="255" t="s">
        <v>228</v>
      </c>
      <c r="C105" s="236"/>
      <c r="D105" s="230"/>
      <c r="E105" s="235">
        <v>5.66</v>
      </c>
      <c r="F105" s="235">
        <v>0.2</v>
      </c>
      <c r="G105" s="234"/>
      <c r="H105" s="238">
        <f t="shared" si="8"/>
        <v>1.1299999999999999</v>
      </c>
      <c r="I105" s="256"/>
      <c r="J105" s="257"/>
    </row>
    <row r="106" spans="1:10">
      <c r="A106" s="233"/>
      <c r="B106" s="255" t="s">
        <v>229</v>
      </c>
      <c r="C106" s="236"/>
      <c r="D106" s="230"/>
      <c r="E106" s="235">
        <v>4.3</v>
      </c>
      <c r="F106" s="235">
        <v>0.2</v>
      </c>
      <c r="G106" s="234"/>
      <c r="H106" s="238">
        <f t="shared" si="8"/>
        <v>0.86</v>
      </c>
    </row>
    <row r="107" spans="1:10">
      <c r="A107" s="233"/>
      <c r="B107" s="85"/>
      <c r="C107" s="222"/>
      <c r="D107" s="229"/>
      <c r="E107" s="223"/>
      <c r="F107" s="224"/>
      <c r="G107" s="103" t="str">
        <f>"Total item "&amp;A99</f>
        <v>Total item 1.8</v>
      </c>
      <c r="H107" s="104">
        <f>SUM(H100:H106)</f>
        <v>4.74</v>
      </c>
    </row>
    <row r="108" spans="1:10" ht="30.6">
      <c r="A108" s="216" t="str">
        <f>'Planilha orç'!A16</f>
        <v>1.9</v>
      </c>
      <c r="B108" s="100" t="str">
        <f>'Planilha orç'!D16</f>
        <v>(COMPOSIÇÃO REPRESENTATIVA) EXECUÇÃO DE ESTRUTURAS DE CONCRETO ARMADO, PARA EDIFICAÇÃO INSTITUCIONAL TÉRREA, FCK = 25 MPA. AF_01/2017</v>
      </c>
      <c r="C108" s="216" t="str">
        <f>'Planilha orç'!E16</f>
        <v>M3</v>
      </c>
      <c r="D108" s="217"/>
      <c r="E108" s="218"/>
      <c r="F108" s="219"/>
      <c r="G108" s="220"/>
      <c r="H108" s="221"/>
    </row>
    <row r="109" spans="1:10">
      <c r="A109" s="233"/>
      <c r="B109" s="255" t="s">
        <v>208</v>
      </c>
      <c r="C109" s="236"/>
      <c r="D109" s="230"/>
      <c r="E109" s="235">
        <v>2.2999999999999998</v>
      </c>
      <c r="F109" s="235">
        <v>0.2</v>
      </c>
      <c r="G109" s="234">
        <v>0.2</v>
      </c>
      <c r="H109" s="238">
        <f t="shared" ref="H109:H115" si="9">ROUND(PRODUCT(D109:G109),2)</f>
        <v>0.09</v>
      </c>
    </row>
    <row r="110" spans="1:10">
      <c r="A110" s="233"/>
      <c r="B110" s="255"/>
      <c r="C110" s="236"/>
      <c r="D110" s="230"/>
      <c r="E110" s="235">
        <v>2.2599999999999998</v>
      </c>
      <c r="F110" s="235">
        <v>0.2</v>
      </c>
      <c r="G110" s="234">
        <v>0.2</v>
      </c>
      <c r="H110" s="238">
        <f t="shared" si="9"/>
        <v>0.09</v>
      </c>
    </row>
    <row r="111" spans="1:10">
      <c r="A111" s="233"/>
      <c r="B111" s="255"/>
      <c r="C111" s="236"/>
      <c r="D111" s="230"/>
      <c r="E111" s="235">
        <v>0.83</v>
      </c>
      <c r="F111" s="235">
        <v>0.2</v>
      </c>
      <c r="G111" s="234">
        <v>0.2</v>
      </c>
      <c r="H111" s="238">
        <f t="shared" si="9"/>
        <v>0.03</v>
      </c>
    </row>
    <row r="112" spans="1:10">
      <c r="A112" s="233"/>
      <c r="B112" s="255" t="s">
        <v>227</v>
      </c>
      <c r="C112" s="236"/>
      <c r="D112" s="230"/>
      <c r="E112" s="235">
        <v>5.55</v>
      </c>
      <c r="F112" s="235">
        <v>0.2</v>
      </c>
      <c r="G112" s="234">
        <v>0.2</v>
      </c>
      <c r="H112" s="238">
        <f t="shared" si="9"/>
        <v>0.22</v>
      </c>
    </row>
    <row r="113" spans="1:8">
      <c r="A113" s="233"/>
      <c r="B113" s="255" t="s">
        <v>195</v>
      </c>
      <c r="C113" s="236"/>
      <c r="D113" s="230"/>
      <c r="E113" s="235">
        <v>2.79</v>
      </c>
      <c r="F113" s="235">
        <v>0.2</v>
      </c>
      <c r="G113" s="234">
        <v>0.2</v>
      </c>
      <c r="H113" s="238">
        <f t="shared" si="9"/>
        <v>0.11</v>
      </c>
    </row>
    <row r="114" spans="1:8">
      <c r="A114" s="233"/>
      <c r="B114" s="255" t="s">
        <v>228</v>
      </c>
      <c r="C114" s="236"/>
      <c r="D114" s="230"/>
      <c r="E114" s="235">
        <v>5.66</v>
      </c>
      <c r="F114" s="235">
        <v>0.2</v>
      </c>
      <c r="G114" s="234">
        <v>0.2</v>
      </c>
      <c r="H114" s="238">
        <f t="shared" si="9"/>
        <v>0.23</v>
      </c>
    </row>
    <row r="115" spans="1:8">
      <c r="A115" s="233"/>
      <c r="B115" s="255" t="s">
        <v>229</v>
      </c>
      <c r="C115" s="236"/>
      <c r="D115" s="230"/>
      <c r="E115" s="235">
        <v>4.3</v>
      </c>
      <c r="F115" s="235">
        <v>0.2</v>
      </c>
      <c r="G115" s="234">
        <v>0.2</v>
      </c>
      <c r="H115" s="238">
        <f t="shared" si="9"/>
        <v>0.17</v>
      </c>
    </row>
    <row r="116" spans="1:8">
      <c r="A116" s="233"/>
      <c r="B116" s="85"/>
      <c r="C116" s="222"/>
      <c r="D116" s="229"/>
      <c r="E116" s="223"/>
      <c r="F116" s="224"/>
      <c r="G116" s="103" t="str">
        <f>"Total item "&amp;A108</f>
        <v>Total item 1.9</v>
      </c>
      <c r="H116" s="104">
        <f>SUM(H109:H115)</f>
        <v>0.94000000000000006</v>
      </c>
    </row>
    <row r="117" spans="1:8">
      <c r="A117" s="233"/>
      <c r="B117" s="85"/>
      <c r="C117" s="222"/>
      <c r="D117" s="229"/>
      <c r="E117" s="223"/>
      <c r="F117" s="224"/>
      <c r="G117" s="103"/>
      <c r="H117" s="104"/>
    </row>
    <row r="118" spans="1:8" ht="30.6">
      <c r="A118" s="216" t="str">
        <f>'Planilha orç'!A17</f>
        <v>1.10</v>
      </c>
      <c r="B118" s="100" t="str">
        <f>'Planilha orç'!D17</f>
        <v>IMPERMEABILIZAÇÃO DE FLOREIRA OU VIGA BALDRAME COM ARGAMASSA DE CIMENTO E AREIA, COM ADITIVO IMPERMEABILIZANTE, E = 2 CM. AF_06/2018</v>
      </c>
      <c r="C118" s="216" t="str">
        <f>'Planilha orç'!E17</f>
        <v>M2</v>
      </c>
      <c r="D118" s="217"/>
      <c r="E118" s="218"/>
      <c r="F118" s="219"/>
      <c r="G118" s="220"/>
      <c r="H118" s="221"/>
    </row>
    <row r="119" spans="1:8">
      <c r="A119" s="233"/>
      <c r="B119" s="255" t="s">
        <v>208</v>
      </c>
      <c r="C119" s="236"/>
      <c r="D119" s="230"/>
      <c r="E119" s="235">
        <v>2.2999999999999998</v>
      </c>
      <c r="F119" s="235">
        <v>0.6</v>
      </c>
      <c r="G119" s="234"/>
      <c r="H119" s="238">
        <f t="shared" ref="H119:H125" si="10">ROUND(PRODUCT(D119:G119),2)</f>
        <v>1.38</v>
      </c>
    </row>
    <row r="120" spans="1:8">
      <c r="A120" s="233"/>
      <c r="B120" s="255"/>
      <c r="C120" s="236"/>
      <c r="D120" s="230"/>
      <c r="E120" s="235">
        <v>2.2599999999999998</v>
      </c>
      <c r="F120" s="235">
        <v>0.6</v>
      </c>
      <c r="G120" s="234"/>
      <c r="H120" s="238">
        <f t="shared" si="10"/>
        <v>1.36</v>
      </c>
    </row>
    <row r="121" spans="1:8">
      <c r="A121" s="233"/>
      <c r="B121" s="255"/>
      <c r="C121" s="236"/>
      <c r="D121" s="230"/>
      <c r="E121" s="235">
        <v>0.83</v>
      </c>
      <c r="F121" s="235">
        <v>0.6</v>
      </c>
      <c r="G121" s="234"/>
      <c r="H121" s="238">
        <f t="shared" si="10"/>
        <v>0.5</v>
      </c>
    </row>
    <row r="122" spans="1:8">
      <c r="A122" s="233"/>
      <c r="B122" s="255" t="s">
        <v>227</v>
      </c>
      <c r="C122" s="236"/>
      <c r="D122" s="230"/>
      <c r="E122" s="235">
        <v>5.55</v>
      </c>
      <c r="F122" s="235">
        <v>0.6</v>
      </c>
      <c r="G122" s="234"/>
      <c r="H122" s="238">
        <f t="shared" si="10"/>
        <v>3.33</v>
      </c>
    </row>
    <row r="123" spans="1:8">
      <c r="A123" s="233"/>
      <c r="B123" s="255" t="s">
        <v>195</v>
      </c>
      <c r="C123" s="236"/>
      <c r="D123" s="230"/>
      <c r="E123" s="235">
        <v>2.79</v>
      </c>
      <c r="F123" s="235">
        <v>0.6</v>
      </c>
      <c r="G123" s="234"/>
      <c r="H123" s="238">
        <f t="shared" si="10"/>
        <v>1.67</v>
      </c>
    </row>
    <row r="124" spans="1:8">
      <c r="A124" s="233"/>
      <c r="B124" s="255" t="s">
        <v>228</v>
      </c>
      <c r="C124" s="236"/>
      <c r="D124" s="230"/>
      <c r="E124" s="235">
        <v>5.66</v>
      </c>
      <c r="F124" s="235">
        <v>0.6</v>
      </c>
      <c r="G124" s="234"/>
      <c r="H124" s="238">
        <f t="shared" si="10"/>
        <v>3.4</v>
      </c>
    </row>
    <row r="125" spans="1:8">
      <c r="A125" s="233"/>
      <c r="B125" s="255" t="s">
        <v>229</v>
      </c>
      <c r="C125" s="236"/>
      <c r="D125" s="230"/>
      <c r="E125" s="235">
        <v>4.3</v>
      </c>
      <c r="F125" s="235">
        <v>0.6</v>
      </c>
      <c r="G125" s="234"/>
      <c r="H125" s="238">
        <f t="shared" si="10"/>
        <v>2.58</v>
      </c>
    </row>
    <row r="126" spans="1:8">
      <c r="A126" s="233"/>
      <c r="B126" s="85"/>
      <c r="C126" s="222"/>
      <c r="D126" s="229"/>
      <c r="E126" s="223"/>
      <c r="F126" s="224"/>
      <c r="G126" s="103" t="str">
        <f>"Total item "&amp;A118</f>
        <v>Total item 1.10</v>
      </c>
      <c r="H126" s="104">
        <f>SUM(H119:H125)</f>
        <v>14.22</v>
      </c>
    </row>
    <row r="127" spans="1:8">
      <c r="A127" s="216" t="str">
        <f>'Planilha orç'!A18</f>
        <v>1.11</v>
      </c>
      <c r="B127" s="100" t="str">
        <f>'Planilha orç'!D18</f>
        <v>REATERRO MANUAL APILOADO COM SOQUETE. AF_10/2017</v>
      </c>
      <c r="C127" s="216" t="str">
        <f>'Planilha orç'!E18</f>
        <v>M3</v>
      </c>
      <c r="D127" s="217"/>
      <c r="E127" s="218"/>
      <c r="F127" s="219"/>
      <c r="G127" s="220"/>
      <c r="H127" s="221"/>
    </row>
    <row r="128" spans="1:8">
      <c r="A128" s="233"/>
      <c r="B128" s="255" t="s">
        <v>230</v>
      </c>
      <c r="C128" s="236"/>
      <c r="D128" s="246">
        <f>(H71+H98-H89-H107)*-1</f>
        <v>13.28</v>
      </c>
      <c r="E128" s="235"/>
      <c r="F128" s="235"/>
      <c r="G128" s="234"/>
      <c r="H128" s="238">
        <f t="shared" ref="H128" si="11">ROUND(PRODUCT(D128:G128),2)</f>
        <v>13.28</v>
      </c>
    </row>
    <row r="129" spans="1:8">
      <c r="A129" s="233"/>
      <c r="B129" s="85"/>
      <c r="C129" s="222"/>
      <c r="D129" s="229"/>
      <c r="E129" s="223"/>
      <c r="F129" s="224"/>
      <c r="G129" s="103" t="str">
        <f>"Total item "&amp;A127</f>
        <v>Total item 1.11</v>
      </c>
      <c r="H129" s="104">
        <f>SUM(H128:H128)</f>
        <v>13.28</v>
      </c>
    </row>
    <row r="130" spans="1:8" ht="20.399999999999999">
      <c r="A130" s="216" t="str">
        <f>'Planilha orç'!A19</f>
        <v>1.12</v>
      </c>
      <c r="B130" s="100" t="str">
        <f>'Planilha orç'!D19</f>
        <v xml:space="preserve">ALVENARIA DE TIJOLO CERÂMICO FURADO (9x19x19)cm C/ARGAMASSA MISTA DE CAL HIDRATADA ESP.=10cm (1:2:8) </v>
      </c>
      <c r="C130" s="216" t="str">
        <f>'Planilha orç'!E19</f>
        <v>M2</v>
      </c>
      <c r="D130" s="217" t="s">
        <v>263</v>
      </c>
      <c r="E130" s="218"/>
      <c r="F130" s="219"/>
      <c r="G130" s="220"/>
      <c r="H130" s="221"/>
    </row>
    <row r="131" spans="1:8">
      <c r="A131" s="233"/>
      <c r="B131" s="255" t="s">
        <v>208</v>
      </c>
      <c r="C131" s="236"/>
      <c r="D131" s="230"/>
      <c r="E131" s="235">
        <v>2.2999999999999998</v>
      </c>
      <c r="F131" s="235"/>
      <c r="G131" s="234">
        <v>3</v>
      </c>
      <c r="H131" s="238">
        <f t="shared" ref="H131:H137" si="12">ROUND(PRODUCT(D131:G131),2)</f>
        <v>6.9</v>
      </c>
    </row>
    <row r="132" spans="1:8">
      <c r="A132" s="233"/>
      <c r="B132" s="255"/>
      <c r="C132" s="236"/>
      <c r="D132" s="230"/>
      <c r="E132" s="235">
        <v>2.2599999999999998</v>
      </c>
      <c r="F132" s="235"/>
      <c r="G132" s="234">
        <v>3</v>
      </c>
      <c r="H132" s="238">
        <f t="shared" si="12"/>
        <v>6.78</v>
      </c>
    </row>
    <row r="133" spans="1:8">
      <c r="A133" s="233"/>
      <c r="B133" s="255"/>
      <c r="C133" s="236"/>
      <c r="D133" s="230"/>
      <c r="E133" s="235">
        <v>0.83</v>
      </c>
      <c r="F133" s="235"/>
      <c r="G133" s="234">
        <v>3</v>
      </c>
      <c r="H133" s="238">
        <f t="shared" si="12"/>
        <v>2.4900000000000002</v>
      </c>
    </row>
    <row r="134" spans="1:8">
      <c r="A134" s="233"/>
      <c r="B134" s="255" t="s">
        <v>227</v>
      </c>
      <c r="C134" s="236"/>
      <c r="D134" s="237">
        <f>2.1*0.9</f>
        <v>1.8900000000000001</v>
      </c>
      <c r="E134" s="235">
        <v>5.55</v>
      </c>
      <c r="F134" s="235"/>
      <c r="G134" s="234">
        <v>3</v>
      </c>
      <c r="H134" s="238">
        <f>ROUND(PRODUCT(E134:G134),2)-D134</f>
        <v>14.759999999999998</v>
      </c>
    </row>
    <row r="135" spans="1:8">
      <c r="A135" s="233"/>
      <c r="B135" s="255" t="s">
        <v>195</v>
      </c>
      <c r="C135" s="236"/>
      <c r="D135" s="230"/>
      <c r="E135" s="235">
        <v>2.79</v>
      </c>
      <c r="F135" s="235"/>
      <c r="G135" s="234">
        <v>3</v>
      </c>
      <c r="H135" s="238">
        <f>(ROUND(PRODUCT(D135:G135),2))-(0.9*2.1)</f>
        <v>6.4799999999999986</v>
      </c>
    </row>
    <row r="136" spans="1:8">
      <c r="A136" s="233"/>
      <c r="B136" s="255" t="s">
        <v>228</v>
      </c>
      <c r="C136" s="236"/>
      <c r="D136" s="230"/>
      <c r="E136" s="235">
        <v>5.66</v>
      </c>
      <c r="F136" s="235"/>
      <c r="G136" s="234">
        <v>3</v>
      </c>
      <c r="H136" s="238">
        <f t="shared" si="12"/>
        <v>16.98</v>
      </c>
    </row>
    <row r="137" spans="1:8">
      <c r="A137" s="233"/>
      <c r="B137" s="255" t="s">
        <v>229</v>
      </c>
      <c r="C137" s="236"/>
      <c r="D137" s="230"/>
      <c r="E137" s="235">
        <v>4.3</v>
      </c>
      <c r="F137" s="235"/>
      <c r="G137" s="234">
        <v>3</v>
      </c>
      <c r="H137" s="238">
        <f t="shared" si="12"/>
        <v>12.9</v>
      </c>
    </row>
    <row r="138" spans="1:8">
      <c r="A138" s="233"/>
      <c r="B138" s="85"/>
      <c r="C138" s="222"/>
      <c r="D138" s="229"/>
      <c r="E138" s="223"/>
      <c r="F138" s="224"/>
      <c r="G138" s="103" t="str">
        <f>"Total item "&amp;A130</f>
        <v>Total item 1.12</v>
      </c>
      <c r="H138" s="104">
        <f>SUM(H131:H137)</f>
        <v>67.290000000000006</v>
      </c>
    </row>
    <row r="139" spans="1:8">
      <c r="A139" s="212" t="str">
        <f>'Planilha orç'!A20</f>
        <v>2.0</v>
      </c>
      <c r="B139" s="214" t="str">
        <f>'Planilha orç'!D20</f>
        <v xml:space="preserve"> PORTAS E ESQUADRIAS</v>
      </c>
      <c r="C139" s="213"/>
      <c r="D139" s="212"/>
      <c r="E139" s="212"/>
      <c r="F139" s="212"/>
      <c r="G139" s="212"/>
      <c r="H139" s="212"/>
    </row>
    <row r="140" spans="1:8">
      <c r="A140" s="216" t="str">
        <f>'Planilha orç'!A21</f>
        <v>2.1</v>
      </c>
      <c r="B140" s="100" t="str">
        <f>'Planilha orç'!D21</f>
        <v>RETIRADA DE PORTAS E JANELAS, INCLUSIVE BATENTES</v>
      </c>
      <c r="C140" s="216" t="str">
        <f>'Planilha orç'!E21</f>
        <v>M2</v>
      </c>
      <c r="D140" s="217"/>
      <c r="E140" s="218"/>
      <c r="F140" s="219"/>
      <c r="G140" s="220"/>
      <c r="H140" s="221"/>
    </row>
    <row r="141" spans="1:8">
      <c r="A141" s="233"/>
      <c r="B141" s="255" t="s">
        <v>158</v>
      </c>
      <c r="C141" s="222"/>
      <c r="D141" s="227"/>
      <c r="E141" s="227">
        <v>0.7</v>
      </c>
      <c r="F141" s="227"/>
      <c r="G141" s="227">
        <v>2.1</v>
      </c>
      <c r="H141" s="228">
        <f t="shared" ref="H141:H149" si="13">ROUND(PRODUCT(D141:G141),2)</f>
        <v>1.47</v>
      </c>
    </row>
    <row r="142" spans="1:8">
      <c r="A142" s="215"/>
      <c r="B142" s="255" t="s">
        <v>265</v>
      </c>
      <c r="C142" s="236"/>
      <c r="D142" s="230"/>
      <c r="E142" s="235">
        <v>0.8</v>
      </c>
      <c r="F142" s="235"/>
      <c r="G142" s="235">
        <v>2.1</v>
      </c>
      <c r="H142" s="238">
        <f t="shared" si="13"/>
        <v>1.68</v>
      </c>
    </row>
    <row r="143" spans="1:8">
      <c r="A143" s="215"/>
      <c r="B143" s="255" t="s">
        <v>266</v>
      </c>
      <c r="C143" s="236"/>
      <c r="D143" s="230"/>
      <c r="E143" s="235">
        <v>0.8</v>
      </c>
      <c r="F143" s="235"/>
      <c r="G143" s="235">
        <v>2.1</v>
      </c>
      <c r="H143" s="238">
        <f t="shared" si="13"/>
        <v>1.68</v>
      </c>
    </row>
    <row r="144" spans="1:8">
      <c r="A144" s="215"/>
      <c r="B144" s="255" t="s">
        <v>267</v>
      </c>
      <c r="C144" s="236"/>
      <c r="D144" s="230"/>
      <c r="E144" s="235">
        <v>0.8</v>
      </c>
      <c r="F144" s="235"/>
      <c r="G144" s="235">
        <v>2.1</v>
      </c>
      <c r="H144" s="238">
        <f t="shared" si="13"/>
        <v>1.68</v>
      </c>
    </row>
    <row r="145" spans="1:8">
      <c r="A145" s="215"/>
      <c r="B145" s="255" t="s">
        <v>158</v>
      </c>
      <c r="C145" s="236"/>
      <c r="D145" s="230"/>
      <c r="E145" s="235">
        <v>0.8</v>
      </c>
      <c r="F145" s="235"/>
      <c r="G145" s="235">
        <v>2.1</v>
      </c>
      <c r="H145" s="238">
        <f t="shared" si="13"/>
        <v>1.68</v>
      </c>
    </row>
    <row r="146" spans="1:8">
      <c r="A146" s="215"/>
      <c r="B146" s="255" t="s">
        <v>268</v>
      </c>
      <c r="C146" s="236"/>
      <c r="D146" s="230"/>
      <c r="E146" s="235">
        <v>0.8</v>
      </c>
      <c r="F146" s="235"/>
      <c r="G146" s="235">
        <v>2.1</v>
      </c>
      <c r="H146" s="238">
        <f t="shared" si="13"/>
        <v>1.68</v>
      </c>
    </row>
    <row r="147" spans="1:8">
      <c r="A147" s="215"/>
      <c r="B147" s="255" t="s">
        <v>269</v>
      </c>
      <c r="C147" s="236"/>
      <c r="D147" s="230"/>
      <c r="E147" s="235">
        <v>0.8</v>
      </c>
      <c r="F147" s="235"/>
      <c r="G147" s="235">
        <v>2.1</v>
      </c>
      <c r="H147" s="238">
        <f t="shared" si="13"/>
        <v>1.68</v>
      </c>
    </row>
    <row r="148" spans="1:8">
      <c r="A148" s="215"/>
      <c r="B148" s="255" t="s">
        <v>159</v>
      </c>
      <c r="C148" s="236"/>
      <c r="D148" s="230"/>
      <c r="E148" s="235">
        <v>0.8</v>
      </c>
      <c r="F148" s="235"/>
      <c r="G148" s="235">
        <v>2.1</v>
      </c>
      <c r="H148" s="238">
        <f t="shared" si="13"/>
        <v>1.68</v>
      </c>
    </row>
    <row r="149" spans="1:8">
      <c r="A149" s="215"/>
      <c r="B149" s="255" t="s">
        <v>295</v>
      </c>
      <c r="C149" s="236"/>
      <c r="D149" s="230"/>
      <c r="E149" s="235">
        <v>0.6</v>
      </c>
      <c r="F149" s="235"/>
      <c r="G149" s="235">
        <v>1.8</v>
      </c>
      <c r="H149" s="238">
        <f t="shared" si="13"/>
        <v>1.08</v>
      </c>
    </row>
    <row r="150" spans="1:8">
      <c r="A150" s="233"/>
      <c r="B150" s="85"/>
      <c r="C150" s="222"/>
      <c r="D150" s="229"/>
      <c r="E150" s="223"/>
      <c r="F150" s="224"/>
      <c r="G150" s="103" t="str">
        <f>"Total item "&amp;A140</f>
        <v>Total item 2.1</v>
      </c>
      <c r="H150" s="104">
        <f>SUM(H141:H149)</f>
        <v>14.309999999999999</v>
      </c>
    </row>
    <row r="151" spans="1:8" ht="20.399999999999999">
      <c r="A151" s="216" t="str">
        <f>'Planilha orç'!A22</f>
        <v>2.2</v>
      </c>
      <c r="B151" s="100" t="str">
        <f>'Planilha orç'!D22</f>
        <v>VERGA PRÉ-MOLDADA PARA PORTAS COM ATÉ 1,5 M DE VÃO. AF_03/2016</v>
      </c>
      <c r="C151" s="216" t="str">
        <f>'Planilha orç'!E22</f>
        <v>M</v>
      </c>
      <c r="D151" s="217"/>
      <c r="E151" s="218"/>
      <c r="F151" s="219"/>
      <c r="G151" s="220"/>
      <c r="H151" s="221"/>
    </row>
    <row r="152" spans="1:8">
      <c r="A152" s="233"/>
      <c r="B152" s="255" t="s">
        <v>158</v>
      </c>
      <c r="C152" s="236"/>
      <c r="D152" s="230"/>
      <c r="E152" s="235">
        <f>0.9+0.3+0.3</f>
        <v>1.5</v>
      </c>
      <c r="F152" s="227"/>
      <c r="G152" s="227"/>
      <c r="H152" s="228">
        <f t="shared" ref="H152:H162" si="14">ROUND(PRODUCT(D152:G152),2)</f>
        <v>1.5</v>
      </c>
    </row>
    <row r="153" spans="1:8">
      <c r="A153" s="233"/>
      <c r="B153" s="255" t="s">
        <v>160</v>
      </c>
      <c r="C153" s="236"/>
      <c r="D153" s="230"/>
      <c r="E153" s="235">
        <f t="shared" ref="E153:E162" si="15">0.9+0.3+0.3</f>
        <v>1.5</v>
      </c>
      <c r="F153" s="227"/>
      <c r="G153" s="227"/>
      <c r="H153" s="228">
        <f t="shared" si="14"/>
        <v>1.5</v>
      </c>
    </row>
    <row r="154" spans="1:8">
      <c r="A154" s="233"/>
      <c r="B154" s="255" t="s">
        <v>161</v>
      </c>
      <c r="C154" s="236"/>
      <c r="D154" s="230"/>
      <c r="E154" s="235">
        <f t="shared" si="15"/>
        <v>1.5</v>
      </c>
      <c r="F154" s="227"/>
      <c r="G154" s="227"/>
      <c r="H154" s="228">
        <f t="shared" si="14"/>
        <v>1.5</v>
      </c>
    </row>
    <row r="155" spans="1:8">
      <c r="A155" s="233"/>
      <c r="B155" s="255" t="s">
        <v>208</v>
      </c>
      <c r="C155" s="236"/>
      <c r="D155" s="230"/>
      <c r="E155" s="235">
        <f t="shared" si="15"/>
        <v>1.5</v>
      </c>
      <c r="F155" s="227"/>
      <c r="G155" s="227"/>
      <c r="H155" s="228">
        <f t="shared" si="14"/>
        <v>1.5</v>
      </c>
    </row>
    <row r="156" spans="1:8">
      <c r="A156" s="215"/>
      <c r="B156" s="255" t="s">
        <v>265</v>
      </c>
      <c r="C156" s="236"/>
      <c r="D156" s="230"/>
      <c r="E156" s="235">
        <f t="shared" si="15"/>
        <v>1.5</v>
      </c>
      <c r="F156" s="235"/>
      <c r="G156" s="235"/>
      <c r="H156" s="238">
        <f t="shared" si="14"/>
        <v>1.5</v>
      </c>
    </row>
    <row r="157" spans="1:8">
      <c r="A157" s="215"/>
      <c r="B157" s="255" t="s">
        <v>266</v>
      </c>
      <c r="C157" s="236"/>
      <c r="D157" s="230"/>
      <c r="E157" s="235">
        <f t="shared" si="15"/>
        <v>1.5</v>
      </c>
      <c r="F157" s="235"/>
      <c r="G157" s="235"/>
      <c r="H157" s="238">
        <f t="shared" si="14"/>
        <v>1.5</v>
      </c>
    </row>
    <row r="158" spans="1:8">
      <c r="A158" s="215"/>
      <c r="B158" s="255" t="s">
        <v>267</v>
      </c>
      <c r="C158" s="236"/>
      <c r="D158" s="230"/>
      <c r="E158" s="235">
        <f t="shared" si="15"/>
        <v>1.5</v>
      </c>
      <c r="F158" s="235"/>
      <c r="G158" s="235"/>
      <c r="H158" s="238">
        <f t="shared" si="14"/>
        <v>1.5</v>
      </c>
    </row>
    <row r="159" spans="1:8">
      <c r="A159" s="215"/>
      <c r="B159" s="255" t="s">
        <v>268</v>
      </c>
      <c r="C159" s="236"/>
      <c r="D159" s="230"/>
      <c r="E159" s="235">
        <f t="shared" si="15"/>
        <v>1.5</v>
      </c>
      <c r="F159" s="235"/>
      <c r="G159" s="235"/>
      <c r="H159" s="238">
        <f t="shared" si="14"/>
        <v>1.5</v>
      </c>
    </row>
    <row r="160" spans="1:8">
      <c r="A160" s="215"/>
      <c r="B160" s="255" t="s">
        <v>269</v>
      </c>
      <c r="C160" s="236"/>
      <c r="D160" s="230"/>
      <c r="E160" s="235">
        <f t="shared" si="15"/>
        <v>1.5</v>
      </c>
      <c r="F160" s="235"/>
      <c r="G160" s="235"/>
      <c r="H160" s="238">
        <f t="shared" si="14"/>
        <v>1.5</v>
      </c>
    </row>
    <row r="161" spans="1:8">
      <c r="A161" s="215"/>
      <c r="B161" s="255" t="s">
        <v>159</v>
      </c>
      <c r="C161" s="236"/>
      <c r="D161" s="230"/>
      <c r="E161" s="235">
        <f t="shared" si="15"/>
        <v>1.5</v>
      </c>
      <c r="F161" s="235"/>
      <c r="G161" s="235"/>
      <c r="H161" s="238">
        <f t="shared" si="14"/>
        <v>1.5</v>
      </c>
    </row>
    <row r="162" spans="1:8">
      <c r="A162" s="215"/>
      <c r="B162" s="255" t="s">
        <v>264</v>
      </c>
      <c r="C162" s="236"/>
      <c r="D162" s="230"/>
      <c r="E162" s="235">
        <f t="shared" si="15"/>
        <v>1.5</v>
      </c>
      <c r="F162" s="235"/>
      <c r="G162" s="235"/>
      <c r="H162" s="238">
        <f t="shared" si="14"/>
        <v>1.5</v>
      </c>
    </row>
    <row r="163" spans="1:8">
      <c r="A163" s="233"/>
      <c r="B163" s="85"/>
      <c r="C163" s="222"/>
      <c r="D163" s="229"/>
      <c r="E163" s="223"/>
      <c r="F163" s="224"/>
      <c r="G163" s="103" t="str">
        <f>"Total item "&amp;A151</f>
        <v>Total item 2.2</v>
      </c>
      <c r="H163" s="104">
        <f>SUM(H152:H162)</f>
        <v>16.5</v>
      </c>
    </row>
    <row r="164" spans="1:8" ht="43.2" customHeight="1">
      <c r="A164" s="216" t="str">
        <f>'Planilha orç'!A23</f>
        <v>2.3</v>
      </c>
      <c r="B164" s="100" t="str">
        <f>'Planilha orç'!D23</f>
        <v>KIT DE PORTA DE MADEIRA PARA PINTURA, SEMI-OCA (LEVE OU MÉDIA), PADRÃO POPULAR, 90X210CM, ESPESSURA DE 3,5CM, ITENS INCLUSOS: DOBRADIÇAS, MONTAGEM E INSTALAÇÃO DO BATENTE, FECHADURA COM EXECUÇÃO DO FURO - FORNECIMENTO E INSTALAÇÃO. AF_12/2019</v>
      </c>
      <c r="C164" s="216" t="str">
        <f>'Planilha orç'!E23</f>
        <v>UN</v>
      </c>
      <c r="D164" s="217"/>
      <c r="E164" s="218"/>
      <c r="F164" s="219"/>
      <c r="G164" s="220"/>
      <c r="H164" s="221"/>
    </row>
    <row r="165" spans="1:8">
      <c r="A165" s="233"/>
      <c r="B165" s="255" t="s">
        <v>158</v>
      </c>
      <c r="C165" s="222"/>
      <c r="D165" s="227">
        <v>1</v>
      </c>
      <c r="E165" s="227"/>
      <c r="F165" s="227"/>
      <c r="G165" s="227"/>
      <c r="H165" s="228">
        <f t="shared" ref="H165:H175" si="16">ROUND(PRODUCT(D165:G165),2)</f>
        <v>1</v>
      </c>
    </row>
    <row r="166" spans="1:8">
      <c r="A166" s="233"/>
      <c r="B166" s="255" t="s">
        <v>160</v>
      </c>
      <c r="C166" s="222"/>
      <c r="D166" s="227">
        <v>1</v>
      </c>
      <c r="E166" s="227"/>
      <c r="F166" s="227"/>
      <c r="G166" s="227"/>
      <c r="H166" s="228">
        <f t="shared" si="16"/>
        <v>1</v>
      </c>
    </row>
    <row r="167" spans="1:8">
      <c r="A167" s="233"/>
      <c r="B167" s="255" t="s">
        <v>161</v>
      </c>
      <c r="C167" s="222"/>
      <c r="D167" s="227">
        <v>1</v>
      </c>
      <c r="E167" s="227"/>
      <c r="F167" s="227"/>
      <c r="G167" s="227"/>
      <c r="H167" s="228">
        <f t="shared" si="16"/>
        <v>1</v>
      </c>
    </row>
    <row r="168" spans="1:8">
      <c r="A168" s="233"/>
      <c r="B168" s="255" t="s">
        <v>208</v>
      </c>
      <c r="C168" s="222"/>
      <c r="D168" s="227">
        <v>1</v>
      </c>
      <c r="E168" s="227"/>
      <c r="F168" s="227"/>
      <c r="G168" s="227"/>
      <c r="H168" s="228">
        <f t="shared" si="16"/>
        <v>1</v>
      </c>
    </row>
    <row r="169" spans="1:8">
      <c r="A169" s="233"/>
      <c r="B169" s="255" t="s">
        <v>264</v>
      </c>
      <c r="C169" s="222"/>
      <c r="D169" s="227">
        <v>1</v>
      </c>
      <c r="E169" s="227"/>
      <c r="F169" s="227"/>
      <c r="G169" s="227"/>
      <c r="H169" s="228">
        <f t="shared" si="16"/>
        <v>1</v>
      </c>
    </row>
    <row r="170" spans="1:8">
      <c r="A170" s="233"/>
      <c r="B170" s="255" t="s">
        <v>265</v>
      </c>
      <c r="C170" s="236"/>
      <c r="D170" s="227">
        <v>1</v>
      </c>
      <c r="E170" s="235"/>
      <c r="F170" s="235"/>
      <c r="G170" s="235"/>
      <c r="H170" s="238">
        <f t="shared" si="16"/>
        <v>1</v>
      </c>
    </row>
    <row r="171" spans="1:8">
      <c r="A171" s="233"/>
      <c r="B171" s="255" t="s">
        <v>266</v>
      </c>
      <c r="C171" s="236"/>
      <c r="D171" s="227">
        <v>1</v>
      </c>
      <c r="E171" s="235"/>
      <c r="F171" s="235"/>
      <c r="G171" s="235"/>
      <c r="H171" s="238">
        <f t="shared" si="16"/>
        <v>1</v>
      </c>
    </row>
    <row r="172" spans="1:8">
      <c r="A172" s="233"/>
      <c r="B172" s="255" t="s">
        <v>267</v>
      </c>
      <c r="C172" s="236"/>
      <c r="D172" s="227">
        <v>1</v>
      </c>
      <c r="E172" s="235"/>
      <c r="F172" s="235"/>
      <c r="G172" s="235"/>
      <c r="H172" s="238">
        <f t="shared" si="16"/>
        <v>1</v>
      </c>
    </row>
    <row r="173" spans="1:8">
      <c r="A173" s="233"/>
      <c r="B173" s="255" t="s">
        <v>268</v>
      </c>
      <c r="C173" s="236"/>
      <c r="D173" s="227">
        <v>1</v>
      </c>
      <c r="E173" s="235"/>
      <c r="F173" s="235"/>
      <c r="G173" s="235"/>
      <c r="H173" s="238">
        <f t="shared" si="16"/>
        <v>1</v>
      </c>
    </row>
    <row r="174" spans="1:8">
      <c r="A174" s="233"/>
      <c r="B174" s="255" t="s">
        <v>269</v>
      </c>
      <c r="C174" s="236"/>
      <c r="D174" s="227">
        <v>1</v>
      </c>
      <c r="E174" s="235"/>
      <c r="F174" s="235"/>
      <c r="G174" s="235"/>
      <c r="H174" s="238">
        <f t="shared" si="16"/>
        <v>1</v>
      </c>
    </row>
    <row r="175" spans="1:8">
      <c r="A175" s="233"/>
      <c r="B175" s="255" t="s">
        <v>159</v>
      </c>
      <c r="C175" s="236"/>
      <c r="D175" s="227">
        <v>1</v>
      </c>
      <c r="E175" s="235"/>
      <c r="F175" s="235"/>
      <c r="G175" s="235"/>
      <c r="H175" s="238">
        <f t="shared" si="16"/>
        <v>1</v>
      </c>
    </row>
    <row r="176" spans="1:8">
      <c r="A176" s="233"/>
      <c r="B176" s="85"/>
      <c r="C176" s="222"/>
      <c r="D176" s="229"/>
      <c r="E176" s="223"/>
      <c r="F176" s="224"/>
      <c r="G176" s="103" t="str">
        <f>"Total item "&amp;A164</f>
        <v>Total item 2.3</v>
      </c>
      <c r="H176" s="104">
        <f>SUM(H165:H175)</f>
        <v>11</v>
      </c>
    </row>
    <row r="177" spans="1:8" ht="30.6">
      <c r="A177" s="216" t="str">
        <f>'Planilha orç'!A24</f>
        <v>2.4</v>
      </c>
      <c r="B177" s="100" t="str">
        <f>'Planilha orç'!D24</f>
        <v>PORTA DE MADEIRA PARA PINTURA, SEMI-OCA (LEVE OU MÉDIA), 60X210CM, ESPESSURA DE 3,5CM, INCLUSO DOBRADIÇAS - FORNECIMENTO E INSTALAÇÃO. AF_12/2019</v>
      </c>
      <c r="C177" s="216" t="str">
        <f>'Planilha orç'!E24</f>
        <v>UN</v>
      </c>
      <c r="D177" s="217"/>
      <c r="E177" s="218"/>
      <c r="F177" s="219"/>
      <c r="G177" s="220"/>
      <c r="H177" s="221"/>
    </row>
    <row r="178" spans="1:8">
      <c r="A178" s="222"/>
      <c r="B178" s="129" t="s">
        <v>295</v>
      </c>
      <c r="C178" s="222"/>
      <c r="D178" s="222">
        <v>2</v>
      </c>
      <c r="E178" s="224"/>
      <c r="F178" s="224"/>
      <c r="G178" s="103"/>
      <c r="H178" s="225">
        <f>ROUND(PRODUCT(D178:G178),2)</f>
        <v>2</v>
      </c>
    </row>
    <row r="179" spans="1:8">
      <c r="A179" s="222"/>
      <c r="B179" s="225"/>
      <c r="C179" s="222"/>
      <c r="D179" s="222"/>
      <c r="E179" s="222"/>
      <c r="F179" s="224"/>
      <c r="G179" s="103" t="str">
        <f>"Total item "&amp;A177</f>
        <v>Total item 2.4</v>
      </c>
      <c r="H179" s="104">
        <f>SUM(H178:H178)</f>
        <v>2</v>
      </c>
    </row>
    <row r="180" spans="1:8">
      <c r="A180" s="216" t="str">
        <f>'Planilha orç'!A25</f>
        <v>2.5</v>
      </c>
      <c r="B180" s="100" t="str">
        <f>'Planilha orç'!D25</f>
        <v>GUARDA CORPO DE TUBO DE AÇO INOX</v>
      </c>
      <c r="C180" s="216" t="str">
        <f>'Planilha orç'!E25</f>
        <v>M</v>
      </c>
      <c r="D180" s="217"/>
      <c r="E180" s="218"/>
      <c r="F180" s="219"/>
      <c r="G180" s="220"/>
      <c r="H180" s="221"/>
    </row>
    <row r="181" spans="1:8">
      <c r="A181" s="222"/>
      <c r="B181" s="129" t="s">
        <v>175</v>
      </c>
      <c r="C181" s="222"/>
      <c r="D181" s="222"/>
      <c r="E181" s="224">
        <f>1.15+19.58+3.06+3.06+2.48+8.56</f>
        <v>37.889999999999993</v>
      </c>
      <c r="F181" s="224"/>
      <c r="G181" s="103"/>
      <c r="H181" s="225">
        <f>ROUND(PRODUCT(D181:G181),2)</f>
        <v>37.89</v>
      </c>
    </row>
    <row r="182" spans="1:8">
      <c r="A182" s="222"/>
      <c r="B182" s="225"/>
      <c r="C182" s="222"/>
      <c r="D182" s="222"/>
      <c r="E182" s="222"/>
      <c r="F182" s="224"/>
      <c r="G182" s="103" t="str">
        <f>"Total item "&amp;A180</f>
        <v>Total item 2.5</v>
      </c>
      <c r="H182" s="104">
        <f>SUM(H181:H181)</f>
        <v>37.89</v>
      </c>
    </row>
    <row r="183" spans="1:8">
      <c r="A183" s="216" t="str">
        <f>'Planilha orç'!A26</f>
        <v>2.6</v>
      </c>
      <c r="B183" s="100" t="str">
        <f>'Planilha orç'!D26</f>
        <v>FECHADURA DE TARJETA (LIVRE-OCUPADA)</v>
      </c>
      <c r="C183" s="216" t="str">
        <f>'Planilha orç'!E26</f>
        <v>UN</v>
      </c>
      <c r="D183" s="217"/>
      <c r="E183" s="218"/>
      <c r="F183" s="219"/>
      <c r="G183" s="220"/>
      <c r="H183" s="221"/>
    </row>
    <row r="184" spans="1:8">
      <c r="A184" s="222"/>
      <c r="B184" s="129" t="s">
        <v>295</v>
      </c>
      <c r="C184" s="222"/>
      <c r="D184" s="222">
        <v>2</v>
      </c>
      <c r="E184" s="224"/>
      <c r="F184" s="224"/>
      <c r="G184" s="103"/>
      <c r="H184" s="225">
        <f>ROUND(PRODUCT(D184:G184),2)</f>
        <v>2</v>
      </c>
    </row>
    <row r="185" spans="1:8">
      <c r="A185" s="222"/>
      <c r="B185" s="225"/>
      <c r="C185" s="222"/>
      <c r="D185" s="222"/>
      <c r="E185" s="222"/>
      <c r="F185" s="224"/>
      <c r="G185" s="103" t="str">
        <f>"Total item "&amp;A183</f>
        <v>Total item 2.6</v>
      </c>
      <c r="H185" s="104">
        <f>SUM(H184:H184)</f>
        <v>2</v>
      </c>
    </row>
    <row r="186" spans="1:8">
      <c r="A186" s="212" t="str">
        <f>'Planilha orç'!A27</f>
        <v>3.0</v>
      </c>
      <c r="B186" s="214" t="str">
        <f>'Planilha orç'!D27</f>
        <v xml:space="preserve">PINTURA </v>
      </c>
      <c r="C186" s="213"/>
      <c r="D186" s="212"/>
      <c r="E186" s="212"/>
      <c r="F186" s="212"/>
      <c r="G186" s="212"/>
      <c r="H186" s="212"/>
    </row>
    <row r="187" spans="1:8" ht="20.399999999999999">
      <c r="A187" s="216" t="str">
        <f>'Planilha orç'!A28</f>
        <v>3.1</v>
      </c>
      <c r="B187" s="100" t="str">
        <f>'Planilha orç'!D28</f>
        <v>CHAPISCO COM ARGAMASSA DE CIMENTO E AREIA NO
TRACO 1 3.</v>
      </c>
      <c r="C187" s="216" t="str">
        <f>'Planilha orç'!E28</f>
        <v>M2</v>
      </c>
      <c r="D187" s="217"/>
      <c r="E187" s="218"/>
      <c r="F187" s="219"/>
      <c r="G187" s="220"/>
      <c r="H187" s="221"/>
    </row>
    <row r="188" spans="1:8">
      <c r="A188" s="233"/>
      <c r="B188" s="248" t="str">
        <f>G138</f>
        <v>Total item 1.12</v>
      </c>
      <c r="C188" s="236"/>
      <c r="D188" s="237">
        <v>2</v>
      </c>
      <c r="E188" s="235">
        <f>H138</f>
        <v>67.290000000000006</v>
      </c>
      <c r="F188" s="235"/>
      <c r="G188" s="234"/>
      <c r="H188" s="228">
        <f>ROUND(PRODUCT(D188:G188),2)</f>
        <v>134.58000000000001</v>
      </c>
    </row>
    <row r="189" spans="1:8">
      <c r="A189" s="233"/>
      <c r="B189" s="248" t="str">
        <f>G62</f>
        <v>Total item 1.3</v>
      </c>
      <c r="C189" s="236"/>
      <c r="D189" s="237"/>
      <c r="E189" s="235">
        <f>H62</f>
        <v>72.569999999999993</v>
      </c>
      <c r="F189" s="235"/>
      <c r="G189" s="234"/>
      <c r="H189" s="228">
        <f>ROUND(PRODUCT(D189:G189),2)</f>
        <v>72.569999999999993</v>
      </c>
    </row>
    <row r="190" spans="1:8">
      <c r="A190" s="233"/>
      <c r="B190" s="85"/>
      <c r="C190" s="222"/>
      <c r="D190" s="229"/>
      <c r="E190" s="223"/>
      <c r="F190" s="224"/>
      <c r="G190" s="103" t="str">
        <f>"Total item "&amp;A187</f>
        <v>Total item 3.1</v>
      </c>
      <c r="H190" s="104">
        <f>SUM(H188:H189)</f>
        <v>207.15</v>
      </c>
    </row>
    <row r="191" spans="1:8">
      <c r="A191" s="216" t="str">
        <f>'Planilha orç'!A29</f>
        <v>3.2</v>
      </c>
      <c r="B191" s="100" t="str">
        <f>'Planilha orç'!D29</f>
        <v>REBOCO C/ ARGAMASSA DE CIMENTO E AREIA S/ PENEIRAR, TRAÇO 1:3</v>
      </c>
      <c r="C191" s="216" t="str">
        <f>'Planilha orç'!E29</f>
        <v>M2</v>
      </c>
      <c r="D191" s="217"/>
      <c r="E191" s="218"/>
      <c r="F191" s="219"/>
      <c r="G191" s="220"/>
      <c r="H191" s="221"/>
    </row>
    <row r="192" spans="1:8">
      <c r="A192" s="233"/>
      <c r="B192" s="105" t="str">
        <f>G190</f>
        <v>Total item 3.1</v>
      </c>
      <c r="C192" s="222"/>
      <c r="D192" s="247">
        <f>H190</f>
        <v>207.15</v>
      </c>
      <c r="E192" s="222"/>
      <c r="F192" s="224"/>
      <c r="G192" s="222"/>
      <c r="H192" s="228">
        <f t="shared" ref="H192" si="17">ROUND(PRODUCT(D192:G192),2)</f>
        <v>207.15</v>
      </c>
    </row>
    <row r="193" spans="1:8">
      <c r="A193" s="233"/>
      <c r="B193" s="85"/>
      <c r="C193" s="222"/>
      <c r="D193" s="229"/>
      <c r="E193" s="223"/>
      <c r="F193" s="224"/>
      <c r="G193" s="103" t="str">
        <f>"Total item "&amp;A191</f>
        <v>Total item 3.2</v>
      </c>
      <c r="H193" s="104">
        <f>SUM(H192:H192)</f>
        <v>207.15</v>
      </c>
    </row>
    <row r="194" spans="1:8" ht="20.399999999999999">
      <c r="A194" s="216" t="str">
        <f>'Planilha orç'!A30</f>
        <v>3.3</v>
      </c>
      <c r="B194" s="100" t="str">
        <f>'Planilha orç'!D30</f>
        <v xml:space="preserve">APLICAÇÃO DE FUNDO SELADOR ACRÍLICO EM PAREDES, UMA DEMÃO. AF_06/2014 </v>
      </c>
      <c r="C194" s="216" t="str">
        <f>'Planilha orç'!E30</f>
        <v>M2</v>
      </c>
      <c r="D194" s="217"/>
      <c r="E194" s="218"/>
      <c r="F194" s="219"/>
      <c r="G194" s="220"/>
      <c r="H194" s="221"/>
    </row>
    <row r="195" spans="1:8">
      <c r="A195" s="233"/>
      <c r="B195" s="248" t="str">
        <f>G193</f>
        <v>Total item 3.2</v>
      </c>
      <c r="C195" s="236"/>
      <c r="D195" s="246">
        <f>H193</f>
        <v>207.15</v>
      </c>
      <c r="E195" s="235"/>
      <c r="F195" s="235"/>
      <c r="G195" s="234"/>
      <c r="H195" s="228">
        <f t="shared" ref="H195" si="18">ROUND(PRODUCT(D195:G195),2)</f>
        <v>207.15</v>
      </c>
    </row>
    <row r="196" spans="1:8">
      <c r="A196" s="233"/>
      <c r="B196" s="85"/>
      <c r="C196" s="222"/>
      <c r="D196" s="229"/>
      <c r="E196" s="223"/>
      <c r="F196" s="224"/>
      <c r="G196" s="103" t="str">
        <f>"Total item "&amp;A194</f>
        <v>Total item 3.3</v>
      </c>
      <c r="H196" s="104">
        <f>SUM(H195:H195)</f>
        <v>207.15</v>
      </c>
    </row>
    <row r="197" spans="1:8" ht="20.399999999999999">
      <c r="A197" s="216" t="str">
        <f>'Planilha orç'!A31</f>
        <v>3.4</v>
      </c>
      <c r="B197" s="100" t="str">
        <f>'Planilha orç'!D31</f>
        <v>APLICAÇÃO E LIXAMENTO DE MASSA LÁTEX EM PAREDES, UMA DEMÃO. AF_06/2014</v>
      </c>
      <c r="C197" s="216" t="str">
        <f>'Planilha orç'!E31</f>
        <v>M2</v>
      </c>
      <c r="D197" s="217"/>
      <c r="E197" s="218"/>
      <c r="F197" s="219"/>
      <c r="G197" s="220"/>
      <c r="H197" s="221"/>
    </row>
    <row r="198" spans="1:8">
      <c r="A198" s="233"/>
      <c r="B198" s="105" t="str">
        <f>G196</f>
        <v>Total item 3.3</v>
      </c>
      <c r="C198" s="222"/>
      <c r="D198" s="247">
        <f>H196</f>
        <v>207.15</v>
      </c>
      <c r="E198" s="222"/>
      <c r="F198" s="224"/>
      <c r="G198" s="222"/>
      <c r="H198" s="228">
        <f t="shared" ref="H198" si="19">ROUND(PRODUCT(D198:G198),2)</f>
        <v>207.15</v>
      </c>
    </row>
    <row r="199" spans="1:8">
      <c r="A199" s="233"/>
      <c r="B199" s="85"/>
      <c r="C199" s="222"/>
      <c r="D199" s="229"/>
      <c r="E199" s="223"/>
      <c r="F199" s="224"/>
      <c r="G199" s="103" t="str">
        <f>"Total item "&amp;A197</f>
        <v>Total item 3.4</v>
      </c>
      <c r="H199" s="104">
        <f>SUM(H198:H198)</f>
        <v>207.15</v>
      </c>
    </row>
    <row r="200" spans="1:8" ht="20.399999999999999">
      <c r="A200" s="216" t="str">
        <f>'Planilha orç'!A32</f>
        <v>3.5</v>
      </c>
      <c r="B200" s="100" t="str">
        <f>'Planilha orç'!D32</f>
        <v>APLICAÇÃO MANUAL DE PINTURA COM TINTA LÁTEX ACRÍLICA EM PAREDES, DUAS DEMÃOS. AF_06/2014</v>
      </c>
      <c r="C200" s="216" t="str">
        <f>'Planilha orç'!E32</f>
        <v>M2</v>
      </c>
      <c r="D200" s="217"/>
      <c r="E200" s="218"/>
      <c r="F200" s="219"/>
      <c r="G200" s="220"/>
      <c r="H200" s="221"/>
    </row>
    <row r="201" spans="1:8">
      <c r="A201" s="233"/>
      <c r="B201" s="105" t="str">
        <f>G199</f>
        <v>Total item 3.4</v>
      </c>
      <c r="C201" s="222"/>
      <c r="D201" s="247">
        <f>H199</f>
        <v>207.15</v>
      </c>
      <c r="E201" s="222"/>
      <c r="F201" s="224"/>
      <c r="G201" s="222"/>
      <c r="H201" s="228">
        <f t="shared" ref="H201" si="20">ROUND(PRODUCT(D201:G201),2)</f>
        <v>207.15</v>
      </c>
    </row>
    <row r="202" spans="1:8">
      <c r="A202" s="233"/>
      <c r="B202" s="85"/>
      <c r="C202" s="222"/>
      <c r="D202" s="229"/>
      <c r="E202" s="223"/>
      <c r="F202" s="224"/>
      <c r="G202" s="103" t="str">
        <f>"Total item "&amp;A200</f>
        <v>Total item 3.5</v>
      </c>
      <c r="H202" s="104">
        <f>SUM(H201:H201)</f>
        <v>207.15</v>
      </c>
    </row>
    <row r="203" spans="1:8" ht="20.399999999999999">
      <c r="A203" s="216" t="str">
        <f>'Planilha orç'!A33</f>
        <v>3.6</v>
      </c>
      <c r="B203" s="100" t="str">
        <f>'Planilha orç'!D33</f>
        <v>LIXAMENTO DE MADEIRA PARA APLICAÇÃO DE FUNDO OU PINTURA. AF_01/2021</v>
      </c>
      <c r="C203" s="216" t="str">
        <f>'Planilha orç'!E33</f>
        <v>M2</v>
      </c>
      <c r="D203" s="217"/>
      <c r="E203" s="218"/>
      <c r="F203" s="219"/>
      <c r="G203" s="220"/>
      <c r="H203" s="221"/>
    </row>
    <row r="204" spans="1:8">
      <c r="A204" s="215"/>
      <c r="B204" s="255" t="s">
        <v>158</v>
      </c>
      <c r="C204" s="222"/>
      <c r="D204" s="227">
        <v>3</v>
      </c>
      <c r="E204" s="227">
        <v>0.9</v>
      </c>
      <c r="F204" s="231"/>
      <c r="G204" s="232">
        <v>2.1</v>
      </c>
      <c r="H204" s="228">
        <f t="shared" ref="H204:H206" si="21">ROUND(PRODUCT(D204:G204),2)</f>
        <v>5.67</v>
      </c>
    </row>
    <row r="205" spans="1:8">
      <c r="A205" s="215"/>
      <c r="B205" s="255" t="s">
        <v>160</v>
      </c>
      <c r="C205" s="222"/>
      <c r="D205" s="227">
        <v>3</v>
      </c>
      <c r="E205" s="227">
        <v>0.9</v>
      </c>
      <c r="F205" s="231"/>
      <c r="G205" s="232">
        <v>2.1</v>
      </c>
      <c r="H205" s="228">
        <f t="shared" si="21"/>
        <v>5.67</v>
      </c>
    </row>
    <row r="206" spans="1:8">
      <c r="A206" s="215"/>
      <c r="B206" s="255" t="s">
        <v>161</v>
      </c>
      <c r="C206" s="222"/>
      <c r="D206" s="227">
        <v>3</v>
      </c>
      <c r="E206" s="227">
        <v>0.9</v>
      </c>
      <c r="F206" s="231"/>
      <c r="G206" s="232">
        <v>2.1</v>
      </c>
      <c r="H206" s="228">
        <f t="shared" si="21"/>
        <v>5.67</v>
      </c>
    </row>
    <row r="207" spans="1:8">
      <c r="A207" s="215"/>
      <c r="B207" s="255" t="s">
        <v>208</v>
      </c>
      <c r="C207" s="222"/>
      <c r="D207" s="227">
        <v>3</v>
      </c>
      <c r="E207" s="227">
        <v>0.9</v>
      </c>
      <c r="F207" s="231"/>
      <c r="G207" s="232">
        <v>2.1</v>
      </c>
      <c r="H207" s="228">
        <f t="shared" ref="H207:H215" si="22">ROUND(PRODUCT(D207:G207),2)</f>
        <v>5.67</v>
      </c>
    </row>
    <row r="208" spans="1:8">
      <c r="A208" s="215"/>
      <c r="B208" s="255" t="s">
        <v>264</v>
      </c>
      <c r="C208" s="222"/>
      <c r="D208" s="227">
        <v>3</v>
      </c>
      <c r="E208" s="227">
        <v>0.9</v>
      </c>
      <c r="F208" s="231"/>
      <c r="G208" s="232">
        <v>2.1</v>
      </c>
      <c r="H208" s="228">
        <f t="shared" si="22"/>
        <v>5.67</v>
      </c>
    </row>
    <row r="209" spans="1:8">
      <c r="A209" s="215"/>
      <c r="B209" s="255" t="s">
        <v>265</v>
      </c>
      <c r="C209" s="222"/>
      <c r="D209" s="227">
        <v>3</v>
      </c>
      <c r="E209" s="227">
        <v>0.9</v>
      </c>
      <c r="F209" s="231"/>
      <c r="G209" s="232">
        <v>2.1</v>
      </c>
      <c r="H209" s="228">
        <f t="shared" si="22"/>
        <v>5.67</v>
      </c>
    </row>
    <row r="210" spans="1:8">
      <c r="A210" s="215"/>
      <c r="B210" s="255" t="s">
        <v>266</v>
      </c>
      <c r="C210" s="222"/>
      <c r="D210" s="227">
        <v>3</v>
      </c>
      <c r="E210" s="227">
        <v>0.9</v>
      </c>
      <c r="F210" s="231"/>
      <c r="G210" s="232">
        <v>2.1</v>
      </c>
      <c r="H210" s="228">
        <f t="shared" si="22"/>
        <v>5.67</v>
      </c>
    </row>
    <row r="211" spans="1:8">
      <c r="A211" s="215"/>
      <c r="B211" s="255" t="s">
        <v>267</v>
      </c>
      <c r="C211" s="222"/>
      <c r="D211" s="227">
        <v>3</v>
      </c>
      <c r="E211" s="227">
        <v>0.9</v>
      </c>
      <c r="F211" s="231"/>
      <c r="G211" s="232">
        <v>2.1</v>
      </c>
      <c r="H211" s="228">
        <f t="shared" si="22"/>
        <v>5.67</v>
      </c>
    </row>
    <row r="212" spans="1:8">
      <c r="A212" s="215"/>
      <c r="B212" s="255" t="s">
        <v>268</v>
      </c>
      <c r="C212" s="222"/>
      <c r="D212" s="227">
        <v>3</v>
      </c>
      <c r="E212" s="227">
        <v>0.9</v>
      </c>
      <c r="F212" s="231"/>
      <c r="G212" s="232">
        <v>2.1</v>
      </c>
      <c r="H212" s="228">
        <f t="shared" si="22"/>
        <v>5.67</v>
      </c>
    </row>
    <row r="213" spans="1:8">
      <c r="A213" s="215"/>
      <c r="B213" s="255" t="s">
        <v>269</v>
      </c>
      <c r="C213" s="222"/>
      <c r="D213" s="227">
        <v>3</v>
      </c>
      <c r="E213" s="227">
        <v>0.9</v>
      </c>
      <c r="F213" s="231"/>
      <c r="G213" s="232">
        <v>2.1</v>
      </c>
      <c r="H213" s="228">
        <f t="shared" si="22"/>
        <v>5.67</v>
      </c>
    </row>
    <row r="214" spans="1:8">
      <c r="A214" s="215"/>
      <c r="B214" s="255" t="s">
        <v>159</v>
      </c>
      <c r="C214" s="222"/>
      <c r="D214" s="227">
        <v>3</v>
      </c>
      <c r="E214" s="227">
        <v>0.9</v>
      </c>
      <c r="F214" s="231"/>
      <c r="G214" s="232">
        <v>2.1</v>
      </c>
      <c r="H214" s="228">
        <f t="shared" si="22"/>
        <v>5.67</v>
      </c>
    </row>
    <row r="215" spans="1:8">
      <c r="A215" s="215"/>
      <c r="B215" s="255" t="s">
        <v>295</v>
      </c>
      <c r="C215" s="222"/>
      <c r="D215" s="227">
        <v>3</v>
      </c>
      <c r="E215" s="227">
        <v>0.6</v>
      </c>
      <c r="F215" s="231"/>
      <c r="G215" s="232">
        <v>2.1</v>
      </c>
      <c r="H215" s="228">
        <f t="shared" si="22"/>
        <v>3.78</v>
      </c>
    </row>
    <row r="216" spans="1:8">
      <c r="A216" s="222"/>
      <c r="B216" s="225"/>
      <c r="C216" s="222"/>
      <c r="D216" s="222"/>
      <c r="E216" s="222"/>
      <c r="F216" s="224"/>
      <c r="G216" s="103" t="str">
        <f>"Total item "&amp;A203</f>
        <v>Total item 3.6</v>
      </c>
      <c r="H216" s="104">
        <f>SUM(H204:H215)</f>
        <v>66.150000000000006</v>
      </c>
    </row>
    <row r="217" spans="1:8" ht="20.399999999999999">
      <c r="A217" s="216" t="str">
        <f>'Planilha orç'!A34</f>
        <v>3.7</v>
      </c>
      <c r="B217" s="100" t="str">
        <f>'Planilha orç'!D34</f>
        <v>PINTURA TINTA DE ACABAMENTO (PIGMENTADA) A ÓLEO EM MADEIRA, 2 DEMÃOS. AF_01/2021</v>
      </c>
      <c r="C217" s="216" t="str">
        <f>'Planilha orç'!E34</f>
        <v>M2</v>
      </c>
      <c r="D217" s="217"/>
      <c r="E217" s="218"/>
      <c r="F217" s="219"/>
      <c r="G217" s="220"/>
      <c r="H217" s="221"/>
    </row>
    <row r="218" spans="1:8">
      <c r="A218" s="215"/>
      <c r="B218" s="248" t="str">
        <f>G216</f>
        <v>Total item 3.6</v>
      </c>
      <c r="C218" s="222"/>
      <c r="D218" s="227">
        <f>H216</f>
        <v>66.150000000000006</v>
      </c>
      <c r="E218" s="227"/>
      <c r="F218" s="231"/>
      <c r="G218" s="232"/>
      <c r="H218" s="228">
        <f t="shared" ref="H218" si="23">ROUND(PRODUCT(D218:G218),2)</f>
        <v>66.150000000000006</v>
      </c>
    </row>
    <row r="219" spans="1:8">
      <c r="A219" s="222"/>
      <c r="B219" s="225"/>
      <c r="C219" s="222"/>
      <c r="D219" s="222"/>
      <c r="E219" s="222"/>
      <c r="F219" s="224"/>
      <c r="G219" s="103" t="str">
        <f>"Total item "&amp;A217</f>
        <v>Total item 3.7</v>
      </c>
      <c r="H219" s="104">
        <f>SUM(H218:H218)</f>
        <v>66.150000000000006</v>
      </c>
    </row>
    <row r="220" spans="1:8">
      <c r="A220" s="216" t="str">
        <f>'Planilha orç'!A35</f>
        <v>3.8</v>
      </c>
      <c r="B220" s="100" t="str">
        <f>'Planilha orç'!D35</f>
        <v>ESMALTE DUAS DEMÃOS EM ESQUADRIAS DE FERRO -</v>
      </c>
      <c r="C220" s="216" t="str">
        <f>'Planilha orç'!E35</f>
        <v>m²</v>
      </c>
      <c r="D220" s="217"/>
      <c r="E220" s="218"/>
      <c r="F220" s="219"/>
      <c r="G220" s="220"/>
      <c r="H220" s="221"/>
    </row>
    <row r="221" spans="1:8">
      <c r="A221" s="295"/>
      <c r="B221" s="296" t="s">
        <v>334</v>
      </c>
      <c r="C221" s="297"/>
      <c r="D221" s="298">
        <v>2</v>
      </c>
      <c r="E221" s="297"/>
      <c r="F221" s="297">
        <v>1.2</v>
      </c>
      <c r="G221" s="299"/>
      <c r="H221" s="228">
        <f t="shared" ref="H221:H225" si="24">ROUND(PRODUCT(D221:G221),2)</f>
        <v>2.4</v>
      </c>
    </row>
    <row r="222" spans="1:8">
      <c r="A222" s="295"/>
      <c r="B222" s="300"/>
      <c r="C222" s="297"/>
      <c r="D222" s="298">
        <v>2</v>
      </c>
      <c r="E222" s="297"/>
      <c r="F222" s="297">
        <v>1</v>
      </c>
      <c r="G222" s="299"/>
      <c r="H222" s="228">
        <f t="shared" si="24"/>
        <v>2</v>
      </c>
    </row>
    <row r="223" spans="1:8">
      <c r="A223" s="295"/>
      <c r="B223" s="300"/>
      <c r="C223" s="297"/>
      <c r="D223" s="298">
        <v>1</v>
      </c>
      <c r="E223" s="297"/>
      <c r="F223" s="297">
        <v>1.2</v>
      </c>
      <c r="G223" s="299"/>
      <c r="H223" s="228">
        <f t="shared" si="24"/>
        <v>1.2</v>
      </c>
    </row>
    <row r="224" spans="1:8">
      <c r="A224" s="295"/>
      <c r="B224" s="300"/>
      <c r="C224" s="297"/>
      <c r="D224" s="298">
        <v>1</v>
      </c>
      <c r="E224" s="297"/>
      <c r="F224" s="297">
        <v>1</v>
      </c>
      <c r="G224" s="299"/>
      <c r="H224" s="228">
        <f t="shared" si="24"/>
        <v>1</v>
      </c>
    </row>
    <row r="225" spans="1:8">
      <c r="A225" s="295"/>
      <c r="B225" s="300"/>
      <c r="C225" s="297"/>
      <c r="D225" s="298">
        <v>1</v>
      </c>
      <c r="E225" s="297"/>
      <c r="F225" s="297">
        <v>1.5</v>
      </c>
      <c r="G225" s="299"/>
      <c r="H225" s="228">
        <f t="shared" si="24"/>
        <v>1.5</v>
      </c>
    </row>
    <row r="226" spans="1:8">
      <c r="A226" s="222"/>
      <c r="B226" s="225"/>
      <c r="C226" s="222"/>
      <c r="D226" s="222"/>
      <c r="E226" s="222"/>
      <c r="F226" s="224"/>
      <c r="G226" s="103" t="str">
        <f>"Total item "&amp;A220</f>
        <v>Total item 3.8</v>
      </c>
      <c r="H226" s="104">
        <f>SUM(H221:H225)</f>
        <v>8.1000000000000014</v>
      </c>
    </row>
    <row r="227" spans="1:8" ht="20.399999999999999">
      <c r="A227" s="216" t="str">
        <f>'Planilha orç'!A36</f>
        <v>3.9</v>
      </c>
      <c r="B227" s="100" t="str">
        <f>'Planilha orç'!D36</f>
        <v>APLICAÇÃO MANUAL DE PINTURA COM TINTA LÁTEX ACRÍLICA EM TETO, DUAS DEMÃOS. AF_06/2014</v>
      </c>
      <c r="C227" s="216" t="str">
        <f>'Planilha orç'!E36</f>
        <v>m²</v>
      </c>
      <c r="D227" s="217"/>
      <c r="E227" s="218"/>
      <c r="F227" s="219"/>
      <c r="G227" s="220"/>
      <c r="H227" s="221"/>
    </row>
    <row r="228" spans="1:8">
      <c r="A228" s="295"/>
      <c r="B228" s="296" t="s">
        <v>289</v>
      </c>
      <c r="C228" s="297"/>
      <c r="D228" s="298"/>
      <c r="E228" s="266">
        <v>14.45</v>
      </c>
      <c r="F228" s="287">
        <v>1</v>
      </c>
      <c r="G228" s="299"/>
      <c r="H228" s="228">
        <f t="shared" ref="H228:H231" si="25">ROUND(PRODUCT(D228:G228),2)</f>
        <v>14.45</v>
      </c>
    </row>
    <row r="229" spans="1:8">
      <c r="A229" s="295"/>
      <c r="B229" s="300"/>
      <c r="C229" s="297"/>
      <c r="D229" s="298"/>
      <c r="E229" s="266">
        <v>4.9000000000000004</v>
      </c>
      <c r="F229" s="287">
        <v>2.0499999999999998</v>
      </c>
      <c r="G229" s="299"/>
      <c r="H229" s="228">
        <f t="shared" si="25"/>
        <v>10.050000000000001</v>
      </c>
    </row>
    <row r="230" spans="1:8">
      <c r="A230" s="295"/>
      <c r="B230" s="300"/>
      <c r="C230" s="297"/>
      <c r="D230" s="298"/>
      <c r="E230" s="266">
        <v>3.37</v>
      </c>
      <c r="F230" s="287">
        <v>2.37</v>
      </c>
      <c r="G230" s="299"/>
      <c r="H230" s="228">
        <f t="shared" si="25"/>
        <v>7.99</v>
      </c>
    </row>
    <row r="231" spans="1:8">
      <c r="A231" s="295"/>
      <c r="B231" s="300"/>
      <c r="C231" s="297"/>
      <c r="D231" s="298"/>
      <c r="E231" s="266">
        <v>2.4300000000000002</v>
      </c>
      <c r="F231" s="287">
        <v>1.7</v>
      </c>
      <c r="G231" s="299"/>
      <c r="H231" s="228">
        <f t="shared" si="25"/>
        <v>4.13</v>
      </c>
    </row>
    <row r="232" spans="1:8">
      <c r="A232" s="222"/>
      <c r="B232" s="225"/>
      <c r="C232" s="222"/>
      <c r="D232" s="222"/>
      <c r="E232" s="222"/>
      <c r="F232" s="224"/>
      <c r="G232" s="103" t="str">
        <f>"Total item "&amp;A227</f>
        <v>Total item 3.9</v>
      </c>
      <c r="H232" s="104">
        <f>SUM(H228:H231)</f>
        <v>36.620000000000005</v>
      </c>
    </row>
    <row r="233" spans="1:8">
      <c r="A233" s="212" t="str">
        <f>'Planilha orç'!A37</f>
        <v>4.0</v>
      </c>
      <c r="B233" s="214" t="str">
        <f>'Planilha orç'!D37</f>
        <v>REVESTIMENTOS</v>
      </c>
      <c r="C233" s="213"/>
      <c r="D233" s="212"/>
      <c r="E233" s="212"/>
      <c r="F233" s="212"/>
      <c r="G233" s="212"/>
      <c r="H233" s="212"/>
    </row>
    <row r="234" spans="1:8" ht="40.799999999999997">
      <c r="A234" s="216" t="str">
        <f>'Planilha orç'!A38</f>
        <v>4.1</v>
      </c>
      <c r="B234" s="100" t="str">
        <f>'Planilha orç'!D38</f>
        <v>CONTRAPISO EM ARGAMASSA TRAÇO 1:4 (CIMENTO E AREIA), PREPARO MECÂNICO COM BETONEIRA 400 L, APLICADO EM ÁREAS MOLHADAS SOBRE IMPERMEABILIZAÇÃO, ACABAMENTO NÃO REFORÇADO, ESPESSURA 3CM. AF_07/2021</v>
      </c>
      <c r="C234" s="216" t="str">
        <f>'Planilha orç'!E38</f>
        <v>M2</v>
      </c>
      <c r="D234" s="217"/>
      <c r="E234" s="218"/>
      <c r="F234" s="219"/>
      <c r="G234" s="220"/>
      <c r="H234" s="221"/>
    </row>
    <row r="235" spans="1:8">
      <c r="A235" s="226"/>
      <c r="B235" s="94" t="s">
        <v>208</v>
      </c>
      <c r="C235" s="222"/>
      <c r="D235" s="227">
        <v>4.8600000000000003</v>
      </c>
      <c r="E235" s="227"/>
      <c r="F235" s="227"/>
      <c r="G235" s="227"/>
      <c r="H235" s="228">
        <f>ROUND(PRODUCT(D235:G235),2)</f>
        <v>4.8600000000000003</v>
      </c>
    </row>
    <row r="236" spans="1:8">
      <c r="A236" s="233"/>
      <c r="B236" s="85"/>
      <c r="C236" s="222"/>
      <c r="D236" s="229"/>
      <c r="E236" s="223"/>
      <c r="F236" s="224"/>
      <c r="G236" s="103" t="str">
        <f>"Total item "&amp;A234</f>
        <v>Total item 4.1</v>
      </c>
      <c r="H236" s="104">
        <f>SUM(H235:H235)</f>
        <v>4.8600000000000003</v>
      </c>
    </row>
    <row r="237" spans="1:8" ht="30.6">
      <c r="A237" s="216" t="str">
        <f>'Planilha orç'!A39</f>
        <v>4.2</v>
      </c>
      <c r="B237" s="100" t="str">
        <f>'Planilha orç'!D39</f>
        <v>REVESTIMENTO CERÂMICO PARA PISO COM PLACAS TIPO ESMALTADA EXTRA DE DIMENSÕES 45X45 CM APLICADA EM AMBIENTES DE ÁREA MENOR QUE 5 M2. AF_06/2014</v>
      </c>
      <c r="C237" s="216" t="str">
        <f>'Planilha orç'!E39</f>
        <v>M2</v>
      </c>
      <c r="D237" s="217"/>
      <c r="E237" s="218"/>
      <c r="F237" s="219"/>
      <c r="G237" s="220"/>
      <c r="H237" s="221"/>
    </row>
    <row r="238" spans="1:8">
      <c r="A238" s="226"/>
      <c r="B238" s="252" t="str">
        <f>G236</f>
        <v>Total item 4.1</v>
      </c>
      <c r="C238" s="222"/>
      <c r="D238" s="227">
        <f>D235</f>
        <v>4.8600000000000003</v>
      </c>
      <c r="E238" s="227"/>
      <c r="F238" s="227"/>
      <c r="G238" s="227"/>
      <c r="H238" s="228">
        <f>ROUND(PRODUCT(D238:G238),2)</f>
        <v>4.8600000000000003</v>
      </c>
    </row>
    <row r="239" spans="1:8">
      <c r="A239" s="233"/>
      <c r="B239" s="85"/>
      <c r="C239" s="222"/>
      <c r="D239" s="229"/>
      <c r="E239" s="223"/>
      <c r="F239" s="224"/>
      <c r="G239" s="103" t="str">
        <f>"Total item "&amp;A237</f>
        <v>Total item 4.2</v>
      </c>
      <c r="H239" s="104">
        <f>SUM(H238:H238)</f>
        <v>4.8600000000000003</v>
      </c>
    </row>
    <row r="240" spans="1:8" ht="51">
      <c r="A240" s="216" t="str">
        <f>'Planilha orç'!A40</f>
        <v>4.3</v>
      </c>
      <c r="B240" s="100" t="str">
        <f>'Planilha orç'!D40</f>
        <v>EMBOÇO, PARA RECEBIMENTO DE CERÂMICA, EM ARGAMASSA TRAÇO 1:2:8, PREPARO MECÂNICO COM BETONEIRA 400L, APLICADO MANUALMENTE EM FACES INTERNASDE PAREDES, PARA AMBIENTE COM ÁREA MAIOR QUE 10M2, ESPESSURA DE 20MM,COM EXECUÇÃO DE TALISCAS. AF_06/2014</v>
      </c>
      <c r="C240" s="216" t="str">
        <f>'Planilha orç'!E40</f>
        <v>M2</v>
      </c>
      <c r="D240" s="217"/>
      <c r="E240" s="218"/>
      <c r="F240" s="219"/>
      <c r="G240" s="220"/>
      <c r="H240" s="221"/>
    </row>
    <row r="241" spans="1:8">
      <c r="A241" s="226"/>
      <c r="B241" s="94" t="s">
        <v>208</v>
      </c>
      <c r="C241" s="222"/>
      <c r="D241" s="227">
        <v>2.15</v>
      </c>
      <c r="E241" s="227"/>
      <c r="F241" s="227"/>
      <c r="G241" s="227">
        <v>3</v>
      </c>
      <c r="H241" s="228">
        <f>ROUND(PRODUCT(D241:G241),2)</f>
        <v>6.45</v>
      </c>
    </row>
    <row r="242" spans="1:8">
      <c r="A242" s="226"/>
      <c r="B242" s="94"/>
      <c r="C242" s="222"/>
      <c r="D242" s="227">
        <v>2.2599999999999998</v>
      </c>
      <c r="E242" s="227"/>
      <c r="F242" s="227"/>
      <c r="G242" s="227">
        <v>3</v>
      </c>
      <c r="H242" s="228">
        <f t="shared" ref="H242:H244" si="26">ROUND(PRODUCT(D242:G242),2)</f>
        <v>6.78</v>
      </c>
    </row>
    <row r="243" spans="1:8">
      <c r="A243" s="226"/>
      <c r="B243" s="94"/>
      <c r="C243" s="222"/>
      <c r="D243" s="227">
        <v>2.16</v>
      </c>
      <c r="E243" s="227"/>
      <c r="F243" s="227"/>
      <c r="G243" s="227">
        <v>3</v>
      </c>
      <c r="H243" s="228">
        <f t="shared" si="26"/>
        <v>6.48</v>
      </c>
    </row>
    <row r="244" spans="1:8">
      <c r="A244" s="226"/>
      <c r="B244" s="94"/>
      <c r="C244" s="222"/>
      <c r="D244" s="227">
        <v>2.2599999999999998</v>
      </c>
      <c r="E244" s="227"/>
      <c r="F244" s="227"/>
      <c r="G244" s="227">
        <v>3</v>
      </c>
      <c r="H244" s="228">
        <f t="shared" si="26"/>
        <v>6.78</v>
      </c>
    </row>
    <row r="245" spans="1:8">
      <c r="A245" s="233"/>
      <c r="B245" s="85"/>
      <c r="C245" s="222"/>
      <c r="D245" s="229"/>
      <c r="E245" s="223"/>
      <c r="F245" s="224"/>
      <c r="G245" s="103" t="str">
        <f>"Total item "&amp;A240</f>
        <v>Total item 4.3</v>
      </c>
      <c r="H245" s="104">
        <f>SUM(H241:H244)</f>
        <v>26.490000000000002</v>
      </c>
    </row>
    <row r="246" spans="1:8" ht="40.799999999999997">
      <c r="A246" s="216" t="str">
        <f>'Planilha orç'!A41</f>
        <v>4.4</v>
      </c>
      <c r="B246" s="100" t="str">
        <f>'Planilha orç'!D41</f>
        <v>REVESTIMENTO CERÂMICO PARA PAREDES INTERNAS COM PLACAS TIPO ESMALTADA EXTRA DE DIMENSÕES 33X45 CM APLICADAS EM AMBIENTES DE ÁREA MAIOR QUE 5 M² A MEIA ALTURA DAS PAREDES. AF_06/2014</v>
      </c>
      <c r="C246" s="216" t="str">
        <f>'Planilha orç'!E41</f>
        <v>M2</v>
      </c>
      <c r="D246" s="217"/>
      <c r="E246" s="218"/>
      <c r="F246" s="219"/>
      <c r="G246" s="220"/>
      <c r="H246" s="221"/>
    </row>
    <row r="247" spans="1:8">
      <c r="A247" s="226"/>
      <c r="B247" s="252" t="str">
        <f>G245</f>
        <v>Total item 4.3</v>
      </c>
      <c r="C247" s="222"/>
      <c r="D247" s="227">
        <f>H245</f>
        <v>26.490000000000002</v>
      </c>
      <c r="E247" s="227"/>
      <c r="F247" s="227"/>
      <c r="G247" s="227"/>
      <c r="H247" s="228">
        <f>ROUND(PRODUCT(D247:G247),2)</f>
        <v>26.49</v>
      </c>
    </row>
    <row r="248" spans="1:8">
      <c r="A248" s="233"/>
      <c r="B248" s="85"/>
      <c r="C248" s="222"/>
      <c r="D248" s="229"/>
      <c r="E248" s="223"/>
      <c r="F248" s="224"/>
      <c r="G248" s="103" t="str">
        <f>"Total item "&amp;A246</f>
        <v>Total item 4.4</v>
      </c>
      <c r="H248" s="104">
        <f>SUM(H247:H247)</f>
        <v>26.49</v>
      </c>
    </row>
    <row r="249" spans="1:8" ht="40.799999999999997">
      <c r="A249" s="216" t="str">
        <f>'Planilha orç'!A42</f>
        <v>4.5</v>
      </c>
      <c r="B249" s="100" t="str">
        <f>'Planilha orç'!D42</f>
        <v>CONTRAPISO EM ARGAMASSA TRAÇO 1:4 (CIMENTO E AREIA), PREPARO MECÂNICO COM BETONEIRA 400 L, APLICADO EM ÁREAS SECAS SOBRE LAJE, ADERIDO, ACABAMENTO NÃO REFORÇADO, ESPESSURA 2CM. AF_07/2021</v>
      </c>
      <c r="C249" s="216" t="str">
        <f>'Planilha orç'!E42</f>
        <v>M2</v>
      </c>
      <c r="D249" s="217"/>
      <c r="E249" s="218"/>
      <c r="F249" s="219"/>
      <c r="G249" s="220"/>
      <c r="H249" s="221"/>
    </row>
    <row r="250" spans="1:8">
      <c r="A250" s="226"/>
      <c r="B250" s="94" t="s">
        <v>162</v>
      </c>
      <c r="C250" s="222"/>
      <c r="D250" s="227">
        <v>108.1</v>
      </c>
      <c r="E250" s="227"/>
      <c r="F250" s="227"/>
      <c r="G250" s="227"/>
      <c r="H250" s="228">
        <f>ROUND(PRODUCT(D250:G250),2)</f>
        <v>108.1</v>
      </c>
    </row>
    <row r="251" spans="1:8">
      <c r="A251" s="233"/>
      <c r="B251" s="85"/>
      <c r="C251" s="222"/>
      <c r="D251" s="229"/>
      <c r="E251" s="223"/>
      <c r="F251" s="224"/>
      <c r="G251" s="103" t="str">
        <f>"Total item "&amp;A249</f>
        <v>Total item 4.5</v>
      </c>
      <c r="H251" s="104">
        <f>SUM(H250:H250)</f>
        <v>108.1</v>
      </c>
    </row>
    <row r="252" spans="1:8">
      <c r="A252" s="216" t="str">
        <f>'Planilha orç'!A43</f>
        <v>4.6</v>
      </c>
      <c r="B252" s="100" t="str">
        <f>'Planilha orç'!D43</f>
        <v>LASTRO DE CONCRETO REGULARIZADO ESP.= 5CM</v>
      </c>
      <c r="C252" s="216" t="str">
        <f>'Planilha orç'!E43</f>
        <v>M2</v>
      </c>
      <c r="D252" s="217"/>
      <c r="E252" s="218"/>
      <c r="F252" s="219"/>
      <c r="G252" s="220"/>
      <c r="H252" s="221"/>
    </row>
    <row r="253" spans="1:8">
      <c r="A253" s="226"/>
      <c r="B253" s="252" t="str">
        <f>G251</f>
        <v>Total item 4.5</v>
      </c>
      <c r="C253" s="222"/>
      <c r="D253" s="227">
        <f>H251</f>
        <v>108.1</v>
      </c>
      <c r="E253" s="227"/>
      <c r="F253" s="227"/>
      <c r="G253" s="227"/>
      <c r="H253" s="228">
        <f>ROUND(PRODUCT(D253:G253),2)</f>
        <v>108.1</v>
      </c>
    </row>
    <row r="254" spans="1:8">
      <c r="A254" s="233"/>
      <c r="B254" s="85"/>
      <c r="C254" s="222"/>
      <c r="D254" s="229"/>
      <c r="E254" s="223"/>
      <c r="F254" s="224"/>
      <c r="G254" s="103" t="str">
        <f>"Total item "&amp;A252</f>
        <v>Total item 4.6</v>
      </c>
      <c r="H254" s="104">
        <f>SUM(H253:H253)</f>
        <v>108.1</v>
      </c>
    </row>
    <row r="255" spans="1:8" ht="20.399999999999999">
      <c r="A255" s="216" t="str">
        <f>'Planilha orç'!A44</f>
        <v>4.7</v>
      </c>
      <c r="B255" s="100" t="str">
        <f>'Planilha orç'!D44</f>
        <v>PISO PODOTÁTIL, DIRECIONAL OU ALERTA, ASSENTADO SOBRE ARGAMASSA. AF_05/2020</v>
      </c>
      <c r="C255" s="216" t="str">
        <f>'Planilha orç'!E44</f>
        <v>M</v>
      </c>
      <c r="D255" s="217"/>
      <c r="E255" s="218"/>
      <c r="F255" s="219"/>
      <c r="G255" s="220"/>
      <c r="H255" s="221"/>
    </row>
    <row r="256" spans="1:8">
      <c r="A256" s="226"/>
      <c r="B256" s="94" t="s">
        <v>175</v>
      </c>
      <c r="C256" s="222"/>
      <c r="D256" s="227">
        <f>(0.25*350)</f>
        <v>87.5</v>
      </c>
      <c r="E256" s="227"/>
      <c r="F256" s="227"/>
      <c r="G256" s="227"/>
      <c r="H256" s="228">
        <f>ROUND(PRODUCT(D256:G256),2)</f>
        <v>87.5</v>
      </c>
    </row>
    <row r="257" spans="1:8">
      <c r="A257" s="233"/>
      <c r="B257" s="85"/>
      <c r="C257" s="222"/>
      <c r="D257" s="229"/>
      <c r="E257" s="223"/>
      <c r="F257" s="224"/>
      <c r="G257" s="103" t="str">
        <f>"Total item "&amp;A255</f>
        <v>Total item 4.7</v>
      </c>
      <c r="H257" s="104">
        <f>SUM(H256:H256)</f>
        <v>87.5</v>
      </c>
    </row>
    <row r="258" spans="1:8">
      <c r="A258" s="212" t="str">
        <f>'Planilha orç'!A45</f>
        <v>5.0</v>
      </c>
      <c r="B258" s="214" t="str">
        <f>'Planilha orç'!D45</f>
        <v>PLAYGROUND</v>
      </c>
      <c r="C258" s="213"/>
      <c r="D258" s="212"/>
      <c r="E258" s="212"/>
      <c r="F258" s="212"/>
      <c r="G258" s="212"/>
      <c r="H258" s="212"/>
    </row>
    <row r="259" spans="1:8" ht="20.399999999999999">
      <c r="A259" s="216" t="str">
        <f>'Planilha orç'!A46</f>
        <v>5.1</v>
      </c>
      <c r="B259" s="100" t="str">
        <f>'Planilha orç'!D46</f>
        <v>PLAYGROUND DE EUCALIPTO COMPLETO: 1 BALANÇO DUPLO, 1 LIXEIRA 1 E GANGORRA DUPLA</v>
      </c>
      <c r="C259" s="216" t="str">
        <f>'Planilha orç'!E46</f>
        <v>UN</v>
      </c>
      <c r="D259" s="217"/>
      <c r="E259" s="218"/>
      <c r="F259" s="219"/>
      <c r="G259" s="220"/>
      <c r="H259" s="221"/>
    </row>
    <row r="260" spans="1:8">
      <c r="A260" s="222"/>
      <c r="B260" s="225"/>
      <c r="C260" s="222"/>
      <c r="D260" s="227">
        <v>1</v>
      </c>
      <c r="E260" s="227"/>
      <c r="F260" s="227"/>
      <c r="G260" s="227"/>
      <c r="H260" s="228">
        <f t="shared" ref="H260" si="27">ROUND(PRODUCT(D260:G260),2)</f>
        <v>1</v>
      </c>
    </row>
    <row r="261" spans="1:8">
      <c r="A261" s="222"/>
      <c r="B261" s="225"/>
      <c r="C261" s="222"/>
      <c r="D261" s="222"/>
      <c r="E261" s="222"/>
      <c r="F261" s="224"/>
      <c r="G261" s="103" t="str">
        <f>"Total item "&amp;A259</f>
        <v>Total item 5.1</v>
      </c>
      <c r="H261" s="104">
        <f>SUM(H260)</f>
        <v>1</v>
      </c>
    </row>
    <row r="262" spans="1:8">
      <c r="A262" s="212" t="str">
        <f>'Planilha orç'!A47</f>
        <v>6.0</v>
      </c>
      <c r="B262" s="214" t="str">
        <f>'Planilha orç'!D47</f>
        <v>INSTALAÇÕES HIDROSSANITÁRIAS</v>
      </c>
      <c r="C262" s="213"/>
      <c r="D262" s="212"/>
      <c r="E262" s="212"/>
      <c r="F262" s="212"/>
      <c r="G262" s="212"/>
      <c r="H262" s="212"/>
    </row>
    <row r="263" spans="1:8" ht="30.6">
      <c r="A263" s="216" t="str">
        <f>'Planilha orç'!A48</f>
        <v>6.1</v>
      </c>
      <c r="B263" s="100" t="str">
        <f>'Planilha orç'!D48</f>
        <v xml:space="preserve">PONTO DE ESGOTO EM PVC P/ SANITÁRIO INCLUSIVE COLUNA VENTILAÇÃO
MSD FUNASA TIPO 10 (MATERIAL E EXECUÇÃO) </v>
      </c>
      <c r="C263" s="216" t="str">
        <f>'Planilha orç'!E48</f>
        <v>PT</v>
      </c>
      <c r="D263" s="217"/>
      <c r="E263" s="218"/>
      <c r="F263" s="219"/>
      <c r="G263" s="220"/>
      <c r="H263" s="221"/>
    </row>
    <row r="264" spans="1:8">
      <c r="A264" s="222"/>
      <c r="B264" s="225" t="s">
        <v>208</v>
      </c>
      <c r="C264" s="222"/>
      <c r="D264" s="227">
        <v>1</v>
      </c>
      <c r="E264" s="227"/>
      <c r="F264" s="227"/>
      <c r="G264" s="227"/>
      <c r="H264" s="228">
        <f t="shared" ref="H264:H265" si="28">ROUND(PRODUCT(D264:G264),2)</f>
        <v>1</v>
      </c>
    </row>
    <row r="265" spans="1:8">
      <c r="A265" s="222"/>
      <c r="B265" s="225" t="s">
        <v>295</v>
      </c>
      <c r="C265" s="222"/>
      <c r="D265" s="227">
        <v>2</v>
      </c>
      <c r="E265" s="227"/>
      <c r="F265" s="227"/>
      <c r="G265" s="227"/>
      <c r="H265" s="228">
        <f t="shared" si="28"/>
        <v>2</v>
      </c>
    </row>
    <row r="266" spans="1:8">
      <c r="A266" s="222"/>
      <c r="B266" s="225"/>
      <c r="C266" s="222"/>
      <c r="D266" s="222"/>
      <c r="E266" s="222"/>
      <c r="F266" s="224"/>
      <c r="G266" s="103" t="str">
        <f>"Total item "&amp;A263</f>
        <v>Total item 6.1</v>
      </c>
      <c r="H266" s="104">
        <f>SUM(H264:H265)</f>
        <v>3</v>
      </c>
    </row>
    <row r="267" spans="1:8" ht="30.6">
      <c r="A267" s="216" t="str">
        <f>'Planilha orç'!A49</f>
        <v>6.2</v>
      </c>
      <c r="B267" s="100" t="str">
        <f>'Planilha orç'!D49</f>
        <v xml:space="preserve">PONTO DE ESGOTO EM PVC P/ TANQUE E LAVATÓRIO MSD FUNASA TIPO 10
(MATERIAL E EXECUÇÃO) </v>
      </c>
      <c r="C267" s="216" t="str">
        <f>'Planilha orç'!E49</f>
        <v>PT</v>
      </c>
      <c r="D267" s="217"/>
      <c r="E267" s="218"/>
      <c r="F267" s="219"/>
      <c r="G267" s="220"/>
      <c r="H267" s="221"/>
    </row>
    <row r="268" spans="1:8">
      <c r="A268" s="222"/>
      <c r="B268" s="225" t="s">
        <v>208</v>
      </c>
      <c r="C268" s="222"/>
      <c r="D268" s="227">
        <v>1</v>
      </c>
      <c r="E268" s="227"/>
      <c r="F268" s="227"/>
      <c r="G268" s="227"/>
      <c r="H268" s="228">
        <f t="shared" ref="H268" si="29">ROUND(PRODUCT(D268:G268),2)</f>
        <v>1</v>
      </c>
    </row>
    <row r="269" spans="1:8">
      <c r="A269" s="222"/>
      <c r="B269" s="225"/>
      <c r="C269" s="222"/>
      <c r="D269" s="222"/>
      <c r="E269" s="222"/>
      <c r="F269" s="224"/>
      <c r="G269" s="103" t="str">
        <f>"Total item "&amp;A267</f>
        <v>Total item 6.2</v>
      </c>
      <c r="H269" s="104">
        <f>SUM(H268)</f>
        <v>1</v>
      </c>
    </row>
    <row r="270" spans="1:8">
      <c r="A270" s="216" t="str">
        <f>'Planilha orç'!A50</f>
        <v>6.3</v>
      </c>
      <c r="B270" s="100" t="str">
        <f>'Planilha orç'!D50</f>
        <v>PONTO SANITÁRIO, MATERIAL E EXECUÇÃO</v>
      </c>
      <c r="C270" s="216" t="str">
        <f>'Planilha orç'!E50</f>
        <v>PT</v>
      </c>
      <c r="D270" s="217"/>
      <c r="E270" s="218"/>
      <c r="F270" s="219"/>
      <c r="G270" s="220"/>
      <c r="H270" s="221"/>
    </row>
    <row r="271" spans="1:8">
      <c r="A271" s="268"/>
      <c r="B271" s="269" t="s">
        <v>296</v>
      </c>
      <c r="C271" s="268"/>
      <c r="D271" s="270"/>
      <c r="E271" s="271"/>
      <c r="F271" s="272"/>
      <c r="G271" s="268"/>
      <c r="H271" s="225"/>
    </row>
    <row r="272" spans="1:8">
      <c r="A272" s="222"/>
      <c r="B272" s="225" t="s">
        <v>208</v>
      </c>
      <c r="C272" s="222"/>
      <c r="D272" s="227">
        <v>1</v>
      </c>
      <c r="E272" s="227"/>
      <c r="F272" s="227"/>
      <c r="G272" s="227"/>
      <c r="H272" s="228">
        <f t="shared" ref="H272:H273" si="30">ROUND(PRODUCT(D272:G272),2)</f>
        <v>1</v>
      </c>
    </row>
    <row r="273" spans="1:8">
      <c r="A273" s="222"/>
      <c r="B273" s="225" t="s">
        <v>295</v>
      </c>
      <c r="C273" s="222"/>
      <c r="D273" s="227">
        <v>2</v>
      </c>
      <c r="E273" s="227"/>
      <c r="F273" s="227"/>
      <c r="G273" s="227"/>
      <c r="H273" s="228">
        <f t="shared" si="30"/>
        <v>2</v>
      </c>
    </row>
    <row r="274" spans="1:8">
      <c r="A274" s="222"/>
      <c r="B274" s="225"/>
      <c r="C274" s="222"/>
      <c r="D274" s="222"/>
      <c r="E274" s="222"/>
      <c r="F274" s="224"/>
      <c r="G274" s="103" t="str">
        <f>"Total item "&amp;A270</f>
        <v>Total item 6.3</v>
      </c>
      <c r="H274" s="104">
        <f>SUM(H272:H273)</f>
        <v>3</v>
      </c>
    </row>
    <row r="275" spans="1:8" ht="20.399999999999999">
      <c r="A275" s="216" t="str">
        <f>'Planilha orç'!A51</f>
        <v>6.4</v>
      </c>
      <c r="B275" s="100" t="str">
        <f>'Planilha orç'!D51</f>
        <v>VASO SANITÁRIO SIFONADO COM CAIXA ACOPLADA LOUÇA BRANCA - FORNECIMENTO E INSTALAÇÃO. AF_01/2020</v>
      </c>
      <c r="C275" s="216" t="str">
        <f>'Planilha orç'!E51</f>
        <v>UN</v>
      </c>
      <c r="D275" s="217"/>
      <c r="E275" s="218"/>
      <c r="F275" s="219"/>
      <c r="G275" s="220"/>
      <c r="H275" s="221"/>
    </row>
    <row r="276" spans="1:8">
      <c r="A276" s="222"/>
      <c r="B276" s="225" t="s">
        <v>208</v>
      </c>
      <c r="C276" s="222"/>
      <c r="D276" s="227">
        <v>1</v>
      </c>
      <c r="E276" s="227"/>
      <c r="F276" s="227"/>
      <c r="G276" s="227"/>
      <c r="H276" s="228">
        <f t="shared" ref="H276:H277" si="31">ROUND(PRODUCT(D276:G276),2)</f>
        <v>1</v>
      </c>
    </row>
    <row r="277" spans="1:8">
      <c r="A277" s="222"/>
      <c r="B277" s="225" t="s">
        <v>295</v>
      </c>
      <c r="C277" s="222"/>
      <c r="D277" s="227">
        <v>2</v>
      </c>
      <c r="E277" s="227"/>
      <c r="F277" s="227"/>
      <c r="G277" s="227"/>
      <c r="H277" s="228">
        <f t="shared" si="31"/>
        <v>2</v>
      </c>
    </row>
    <row r="278" spans="1:8">
      <c r="A278" s="222"/>
      <c r="B278" s="225"/>
      <c r="C278" s="222"/>
      <c r="D278" s="222"/>
      <c r="E278" s="222"/>
      <c r="F278" s="224"/>
      <c r="G278" s="103" t="str">
        <f>"Total item "&amp;A275</f>
        <v>Total item 6.4</v>
      </c>
      <c r="H278" s="104">
        <f>SUM(H276:H277)</f>
        <v>3</v>
      </c>
    </row>
    <row r="279" spans="1:8" ht="20.399999999999999">
      <c r="A279" s="216" t="str">
        <f>'Planilha orç'!A52</f>
        <v>6.5</v>
      </c>
      <c r="B279" s="100" t="str">
        <f>'Planilha orç'!D52</f>
        <v>BARRA DE APOIO RETA, EM ACO INOX POLIDO, COMPRIMENTO 70 CM, FIXADA NA PAREDE - FORNECIMENTO E INSTALAÇÃO. AF_01/2020</v>
      </c>
      <c r="C279" s="216" t="str">
        <f>'Planilha orç'!E52</f>
        <v>UN</v>
      </c>
      <c r="D279" s="217"/>
      <c r="E279" s="218"/>
      <c r="F279" s="219"/>
      <c r="G279" s="220"/>
      <c r="H279" s="221"/>
    </row>
    <row r="280" spans="1:8">
      <c r="A280" s="222"/>
      <c r="B280" s="225" t="s">
        <v>208</v>
      </c>
      <c r="C280" s="222"/>
      <c r="D280" s="227">
        <v>2</v>
      </c>
      <c r="E280" s="227"/>
      <c r="F280" s="227"/>
      <c r="G280" s="227"/>
      <c r="H280" s="228">
        <f t="shared" ref="H280" si="32">ROUND(PRODUCT(D280:G280),2)</f>
        <v>2</v>
      </c>
    </row>
    <row r="281" spans="1:8">
      <c r="A281" s="222"/>
      <c r="B281" s="225"/>
      <c r="C281" s="222"/>
      <c r="D281" s="222"/>
      <c r="E281" s="222"/>
      <c r="F281" s="224"/>
      <c r="G281" s="103" t="str">
        <f>"Total item "&amp;A279</f>
        <v>Total item 6.5</v>
      </c>
      <c r="H281" s="104">
        <f>SUM(H280)</f>
        <v>2</v>
      </c>
    </row>
    <row r="282" spans="1:8" ht="20.399999999999999">
      <c r="A282" s="216" t="str">
        <f>'Planilha orç'!A53</f>
        <v>6.6</v>
      </c>
      <c r="B282" s="100" t="str">
        <f>'Planilha orç'!D53</f>
        <v>PUXADOR PARA PCD, FIXADO NA PORTA - FORNECIMENTO E INSTALAÇÃO. AF_01/2020</v>
      </c>
      <c r="C282" s="216" t="str">
        <f>'Planilha orç'!E53</f>
        <v>UN</v>
      </c>
      <c r="D282" s="217"/>
      <c r="E282" s="218"/>
      <c r="F282" s="219"/>
      <c r="G282" s="220"/>
      <c r="H282" s="221"/>
    </row>
    <row r="283" spans="1:8">
      <c r="A283" s="222"/>
      <c r="B283" s="225" t="s">
        <v>208</v>
      </c>
      <c r="C283" s="222"/>
      <c r="D283" s="227">
        <v>1</v>
      </c>
      <c r="E283" s="227"/>
      <c r="F283" s="227"/>
      <c r="G283" s="227"/>
      <c r="H283" s="228">
        <f t="shared" ref="H283" si="33">ROUND(PRODUCT(D283:G283),2)</f>
        <v>1</v>
      </c>
    </row>
    <row r="284" spans="1:8">
      <c r="A284" s="222"/>
      <c r="B284" s="225"/>
      <c r="C284" s="222"/>
      <c r="D284" s="222"/>
      <c r="E284" s="222"/>
      <c r="F284" s="224"/>
      <c r="G284" s="103" t="str">
        <f>"Total item "&amp;A282</f>
        <v>Total item 6.6</v>
      </c>
      <c r="H284" s="104">
        <f>SUM(H283)</f>
        <v>1</v>
      </c>
    </row>
    <row r="285" spans="1:8" ht="40.799999999999997">
      <c r="A285" s="216" t="str">
        <f>'Planilha orç'!A54</f>
        <v>6.7</v>
      </c>
      <c r="B285" s="100" t="str">
        <f>'Planilha orç'!D54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C285" s="216" t="str">
        <f>'Planilha orç'!E54</f>
        <v>UN</v>
      </c>
      <c r="D285" s="217"/>
      <c r="E285" s="218"/>
      <c r="F285" s="219"/>
      <c r="G285" s="220"/>
      <c r="H285" s="221"/>
    </row>
    <row r="286" spans="1:8">
      <c r="A286" s="222"/>
      <c r="B286" s="225" t="s">
        <v>208</v>
      </c>
      <c r="C286" s="222"/>
      <c r="D286" s="227">
        <v>1</v>
      </c>
      <c r="E286" s="227"/>
      <c r="F286" s="227"/>
      <c r="G286" s="227"/>
      <c r="H286" s="228">
        <f t="shared" ref="H286" si="34">ROUND(PRODUCT(D286:G286),2)</f>
        <v>1</v>
      </c>
    </row>
    <row r="287" spans="1:8">
      <c r="A287" s="222"/>
      <c r="B287" s="225"/>
      <c r="C287" s="222"/>
      <c r="D287" s="222"/>
      <c r="E287" s="222"/>
      <c r="F287" s="224"/>
      <c r="G287" s="103" t="str">
        <f>"Total item "&amp;A285</f>
        <v>Total item 6.7</v>
      </c>
      <c r="H287" s="104">
        <f>SUM(H286)</f>
        <v>1</v>
      </c>
    </row>
    <row r="288" spans="1:8" ht="30.6">
      <c r="A288" s="216" t="str">
        <f>'Planilha orç'!A55</f>
        <v>6.8</v>
      </c>
      <c r="B288" s="100" t="str">
        <f>'Planilha orç'!D55</f>
        <v xml:space="preserve">PONTO DE AGUA, INCLUSIVE TUBULACOES E CONE XOES DE PVC RIGIDO ROSQUEAVEL E ABERTURA DE RASGOS EM ALVENARIA,ATE O REGISTRO GERAL DO AMBIENTE. </v>
      </c>
      <c r="C288" s="216" t="str">
        <f>'Planilha orç'!E55</f>
        <v>PT</v>
      </c>
      <c r="D288" s="217"/>
      <c r="E288" s="218"/>
      <c r="F288" s="219"/>
      <c r="G288" s="220"/>
      <c r="H288" s="221"/>
    </row>
    <row r="289" spans="1:8">
      <c r="A289" s="222"/>
      <c r="B289" s="225" t="s">
        <v>208</v>
      </c>
      <c r="C289" s="222"/>
      <c r="D289" s="227">
        <v>2</v>
      </c>
      <c r="E289" s="227"/>
      <c r="F289" s="227"/>
      <c r="G289" s="227"/>
      <c r="H289" s="228">
        <f t="shared" ref="H289:H290" si="35">ROUND(PRODUCT(D289:G289),2)</f>
        <v>2</v>
      </c>
    </row>
    <row r="290" spans="1:8">
      <c r="A290" s="222"/>
      <c r="B290" s="225" t="s">
        <v>295</v>
      </c>
      <c r="C290" s="222"/>
      <c r="D290" s="227">
        <v>2</v>
      </c>
      <c r="E290" s="227"/>
      <c r="F290" s="227"/>
      <c r="G290" s="227"/>
      <c r="H290" s="228">
        <f t="shared" si="35"/>
        <v>2</v>
      </c>
    </row>
    <row r="291" spans="1:8">
      <c r="A291" s="222"/>
      <c r="B291" s="225"/>
      <c r="C291" s="222"/>
      <c r="D291" s="222"/>
      <c r="E291" s="222"/>
      <c r="F291" s="224"/>
      <c r="G291" s="103" t="str">
        <f>"Total item "&amp;A288</f>
        <v>Total item 6.8</v>
      </c>
      <c r="H291" s="104">
        <f>SUM(H289:H290)</f>
        <v>4</v>
      </c>
    </row>
    <row r="292" spans="1:8">
      <c r="A292" s="216" t="str">
        <f>'Planilha orç'!A56</f>
        <v>6.9</v>
      </c>
      <c r="B292" s="100" t="str">
        <f>'Planilha orç'!D56</f>
        <v>REGISTRO DE GAVETA BRUTO D= 20mm (3/4")</v>
      </c>
      <c r="C292" s="216" t="str">
        <f>'Planilha orç'!E56</f>
        <v>UM</v>
      </c>
      <c r="D292" s="217"/>
      <c r="E292" s="218"/>
      <c r="F292" s="219"/>
      <c r="G292" s="220"/>
      <c r="H292" s="221"/>
    </row>
    <row r="293" spans="1:8">
      <c r="A293" s="222"/>
      <c r="B293" s="225" t="s">
        <v>208</v>
      </c>
      <c r="C293" s="222"/>
      <c r="D293" s="227">
        <v>1</v>
      </c>
      <c r="E293" s="227"/>
      <c r="F293" s="227"/>
      <c r="G293" s="227"/>
      <c r="H293" s="228">
        <f t="shared" ref="H293" si="36">ROUND(PRODUCT(D293:G293),2)</f>
        <v>1</v>
      </c>
    </row>
    <row r="294" spans="1:8">
      <c r="A294" s="222"/>
      <c r="B294" s="225"/>
      <c r="C294" s="222"/>
      <c r="D294" s="222"/>
      <c r="E294" s="222"/>
      <c r="F294" s="224"/>
      <c r="G294" s="103" t="str">
        <f>"Total item "&amp;A292</f>
        <v>Total item 6.9</v>
      </c>
      <c r="H294" s="104">
        <f>SUM(H293)</f>
        <v>1</v>
      </c>
    </row>
    <row r="295" spans="1:8">
      <c r="A295" s="216" t="str">
        <f>'Planilha orç'!A57</f>
        <v>6.10</v>
      </c>
      <c r="B295" s="100" t="str">
        <f>'Planilha orç'!D57</f>
        <v>PORTA PAPEL METÁLICO</v>
      </c>
      <c r="C295" s="216" t="str">
        <f>'Planilha orç'!E57</f>
        <v>UN</v>
      </c>
      <c r="D295" s="217"/>
      <c r="E295" s="218"/>
      <c r="F295" s="219"/>
      <c r="G295" s="220"/>
      <c r="H295" s="221"/>
    </row>
    <row r="296" spans="1:8">
      <c r="A296" s="222"/>
      <c r="B296" s="225" t="s">
        <v>208</v>
      </c>
      <c r="C296" s="222"/>
      <c r="D296" s="227">
        <v>1</v>
      </c>
      <c r="E296" s="227"/>
      <c r="F296" s="227"/>
      <c r="G296" s="227"/>
      <c r="H296" s="228">
        <f t="shared" ref="H296" si="37">ROUND(PRODUCT(D296:G296),2)</f>
        <v>1</v>
      </c>
    </row>
    <row r="297" spans="1:8">
      <c r="A297" s="222"/>
      <c r="B297" s="225"/>
      <c r="C297" s="222"/>
      <c r="D297" s="222"/>
      <c r="E297" s="222"/>
      <c r="F297" s="224"/>
      <c r="G297" s="103" t="str">
        <f>"Total item "&amp;A295</f>
        <v>Total item 6.10</v>
      </c>
      <c r="H297" s="104">
        <f>SUM(H296)</f>
        <v>1</v>
      </c>
    </row>
    <row r="298" spans="1:8" ht="20.399999999999999">
      <c r="A298" s="216" t="str">
        <f>'Planilha orç'!A58</f>
        <v>6.11</v>
      </c>
      <c r="B298" s="100" t="str">
        <f>'Planilha orç'!D58</f>
        <v>ESPELHO CRISTAL, ESPESSURA 4MM, COM PARAFUSOS DE FIXAÇÃO, SEM MOLDURA</v>
      </c>
      <c r="C298" s="216" t="str">
        <f>'Planilha orç'!E58</f>
        <v>M2</v>
      </c>
      <c r="D298" s="217"/>
      <c r="E298" s="218"/>
      <c r="F298" s="219"/>
      <c r="G298" s="220"/>
      <c r="H298" s="221"/>
    </row>
    <row r="299" spans="1:8">
      <c r="A299" s="222"/>
      <c r="B299" s="225" t="s">
        <v>208</v>
      </c>
      <c r="C299" s="222"/>
      <c r="D299" s="227">
        <v>1</v>
      </c>
      <c r="E299" s="227"/>
      <c r="F299" s="227"/>
      <c r="G299" s="227"/>
      <c r="H299" s="228">
        <f t="shared" ref="H299" si="38">ROUND(PRODUCT(D299:G299),2)</f>
        <v>1</v>
      </c>
    </row>
    <row r="300" spans="1:8">
      <c r="A300" s="222"/>
      <c r="B300" s="225"/>
      <c r="C300" s="222"/>
      <c r="D300" s="222"/>
      <c r="E300" s="222"/>
      <c r="F300" s="224"/>
      <c r="G300" s="103" t="str">
        <f>"Total item "&amp;A298</f>
        <v>Total item 6.11</v>
      </c>
      <c r="H300" s="104">
        <f>SUM(H299)</f>
        <v>1</v>
      </c>
    </row>
    <row r="301" spans="1:8">
      <c r="A301" s="216" t="str">
        <f>'Planilha orç'!A59</f>
        <v>6.12</v>
      </c>
      <c r="B301" s="100" t="str">
        <f>'Planilha orç'!D59</f>
        <v>PORTA PAPEL TOALHA (DISPENSER)EM ABS</v>
      </c>
      <c r="C301" s="216" t="str">
        <f>'Planilha orç'!E59</f>
        <v>UN</v>
      </c>
      <c r="D301" s="217"/>
      <c r="E301" s="218"/>
      <c r="F301" s="219"/>
      <c r="G301" s="220"/>
      <c r="H301" s="221"/>
    </row>
    <row r="302" spans="1:8">
      <c r="A302" s="222"/>
      <c r="B302" s="225" t="s">
        <v>208</v>
      </c>
      <c r="C302" s="222"/>
      <c r="D302" s="227">
        <v>1</v>
      </c>
      <c r="E302" s="227"/>
      <c r="F302" s="227"/>
      <c r="G302" s="227"/>
      <c r="H302" s="228">
        <f t="shared" ref="H302" si="39">ROUND(PRODUCT(D302:G302),2)</f>
        <v>1</v>
      </c>
    </row>
    <row r="303" spans="1:8">
      <c r="A303" s="222"/>
      <c r="B303" s="225"/>
      <c r="C303" s="222"/>
      <c r="D303" s="222"/>
      <c r="E303" s="222"/>
      <c r="F303" s="224"/>
      <c r="G303" s="103" t="str">
        <f>"Total item "&amp;A301</f>
        <v>Total item 6.12</v>
      </c>
      <c r="H303" s="104">
        <f>SUM(H302)</f>
        <v>1</v>
      </c>
    </row>
    <row r="304" spans="1:8" ht="20.399999999999999">
      <c r="A304" s="216" t="str">
        <f>'Planilha orç'!A60</f>
        <v>6.13</v>
      </c>
      <c r="B304" s="100" t="str">
        <f>'Planilha orç'!D60</f>
        <v>SABONETEIRA PLASTICA TIPO DISPENSER PARA SABONETE LIQUIDO COM RESERVATORIO 800 A 1500 ML, INCLUSO FIXAÇÃO. AF_01/2020</v>
      </c>
      <c r="C304" s="216" t="str">
        <f>'Planilha orç'!E60</f>
        <v>UN</v>
      </c>
      <c r="D304" s="217"/>
      <c r="E304" s="218"/>
      <c r="F304" s="219"/>
      <c r="G304" s="220"/>
      <c r="H304" s="221"/>
    </row>
    <row r="305" spans="1:8">
      <c r="A305" s="222"/>
      <c r="B305" s="225" t="s">
        <v>208</v>
      </c>
      <c r="C305" s="222"/>
      <c r="D305" s="227">
        <v>1</v>
      </c>
      <c r="E305" s="227"/>
      <c r="F305" s="227"/>
      <c r="G305" s="227"/>
      <c r="H305" s="228">
        <f t="shared" ref="H305" si="40">ROUND(PRODUCT(D305:G305),2)</f>
        <v>1</v>
      </c>
    </row>
    <row r="306" spans="1:8">
      <c r="A306" s="222"/>
      <c r="B306" s="225"/>
      <c r="C306" s="222"/>
      <c r="D306" s="222"/>
      <c r="E306" s="222"/>
      <c r="F306" s="224"/>
      <c r="G306" s="103" t="str">
        <f>"Total item "&amp;A304</f>
        <v>Total item 6.13</v>
      </c>
      <c r="H306" s="104">
        <f>SUM(H305)</f>
        <v>1</v>
      </c>
    </row>
    <row r="307" spans="1:8" ht="51">
      <c r="A307" s="216" t="str">
        <f>'Planilha orç'!A61</f>
        <v>6.14</v>
      </c>
      <c r="B307" s="100" t="str">
        <f>'Planilha orç'!D61</f>
        <v>BANCADA GRANITO CINZA,  50 X 60 CM, INCL. CUBA DE EMBUTIR OVAL LOUÇA BRANCA 35 X 50 CM, VÁLVULA METAL CROMADO, SIFÃO FLEXÍVEL PVC, ENGATE 30 CM FLEXÍVEL PLÁSTICO E TORNEIRA CROMADA DE MESA, PADRÃO POPULAR - FORNEC. E INSTALAÇÃO. AF_01/2020</v>
      </c>
      <c r="C307" s="216" t="str">
        <f>'Planilha orç'!E61</f>
        <v>UN</v>
      </c>
      <c r="D307" s="217"/>
      <c r="E307" s="218"/>
      <c r="F307" s="219"/>
      <c r="G307" s="220"/>
      <c r="H307" s="221"/>
    </row>
    <row r="308" spans="1:8">
      <c r="A308" s="222"/>
      <c r="B308" s="265" t="s">
        <v>294</v>
      </c>
      <c r="C308" s="266"/>
      <c r="D308" s="267">
        <v>1</v>
      </c>
      <c r="E308" s="227"/>
      <c r="F308" s="227"/>
      <c r="G308" s="227"/>
      <c r="H308" s="228">
        <f t="shared" ref="H308" si="41">ROUND(PRODUCT(D308:G308),2)</f>
        <v>1</v>
      </c>
    </row>
    <row r="309" spans="1:8">
      <c r="A309" s="222"/>
      <c r="B309" s="225"/>
      <c r="C309" s="222"/>
      <c r="D309" s="222"/>
      <c r="E309" s="222"/>
      <c r="F309" s="224"/>
      <c r="G309" s="103" t="str">
        <f>"Total item "&amp;A307</f>
        <v>Total item 6.14</v>
      </c>
      <c r="H309" s="104">
        <f>SUM(H308)</f>
        <v>1</v>
      </c>
    </row>
    <row r="310" spans="1:8">
      <c r="A310" s="212" t="str">
        <f>'Planilha orç'!A62</f>
        <v>7.0</v>
      </c>
      <c r="B310" s="214" t="str">
        <f>'Planilha orç'!D62</f>
        <v>INSTALAÇÕES ELÉTRICAS</v>
      </c>
      <c r="C310" s="213"/>
      <c r="D310" s="212"/>
      <c r="E310" s="212"/>
      <c r="F310" s="212"/>
      <c r="G310" s="212"/>
      <c r="H310" s="212"/>
    </row>
    <row r="311" spans="1:8" ht="20.399999999999999">
      <c r="A311" s="216" t="str">
        <f>'Planilha orç'!A63</f>
        <v>7.1</v>
      </c>
      <c r="B311" s="100" t="str">
        <f>'Planilha orç'!D63</f>
        <v>REMOÇÃO DE LUMINÁRIAS, DE FORMA MANUAL, SEM REAPROVEITAMENTO. AF_12/2017</v>
      </c>
      <c r="C311" s="216" t="str">
        <f>'Planilha orç'!E63</f>
        <v>UN</v>
      </c>
      <c r="D311" s="217"/>
      <c r="E311" s="218"/>
      <c r="F311" s="219"/>
      <c r="G311" s="220"/>
      <c r="H311" s="221"/>
    </row>
    <row r="312" spans="1:8">
      <c r="A312" s="222"/>
      <c r="B312" s="225"/>
      <c r="C312" s="222"/>
      <c r="D312" s="227">
        <v>16</v>
      </c>
      <c r="E312" s="227"/>
      <c r="F312" s="227"/>
      <c r="G312" s="227"/>
      <c r="H312" s="228">
        <f t="shared" ref="H312" si="42">ROUND(PRODUCT(D312:G312),2)</f>
        <v>16</v>
      </c>
    </row>
    <row r="313" spans="1:8">
      <c r="A313" s="222"/>
      <c r="B313" s="225"/>
      <c r="C313" s="222"/>
      <c r="D313" s="222"/>
      <c r="E313" s="222"/>
      <c r="F313" s="224"/>
      <c r="G313" s="103" t="str">
        <f>"Total item "&amp;A311</f>
        <v>Total item 7.1</v>
      </c>
      <c r="H313" s="104">
        <f>SUM(H312)</f>
        <v>16</v>
      </c>
    </row>
    <row r="314" spans="1:8" ht="30.6">
      <c r="A314" s="216" t="str">
        <f>'Planilha orç'!A64</f>
        <v>7.2</v>
      </c>
      <c r="B314" s="100" t="str">
        <f>'Planilha orç'!D64</f>
        <v>PONTO DE ILUMINAÇÃO RESIDENCIAL INCLUINDO INTERRUPTOR SIMPLES, CAIXA ELÉTRICA, ELETRODUTO, CABO, RASGO, QUEBRA E CHUMBAMENTO (EXCLUINDO LUMINÁRIA E LÂMPADA). AF_01/2016</v>
      </c>
      <c r="C314" s="216" t="str">
        <f>'Planilha orç'!E64</f>
        <v>PT</v>
      </c>
      <c r="D314" s="217"/>
      <c r="E314" s="218"/>
      <c r="F314" s="219"/>
      <c r="G314" s="220"/>
      <c r="H314" s="221"/>
    </row>
    <row r="315" spans="1:8">
      <c r="A315" s="222"/>
      <c r="B315" s="225" t="s">
        <v>208</v>
      </c>
      <c r="C315" s="222"/>
      <c r="D315" s="227">
        <v>1</v>
      </c>
      <c r="E315" s="227"/>
      <c r="F315" s="227"/>
      <c r="G315" s="227"/>
      <c r="H315" s="228">
        <f t="shared" ref="H315:H324" si="43">ROUND(PRODUCT(D315:G315),2)</f>
        <v>1</v>
      </c>
    </row>
    <row r="316" spans="1:8">
      <c r="A316" s="222"/>
      <c r="B316" s="225" t="s">
        <v>265</v>
      </c>
      <c r="C316" s="222"/>
      <c r="D316" s="227">
        <v>2</v>
      </c>
      <c r="E316" s="227"/>
      <c r="F316" s="227"/>
      <c r="G316" s="227"/>
      <c r="H316" s="228">
        <f t="shared" si="43"/>
        <v>2</v>
      </c>
    </row>
    <row r="317" spans="1:8">
      <c r="A317" s="222"/>
      <c r="B317" s="225" t="s">
        <v>195</v>
      </c>
      <c r="C317" s="222"/>
      <c r="D317" s="227">
        <v>2</v>
      </c>
      <c r="E317" s="227"/>
      <c r="F317" s="227"/>
      <c r="G317" s="227"/>
      <c r="H317" s="228">
        <f t="shared" si="43"/>
        <v>2</v>
      </c>
    </row>
    <row r="318" spans="1:8">
      <c r="A318" s="222"/>
      <c r="B318" s="225" t="s">
        <v>287</v>
      </c>
      <c r="C318" s="222"/>
      <c r="D318" s="227">
        <v>2</v>
      </c>
      <c r="E318" s="227"/>
      <c r="F318" s="227"/>
      <c r="G318" s="227"/>
      <c r="H318" s="228">
        <f t="shared" si="43"/>
        <v>2</v>
      </c>
    </row>
    <row r="319" spans="1:8">
      <c r="A319" s="222"/>
      <c r="B319" s="225" t="s">
        <v>193</v>
      </c>
      <c r="C319" s="222"/>
      <c r="D319" s="227">
        <v>2</v>
      </c>
      <c r="E319" s="227"/>
      <c r="F319" s="227"/>
      <c r="G319" s="227"/>
      <c r="H319" s="228">
        <f t="shared" si="43"/>
        <v>2</v>
      </c>
    </row>
    <row r="320" spans="1:8">
      <c r="A320" s="222"/>
      <c r="B320" s="225" t="s">
        <v>194</v>
      </c>
      <c r="C320" s="222"/>
      <c r="D320" s="227">
        <v>2</v>
      </c>
      <c r="E320" s="227"/>
      <c r="F320" s="227"/>
      <c r="G320" s="227"/>
      <c r="H320" s="228">
        <f t="shared" si="43"/>
        <v>2</v>
      </c>
    </row>
    <row r="321" spans="1:8">
      <c r="A321" s="222"/>
      <c r="B321" s="225" t="s">
        <v>161</v>
      </c>
      <c r="C321" s="222"/>
      <c r="D321" s="227">
        <v>1</v>
      </c>
      <c r="E321" s="227"/>
      <c r="F321" s="227"/>
      <c r="G321" s="227"/>
      <c r="H321" s="228">
        <f t="shared" si="43"/>
        <v>1</v>
      </c>
    </row>
    <row r="322" spans="1:8">
      <c r="A322" s="222"/>
      <c r="B322" s="225" t="s">
        <v>159</v>
      </c>
      <c r="C322" s="222"/>
      <c r="D322" s="227">
        <v>1</v>
      </c>
      <c r="E322" s="227"/>
      <c r="F322" s="227"/>
      <c r="G322" s="227"/>
      <c r="H322" s="228">
        <f t="shared" si="43"/>
        <v>1</v>
      </c>
    </row>
    <row r="323" spans="1:8">
      <c r="A323" s="222"/>
      <c r="B323" s="225" t="s">
        <v>288</v>
      </c>
      <c r="C323" s="222"/>
      <c r="D323" s="227">
        <v>4</v>
      </c>
      <c r="E323" s="227"/>
      <c r="F323" s="227"/>
      <c r="G323" s="227"/>
      <c r="H323" s="228">
        <f t="shared" si="43"/>
        <v>4</v>
      </c>
    </row>
    <row r="324" spans="1:8">
      <c r="A324" s="222"/>
      <c r="B324" s="225" t="s">
        <v>289</v>
      </c>
      <c r="C324" s="222"/>
      <c r="D324" s="227">
        <v>3</v>
      </c>
      <c r="E324" s="227"/>
      <c r="F324" s="227"/>
      <c r="G324" s="227"/>
      <c r="H324" s="228">
        <f t="shared" si="43"/>
        <v>3</v>
      </c>
    </row>
    <row r="325" spans="1:8">
      <c r="A325" s="222"/>
      <c r="B325" s="225"/>
      <c r="C325" s="222"/>
      <c r="D325" s="222"/>
      <c r="E325" s="222"/>
      <c r="F325" s="224"/>
      <c r="G325" s="103" t="str">
        <f>"Total item "&amp;A314</f>
        <v>Total item 7.2</v>
      </c>
      <c r="H325" s="104">
        <f>SUM(H315:H324)</f>
        <v>20</v>
      </c>
    </row>
    <row r="326" spans="1:8" ht="30.6">
      <c r="A326" s="216" t="str">
        <f>'Planilha orç'!A65</f>
        <v>7.3</v>
      </c>
      <c r="B326" s="100" t="str">
        <f>'Planilha orç'!D65</f>
        <v>PONTO DE TOMADA RESIDENCIAL INCLUINDO TOMADA 10A/250V, CAIXA ELÉTRICA, ELETRODUTO, CABO, RASGO, QUEBRA E CHUMBAMENTO. AF_01/2016</v>
      </c>
      <c r="C326" s="216" t="str">
        <f>'Planilha orç'!E65</f>
        <v>PT</v>
      </c>
      <c r="D326" s="217"/>
      <c r="E326" s="218"/>
      <c r="F326" s="219"/>
      <c r="G326" s="220"/>
      <c r="H326" s="221"/>
    </row>
    <row r="327" spans="1:8">
      <c r="A327" s="222"/>
      <c r="B327" s="225" t="s">
        <v>208</v>
      </c>
      <c r="C327" s="222"/>
      <c r="D327" s="227">
        <v>1</v>
      </c>
      <c r="E327" s="227"/>
      <c r="F327" s="227"/>
      <c r="G327" s="227"/>
      <c r="H327" s="228">
        <f t="shared" ref="H327:H336" si="44">ROUND(PRODUCT(D327:G327),2)</f>
        <v>1</v>
      </c>
    </row>
    <row r="328" spans="1:8">
      <c r="A328" s="222"/>
      <c r="B328" s="225" t="s">
        <v>290</v>
      </c>
      <c r="C328" s="222"/>
      <c r="D328" s="227">
        <v>3</v>
      </c>
      <c r="E328" s="227"/>
      <c r="F328" s="227"/>
      <c r="G328" s="227"/>
      <c r="H328" s="228">
        <f t="shared" si="44"/>
        <v>3</v>
      </c>
    </row>
    <row r="329" spans="1:8">
      <c r="A329" s="222"/>
      <c r="B329" s="225" t="s">
        <v>291</v>
      </c>
      <c r="C329" s="222"/>
      <c r="D329" s="227">
        <v>3</v>
      </c>
      <c r="E329" s="227"/>
      <c r="F329" s="227"/>
      <c r="G329" s="227"/>
      <c r="H329" s="228">
        <f t="shared" si="44"/>
        <v>3</v>
      </c>
    </row>
    <row r="330" spans="1:8">
      <c r="A330" s="222"/>
      <c r="B330" s="225" t="s">
        <v>196</v>
      </c>
      <c r="C330" s="222"/>
      <c r="D330" s="227">
        <v>3</v>
      </c>
      <c r="E330" s="227"/>
      <c r="F330" s="227"/>
      <c r="G330" s="227"/>
      <c r="H330" s="228">
        <f t="shared" si="44"/>
        <v>3</v>
      </c>
    </row>
    <row r="331" spans="1:8">
      <c r="A331" s="222"/>
      <c r="B331" s="225" t="s">
        <v>197</v>
      </c>
      <c r="C331" s="222"/>
      <c r="D331" s="227">
        <v>3</v>
      </c>
      <c r="E331" s="227"/>
      <c r="F331" s="227"/>
      <c r="G331" s="227"/>
      <c r="H331" s="228">
        <f t="shared" si="44"/>
        <v>3</v>
      </c>
    </row>
    <row r="332" spans="1:8">
      <c r="A332" s="222"/>
      <c r="B332" s="225" t="s">
        <v>198</v>
      </c>
      <c r="C332" s="222"/>
      <c r="D332" s="227">
        <v>3</v>
      </c>
      <c r="E332" s="227"/>
      <c r="F332" s="227"/>
      <c r="G332" s="227"/>
      <c r="H332" s="228">
        <f t="shared" si="44"/>
        <v>3</v>
      </c>
    </row>
    <row r="333" spans="1:8">
      <c r="A333" s="222"/>
      <c r="B333" s="225" t="s">
        <v>199</v>
      </c>
      <c r="C333" s="222"/>
      <c r="D333" s="227">
        <v>3</v>
      </c>
      <c r="E333" s="227"/>
      <c r="F333" s="227"/>
      <c r="G333" s="227"/>
      <c r="H333" s="228">
        <f t="shared" si="44"/>
        <v>3</v>
      </c>
    </row>
    <row r="334" spans="1:8">
      <c r="A334" s="222"/>
      <c r="B334" s="225" t="s">
        <v>200</v>
      </c>
      <c r="C334" s="222"/>
      <c r="D334" s="227">
        <v>4</v>
      </c>
      <c r="E334" s="227"/>
      <c r="F334" s="227"/>
      <c r="G334" s="227"/>
      <c r="H334" s="228">
        <f t="shared" si="44"/>
        <v>4</v>
      </c>
    </row>
    <row r="335" spans="1:8">
      <c r="A335" s="222"/>
      <c r="B335" s="225" t="s">
        <v>288</v>
      </c>
      <c r="C335" s="222"/>
      <c r="D335" s="227">
        <v>2</v>
      </c>
      <c r="E335" s="227"/>
      <c r="F335" s="227"/>
      <c r="G335" s="227"/>
      <c r="H335" s="228">
        <f t="shared" si="44"/>
        <v>2</v>
      </c>
    </row>
    <row r="336" spans="1:8">
      <c r="A336" s="222"/>
      <c r="B336" s="225" t="s">
        <v>289</v>
      </c>
      <c r="C336" s="222"/>
      <c r="D336" s="227">
        <v>2</v>
      </c>
      <c r="E336" s="227"/>
      <c r="F336" s="227"/>
      <c r="G336" s="227"/>
      <c r="H336" s="228">
        <f t="shared" si="44"/>
        <v>2</v>
      </c>
    </row>
    <row r="337" spans="1:8">
      <c r="A337" s="222"/>
      <c r="B337" s="225"/>
      <c r="C337" s="222"/>
      <c r="D337" s="222"/>
      <c r="E337" s="222"/>
      <c r="F337" s="224"/>
      <c r="G337" s="103" t="str">
        <f>"Total item "&amp;A326</f>
        <v>Total item 7.3</v>
      </c>
      <c r="H337" s="104">
        <f>SUM(H327:H336)</f>
        <v>27</v>
      </c>
    </row>
    <row r="338" spans="1:8" ht="30.6">
      <c r="A338" s="216" t="str">
        <f>'Planilha orç'!A66</f>
        <v>7.4</v>
      </c>
      <c r="B338" s="100" t="str">
        <f>'Planilha orç'!D66</f>
        <v>LUMINÁRIA TIPO PLAFON EM PLÁSTICO, DE SOBREPOR, COM 1 LÂMPADA FLUORESCENTE DE 15 W, SEM REATOR - FORNECIMENTO E INSTALAÇÃO. AF_02/2020</v>
      </c>
      <c r="C338" s="216" t="str">
        <f>'Planilha orç'!E66</f>
        <v>UN</v>
      </c>
      <c r="D338" s="217"/>
      <c r="E338" s="218"/>
      <c r="F338" s="219"/>
      <c r="G338" s="220"/>
      <c r="H338" s="221"/>
    </row>
    <row r="339" spans="1:8">
      <c r="A339" s="222"/>
      <c r="B339" s="225" t="s">
        <v>208</v>
      </c>
      <c r="C339" s="222"/>
      <c r="D339" s="227">
        <v>1</v>
      </c>
      <c r="E339" s="227"/>
      <c r="F339" s="227"/>
      <c r="G339" s="227"/>
      <c r="H339" s="228">
        <f t="shared" ref="H339" si="45">ROUND(PRODUCT(D339:G339),2)</f>
        <v>1</v>
      </c>
    </row>
    <row r="340" spans="1:8">
      <c r="A340" s="222"/>
      <c r="B340" s="225"/>
      <c r="C340" s="222"/>
      <c r="D340" s="222"/>
      <c r="E340" s="222"/>
      <c r="F340" s="224"/>
      <c r="G340" s="103" t="str">
        <f>"Total item "&amp;A338</f>
        <v>Total item 7.4</v>
      </c>
      <c r="H340" s="104">
        <f>SUM(H339)</f>
        <v>1</v>
      </c>
    </row>
    <row r="341" spans="1:8" ht="30.6">
      <c r="A341" s="216" t="str">
        <f>'Planilha orç'!A67</f>
        <v>7.5</v>
      </c>
      <c r="B341" s="100" t="str">
        <f>'Planilha orç'!D67</f>
        <v>LUMINÁRIA TIPO CALHA, DE SOBREPOR, COM 2 LÂMPADAS TUBULARES FLUORESCENTES DE 18 W, COM REATOR DE PARTIDA RÁPIDA - FORNECIMENTO E INSTALAÇÃO. AF_02/2020</v>
      </c>
      <c r="C341" s="216" t="str">
        <f>'Planilha orç'!E67</f>
        <v>UN</v>
      </c>
      <c r="D341" s="217"/>
      <c r="E341" s="218"/>
      <c r="F341" s="219"/>
      <c r="G341" s="220"/>
      <c r="H341" s="221"/>
    </row>
    <row r="342" spans="1:8">
      <c r="A342" s="222"/>
      <c r="B342" s="225" t="s">
        <v>193</v>
      </c>
      <c r="C342" s="222"/>
      <c r="D342" s="227">
        <v>1</v>
      </c>
      <c r="E342" s="227"/>
      <c r="F342" s="227"/>
      <c r="G342" s="227"/>
      <c r="H342" s="228">
        <f t="shared" ref="H342:H346" si="46">ROUND(PRODUCT(D342:G342),2)</f>
        <v>1</v>
      </c>
    </row>
    <row r="343" spans="1:8">
      <c r="A343" s="222"/>
      <c r="B343" s="225" t="s">
        <v>194</v>
      </c>
      <c r="C343" s="222"/>
      <c r="D343" s="227">
        <v>1</v>
      </c>
      <c r="E343" s="227"/>
      <c r="F343" s="227"/>
      <c r="G343" s="227"/>
      <c r="H343" s="228">
        <f t="shared" si="46"/>
        <v>1</v>
      </c>
    </row>
    <row r="344" spans="1:8">
      <c r="A344" s="222"/>
      <c r="B344" s="225" t="s">
        <v>195</v>
      </c>
      <c r="C344" s="222"/>
      <c r="D344" s="227">
        <v>1</v>
      </c>
      <c r="E344" s="227"/>
      <c r="F344" s="227"/>
      <c r="G344" s="227"/>
      <c r="H344" s="228">
        <f t="shared" si="46"/>
        <v>1</v>
      </c>
    </row>
    <row r="345" spans="1:8">
      <c r="A345" s="222"/>
      <c r="B345" s="225" t="s">
        <v>161</v>
      </c>
      <c r="C345" s="222"/>
      <c r="D345" s="227">
        <v>1</v>
      </c>
      <c r="E345" s="227"/>
      <c r="F345" s="227"/>
      <c r="G345" s="227"/>
      <c r="H345" s="228">
        <f t="shared" si="46"/>
        <v>1</v>
      </c>
    </row>
    <row r="346" spans="1:8">
      <c r="A346" s="222"/>
      <c r="B346" s="225" t="s">
        <v>159</v>
      </c>
      <c r="C346" s="222"/>
      <c r="D346" s="227">
        <v>1</v>
      </c>
      <c r="E346" s="227"/>
      <c r="F346" s="227"/>
      <c r="G346" s="227"/>
      <c r="H346" s="228">
        <f t="shared" si="46"/>
        <v>1</v>
      </c>
    </row>
    <row r="347" spans="1:8">
      <c r="A347" s="222"/>
      <c r="B347" s="225"/>
      <c r="C347" s="222"/>
      <c r="D347" s="222"/>
      <c r="E347" s="222"/>
      <c r="F347" s="224"/>
      <c r="G347" s="103" t="str">
        <f>"Total item "&amp;A341</f>
        <v>Total item 7.5</v>
      </c>
      <c r="H347" s="104">
        <f>SUM(H342:H346)</f>
        <v>5</v>
      </c>
    </row>
    <row r="348" spans="1:8">
      <c r="A348" s="212" t="str">
        <f>'Planilha orç'!A68</f>
        <v>8.0</v>
      </c>
      <c r="B348" s="214" t="str">
        <f>'Planilha orç'!D68</f>
        <v>COBERTURA</v>
      </c>
      <c r="C348" s="213"/>
      <c r="D348" s="212"/>
      <c r="E348" s="212"/>
      <c r="F348" s="212"/>
      <c r="G348" s="212"/>
      <c r="H348" s="212"/>
    </row>
    <row r="349" spans="1:8" ht="30.6">
      <c r="A349" s="281" t="str">
        <f>'Planilha orç'!A69</f>
        <v>8.1</v>
      </c>
      <c r="B349" s="282" t="str">
        <f>'Planilha orç'!D69</f>
        <v>REVISAO GERAL DE TELHADOS DE TELHAS CERAMICAS, COMPREENDENDO RETIRADA E REASSENTAEMENTO DAS TELHAS, COM REAPROVEITAMENTO DO MATERIAL</v>
      </c>
      <c r="C349" s="281" t="str">
        <f>'Planilha orç'!E69</f>
        <v>m²</v>
      </c>
      <c r="D349" s="283"/>
      <c r="E349" s="281"/>
      <c r="F349" s="284"/>
      <c r="G349" s="284"/>
      <c r="H349" s="285"/>
    </row>
    <row r="350" spans="1:8">
      <c r="A350" s="286"/>
      <c r="B350" s="265" t="s">
        <v>315</v>
      </c>
      <c r="C350" s="266"/>
      <c r="D350" s="267">
        <v>293.3</v>
      </c>
      <c r="E350" s="266"/>
      <c r="F350" s="287"/>
      <c r="G350" s="287"/>
      <c r="H350" s="290">
        <f t="shared" ref="H350" si="47">ROUND(PRODUCT(B350:G350),2)</f>
        <v>293.3</v>
      </c>
    </row>
    <row r="351" spans="1:8">
      <c r="A351" s="286"/>
      <c r="B351" s="291"/>
      <c r="C351" s="266"/>
      <c r="D351" s="267"/>
      <c r="E351" s="266"/>
      <c r="F351" s="292"/>
      <c r="G351" s="103" t="str">
        <f>"Total item "&amp;A349</f>
        <v>Total item 8.1</v>
      </c>
      <c r="H351" s="293">
        <f>SUM(H350)</f>
        <v>293.3</v>
      </c>
    </row>
    <row r="352" spans="1:8">
      <c r="A352" s="286"/>
      <c r="B352" s="291"/>
      <c r="C352" s="266"/>
      <c r="D352" s="267"/>
      <c r="E352" s="266"/>
      <c r="F352" s="287"/>
      <c r="G352" s="287"/>
      <c r="H352" s="289"/>
    </row>
    <row r="353" spans="1:8">
      <c r="A353" s="281" t="str">
        <f>'Planilha orç'!A70</f>
        <v>8.2</v>
      </c>
      <c r="B353" s="282" t="str">
        <f>'Planilha orç'!D70</f>
        <v>COBERTURA TELHA CERÂMICA (RIPA, CAIBRO, LINHA)</v>
      </c>
      <c r="C353" s="281" t="str">
        <f>'Planilha orç'!E70</f>
        <v>m²</v>
      </c>
      <c r="D353" s="283"/>
      <c r="E353" s="281"/>
      <c r="F353" s="284"/>
      <c r="G353" s="284"/>
      <c r="H353" s="285"/>
    </row>
    <row r="354" spans="1:8">
      <c r="A354" s="286"/>
      <c r="B354" s="265" t="s">
        <v>316</v>
      </c>
      <c r="C354" s="266"/>
      <c r="D354" s="267">
        <v>0.2</v>
      </c>
      <c r="E354" s="266">
        <v>293.3</v>
      </c>
      <c r="F354" s="287"/>
      <c r="G354" s="287"/>
      <c r="H354" s="290">
        <f t="shared" ref="H354" si="48">ROUND(PRODUCT(B354:G354),2)</f>
        <v>58.66</v>
      </c>
    </row>
    <row r="355" spans="1:8">
      <c r="A355" s="286"/>
      <c r="B355" s="291"/>
      <c r="C355" s="266"/>
      <c r="D355" s="267"/>
      <c r="E355" s="266"/>
      <c r="F355" s="292"/>
      <c r="G355" s="103" t="str">
        <f>"Total item "&amp;A353</f>
        <v>Total item 8.2</v>
      </c>
      <c r="H355" s="293">
        <f>SUM(H354)</f>
        <v>58.66</v>
      </c>
    </row>
    <row r="356" spans="1:8" ht="30.6">
      <c r="A356" s="281" t="str">
        <f>'Planilha orç'!A71</f>
        <v>8.3</v>
      </c>
      <c r="B356" s="282" t="str">
        <f>'Planilha orç'!D71</f>
        <v>CALHA EM CHAPA DE AÇO GALVANIZADO NÚMERO 24, DESENVOLVIMENTO DE 33 CM, INCLUSO TRANSPORTE VERTICAL. AF_07/2019</v>
      </c>
      <c r="C356" s="281" t="str">
        <f>'Planilha orç'!E71</f>
        <v>m</v>
      </c>
      <c r="D356" s="283"/>
      <c r="E356" s="281"/>
      <c r="F356" s="284"/>
      <c r="G356" s="284"/>
      <c r="H356" s="285"/>
    </row>
    <row r="357" spans="1:8">
      <c r="A357" s="286"/>
      <c r="B357" s="265" t="s">
        <v>317</v>
      </c>
      <c r="C357" s="266"/>
      <c r="D357" s="267"/>
      <c r="E357" s="266">
        <v>20</v>
      </c>
      <c r="F357" s="287"/>
      <c r="G357" s="287"/>
      <c r="H357" s="290">
        <f t="shared" ref="H357" si="49">ROUND(PRODUCT(B357:G357),2)</f>
        <v>20</v>
      </c>
    </row>
    <row r="358" spans="1:8">
      <c r="A358" s="286"/>
      <c r="B358" s="291"/>
      <c r="C358" s="266"/>
      <c r="D358" s="267"/>
      <c r="E358" s="266"/>
      <c r="F358" s="292"/>
      <c r="G358" s="103" t="str">
        <f>"Total item "&amp;A356</f>
        <v>Total item 8.3</v>
      </c>
      <c r="H358" s="293">
        <f>SUM(H357)</f>
        <v>20</v>
      </c>
    </row>
    <row r="359" spans="1:8" ht="20.399999999999999">
      <c r="A359" s="281" t="str">
        <f>'Planilha orç'!A72</f>
        <v>8.4</v>
      </c>
      <c r="B359" s="282" t="str">
        <f>'Planilha orç'!D72</f>
        <v>FORRO EM RÉGUAS DE PVC, FRISADO, PARA AMBIENTES COMERCIAIS, INCLUSIVE ESTRUTURA DE FIXAÇÃO. AF_05/2017_P</v>
      </c>
      <c r="C359" s="281" t="str">
        <f>'Planilha orç'!E72</f>
        <v>m²</v>
      </c>
      <c r="D359" s="283"/>
      <c r="E359" s="281"/>
      <c r="F359" s="284"/>
      <c r="G359" s="284"/>
      <c r="H359" s="285"/>
    </row>
    <row r="360" spans="1:8">
      <c r="A360" s="286"/>
      <c r="B360" s="265" t="s">
        <v>318</v>
      </c>
      <c r="C360" s="266"/>
      <c r="D360" s="267"/>
      <c r="E360" s="266">
        <v>5.9</v>
      </c>
      <c r="F360" s="287">
        <v>4.9000000000000004</v>
      </c>
      <c r="G360" s="287"/>
      <c r="H360" s="290">
        <f t="shared" ref="H360:H363" si="50">ROUND(PRODUCT(B360:G360),2)</f>
        <v>28.91</v>
      </c>
    </row>
    <row r="361" spans="1:8">
      <c r="A361" s="286"/>
      <c r="B361" s="265" t="s">
        <v>195</v>
      </c>
      <c r="C361" s="266"/>
      <c r="D361" s="267"/>
      <c r="E361" s="266">
        <v>5.9</v>
      </c>
      <c r="F361" s="287">
        <v>8</v>
      </c>
      <c r="G361" s="287"/>
      <c r="H361" s="290">
        <f t="shared" si="50"/>
        <v>47.2</v>
      </c>
    </row>
    <row r="362" spans="1:8">
      <c r="A362" s="286"/>
      <c r="B362" s="265" t="s">
        <v>319</v>
      </c>
      <c r="C362" s="266"/>
      <c r="D362" s="267"/>
      <c r="E362" s="266">
        <v>5.75</v>
      </c>
      <c r="F362" s="287">
        <v>8</v>
      </c>
      <c r="G362" s="287"/>
      <c r="H362" s="290">
        <f t="shared" si="50"/>
        <v>46</v>
      </c>
    </row>
    <row r="363" spans="1:8">
      <c r="A363" s="286"/>
      <c r="B363" s="265" t="s">
        <v>193</v>
      </c>
      <c r="C363" s="266"/>
      <c r="D363" s="267"/>
      <c r="E363" s="266">
        <v>5.75</v>
      </c>
      <c r="F363" s="287">
        <v>7.15</v>
      </c>
      <c r="G363" s="287"/>
      <c r="H363" s="290">
        <f t="shared" si="50"/>
        <v>41.11</v>
      </c>
    </row>
    <row r="364" spans="1:8">
      <c r="A364" s="286"/>
      <c r="B364" s="265"/>
      <c r="C364" s="266"/>
      <c r="D364" s="267"/>
      <c r="E364" s="266"/>
      <c r="F364" s="287"/>
      <c r="G364" s="103" t="str">
        <f>"Total item "&amp;A359</f>
        <v>Total item 8.4</v>
      </c>
      <c r="H364" s="293">
        <f>SUM(H360:H363)</f>
        <v>163.22</v>
      </c>
    </row>
  </sheetData>
  <autoFilter ref="A6:H6" xr:uid="{00000000-0009-0000-0000-000001000000}"/>
  <mergeCells count="4">
    <mergeCell ref="A1:H1"/>
    <mergeCell ref="A4:H4"/>
    <mergeCell ref="A2:H2"/>
    <mergeCell ref="A3:H3"/>
  </mergeCells>
  <phoneticPr fontId="15" type="noConversion"/>
  <printOptions horizontalCentered="1"/>
  <pageMargins left="0.51181102362204722" right="0.51181102362204722" top="1.9685039370078741" bottom="0.78740157480314965" header="0.31496062992125984" footer="0.31496062992125984"/>
  <pageSetup paperSize="9" scale="64" fitToHeight="0" orientation="portrait" r:id="rId1"/>
  <headerFooter>
    <oddHeader>&amp;C&amp;G</oddHeader>
  </headerFooter>
  <rowBreaks count="5" manualBreakCount="5">
    <brk id="89" max="7" man="1"/>
    <brk id="174" max="7" man="1"/>
    <brk id="248" max="7" man="1"/>
    <brk id="319" max="7" man="1"/>
    <brk id="364" max="7" man="1"/>
  </rowBreaks>
  <colBreaks count="1" manualBreakCount="1">
    <brk id="8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view="pageBreakPreview" zoomScaleNormal="100" zoomScaleSheetLayoutView="100" workbookViewId="0">
      <selection activeCell="A5" sqref="A5:J5"/>
    </sheetView>
  </sheetViews>
  <sheetFormatPr defaultRowHeight="14.4"/>
  <cols>
    <col min="1" max="2" width="10.6640625" customWidth="1"/>
    <col min="3" max="3" width="16.33203125" customWidth="1"/>
    <col min="4" max="4" width="60.109375" customWidth="1"/>
    <col min="6" max="6" width="10.88671875" customWidth="1"/>
    <col min="7" max="7" width="3" customWidth="1"/>
    <col min="8" max="8" width="9.33203125" bestFit="1" customWidth="1"/>
    <col min="9" max="9" width="3.109375" customWidth="1"/>
    <col min="10" max="10" width="10.88671875" bestFit="1" customWidth="1"/>
    <col min="11" max="11" width="8.88671875" style="1"/>
    <col min="12" max="12" width="16.6640625" style="8" bestFit="1" customWidth="1"/>
  </cols>
  <sheetData>
    <row r="1" spans="1:12" ht="93.75" customHeight="1">
      <c r="A1" s="330"/>
      <c r="B1" s="330"/>
      <c r="C1" s="330"/>
      <c r="D1" s="330"/>
      <c r="E1" s="330"/>
      <c r="F1" s="330"/>
      <c r="G1" s="330"/>
      <c r="H1" s="330"/>
      <c r="I1" s="330"/>
      <c r="J1" s="330"/>
    </row>
    <row r="2" spans="1:12" ht="25.5" customHeight="1">
      <c r="A2" s="331" t="s">
        <v>17</v>
      </c>
      <c r="B2" s="331"/>
      <c r="C2" s="331"/>
      <c r="D2" s="331"/>
      <c r="E2" s="331"/>
      <c r="F2" s="331"/>
      <c r="G2" s="331"/>
      <c r="H2" s="331"/>
      <c r="I2" s="331"/>
      <c r="J2" s="331"/>
    </row>
    <row r="3" spans="1:12">
      <c r="A3" s="334"/>
      <c r="B3" s="334"/>
      <c r="C3" s="334"/>
      <c r="D3" s="334"/>
      <c r="E3" s="334"/>
      <c r="F3" s="334"/>
      <c r="G3" s="334"/>
      <c r="H3" s="334"/>
      <c r="I3" s="334"/>
      <c r="J3" s="334"/>
    </row>
    <row r="4" spans="1:12" ht="31.2" customHeight="1">
      <c r="A4" s="332" t="s">
        <v>349</v>
      </c>
      <c r="B4" s="333"/>
      <c r="C4" s="333"/>
      <c r="D4" s="333"/>
      <c r="E4" s="333"/>
      <c r="F4" s="333"/>
      <c r="G4" s="333"/>
      <c r="H4" s="333"/>
      <c r="I4" s="333"/>
      <c r="J4" s="333"/>
    </row>
    <row r="5" spans="1:12" ht="15" customHeight="1">
      <c r="A5" s="337" t="str">
        <f>'Memória de cálculo'!A3:H3</f>
        <v>LOCALIZAÇÃO: LIMOEIRO-PE</v>
      </c>
      <c r="B5" s="338"/>
      <c r="C5" s="338"/>
      <c r="D5" s="338"/>
      <c r="E5" s="338"/>
      <c r="F5" s="338"/>
      <c r="G5" s="338"/>
      <c r="H5" s="338"/>
      <c r="I5" s="338"/>
      <c r="J5" s="338"/>
    </row>
    <row r="6" spans="1:12">
      <c r="A6" s="335" t="str">
        <f>'Memória de cálculo'!A4:H4</f>
        <v>DATA: JUNHO/2022</v>
      </c>
      <c r="B6" s="336"/>
      <c r="C6" s="336"/>
      <c r="D6" s="336"/>
      <c r="E6" s="336"/>
      <c r="F6" s="336"/>
      <c r="G6" s="336"/>
      <c r="H6" s="336"/>
      <c r="I6" s="336"/>
      <c r="J6" s="336"/>
    </row>
    <row r="7" spans="1:12">
      <c r="A7" s="325"/>
      <c r="B7" s="325"/>
      <c r="C7" s="325"/>
      <c r="D7" s="325"/>
      <c r="E7" s="325"/>
      <c r="F7" s="325"/>
      <c r="G7" s="325"/>
      <c r="H7" s="325"/>
      <c r="I7" s="325"/>
      <c r="J7" s="325"/>
    </row>
    <row r="8" spans="1:12" s="5" customFormat="1" ht="20.399999999999999">
      <c r="A8" s="6" t="s">
        <v>0</v>
      </c>
      <c r="B8" s="6"/>
      <c r="C8" s="6"/>
      <c r="D8" s="6" t="s">
        <v>1</v>
      </c>
      <c r="E8" s="6" t="s">
        <v>2</v>
      </c>
      <c r="F8" s="6" t="s">
        <v>3</v>
      </c>
      <c r="G8" s="6"/>
      <c r="H8" s="6" t="s">
        <v>48</v>
      </c>
      <c r="I8" s="6"/>
      <c r="J8" s="6" t="s">
        <v>10</v>
      </c>
      <c r="K8" s="4"/>
      <c r="L8" s="9"/>
    </row>
    <row r="9" spans="1:12" ht="27.6">
      <c r="A9" s="327">
        <v>1</v>
      </c>
      <c r="B9" s="239"/>
      <c r="C9" s="76" t="s">
        <v>55</v>
      </c>
      <c r="D9" s="77" t="s">
        <v>174</v>
      </c>
      <c r="E9" s="76" t="s">
        <v>83</v>
      </c>
      <c r="F9" s="72"/>
      <c r="G9" s="72"/>
      <c r="H9" s="72"/>
      <c r="I9" s="72"/>
      <c r="J9" s="78">
        <f>SUM(J10:J15)</f>
        <v>370.82800000000003</v>
      </c>
      <c r="K9" s="7"/>
    </row>
    <row r="10" spans="1:12">
      <c r="A10" s="328"/>
      <c r="B10" s="239" t="s">
        <v>88</v>
      </c>
      <c r="C10" s="68" t="s">
        <v>163</v>
      </c>
      <c r="D10" s="69" t="s">
        <v>164</v>
      </c>
      <c r="E10" s="70" t="s">
        <v>18</v>
      </c>
      <c r="F10" s="71">
        <v>1</v>
      </c>
      <c r="G10" s="72"/>
      <c r="H10" s="73">
        <v>23.17</v>
      </c>
      <c r="I10" s="72"/>
      <c r="J10" s="72">
        <f t="shared" ref="J10:J15" si="0">H10*F10</f>
        <v>23.17</v>
      </c>
      <c r="K10" s="7"/>
    </row>
    <row r="11" spans="1:12">
      <c r="A11" s="328"/>
      <c r="B11" s="244" t="s">
        <v>88</v>
      </c>
      <c r="C11" s="68" t="s">
        <v>165</v>
      </c>
      <c r="D11" s="69" t="s">
        <v>166</v>
      </c>
      <c r="E11" s="70" t="s">
        <v>18</v>
      </c>
      <c r="F11" s="71">
        <v>0.25</v>
      </c>
      <c r="G11" s="72"/>
      <c r="H11" s="73">
        <v>23.17</v>
      </c>
      <c r="I11" s="72"/>
      <c r="J11" s="72">
        <f t="shared" si="0"/>
        <v>5.7925000000000004</v>
      </c>
      <c r="K11" s="7"/>
    </row>
    <row r="12" spans="1:12">
      <c r="A12" s="328"/>
      <c r="B12" s="244" t="s">
        <v>88</v>
      </c>
      <c r="C12" s="68" t="s">
        <v>167</v>
      </c>
      <c r="D12" s="74" t="s">
        <v>145</v>
      </c>
      <c r="E12" s="70" t="s">
        <v>18</v>
      </c>
      <c r="F12" s="71">
        <v>0.35</v>
      </c>
      <c r="G12" s="75"/>
      <c r="H12" s="73">
        <v>17.14</v>
      </c>
      <c r="I12" s="75"/>
      <c r="J12" s="72">
        <f t="shared" si="0"/>
        <v>5.9989999999999997</v>
      </c>
      <c r="K12" s="7"/>
    </row>
    <row r="13" spans="1:12">
      <c r="A13" s="328"/>
      <c r="B13" s="244" t="s">
        <v>88</v>
      </c>
      <c r="C13" s="68" t="s">
        <v>168</v>
      </c>
      <c r="D13" s="74" t="s">
        <v>169</v>
      </c>
      <c r="E13" s="70" t="s">
        <v>18</v>
      </c>
      <c r="F13" s="71">
        <v>1.5</v>
      </c>
      <c r="G13" s="72"/>
      <c r="H13" s="73">
        <v>6.0999999999999999E-2</v>
      </c>
      <c r="I13" s="72"/>
      <c r="J13" s="72">
        <f t="shared" si="0"/>
        <v>9.1499999999999998E-2</v>
      </c>
      <c r="K13" s="7"/>
      <c r="L13" s="50"/>
    </row>
    <row r="14" spans="1:12">
      <c r="A14" s="328"/>
      <c r="B14" s="244" t="s">
        <v>88</v>
      </c>
      <c r="C14" s="68" t="s">
        <v>170</v>
      </c>
      <c r="D14" s="74" t="s">
        <v>171</v>
      </c>
      <c r="E14" s="70" t="s">
        <v>104</v>
      </c>
      <c r="F14" s="71">
        <v>1.5</v>
      </c>
      <c r="G14" s="72"/>
      <c r="H14" s="73">
        <v>18.190000000000001</v>
      </c>
      <c r="I14" s="72"/>
      <c r="J14" s="72">
        <f t="shared" si="0"/>
        <v>27.285000000000004</v>
      </c>
      <c r="K14" s="7"/>
      <c r="L14" s="50"/>
    </row>
    <row r="15" spans="1:12">
      <c r="A15" s="329"/>
      <c r="B15" s="244" t="s">
        <v>88</v>
      </c>
      <c r="C15" s="68" t="s">
        <v>172</v>
      </c>
      <c r="D15" s="74" t="s">
        <v>173</v>
      </c>
      <c r="E15" s="70" t="s">
        <v>83</v>
      </c>
      <c r="F15" s="71">
        <v>3.5</v>
      </c>
      <c r="G15" s="72"/>
      <c r="H15" s="73">
        <v>88.14</v>
      </c>
      <c r="I15" s="72"/>
      <c r="J15" s="72">
        <f t="shared" si="0"/>
        <v>308.49</v>
      </c>
      <c r="K15" s="7"/>
      <c r="L15" s="50"/>
    </row>
    <row r="16" spans="1:12">
      <c r="A16" s="326"/>
      <c r="B16" s="326"/>
      <c r="C16" s="326"/>
      <c r="D16" s="326"/>
      <c r="E16" s="326"/>
      <c r="F16" s="326"/>
      <c r="G16" s="326"/>
      <c r="H16" s="326"/>
      <c r="I16" s="326"/>
      <c r="J16" s="326"/>
    </row>
    <row r="17" spans="1:12" ht="20.399999999999999">
      <c r="A17" s="95" t="s">
        <v>0</v>
      </c>
      <c r="B17" s="95"/>
      <c r="C17" s="95"/>
      <c r="D17" s="95" t="s">
        <v>1</v>
      </c>
      <c r="E17" s="95" t="s">
        <v>2</v>
      </c>
      <c r="F17" s="95" t="s">
        <v>3</v>
      </c>
      <c r="G17" s="95"/>
      <c r="H17" s="95" t="s">
        <v>48</v>
      </c>
      <c r="I17" s="95"/>
      <c r="J17" s="95" t="s">
        <v>10</v>
      </c>
    </row>
    <row r="18" spans="1:12" ht="27.6">
      <c r="A18" s="324">
        <v>2</v>
      </c>
      <c r="B18" s="211"/>
      <c r="C18" s="96" t="s">
        <v>86</v>
      </c>
      <c r="D18" s="97" t="str">
        <f>COTAÇÕES!C11</f>
        <v>PLAYGROUND DE EUCALIPTO COMPLETO: 1 BALANÇO DUPLO, 1 LIXEIRA 1 E GANGORRA DUPLA</v>
      </c>
      <c r="E18" s="96" t="s">
        <v>2</v>
      </c>
      <c r="F18" s="98"/>
      <c r="G18" s="98"/>
      <c r="H18" s="98"/>
      <c r="I18" s="98"/>
      <c r="J18" s="99">
        <f>SUM(J19:J20)</f>
        <v>8772.9850000000006</v>
      </c>
    </row>
    <row r="19" spans="1:12" ht="41.4">
      <c r="A19" s="324"/>
      <c r="B19" s="211" t="s">
        <v>67</v>
      </c>
      <c r="C19" s="68">
        <v>95957</v>
      </c>
      <c r="D19" s="74" t="s">
        <v>272</v>
      </c>
      <c r="E19" s="253" t="s">
        <v>87</v>
      </c>
      <c r="F19" s="98">
        <v>0.5</v>
      </c>
      <c r="G19" s="98"/>
      <c r="H19" s="98">
        <v>3445.97</v>
      </c>
      <c r="I19" s="98"/>
      <c r="J19" s="98">
        <f t="shared" ref="J19:J20" si="1">H19*F19</f>
        <v>1722.9849999999999</v>
      </c>
      <c r="L19" s="8">
        <v>159</v>
      </c>
    </row>
    <row r="20" spans="1:12" ht="27.6">
      <c r="A20" s="324"/>
      <c r="B20" s="211" t="s">
        <v>203</v>
      </c>
      <c r="C20" s="68" t="str">
        <f>COTAÇÕES!A10</f>
        <v>COTAÇÃO 1</v>
      </c>
      <c r="D20" s="97" t="str">
        <f>COTAÇÕES!C11</f>
        <v>PLAYGROUND DE EUCALIPTO COMPLETO: 1 BALANÇO DUPLO, 1 LIXEIRA 1 E GANGORRA DUPLA</v>
      </c>
      <c r="E20" s="96" t="s">
        <v>2</v>
      </c>
      <c r="F20" s="98">
        <v>1</v>
      </c>
      <c r="G20" s="98"/>
      <c r="H20" s="98">
        <f>COTAÇÕES!F12</f>
        <v>7050</v>
      </c>
      <c r="I20" s="98"/>
      <c r="J20" s="98">
        <f t="shared" si="1"/>
        <v>7050</v>
      </c>
    </row>
    <row r="21" spans="1:12" ht="20.399999999999999">
      <c r="A21" s="95" t="s">
        <v>0</v>
      </c>
      <c r="B21" s="95"/>
      <c r="C21" s="95"/>
      <c r="D21" s="95" t="s">
        <v>1</v>
      </c>
      <c r="E21" s="95" t="s">
        <v>2</v>
      </c>
      <c r="F21" s="95" t="s">
        <v>3</v>
      </c>
      <c r="G21" s="95"/>
      <c r="H21" s="95" t="s">
        <v>48</v>
      </c>
      <c r="I21" s="95"/>
      <c r="J21" s="95" t="s">
        <v>10</v>
      </c>
    </row>
    <row r="22" spans="1:12" ht="41.4">
      <c r="A22" s="324">
        <v>3</v>
      </c>
      <c r="B22" s="261"/>
      <c r="C22" s="276" t="s">
        <v>314</v>
      </c>
      <c r="D22" s="277" t="s">
        <v>310</v>
      </c>
      <c r="E22" s="276" t="s">
        <v>89</v>
      </c>
      <c r="F22" s="278"/>
      <c r="G22" s="278"/>
      <c r="H22" s="278"/>
      <c r="I22" s="278"/>
      <c r="J22" s="279">
        <f>SUM(J23:J24)</f>
        <v>7.6660000000000004</v>
      </c>
    </row>
    <row r="23" spans="1:12">
      <c r="A23" s="324"/>
      <c r="B23" s="261" t="s">
        <v>67</v>
      </c>
      <c r="C23" s="68">
        <v>88316</v>
      </c>
      <c r="D23" s="74" t="s">
        <v>311</v>
      </c>
      <c r="E23" s="280" t="s">
        <v>18</v>
      </c>
      <c r="F23" s="278">
        <v>0.3</v>
      </c>
      <c r="G23" s="278"/>
      <c r="H23" s="278">
        <v>18.190000000000001</v>
      </c>
      <c r="I23" s="278"/>
      <c r="J23" s="278">
        <f t="shared" ref="J23:J24" si="2">H23*F23</f>
        <v>5.4569999999999999</v>
      </c>
    </row>
    <row r="24" spans="1:12">
      <c r="A24" s="324"/>
      <c r="B24" s="261" t="s">
        <v>67</v>
      </c>
      <c r="C24" s="68" t="s">
        <v>312</v>
      </c>
      <c r="D24" s="74" t="s">
        <v>313</v>
      </c>
      <c r="E24" s="280" t="s">
        <v>18</v>
      </c>
      <c r="F24" s="278">
        <v>0.1</v>
      </c>
      <c r="G24" s="278"/>
      <c r="H24" s="278">
        <v>22.09</v>
      </c>
      <c r="I24" s="278"/>
      <c r="J24" s="278">
        <f t="shared" si="2"/>
        <v>2.2090000000000001</v>
      </c>
    </row>
  </sheetData>
  <mergeCells count="11">
    <mergeCell ref="A1:J1"/>
    <mergeCell ref="A2:J2"/>
    <mergeCell ref="A4:J4"/>
    <mergeCell ref="A3:J3"/>
    <mergeCell ref="A6:J6"/>
    <mergeCell ref="A5:J5"/>
    <mergeCell ref="A22:A24"/>
    <mergeCell ref="A18:A20"/>
    <mergeCell ref="A7:J7"/>
    <mergeCell ref="A16:J16"/>
    <mergeCell ref="A9:A15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Header>&amp;C&amp;G</oddHeader>
    <oddFooter>&amp;C&amp;G</oddFooter>
  </headerFooter>
  <colBreaks count="1" manualBreakCount="1">
    <brk id="10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K305"/>
  <sheetViews>
    <sheetView view="pageBreakPreview" zoomScale="111" zoomScaleNormal="100" zoomScaleSheetLayoutView="111" workbookViewId="0">
      <selection activeCell="E15" sqref="E15"/>
    </sheetView>
  </sheetViews>
  <sheetFormatPr defaultRowHeight="10.199999999999999"/>
  <cols>
    <col min="1" max="1" width="19.6640625" style="106" customWidth="1"/>
    <col min="2" max="2" width="20.6640625" style="106" customWidth="1"/>
    <col min="3" max="3" width="8.88671875" style="106"/>
    <col min="4" max="4" width="9" style="106" customWidth="1"/>
    <col min="5" max="5" width="9.5546875" style="106" customWidth="1"/>
    <col min="6" max="6" width="12.109375" style="106" customWidth="1"/>
    <col min="7" max="256" width="8.88671875" style="106"/>
    <col min="257" max="257" width="17.5546875" style="106" customWidth="1"/>
    <col min="258" max="258" width="47.5546875" style="106" customWidth="1"/>
    <col min="259" max="259" width="8.88671875" style="106"/>
    <col min="260" max="260" width="10.33203125" style="106" customWidth="1"/>
    <col min="261" max="261" width="11.6640625" style="106" customWidth="1"/>
    <col min="262" max="262" width="15.88671875" style="106" customWidth="1"/>
    <col min="263" max="512" width="8.88671875" style="106"/>
    <col min="513" max="513" width="17.5546875" style="106" customWidth="1"/>
    <col min="514" max="514" width="47.5546875" style="106" customWidth="1"/>
    <col min="515" max="515" width="8.88671875" style="106"/>
    <col min="516" max="516" width="10.33203125" style="106" customWidth="1"/>
    <col min="517" max="517" width="11.6640625" style="106" customWidth="1"/>
    <col min="518" max="518" width="15.88671875" style="106" customWidth="1"/>
    <col min="519" max="768" width="8.88671875" style="106"/>
    <col min="769" max="769" width="17.5546875" style="106" customWidth="1"/>
    <col min="770" max="770" width="47.5546875" style="106" customWidth="1"/>
    <col min="771" max="771" width="8.88671875" style="106"/>
    <col min="772" max="772" width="10.33203125" style="106" customWidth="1"/>
    <col min="773" max="773" width="11.6640625" style="106" customWidth="1"/>
    <col min="774" max="774" width="15.88671875" style="106" customWidth="1"/>
    <col min="775" max="1024" width="8.88671875" style="106"/>
    <col min="1025" max="1025" width="17.5546875" style="106" customWidth="1"/>
    <col min="1026" max="1026" width="47.5546875" style="106" customWidth="1"/>
    <col min="1027" max="1027" width="8.88671875" style="106"/>
    <col min="1028" max="1028" width="10.33203125" style="106" customWidth="1"/>
    <col min="1029" max="1029" width="11.6640625" style="106" customWidth="1"/>
    <col min="1030" max="1030" width="15.88671875" style="106" customWidth="1"/>
    <col min="1031" max="1280" width="8.88671875" style="106"/>
    <col min="1281" max="1281" width="17.5546875" style="106" customWidth="1"/>
    <col min="1282" max="1282" width="47.5546875" style="106" customWidth="1"/>
    <col min="1283" max="1283" width="8.88671875" style="106"/>
    <col min="1284" max="1284" width="10.33203125" style="106" customWidth="1"/>
    <col min="1285" max="1285" width="11.6640625" style="106" customWidth="1"/>
    <col min="1286" max="1286" width="15.88671875" style="106" customWidth="1"/>
    <col min="1287" max="1536" width="8.88671875" style="106"/>
    <col min="1537" max="1537" width="17.5546875" style="106" customWidth="1"/>
    <col min="1538" max="1538" width="47.5546875" style="106" customWidth="1"/>
    <col min="1539" max="1539" width="8.88671875" style="106"/>
    <col min="1540" max="1540" width="10.33203125" style="106" customWidth="1"/>
    <col min="1541" max="1541" width="11.6640625" style="106" customWidth="1"/>
    <col min="1542" max="1542" width="15.88671875" style="106" customWidth="1"/>
    <col min="1543" max="1792" width="8.88671875" style="106"/>
    <col min="1793" max="1793" width="17.5546875" style="106" customWidth="1"/>
    <col min="1794" max="1794" width="47.5546875" style="106" customWidth="1"/>
    <col min="1795" max="1795" width="8.88671875" style="106"/>
    <col min="1796" max="1796" width="10.33203125" style="106" customWidth="1"/>
    <col min="1797" max="1797" width="11.6640625" style="106" customWidth="1"/>
    <col min="1798" max="1798" width="15.88671875" style="106" customWidth="1"/>
    <col min="1799" max="2048" width="8.88671875" style="106"/>
    <col min="2049" max="2049" width="17.5546875" style="106" customWidth="1"/>
    <col min="2050" max="2050" width="47.5546875" style="106" customWidth="1"/>
    <col min="2051" max="2051" width="8.88671875" style="106"/>
    <col min="2052" max="2052" width="10.33203125" style="106" customWidth="1"/>
    <col min="2053" max="2053" width="11.6640625" style="106" customWidth="1"/>
    <col min="2054" max="2054" width="15.88671875" style="106" customWidth="1"/>
    <col min="2055" max="2304" width="8.88671875" style="106"/>
    <col min="2305" max="2305" width="17.5546875" style="106" customWidth="1"/>
    <col min="2306" max="2306" width="47.5546875" style="106" customWidth="1"/>
    <col min="2307" max="2307" width="8.88671875" style="106"/>
    <col min="2308" max="2308" width="10.33203125" style="106" customWidth="1"/>
    <col min="2309" max="2309" width="11.6640625" style="106" customWidth="1"/>
    <col min="2310" max="2310" width="15.88671875" style="106" customWidth="1"/>
    <col min="2311" max="2560" width="8.88671875" style="106"/>
    <col min="2561" max="2561" width="17.5546875" style="106" customWidth="1"/>
    <col min="2562" max="2562" width="47.5546875" style="106" customWidth="1"/>
    <col min="2563" max="2563" width="8.88671875" style="106"/>
    <col min="2564" max="2564" width="10.33203125" style="106" customWidth="1"/>
    <col min="2565" max="2565" width="11.6640625" style="106" customWidth="1"/>
    <col min="2566" max="2566" width="15.88671875" style="106" customWidth="1"/>
    <col min="2567" max="2816" width="8.88671875" style="106"/>
    <col min="2817" max="2817" width="17.5546875" style="106" customWidth="1"/>
    <col min="2818" max="2818" width="47.5546875" style="106" customWidth="1"/>
    <col min="2819" max="2819" width="8.88671875" style="106"/>
    <col min="2820" max="2820" width="10.33203125" style="106" customWidth="1"/>
    <col min="2821" max="2821" width="11.6640625" style="106" customWidth="1"/>
    <col min="2822" max="2822" width="15.88671875" style="106" customWidth="1"/>
    <col min="2823" max="3072" width="8.88671875" style="106"/>
    <col min="3073" max="3073" width="17.5546875" style="106" customWidth="1"/>
    <col min="3074" max="3074" width="47.5546875" style="106" customWidth="1"/>
    <col min="3075" max="3075" width="8.88671875" style="106"/>
    <col min="3076" max="3076" width="10.33203125" style="106" customWidth="1"/>
    <col min="3077" max="3077" width="11.6640625" style="106" customWidth="1"/>
    <col min="3078" max="3078" width="15.88671875" style="106" customWidth="1"/>
    <col min="3079" max="3328" width="8.88671875" style="106"/>
    <col min="3329" max="3329" width="17.5546875" style="106" customWidth="1"/>
    <col min="3330" max="3330" width="47.5546875" style="106" customWidth="1"/>
    <col min="3331" max="3331" width="8.88671875" style="106"/>
    <col min="3332" max="3332" width="10.33203125" style="106" customWidth="1"/>
    <col min="3333" max="3333" width="11.6640625" style="106" customWidth="1"/>
    <col min="3334" max="3334" width="15.88671875" style="106" customWidth="1"/>
    <col min="3335" max="3584" width="8.88671875" style="106"/>
    <col min="3585" max="3585" width="17.5546875" style="106" customWidth="1"/>
    <col min="3586" max="3586" width="47.5546875" style="106" customWidth="1"/>
    <col min="3587" max="3587" width="8.88671875" style="106"/>
    <col min="3588" max="3588" width="10.33203125" style="106" customWidth="1"/>
    <col min="3589" max="3589" width="11.6640625" style="106" customWidth="1"/>
    <col min="3590" max="3590" width="15.88671875" style="106" customWidth="1"/>
    <col min="3591" max="3840" width="8.88671875" style="106"/>
    <col min="3841" max="3841" width="17.5546875" style="106" customWidth="1"/>
    <col min="3842" max="3842" width="47.5546875" style="106" customWidth="1"/>
    <col min="3843" max="3843" width="8.88671875" style="106"/>
    <col min="3844" max="3844" width="10.33203125" style="106" customWidth="1"/>
    <col min="3845" max="3845" width="11.6640625" style="106" customWidth="1"/>
    <col min="3846" max="3846" width="15.88671875" style="106" customWidth="1"/>
    <col min="3847" max="4096" width="8.88671875" style="106"/>
    <col min="4097" max="4097" width="17.5546875" style="106" customWidth="1"/>
    <col min="4098" max="4098" width="47.5546875" style="106" customWidth="1"/>
    <col min="4099" max="4099" width="8.88671875" style="106"/>
    <col min="4100" max="4100" width="10.33203125" style="106" customWidth="1"/>
    <col min="4101" max="4101" width="11.6640625" style="106" customWidth="1"/>
    <col min="4102" max="4102" width="15.88671875" style="106" customWidth="1"/>
    <col min="4103" max="4352" width="8.88671875" style="106"/>
    <col min="4353" max="4353" width="17.5546875" style="106" customWidth="1"/>
    <col min="4354" max="4354" width="47.5546875" style="106" customWidth="1"/>
    <col min="4355" max="4355" width="8.88671875" style="106"/>
    <col min="4356" max="4356" width="10.33203125" style="106" customWidth="1"/>
    <col min="4357" max="4357" width="11.6640625" style="106" customWidth="1"/>
    <col min="4358" max="4358" width="15.88671875" style="106" customWidth="1"/>
    <col min="4359" max="4608" width="8.88671875" style="106"/>
    <col min="4609" max="4609" width="17.5546875" style="106" customWidth="1"/>
    <col min="4610" max="4610" width="47.5546875" style="106" customWidth="1"/>
    <col min="4611" max="4611" width="8.88671875" style="106"/>
    <col min="4612" max="4612" width="10.33203125" style="106" customWidth="1"/>
    <col min="4613" max="4613" width="11.6640625" style="106" customWidth="1"/>
    <col min="4614" max="4614" width="15.88671875" style="106" customWidth="1"/>
    <col min="4615" max="4864" width="8.88671875" style="106"/>
    <col min="4865" max="4865" width="17.5546875" style="106" customWidth="1"/>
    <col min="4866" max="4866" width="47.5546875" style="106" customWidth="1"/>
    <col min="4867" max="4867" width="8.88671875" style="106"/>
    <col min="4868" max="4868" width="10.33203125" style="106" customWidth="1"/>
    <col min="4869" max="4869" width="11.6640625" style="106" customWidth="1"/>
    <col min="4870" max="4870" width="15.88671875" style="106" customWidth="1"/>
    <col min="4871" max="5120" width="8.88671875" style="106"/>
    <col min="5121" max="5121" width="17.5546875" style="106" customWidth="1"/>
    <col min="5122" max="5122" width="47.5546875" style="106" customWidth="1"/>
    <col min="5123" max="5123" width="8.88671875" style="106"/>
    <col min="5124" max="5124" width="10.33203125" style="106" customWidth="1"/>
    <col min="5125" max="5125" width="11.6640625" style="106" customWidth="1"/>
    <col min="5126" max="5126" width="15.88671875" style="106" customWidth="1"/>
    <col min="5127" max="5376" width="8.88671875" style="106"/>
    <col min="5377" max="5377" width="17.5546875" style="106" customWidth="1"/>
    <col min="5378" max="5378" width="47.5546875" style="106" customWidth="1"/>
    <col min="5379" max="5379" width="8.88671875" style="106"/>
    <col min="5380" max="5380" width="10.33203125" style="106" customWidth="1"/>
    <col min="5381" max="5381" width="11.6640625" style="106" customWidth="1"/>
    <col min="5382" max="5382" width="15.88671875" style="106" customWidth="1"/>
    <col min="5383" max="5632" width="8.88671875" style="106"/>
    <col min="5633" max="5633" width="17.5546875" style="106" customWidth="1"/>
    <col min="5634" max="5634" width="47.5546875" style="106" customWidth="1"/>
    <col min="5635" max="5635" width="8.88671875" style="106"/>
    <col min="5636" max="5636" width="10.33203125" style="106" customWidth="1"/>
    <col min="5637" max="5637" width="11.6640625" style="106" customWidth="1"/>
    <col min="5638" max="5638" width="15.88671875" style="106" customWidth="1"/>
    <col min="5639" max="5888" width="8.88671875" style="106"/>
    <col min="5889" max="5889" width="17.5546875" style="106" customWidth="1"/>
    <col min="5890" max="5890" width="47.5546875" style="106" customWidth="1"/>
    <col min="5891" max="5891" width="8.88671875" style="106"/>
    <col min="5892" max="5892" width="10.33203125" style="106" customWidth="1"/>
    <col min="5893" max="5893" width="11.6640625" style="106" customWidth="1"/>
    <col min="5894" max="5894" width="15.88671875" style="106" customWidth="1"/>
    <col min="5895" max="6144" width="8.88671875" style="106"/>
    <col min="6145" max="6145" width="17.5546875" style="106" customWidth="1"/>
    <col min="6146" max="6146" width="47.5546875" style="106" customWidth="1"/>
    <col min="6147" max="6147" width="8.88671875" style="106"/>
    <col min="6148" max="6148" width="10.33203125" style="106" customWidth="1"/>
    <col min="6149" max="6149" width="11.6640625" style="106" customWidth="1"/>
    <col min="6150" max="6150" width="15.88671875" style="106" customWidth="1"/>
    <col min="6151" max="6400" width="8.88671875" style="106"/>
    <col min="6401" max="6401" width="17.5546875" style="106" customWidth="1"/>
    <col min="6402" max="6402" width="47.5546875" style="106" customWidth="1"/>
    <col min="6403" max="6403" width="8.88671875" style="106"/>
    <col min="6404" max="6404" width="10.33203125" style="106" customWidth="1"/>
    <col min="6405" max="6405" width="11.6640625" style="106" customWidth="1"/>
    <col min="6406" max="6406" width="15.88671875" style="106" customWidth="1"/>
    <col min="6407" max="6656" width="8.88671875" style="106"/>
    <col min="6657" max="6657" width="17.5546875" style="106" customWidth="1"/>
    <col min="6658" max="6658" width="47.5546875" style="106" customWidth="1"/>
    <col min="6659" max="6659" width="8.88671875" style="106"/>
    <col min="6660" max="6660" width="10.33203125" style="106" customWidth="1"/>
    <col min="6661" max="6661" width="11.6640625" style="106" customWidth="1"/>
    <col min="6662" max="6662" width="15.88671875" style="106" customWidth="1"/>
    <col min="6663" max="6912" width="8.88671875" style="106"/>
    <col min="6913" max="6913" width="17.5546875" style="106" customWidth="1"/>
    <col min="6914" max="6914" width="47.5546875" style="106" customWidth="1"/>
    <col min="6915" max="6915" width="8.88671875" style="106"/>
    <col min="6916" max="6916" width="10.33203125" style="106" customWidth="1"/>
    <col min="6917" max="6917" width="11.6640625" style="106" customWidth="1"/>
    <col min="6918" max="6918" width="15.88671875" style="106" customWidth="1"/>
    <col min="6919" max="7168" width="8.88671875" style="106"/>
    <col min="7169" max="7169" width="17.5546875" style="106" customWidth="1"/>
    <col min="7170" max="7170" width="47.5546875" style="106" customWidth="1"/>
    <col min="7171" max="7171" width="8.88671875" style="106"/>
    <col min="7172" max="7172" width="10.33203125" style="106" customWidth="1"/>
    <col min="7173" max="7173" width="11.6640625" style="106" customWidth="1"/>
    <col min="7174" max="7174" width="15.88671875" style="106" customWidth="1"/>
    <col min="7175" max="7424" width="8.88671875" style="106"/>
    <col min="7425" max="7425" width="17.5546875" style="106" customWidth="1"/>
    <col min="7426" max="7426" width="47.5546875" style="106" customWidth="1"/>
    <col min="7427" max="7427" width="8.88671875" style="106"/>
    <col min="7428" max="7428" width="10.33203125" style="106" customWidth="1"/>
    <col min="7429" max="7429" width="11.6640625" style="106" customWidth="1"/>
    <col min="7430" max="7430" width="15.88671875" style="106" customWidth="1"/>
    <col min="7431" max="7680" width="8.88671875" style="106"/>
    <col min="7681" max="7681" width="17.5546875" style="106" customWidth="1"/>
    <col min="7682" max="7682" width="47.5546875" style="106" customWidth="1"/>
    <col min="7683" max="7683" width="8.88671875" style="106"/>
    <col min="7684" max="7684" width="10.33203125" style="106" customWidth="1"/>
    <col min="7685" max="7685" width="11.6640625" style="106" customWidth="1"/>
    <col min="7686" max="7686" width="15.88671875" style="106" customWidth="1"/>
    <col min="7687" max="7936" width="8.88671875" style="106"/>
    <col min="7937" max="7937" width="17.5546875" style="106" customWidth="1"/>
    <col min="7938" max="7938" width="47.5546875" style="106" customWidth="1"/>
    <col min="7939" max="7939" width="8.88671875" style="106"/>
    <col min="7940" max="7940" width="10.33203125" style="106" customWidth="1"/>
    <col min="7941" max="7941" width="11.6640625" style="106" customWidth="1"/>
    <col min="7942" max="7942" width="15.88671875" style="106" customWidth="1"/>
    <col min="7943" max="8192" width="8.88671875" style="106"/>
    <col min="8193" max="8193" width="17.5546875" style="106" customWidth="1"/>
    <col min="8194" max="8194" width="47.5546875" style="106" customWidth="1"/>
    <col min="8195" max="8195" width="8.88671875" style="106"/>
    <col min="8196" max="8196" width="10.33203125" style="106" customWidth="1"/>
    <col min="8197" max="8197" width="11.6640625" style="106" customWidth="1"/>
    <col min="8198" max="8198" width="15.88671875" style="106" customWidth="1"/>
    <col min="8199" max="8448" width="8.88671875" style="106"/>
    <col min="8449" max="8449" width="17.5546875" style="106" customWidth="1"/>
    <col min="8450" max="8450" width="47.5546875" style="106" customWidth="1"/>
    <col min="8451" max="8451" width="8.88671875" style="106"/>
    <col min="8452" max="8452" width="10.33203125" style="106" customWidth="1"/>
    <col min="8453" max="8453" width="11.6640625" style="106" customWidth="1"/>
    <col min="8454" max="8454" width="15.88671875" style="106" customWidth="1"/>
    <col min="8455" max="8704" width="8.88671875" style="106"/>
    <col min="8705" max="8705" width="17.5546875" style="106" customWidth="1"/>
    <col min="8706" max="8706" width="47.5546875" style="106" customWidth="1"/>
    <col min="8707" max="8707" width="8.88671875" style="106"/>
    <col min="8708" max="8708" width="10.33203125" style="106" customWidth="1"/>
    <col min="8709" max="8709" width="11.6640625" style="106" customWidth="1"/>
    <col min="8710" max="8710" width="15.88671875" style="106" customWidth="1"/>
    <col min="8711" max="8960" width="8.88671875" style="106"/>
    <col min="8961" max="8961" width="17.5546875" style="106" customWidth="1"/>
    <col min="8962" max="8962" width="47.5546875" style="106" customWidth="1"/>
    <col min="8963" max="8963" width="8.88671875" style="106"/>
    <col min="8964" max="8964" width="10.33203125" style="106" customWidth="1"/>
    <col min="8965" max="8965" width="11.6640625" style="106" customWidth="1"/>
    <col min="8966" max="8966" width="15.88671875" style="106" customWidth="1"/>
    <col min="8967" max="9216" width="8.88671875" style="106"/>
    <col min="9217" max="9217" width="17.5546875" style="106" customWidth="1"/>
    <col min="9218" max="9218" width="47.5546875" style="106" customWidth="1"/>
    <col min="9219" max="9219" width="8.88671875" style="106"/>
    <col min="9220" max="9220" width="10.33203125" style="106" customWidth="1"/>
    <col min="9221" max="9221" width="11.6640625" style="106" customWidth="1"/>
    <col min="9222" max="9222" width="15.88671875" style="106" customWidth="1"/>
    <col min="9223" max="9472" width="8.88671875" style="106"/>
    <col min="9473" max="9473" width="17.5546875" style="106" customWidth="1"/>
    <col min="9474" max="9474" width="47.5546875" style="106" customWidth="1"/>
    <col min="9475" max="9475" width="8.88671875" style="106"/>
    <col min="9476" max="9476" width="10.33203125" style="106" customWidth="1"/>
    <col min="9477" max="9477" width="11.6640625" style="106" customWidth="1"/>
    <col min="9478" max="9478" width="15.88671875" style="106" customWidth="1"/>
    <col min="9479" max="9728" width="8.88671875" style="106"/>
    <col min="9729" max="9729" width="17.5546875" style="106" customWidth="1"/>
    <col min="9730" max="9730" width="47.5546875" style="106" customWidth="1"/>
    <col min="9731" max="9731" width="8.88671875" style="106"/>
    <col min="9732" max="9732" width="10.33203125" style="106" customWidth="1"/>
    <col min="9733" max="9733" width="11.6640625" style="106" customWidth="1"/>
    <col min="9734" max="9734" width="15.88671875" style="106" customWidth="1"/>
    <col min="9735" max="9984" width="8.88671875" style="106"/>
    <col min="9985" max="9985" width="17.5546875" style="106" customWidth="1"/>
    <col min="9986" max="9986" width="47.5546875" style="106" customWidth="1"/>
    <col min="9987" max="9987" width="8.88671875" style="106"/>
    <col min="9988" max="9988" width="10.33203125" style="106" customWidth="1"/>
    <col min="9989" max="9989" width="11.6640625" style="106" customWidth="1"/>
    <col min="9990" max="9990" width="15.88671875" style="106" customWidth="1"/>
    <col min="9991" max="10240" width="8.88671875" style="106"/>
    <col min="10241" max="10241" width="17.5546875" style="106" customWidth="1"/>
    <col min="10242" max="10242" width="47.5546875" style="106" customWidth="1"/>
    <col min="10243" max="10243" width="8.88671875" style="106"/>
    <col min="10244" max="10244" width="10.33203125" style="106" customWidth="1"/>
    <col min="10245" max="10245" width="11.6640625" style="106" customWidth="1"/>
    <col min="10246" max="10246" width="15.88671875" style="106" customWidth="1"/>
    <col min="10247" max="10496" width="8.88671875" style="106"/>
    <col min="10497" max="10497" width="17.5546875" style="106" customWidth="1"/>
    <col min="10498" max="10498" width="47.5546875" style="106" customWidth="1"/>
    <col min="10499" max="10499" width="8.88671875" style="106"/>
    <col min="10500" max="10500" width="10.33203125" style="106" customWidth="1"/>
    <col min="10501" max="10501" width="11.6640625" style="106" customWidth="1"/>
    <col min="10502" max="10502" width="15.88671875" style="106" customWidth="1"/>
    <col min="10503" max="10752" width="8.88671875" style="106"/>
    <col min="10753" max="10753" width="17.5546875" style="106" customWidth="1"/>
    <col min="10754" max="10754" width="47.5546875" style="106" customWidth="1"/>
    <col min="10755" max="10755" width="8.88671875" style="106"/>
    <col min="10756" max="10756" width="10.33203125" style="106" customWidth="1"/>
    <col min="10757" max="10757" width="11.6640625" style="106" customWidth="1"/>
    <col min="10758" max="10758" width="15.88671875" style="106" customWidth="1"/>
    <col min="10759" max="11008" width="8.88671875" style="106"/>
    <col min="11009" max="11009" width="17.5546875" style="106" customWidth="1"/>
    <col min="11010" max="11010" width="47.5546875" style="106" customWidth="1"/>
    <col min="11011" max="11011" width="8.88671875" style="106"/>
    <col min="11012" max="11012" width="10.33203125" style="106" customWidth="1"/>
    <col min="11013" max="11013" width="11.6640625" style="106" customWidth="1"/>
    <col min="11014" max="11014" width="15.88671875" style="106" customWidth="1"/>
    <col min="11015" max="11264" width="8.88671875" style="106"/>
    <col min="11265" max="11265" width="17.5546875" style="106" customWidth="1"/>
    <col min="11266" max="11266" width="47.5546875" style="106" customWidth="1"/>
    <col min="11267" max="11267" width="8.88671875" style="106"/>
    <col min="11268" max="11268" width="10.33203125" style="106" customWidth="1"/>
    <col min="11269" max="11269" width="11.6640625" style="106" customWidth="1"/>
    <col min="11270" max="11270" width="15.88671875" style="106" customWidth="1"/>
    <col min="11271" max="11520" width="8.88671875" style="106"/>
    <col min="11521" max="11521" width="17.5546875" style="106" customWidth="1"/>
    <col min="11522" max="11522" width="47.5546875" style="106" customWidth="1"/>
    <col min="11523" max="11523" width="8.88671875" style="106"/>
    <col min="11524" max="11524" width="10.33203125" style="106" customWidth="1"/>
    <col min="11525" max="11525" width="11.6640625" style="106" customWidth="1"/>
    <col min="11526" max="11526" width="15.88671875" style="106" customWidth="1"/>
    <col min="11527" max="11776" width="8.88671875" style="106"/>
    <col min="11777" max="11777" width="17.5546875" style="106" customWidth="1"/>
    <col min="11778" max="11778" width="47.5546875" style="106" customWidth="1"/>
    <col min="11779" max="11779" width="8.88671875" style="106"/>
    <col min="11780" max="11780" width="10.33203125" style="106" customWidth="1"/>
    <col min="11781" max="11781" width="11.6640625" style="106" customWidth="1"/>
    <col min="11782" max="11782" width="15.88671875" style="106" customWidth="1"/>
    <col min="11783" max="12032" width="8.88671875" style="106"/>
    <col min="12033" max="12033" width="17.5546875" style="106" customWidth="1"/>
    <col min="12034" max="12034" width="47.5546875" style="106" customWidth="1"/>
    <col min="12035" max="12035" width="8.88671875" style="106"/>
    <col min="12036" max="12036" width="10.33203125" style="106" customWidth="1"/>
    <col min="12037" max="12037" width="11.6640625" style="106" customWidth="1"/>
    <col min="12038" max="12038" width="15.88671875" style="106" customWidth="1"/>
    <col min="12039" max="12288" width="8.88671875" style="106"/>
    <col min="12289" max="12289" width="17.5546875" style="106" customWidth="1"/>
    <col min="12290" max="12290" width="47.5546875" style="106" customWidth="1"/>
    <col min="12291" max="12291" width="8.88671875" style="106"/>
    <col min="12292" max="12292" width="10.33203125" style="106" customWidth="1"/>
    <col min="12293" max="12293" width="11.6640625" style="106" customWidth="1"/>
    <col min="12294" max="12294" width="15.88671875" style="106" customWidth="1"/>
    <col min="12295" max="12544" width="8.88671875" style="106"/>
    <col min="12545" max="12545" width="17.5546875" style="106" customWidth="1"/>
    <col min="12546" max="12546" width="47.5546875" style="106" customWidth="1"/>
    <col min="12547" max="12547" width="8.88671875" style="106"/>
    <col min="12548" max="12548" width="10.33203125" style="106" customWidth="1"/>
    <col min="12549" max="12549" width="11.6640625" style="106" customWidth="1"/>
    <col min="12550" max="12550" width="15.88671875" style="106" customWidth="1"/>
    <col min="12551" max="12800" width="8.88671875" style="106"/>
    <col min="12801" max="12801" width="17.5546875" style="106" customWidth="1"/>
    <col min="12802" max="12802" width="47.5546875" style="106" customWidth="1"/>
    <col min="12803" max="12803" width="8.88671875" style="106"/>
    <col min="12804" max="12804" width="10.33203125" style="106" customWidth="1"/>
    <col min="12805" max="12805" width="11.6640625" style="106" customWidth="1"/>
    <col min="12806" max="12806" width="15.88671875" style="106" customWidth="1"/>
    <col min="12807" max="13056" width="8.88671875" style="106"/>
    <col min="13057" max="13057" width="17.5546875" style="106" customWidth="1"/>
    <col min="13058" max="13058" width="47.5546875" style="106" customWidth="1"/>
    <col min="13059" max="13059" width="8.88671875" style="106"/>
    <col min="13060" max="13060" width="10.33203125" style="106" customWidth="1"/>
    <col min="13061" max="13061" width="11.6640625" style="106" customWidth="1"/>
    <col min="13062" max="13062" width="15.88671875" style="106" customWidth="1"/>
    <col min="13063" max="13312" width="8.88671875" style="106"/>
    <col min="13313" max="13313" width="17.5546875" style="106" customWidth="1"/>
    <col min="13314" max="13314" width="47.5546875" style="106" customWidth="1"/>
    <col min="13315" max="13315" width="8.88671875" style="106"/>
    <col min="13316" max="13316" width="10.33203125" style="106" customWidth="1"/>
    <col min="13317" max="13317" width="11.6640625" style="106" customWidth="1"/>
    <col min="13318" max="13318" width="15.88671875" style="106" customWidth="1"/>
    <col min="13319" max="13568" width="8.88671875" style="106"/>
    <col min="13569" max="13569" width="17.5546875" style="106" customWidth="1"/>
    <col min="13570" max="13570" width="47.5546875" style="106" customWidth="1"/>
    <col min="13571" max="13571" width="8.88671875" style="106"/>
    <col min="13572" max="13572" width="10.33203125" style="106" customWidth="1"/>
    <col min="13573" max="13573" width="11.6640625" style="106" customWidth="1"/>
    <col min="13574" max="13574" width="15.88671875" style="106" customWidth="1"/>
    <col min="13575" max="13824" width="8.88671875" style="106"/>
    <col min="13825" max="13825" width="17.5546875" style="106" customWidth="1"/>
    <col min="13826" max="13826" width="47.5546875" style="106" customWidth="1"/>
    <col min="13827" max="13827" width="8.88671875" style="106"/>
    <col min="13828" max="13828" width="10.33203125" style="106" customWidth="1"/>
    <col min="13829" max="13829" width="11.6640625" style="106" customWidth="1"/>
    <col min="13830" max="13830" width="15.88671875" style="106" customWidth="1"/>
    <col min="13831" max="14080" width="8.88671875" style="106"/>
    <col min="14081" max="14081" width="17.5546875" style="106" customWidth="1"/>
    <col min="14082" max="14082" width="47.5546875" style="106" customWidth="1"/>
    <col min="14083" max="14083" width="8.88671875" style="106"/>
    <col min="14084" max="14084" width="10.33203125" style="106" customWidth="1"/>
    <col min="14085" max="14085" width="11.6640625" style="106" customWidth="1"/>
    <col min="14086" max="14086" width="15.88671875" style="106" customWidth="1"/>
    <col min="14087" max="14336" width="8.88671875" style="106"/>
    <col min="14337" max="14337" width="17.5546875" style="106" customWidth="1"/>
    <col min="14338" max="14338" width="47.5546875" style="106" customWidth="1"/>
    <col min="14339" max="14339" width="8.88671875" style="106"/>
    <col min="14340" max="14340" width="10.33203125" style="106" customWidth="1"/>
    <col min="14341" max="14341" width="11.6640625" style="106" customWidth="1"/>
    <col min="14342" max="14342" width="15.88671875" style="106" customWidth="1"/>
    <col min="14343" max="14592" width="8.88671875" style="106"/>
    <col min="14593" max="14593" width="17.5546875" style="106" customWidth="1"/>
    <col min="14594" max="14594" width="47.5546875" style="106" customWidth="1"/>
    <col min="14595" max="14595" width="8.88671875" style="106"/>
    <col min="14596" max="14596" width="10.33203125" style="106" customWidth="1"/>
    <col min="14597" max="14597" width="11.6640625" style="106" customWidth="1"/>
    <col min="14598" max="14598" width="15.88671875" style="106" customWidth="1"/>
    <col min="14599" max="14848" width="8.88671875" style="106"/>
    <col min="14849" max="14849" width="17.5546875" style="106" customWidth="1"/>
    <col min="14850" max="14850" width="47.5546875" style="106" customWidth="1"/>
    <col min="14851" max="14851" width="8.88671875" style="106"/>
    <col min="14852" max="14852" width="10.33203125" style="106" customWidth="1"/>
    <col min="14853" max="14853" width="11.6640625" style="106" customWidth="1"/>
    <col min="14854" max="14854" width="15.88671875" style="106" customWidth="1"/>
    <col min="14855" max="15104" width="8.88671875" style="106"/>
    <col min="15105" max="15105" width="17.5546875" style="106" customWidth="1"/>
    <col min="15106" max="15106" width="47.5546875" style="106" customWidth="1"/>
    <col min="15107" max="15107" width="8.88671875" style="106"/>
    <col min="15108" max="15108" width="10.33203125" style="106" customWidth="1"/>
    <col min="15109" max="15109" width="11.6640625" style="106" customWidth="1"/>
    <col min="15110" max="15110" width="15.88671875" style="106" customWidth="1"/>
    <col min="15111" max="15360" width="8.88671875" style="106"/>
    <col min="15361" max="15361" width="17.5546875" style="106" customWidth="1"/>
    <col min="15362" max="15362" width="47.5546875" style="106" customWidth="1"/>
    <col min="15363" max="15363" width="8.88671875" style="106"/>
    <col min="15364" max="15364" width="10.33203125" style="106" customWidth="1"/>
    <col min="15365" max="15365" width="11.6640625" style="106" customWidth="1"/>
    <col min="15366" max="15366" width="15.88671875" style="106" customWidth="1"/>
    <col min="15367" max="15616" width="8.88671875" style="106"/>
    <col min="15617" max="15617" width="17.5546875" style="106" customWidth="1"/>
    <col min="15618" max="15618" width="47.5546875" style="106" customWidth="1"/>
    <col min="15619" max="15619" width="8.88671875" style="106"/>
    <col min="15620" max="15620" width="10.33203125" style="106" customWidth="1"/>
    <col min="15621" max="15621" width="11.6640625" style="106" customWidth="1"/>
    <col min="15622" max="15622" width="15.88671875" style="106" customWidth="1"/>
    <col min="15623" max="15872" width="8.88671875" style="106"/>
    <col min="15873" max="15873" width="17.5546875" style="106" customWidth="1"/>
    <col min="15874" max="15874" width="47.5546875" style="106" customWidth="1"/>
    <col min="15875" max="15875" width="8.88671875" style="106"/>
    <col min="15876" max="15876" width="10.33203125" style="106" customWidth="1"/>
    <col min="15877" max="15877" width="11.6640625" style="106" customWidth="1"/>
    <col min="15878" max="15878" width="15.88671875" style="106" customWidth="1"/>
    <col min="15879" max="16128" width="8.88671875" style="106"/>
    <col min="16129" max="16129" width="17.5546875" style="106" customWidth="1"/>
    <col min="16130" max="16130" width="47.5546875" style="106" customWidth="1"/>
    <col min="16131" max="16131" width="8.88671875" style="106"/>
    <col min="16132" max="16132" width="10.33203125" style="106" customWidth="1"/>
    <col min="16133" max="16133" width="11.6640625" style="106" customWidth="1"/>
    <col min="16134" max="16134" width="15.88671875" style="106" customWidth="1"/>
    <col min="16135" max="16384" width="8.88671875" style="106"/>
  </cols>
  <sheetData>
    <row r="1" spans="1:6" ht="10.8" thickBot="1"/>
    <row r="2" spans="1:6" ht="20.399999999999999" thickBot="1">
      <c r="A2" s="339" t="s">
        <v>105</v>
      </c>
      <c r="B2" s="340"/>
      <c r="C2" s="340"/>
      <c r="D2" s="340"/>
      <c r="E2" s="340"/>
      <c r="F2" s="341"/>
    </row>
    <row r="3" spans="1:6" ht="15" thickBot="1">
      <c r="A3" s="107"/>
      <c r="B3" s="107"/>
      <c r="C3" s="107"/>
      <c r="D3" s="107"/>
      <c r="E3" s="107"/>
      <c r="F3" s="107"/>
    </row>
    <row r="4" spans="1:6" ht="23.4" customHeight="1">
      <c r="A4" s="342" t="s">
        <v>52</v>
      </c>
      <c r="B4" s="343" t="e">
        <v>#REF!</v>
      </c>
      <c r="C4" s="344"/>
      <c r="D4" s="344"/>
      <c r="E4" s="344"/>
      <c r="F4" s="345"/>
    </row>
    <row r="5" spans="1:6" ht="28.2" customHeight="1">
      <c r="A5" s="346" t="s">
        <v>343</v>
      </c>
      <c r="B5" s="347"/>
      <c r="C5" s="347"/>
      <c r="D5" s="347"/>
      <c r="E5" s="347"/>
      <c r="F5" s="348"/>
    </row>
    <row r="6" spans="1:6" ht="15" customHeight="1">
      <c r="A6" s="346" t="s">
        <v>345</v>
      </c>
      <c r="B6" s="347"/>
      <c r="C6" s="347"/>
      <c r="D6" s="347"/>
      <c r="E6" s="347"/>
      <c r="F6" s="348"/>
    </row>
    <row r="7" spans="1:6" ht="15.75" customHeight="1" thickBot="1">
      <c r="A7" s="349"/>
      <c r="B7" s="350"/>
      <c r="C7" s="350"/>
      <c r="D7" s="350"/>
      <c r="E7" s="350"/>
      <c r="F7" s="351"/>
    </row>
    <row r="9" spans="1:6" s="108" customFormat="1" ht="30.6" customHeight="1">
      <c r="A9" s="353" t="s">
        <v>233</v>
      </c>
      <c r="B9" s="353"/>
      <c r="C9" s="353"/>
      <c r="D9" s="353"/>
      <c r="E9" s="353"/>
      <c r="F9" s="353"/>
    </row>
    <row r="10" spans="1:6" s="108" customFormat="1" ht="11.25" customHeight="1">
      <c r="A10" s="354" t="s">
        <v>106</v>
      </c>
      <c r="B10" s="355"/>
      <c r="C10" s="360"/>
      <c r="D10" s="361"/>
      <c r="E10" s="361"/>
      <c r="F10" s="362"/>
    </row>
    <row r="11" spans="1:6" s="108" customFormat="1" ht="31.8" customHeight="1">
      <c r="A11" s="356"/>
      <c r="B11" s="357"/>
      <c r="C11" s="363" t="str">
        <f>A9</f>
        <v>PLAYGROUND DE EUCALIPTO COMPLETO: 1 BALANÇO DUPLO, 1 LIXEIRA 1 E GANGORRA DUPLA</v>
      </c>
      <c r="D11" s="363"/>
      <c r="E11" s="363"/>
      <c r="F11" s="363"/>
    </row>
    <row r="12" spans="1:6" s="108" customFormat="1">
      <c r="A12" s="356"/>
      <c r="B12" s="357"/>
      <c r="C12" s="109" t="s">
        <v>100</v>
      </c>
      <c r="D12" s="364" t="s">
        <v>107</v>
      </c>
      <c r="E12" s="365"/>
      <c r="F12" s="368">
        <f>F19</f>
        <v>7050</v>
      </c>
    </row>
    <row r="13" spans="1:6" s="108" customFormat="1">
      <c r="A13" s="358"/>
      <c r="B13" s="359"/>
      <c r="C13" s="109">
        <v>1</v>
      </c>
      <c r="D13" s="366"/>
      <c r="E13" s="367"/>
      <c r="F13" s="369"/>
    </row>
    <row r="14" spans="1:6" s="108" customFormat="1">
      <c r="A14" s="110"/>
      <c r="B14" s="110"/>
      <c r="C14" s="111"/>
      <c r="D14" s="352"/>
      <c r="E14" s="352"/>
      <c r="F14" s="112"/>
    </row>
    <row r="15" spans="1:6" s="108" customFormat="1" ht="21.75" customHeight="1">
      <c r="A15" s="113" t="s">
        <v>108</v>
      </c>
      <c r="B15" s="113" t="s">
        <v>109</v>
      </c>
      <c r="C15" s="114" t="s">
        <v>110</v>
      </c>
      <c r="D15" s="115" t="s">
        <v>111</v>
      </c>
      <c r="E15" s="115" t="s">
        <v>112</v>
      </c>
      <c r="F15" s="115" t="s">
        <v>113</v>
      </c>
    </row>
    <row r="16" spans="1:6" s="108" customFormat="1">
      <c r="A16" s="116" t="s">
        <v>204</v>
      </c>
      <c r="B16" s="116" t="s">
        <v>205</v>
      </c>
      <c r="C16" s="117" t="s">
        <v>100</v>
      </c>
      <c r="D16" s="118">
        <v>1</v>
      </c>
      <c r="E16" s="119">
        <v>6650</v>
      </c>
      <c r="F16" s="112">
        <f>E16</f>
        <v>6650</v>
      </c>
    </row>
    <row r="17" spans="1:7" s="108" customFormat="1" ht="20.399999999999999">
      <c r="A17" s="120" t="s">
        <v>206</v>
      </c>
      <c r="B17" s="116" t="s">
        <v>207</v>
      </c>
      <c r="C17" s="117" t="s">
        <v>100</v>
      </c>
      <c r="D17" s="118">
        <v>1</v>
      </c>
      <c r="E17" s="259">
        <v>7450</v>
      </c>
      <c r="F17" s="112">
        <f>E17</f>
        <v>7450</v>
      </c>
    </row>
    <row r="18" spans="1:7" s="108" customFormat="1" ht="30.6">
      <c r="A18" s="120" t="s">
        <v>231</v>
      </c>
      <c r="B18" s="120" t="s">
        <v>232</v>
      </c>
      <c r="C18" s="117" t="s">
        <v>100</v>
      </c>
      <c r="D18" s="118">
        <v>1</v>
      </c>
      <c r="E18" s="259">
        <v>7900</v>
      </c>
      <c r="F18" s="112">
        <f>E18</f>
        <v>7900</v>
      </c>
    </row>
    <row r="19" spans="1:7" s="108" customFormat="1">
      <c r="A19" s="121"/>
      <c r="B19" s="121"/>
      <c r="C19" s="121"/>
      <c r="D19" s="121"/>
      <c r="E19" s="122" t="s">
        <v>114</v>
      </c>
      <c r="F19" s="123">
        <f>MEDIAN(F16:F18,2)</f>
        <v>7050</v>
      </c>
      <c r="G19" s="108" t="s">
        <v>115</v>
      </c>
    </row>
    <row r="305" spans="11:11">
      <c r="K305" s="124" t="e">
        <f>COTAÇÕES!#REF!</f>
        <v>#REF!</v>
      </c>
    </row>
  </sheetData>
  <autoFilter ref="A8:F19" xr:uid="{00000000-0009-0000-0000-000003000000}"/>
  <mergeCells count="12">
    <mergeCell ref="D14:E14"/>
    <mergeCell ref="A9:F9"/>
    <mergeCell ref="A10:B13"/>
    <mergeCell ref="C10:F10"/>
    <mergeCell ref="C11:F11"/>
    <mergeCell ref="D12:E13"/>
    <mergeCell ref="F12:F13"/>
    <mergeCell ref="A2:F2"/>
    <mergeCell ref="A4:F4"/>
    <mergeCell ref="A5:F5"/>
    <mergeCell ref="A6:F6"/>
    <mergeCell ref="A7:F7"/>
  </mergeCells>
  <printOptions horizontalCentered="1"/>
  <pageMargins left="0.51181102362204722" right="0.51181102362204722" top="1.1811023622047245" bottom="1.2598425196850394" header="0.31496062992125984" footer="0.31496062992125984"/>
  <pageSetup paperSize="9" orientation="portrait" horizontalDpi="360" verticalDpi="360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249977111117893"/>
  </sheetPr>
  <dimension ref="A1:K34"/>
  <sheetViews>
    <sheetView view="pageBreakPreview" zoomScaleNormal="100" zoomScaleSheetLayoutView="100" workbookViewId="0">
      <selection activeCell="B4" sqref="B4"/>
    </sheetView>
  </sheetViews>
  <sheetFormatPr defaultColWidth="9.109375" defaultRowHeight="10.199999999999999"/>
  <cols>
    <col min="1" max="1" width="6.44140625" style="154" customWidth="1"/>
    <col min="2" max="2" width="80.88671875" style="155" customWidth="1"/>
    <col min="3" max="3" width="15.44140625" style="154" bestFit="1" customWidth="1"/>
    <col min="4" max="4" width="9.33203125" style="131" bestFit="1" customWidth="1"/>
    <col min="5" max="16384" width="9.109375" style="106"/>
  </cols>
  <sheetData>
    <row r="1" spans="1:8" s="108" customFormat="1" ht="18.600000000000001" thickTop="1" thickBot="1">
      <c r="A1" s="370" t="s">
        <v>117</v>
      </c>
      <c r="B1" s="371"/>
      <c r="C1" s="371"/>
      <c r="D1" s="372"/>
    </row>
    <row r="2" spans="1:8" s="108" customFormat="1" ht="18" thickTop="1">
      <c r="A2" s="373"/>
      <c r="B2" s="373"/>
      <c r="C2" s="130"/>
      <c r="D2" s="131"/>
    </row>
    <row r="3" spans="1:8" s="3" customFormat="1" ht="27.75" customHeight="1">
      <c r="A3" s="132"/>
      <c r="B3" s="374" t="s">
        <v>347</v>
      </c>
      <c r="C3" s="374"/>
      <c r="D3" s="374"/>
    </row>
    <row r="4" spans="1:8" s="3" customFormat="1" ht="13.2">
      <c r="A4" s="132"/>
      <c r="B4" s="133" t="s">
        <v>52</v>
      </c>
      <c r="C4" s="132"/>
      <c r="D4" s="134"/>
    </row>
    <row r="5" spans="1:8" s="3" customFormat="1" ht="15" customHeight="1">
      <c r="A5" s="132"/>
      <c r="B5" s="133" t="s">
        <v>345</v>
      </c>
      <c r="C5" s="132"/>
      <c r="D5" s="134"/>
    </row>
    <row r="6" spans="1:8" s="108" customFormat="1">
      <c r="A6" s="135"/>
      <c r="B6" s="136"/>
      <c r="C6" s="137"/>
      <c r="D6" s="131"/>
    </row>
    <row r="7" spans="1:8" s="142" customFormat="1" ht="20.399999999999999">
      <c r="A7" s="138" t="s">
        <v>0</v>
      </c>
      <c r="B7" s="138" t="s">
        <v>118</v>
      </c>
      <c r="C7" s="139" t="s">
        <v>119</v>
      </c>
      <c r="D7" s="140" t="s">
        <v>120</v>
      </c>
      <c r="E7" s="141"/>
      <c r="F7" s="141"/>
      <c r="G7" s="141"/>
      <c r="H7" s="141"/>
    </row>
    <row r="8" spans="1:8" s="147" customFormat="1">
      <c r="A8" s="143"/>
      <c r="B8" s="144"/>
      <c r="C8" s="145"/>
      <c r="D8" s="146"/>
      <c r="E8" s="108"/>
      <c r="F8" s="108"/>
      <c r="G8" s="108"/>
    </row>
    <row r="9" spans="1:8" s="149" customFormat="1" ht="13.2">
      <c r="A9" s="240" t="str">
        <f>'Planilha orç'!A7</f>
        <v>1.0</v>
      </c>
      <c r="B9" s="241" t="str">
        <f>'Planilha orç'!D7</f>
        <v>DEMOLIÇÕES E ALVENARIAS</v>
      </c>
      <c r="C9" s="242">
        <f>'Planilha orç'!J7</f>
        <v>14119.392352799998</v>
      </c>
      <c r="D9" s="243">
        <f>C9/$C$25</f>
        <v>9.0122524695047349E-2</v>
      </c>
      <c r="E9" s="148"/>
      <c r="F9" s="148"/>
      <c r="G9" s="148"/>
    </row>
    <row r="10" spans="1:8" s="147" customFormat="1">
      <c r="A10" s="143"/>
      <c r="B10" s="144"/>
      <c r="C10" s="145"/>
      <c r="D10" s="146"/>
      <c r="E10" s="108"/>
      <c r="F10" s="108"/>
      <c r="G10" s="108"/>
    </row>
    <row r="11" spans="1:8" s="149" customFormat="1" ht="13.2">
      <c r="A11" s="240" t="str">
        <f>'Planilha orç'!A20</f>
        <v>2.0</v>
      </c>
      <c r="B11" s="241" t="str">
        <f>'Planilha orç'!D20</f>
        <v xml:space="preserve"> PORTAS E ESQUADRIAS</v>
      </c>
      <c r="C11" s="242">
        <f>'Planilha orç'!J20</f>
        <v>30214.374829968001</v>
      </c>
      <c r="D11" s="243">
        <f>C11/$C$25</f>
        <v>0.19285502334094529</v>
      </c>
      <c r="E11" s="148"/>
      <c r="F11" s="148"/>
      <c r="G11" s="148"/>
    </row>
    <row r="12" spans="1:8" s="147" customFormat="1">
      <c r="A12" s="143"/>
      <c r="B12" s="144"/>
      <c r="C12" s="145"/>
      <c r="D12" s="146"/>
      <c r="E12" s="108"/>
      <c r="F12" s="108"/>
      <c r="G12" s="108"/>
    </row>
    <row r="13" spans="1:8" s="149" customFormat="1" ht="13.2">
      <c r="A13" s="240" t="str">
        <f>'Planilha orç'!A27</f>
        <v>3.0</v>
      </c>
      <c r="B13" s="241" t="str">
        <f>'Planilha orç'!D27</f>
        <v xml:space="preserve">PINTURA </v>
      </c>
      <c r="C13" s="242">
        <f>'Planilha orç'!J27</f>
        <v>20391.110585999999</v>
      </c>
      <c r="D13" s="243">
        <f>C13/$C$25</f>
        <v>0.13015421070736055</v>
      </c>
      <c r="E13" s="148"/>
      <c r="F13" s="148"/>
      <c r="G13" s="148"/>
    </row>
    <row r="14" spans="1:8" s="147" customFormat="1">
      <c r="A14" s="143"/>
      <c r="B14" s="144"/>
      <c r="C14" s="145"/>
      <c r="D14" s="146"/>
      <c r="E14" s="108"/>
      <c r="F14" s="108"/>
      <c r="G14" s="108"/>
    </row>
    <row r="15" spans="1:8" s="149" customFormat="1" ht="13.2">
      <c r="A15" s="240" t="str">
        <f>'Planilha orç'!A37</f>
        <v>4.0</v>
      </c>
      <c r="B15" s="241" t="str">
        <f>'Planilha orç'!D37</f>
        <v>REVESTIMENTOS</v>
      </c>
      <c r="C15" s="242">
        <f>'Planilha orç'!J37</f>
        <v>31589.589615360001</v>
      </c>
      <c r="D15" s="243">
        <f>C15/$C$25</f>
        <v>0.20163286769576322</v>
      </c>
      <c r="E15" s="148"/>
      <c r="F15" s="148"/>
      <c r="G15" s="148"/>
    </row>
    <row r="16" spans="1:8" s="147" customFormat="1">
      <c r="A16" s="143"/>
      <c r="B16" s="144"/>
      <c r="C16" s="145"/>
      <c r="D16" s="146"/>
      <c r="E16" s="108"/>
      <c r="F16" s="108"/>
      <c r="G16" s="108"/>
    </row>
    <row r="17" spans="1:8" s="149" customFormat="1" ht="13.2">
      <c r="A17" s="240" t="str">
        <f>'Planilha orç'!A45</f>
        <v>5.0</v>
      </c>
      <c r="B17" s="241" t="str">
        <f>'Planilha orç'!D45</f>
        <v>PLAYGROUND</v>
      </c>
      <c r="C17" s="242">
        <f>'Planilha orç'!J45</f>
        <v>10759.188803999999</v>
      </c>
      <c r="D17" s="243">
        <f>C17/$C$25</f>
        <v>6.8674715912606377E-2</v>
      </c>
      <c r="E17" s="148"/>
      <c r="F17" s="148"/>
      <c r="G17" s="148"/>
    </row>
    <row r="18" spans="1:8" s="147" customFormat="1">
      <c r="A18" s="143"/>
      <c r="B18" s="144"/>
      <c r="C18" s="145"/>
      <c r="D18" s="146"/>
      <c r="E18" s="108"/>
      <c r="F18" s="108"/>
      <c r="G18" s="108"/>
    </row>
    <row r="19" spans="1:8" s="149" customFormat="1" ht="13.2">
      <c r="A19" s="240" t="str">
        <f>'Planilha orç'!A47</f>
        <v>6.0</v>
      </c>
      <c r="B19" s="241" t="str">
        <f>'Planilha orç'!D47</f>
        <v>INSTALAÇÕES HIDROSSANITÁRIAS</v>
      </c>
      <c r="C19" s="242">
        <f>'Planilha orç'!J47</f>
        <v>7757.0658480000002</v>
      </c>
      <c r="D19" s="243">
        <f>C19/$C$25</f>
        <v>4.9512496074864971E-2</v>
      </c>
      <c r="E19" s="148"/>
      <c r="F19" s="148"/>
      <c r="G19" s="148"/>
    </row>
    <row r="20" spans="1:8" s="147" customFormat="1">
      <c r="A20" s="143"/>
      <c r="B20" s="144"/>
      <c r="C20" s="145"/>
      <c r="D20" s="146"/>
      <c r="E20" s="108"/>
      <c r="F20" s="108"/>
      <c r="G20" s="108"/>
    </row>
    <row r="21" spans="1:8" s="149" customFormat="1" ht="13.2">
      <c r="A21" s="240" t="str">
        <f>'Planilha orç'!A62</f>
        <v>7.0</v>
      </c>
      <c r="B21" s="241" t="str">
        <f>'Planilha orç'!D62</f>
        <v>INSTALAÇÕES ELÉTRICAS</v>
      </c>
      <c r="C21" s="242">
        <f>'Planilha orç'!J62</f>
        <v>9483.7757279999987</v>
      </c>
      <c r="D21" s="243">
        <f>C21/$C$25</f>
        <v>6.0533894865488012E-2</v>
      </c>
      <c r="E21" s="148"/>
      <c r="F21" s="148"/>
      <c r="G21" s="148"/>
    </row>
    <row r="22" spans="1:8" s="149" customFormat="1" ht="13.2">
      <c r="A22" s="143"/>
      <c r="B22" s="144"/>
      <c r="C22" s="145"/>
      <c r="D22" s="146"/>
      <c r="E22" s="148"/>
      <c r="F22" s="148"/>
      <c r="G22" s="148"/>
    </row>
    <row r="23" spans="1:8" s="149" customFormat="1" ht="13.2">
      <c r="A23" s="240" t="str">
        <f>'Planilha orç'!A68</f>
        <v>8.0</v>
      </c>
      <c r="B23" s="241" t="str">
        <f>'Planilha orç'!D68</f>
        <v>COBERTURA</v>
      </c>
      <c r="C23" s="242">
        <f>'Planilha orç'!J68</f>
        <v>32354.35278768</v>
      </c>
      <c r="D23" s="243">
        <f>C23/$C$25</f>
        <v>0.20651426670792425</v>
      </c>
      <c r="E23" s="148"/>
      <c r="F23" s="148"/>
      <c r="G23" s="148"/>
    </row>
    <row r="24" spans="1:8" s="149" customFormat="1" ht="13.2">
      <c r="A24" s="143"/>
      <c r="B24" s="144"/>
      <c r="C24" s="145"/>
      <c r="D24" s="146"/>
      <c r="E24" s="148"/>
      <c r="F24" s="148"/>
      <c r="G24" s="148"/>
    </row>
    <row r="25" spans="1:8" s="153" customFormat="1" ht="21.75" customHeight="1">
      <c r="A25" s="375" t="s">
        <v>121</v>
      </c>
      <c r="B25" s="375"/>
      <c r="C25" s="150">
        <f>C9+C11+C13+C15+C17+C19+C21+C23</f>
        <v>156668.85055180799</v>
      </c>
      <c r="D25" s="151">
        <f>C25/$C$25</f>
        <v>1</v>
      </c>
      <c r="E25" s="152"/>
      <c r="F25" s="152"/>
      <c r="G25" s="152"/>
      <c r="H25" s="152"/>
    </row>
    <row r="26" spans="1:8">
      <c r="C26" s="156"/>
    </row>
    <row r="34" spans="1:11" s="162" customFormat="1" ht="20.399999999999999" hidden="1">
      <c r="A34" s="157" t="s">
        <v>122</v>
      </c>
      <c r="B34" s="158" t="s">
        <v>123</v>
      </c>
      <c r="C34" s="159" t="e">
        <f>TRUNC(#REF!*#REF!,2)</f>
        <v>#REF!</v>
      </c>
      <c r="D34" s="160"/>
      <c r="E34" s="161"/>
      <c r="F34" s="161"/>
      <c r="G34" s="161"/>
      <c r="H34" s="161"/>
      <c r="I34" s="161"/>
      <c r="J34" s="161"/>
      <c r="K34" s="161"/>
    </row>
  </sheetData>
  <autoFilter ref="A7:C26" xr:uid="{00000000-0009-0000-0000-000004000000}"/>
  <mergeCells count="4">
    <mergeCell ref="A1:D1"/>
    <mergeCell ref="A2:B2"/>
    <mergeCell ref="B3:D3"/>
    <mergeCell ref="A25:B25"/>
  </mergeCells>
  <printOptions horizontalCentered="1"/>
  <pageMargins left="0.59055118110236227" right="0.39370078740157483" top="1.5748031496062993" bottom="0.59055118110236227" header="0.39370078740157483" footer="0.39370078740157483"/>
  <pageSetup paperSize="9" scale="77" orientation="portrait" r:id="rId1"/>
  <headerFooter>
    <oddHeader>&amp;C&amp;G</oddHeader>
    <oddFooter>&amp;R&amp;"Arial,Normal"&amp;8Pág. &amp;P de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2" tint="-0.249977111117893"/>
  </sheetPr>
  <dimension ref="A1:O39"/>
  <sheetViews>
    <sheetView view="pageBreakPreview" zoomScaleNormal="100" zoomScaleSheetLayoutView="100" workbookViewId="0">
      <selection activeCell="A4" sqref="A4"/>
    </sheetView>
  </sheetViews>
  <sheetFormatPr defaultColWidth="9.109375" defaultRowHeight="10.199999999999999"/>
  <cols>
    <col min="1" max="1" width="6.88671875" style="166" customWidth="1"/>
    <col min="2" max="2" width="41.88671875" style="166" customWidth="1"/>
    <col min="3" max="3" width="12" style="166" customWidth="1"/>
    <col min="4" max="6" width="10.109375" style="166" customWidth="1"/>
    <col min="7" max="7" width="10.44140625" style="166" hidden="1" customWidth="1"/>
    <col min="8" max="8" width="9.6640625" style="165" hidden="1" customWidth="1"/>
    <col min="9" max="9" width="0" style="165" hidden="1" customWidth="1"/>
    <col min="10" max="15" width="10.109375" style="166" hidden="1" customWidth="1"/>
    <col min="16" max="16384" width="9.109375" style="166"/>
  </cols>
  <sheetData>
    <row r="1" spans="1:15" s="163" customFormat="1" ht="16.2" thickBot="1">
      <c r="A1" s="380" t="s">
        <v>124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</row>
    <row r="2" spans="1:15" ht="10.8" thickTop="1">
      <c r="A2" s="164"/>
      <c r="B2" s="164"/>
      <c r="C2" s="164"/>
      <c r="D2" s="164"/>
      <c r="E2" s="164"/>
      <c r="F2" s="164"/>
      <c r="G2" s="164"/>
    </row>
    <row r="3" spans="1:15" ht="25.5" customHeight="1">
      <c r="A3" s="382" t="s">
        <v>347</v>
      </c>
      <c r="B3" s="382"/>
      <c r="C3" s="382"/>
      <c r="D3" s="382"/>
      <c r="E3" s="382"/>
      <c r="F3" s="382"/>
      <c r="G3" s="382"/>
    </row>
    <row r="4" spans="1:15" ht="13.2">
      <c r="A4" s="167" t="s">
        <v>52</v>
      </c>
      <c r="B4" s="168"/>
      <c r="C4" s="169"/>
      <c r="D4" s="169"/>
      <c r="E4" s="169"/>
      <c r="F4" s="169"/>
      <c r="G4" s="169"/>
    </row>
    <row r="5" spans="1:15" ht="13.2">
      <c r="A5" s="167" t="s">
        <v>345</v>
      </c>
      <c r="B5" s="170"/>
      <c r="C5" s="170"/>
      <c r="D5" s="170"/>
      <c r="E5" s="170"/>
      <c r="F5" s="170"/>
      <c r="G5" s="170"/>
    </row>
    <row r="6" spans="1:15" ht="10.8" thickBot="1">
      <c r="A6" s="171"/>
      <c r="B6" s="171"/>
      <c r="C6" s="172"/>
      <c r="D6" s="173"/>
      <c r="E6" s="173"/>
      <c r="F6" s="173"/>
      <c r="G6" s="173"/>
    </row>
    <row r="7" spans="1:15" s="174" customFormat="1" ht="12.75" customHeight="1" thickTop="1" thickBot="1">
      <c r="A7" s="383" t="s">
        <v>125</v>
      </c>
      <c r="B7" s="384" t="s">
        <v>126</v>
      </c>
      <c r="C7" s="386" t="s">
        <v>127</v>
      </c>
      <c r="D7" s="388" t="s">
        <v>128</v>
      </c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</row>
    <row r="8" spans="1:15" s="174" customFormat="1" ht="10.8" thickTop="1">
      <c r="A8" s="384"/>
      <c r="B8" s="385"/>
      <c r="C8" s="387"/>
      <c r="D8" s="175" t="s">
        <v>129</v>
      </c>
      <c r="E8" s="175" t="s">
        <v>130</v>
      </c>
      <c r="F8" s="175" t="s">
        <v>131</v>
      </c>
      <c r="G8" s="175" t="s">
        <v>132</v>
      </c>
      <c r="H8" s="175" t="s">
        <v>133</v>
      </c>
      <c r="I8" s="175" t="s">
        <v>134</v>
      </c>
      <c r="J8" s="175" t="s">
        <v>135</v>
      </c>
      <c r="K8" s="175" t="s">
        <v>136</v>
      </c>
      <c r="L8" s="175" t="s">
        <v>137</v>
      </c>
      <c r="M8" s="175" t="s">
        <v>138</v>
      </c>
      <c r="N8" s="175" t="s">
        <v>139</v>
      </c>
      <c r="O8" s="175" t="s">
        <v>140</v>
      </c>
    </row>
    <row r="9" spans="1:15" s="181" customFormat="1">
      <c r="A9" s="176"/>
      <c r="B9" s="176"/>
      <c r="C9" s="177"/>
      <c r="D9" s="178"/>
      <c r="E9" s="178"/>
      <c r="F9" s="178"/>
      <c r="G9" s="178"/>
      <c r="H9" s="179"/>
      <c r="I9" s="179"/>
      <c r="J9" s="180"/>
      <c r="K9" s="180"/>
      <c r="L9" s="180"/>
      <c r="M9" s="180"/>
      <c r="N9" s="180"/>
      <c r="O9" s="180"/>
    </row>
    <row r="10" spans="1:15" ht="12">
      <c r="A10" s="182" t="str">
        <f>'Planilha orç'!A7</f>
        <v>1.0</v>
      </c>
      <c r="B10" s="183" t="str">
        <f>'Planilha orç'!D7</f>
        <v>DEMOLIÇÕES E ALVENARIAS</v>
      </c>
      <c r="C10" s="184">
        <f>'Planilha orç'!J7</f>
        <v>14119.392352799998</v>
      </c>
      <c r="D10" s="184">
        <f t="shared" ref="D10" si="0">($C10*D11)</f>
        <v>14119.392352799998</v>
      </c>
      <c r="E10" s="184"/>
      <c r="F10" s="184"/>
      <c r="G10" s="184"/>
      <c r="H10" s="184"/>
      <c r="I10" s="184"/>
      <c r="J10" s="184"/>
      <c r="K10" s="184"/>
      <c r="L10" s="185"/>
      <c r="M10" s="185"/>
      <c r="N10" s="185"/>
      <c r="O10" s="185"/>
    </row>
    <row r="11" spans="1:15" ht="12">
      <c r="A11" s="186"/>
      <c r="B11" s="187"/>
      <c r="C11" s="188"/>
      <c r="D11" s="189">
        <v>1</v>
      </c>
      <c r="E11" s="192"/>
      <c r="F11" s="192"/>
      <c r="G11" s="192"/>
      <c r="H11" s="192"/>
      <c r="I11" s="192"/>
      <c r="J11" s="192"/>
      <c r="K11" s="192"/>
      <c r="L11" s="191"/>
      <c r="M11" s="191"/>
      <c r="N11" s="191"/>
      <c r="O11" s="191"/>
    </row>
    <row r="12" spans="1:15" ht="12">
      <c r="A12" s="182" t="str">
        <f>'Planilha orç'!A20</f>
        <v>2.0</v>
      </c>
      <c r="B12" s="183" t="str">
        <f>'Planilha orç'!D20</f>
        <v xml:space="preserve"> PORTAS E ESQUADRIAS</v>
      </c>
      <c r="C12" s="184">
        <f>'Planilha orç'!J20</f>
        <v>30214.374829968001</v>
      </c>
      <c r="D12" s="184"/>
      <c r="E12" s="184">
        <f t="shared" ref="E12" si="1">($C12*E13)</f>
        <v>30214.374829968001</v>
      </c>
      <c r="F12" s="184"/>
      <c r="G12" s="184"/>
      <c r="H12" s="184"/>
      <c r="I12" s="184"/>
      <c r="J12" s="184"/>
      <c r="K12" s="184"/>
      <c r="L12" s="184"/>
      <c r="M12" s="184"/>
      <c r="N12" s="184"/>
      <c r="O12" s="184"/>
    </row>
    <row r="13" spans="1:15" ht="12">
      <c r="A13" s="186"/>
      <c r="B13" s="187"/>
      <c r="C13" s="188"/>
      <c r="D13" s="191"/>
      <c r="E13" s="189">
        <v>1</v>
      </c>
      <c r="F13" s="192"/>
      <c r="G13" s="192"/>
      <c r="H13" s="192"/>
      <c r="I13" s="190"/>
      <c r="J13" s="191"/>
      <c r="K13" s="191"/>
      <c r="L13" s="192"/>
      <c r="M13" s="192"/>
      <c r="N13" s="191"/>
      <c r="O13" s="191"/>
    </row>
    <row r="14" spans="1:15" ht="12">
      <c r="A14" s="182" t="str">
        <f>'Planilha orç'!A27</f>
        <v>3.0</v>
      </c>
      <c r="B14" s="183" t="str">
        <f>'Planilha orç'!D27</f>
        <v xml:space="preserve">PINTURA </v>
      </c>
      <c r="C14" s="184">
        <f>'Planilha orç'!J27</f>
        <v>20391.110585999999</v>
      </c>
      <c r="D14" s="184"/>
      <c r="E14" s="184">
        <f t="shared" ref="E14" si="2">($C14*E15)</f>
        <v>20391.110585999999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</row>
    <row r="15" spans="1:15" ht="12">
      <c r="A15" s="186"/>
      <c r="B15" s="187"/>
      <c r="C15" s="188"/>
      <c r="D15" s="191"/>
      <c r="E15" s="189">
        <v>1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</row>
    <row r="16" spans="1:15" ht="12">
      <c r="A16" s="182" t="str">
        <f>'Planilha orç'!A37</f>
        <v>4.0</v>
      </c>
      <c r="B16" s="183" t="str">
        <f>'Planilha orç'!D37</f>
        <v>REVESTIMENTOS</v>
      </c>
      <c r="C16" s="184">
        <f>'Planilha orç'!J37</f>
        <v>31589.589615360001</v>
      </c>
      <c r="D16" s="184"/>
      <c r="E16" s="184"/>
      <c r="F16" s="184">
        <f t="shared" ref="F16" si="3">($C16*F17)</f>
        <v>31589.589615360001</v>
      </c>
      <c r="G16" s="184"/>
      <c r="H16" s="184"/>
      <c r="I16" s="184"/>
      <c r="J16" s="184"/>
      <c r="K16" s="184"/>
      <c r="L16" s="184"/>
      <c r="M16" s="184"/>
      <c r="N16" s="184"/>
      <c r="O16" s="184"/>
    </row>
    <row r="17" spans="1:15" ht="12">
      <c r="A17" s="186"/>
      <c r="B17" s="187"/>
      <c r="C17" s="188"/>
      <c r="D17" s="191"/>
      <c r="E17" s="192"/>
      <c r="F17" s="189">
        <v>1</v>
      </c>
      <c r="G17" s="192"/>
      <c r="H17" s="192"/>
      <c r="I17" s="192"/>
      <c r="J17" s="192"/>
      <c r="K17" s="192"/>
      <c r="L17" s="192"/>
      <c r="M17" s="192"/>
      <c r="N17" s="192"/>
      <c r="O17" s="191"/>
    </row>
    <row r="18" spans="1:15" ht="12">
      <c r="A18" s="182" t="str">
        <f>'Planilha orç'!A45</f>
        <v>5.0</v>
      </c>
      <c r="B18" s="183" t="str">
        <f>'Planilha orç'!D45</f>
        <v>PLAYGROUND</v>
      </c>
      <c r="C18" s="184">
        <f>'Planilha orç'!J45</f>
        <v>10759.188803999999</v>
      </c>
      <c r="D18" s="184"/>
      <c r="E18" s="184"/>
      <c r="F18" s="184">
        <f t="shared" ref="F18" si="4">($C18*F19)</f>
        <v>10759.188803999999</v>
      </c>
      <c r="G18" s="184"/>
      <c r="H18" s="184"/>
      <c r="I18" s="184"/>
      <c r="J18" s="184"/>
      <c r="K18" s="184"/>
      <c r="L18" s="184"/>
      <c r="M18" s="184"/>
      <c r="N18" s="184"/>
      <c r="O18" s="184"/>
    </row>
    <row r="19" spans="1:15" ht="12">
      <c r="A19" s="186"/>
      <c r="B19" s="187"/>
      <c r="C19" s="188"/>
      <c r="D19" s="192"/>
      <c r="E19" s="188"/>
      <c r="F19" s="189">
        <v>1</v>
      </c>
      <c r="G19" s="192"/>
      <c r="H19" s="192"/>
      <c r="I19" s="192"/>
      <c r="J19" s="191"/>
      <c r="K19" s="191"/>
      <c r="L19" s="191"/>
      <c r="M19" s="191"/>
      <c r="N19" s="192"/>
      <c r="O19" s="191"/>
    </row>
    <row r="20" spans="1:15" ht="12">
      <c r="A20" s="182" t="str">
        <f>'Planilha orç'!A47</f>
        <v>6.0</v>
      </c>
      <c r="B20" s="209" t="str">
        <f>'Planilha orç'!D47</f>
        <v>INSTALAÇÕES HIDROSSANITÁRIAS</v>
      </c>
      <c r="C20" s="184">
        <f>'Planilha orç'!J47</f>
        <v>7757.0658480000002</v>
      </c>
      <c r="D20" s="184">
        <f t="shared" ref="D20" si="5">($C20*D21)</f>
        <v>7757.0658480000002</v>
      </c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</row>
    <row r="21" spans="1:15" ht="12">
      <c r="A21" s="186"/>
      <c r="B21" s="187"/>
      <c r="C21" s="188"/>
      <c r="D21" s="189">
        <v>1</v>
      </c>
      <c r="E21" s="192"/>
      <c r="F21" s="192"/>
      <c r="G21" s="188"/>
      <c r="H21" s="192"/>
      <c r="I21" s="192"/>
      <c r="J21" s="192"/>
      <c r="K21" s="192"/>
      <c r="L21" s="191"/>
      <c r="M21" s="191"/>
      <c r="N21" s="191"/>
      <c r="O21" s="191"/>
    </row>
    <row r="22" spans="1:15" ht="12">
      <c r="A22" s="182" t="str">
        <f>'Planilha orç'!A62</f>
        <v>7.0</v>
      </c>
      <c r="B22" s="183" t="str">
        <f>'Planilha orç'!D62</f>
        <v>INSTALAÇÕES ELÉTRICAS</v>
      </c>
      <c r="C22" s="184">
        <f>'Planilha orç'!J62</f>
        <v>9483.7757279999987</v>
      </c>
      <c r="D22" s="184">
        <f t="shared" ref="D22:D24" si="6">($C22*D23)</f>
        <v>9483.7757279999987</v>
      </c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</row>
    <row r="23" spans="1:15" ht="12">
      <c r="A23" s="186"/>
      <c r="B23" s="187"/>
      <c r="C23" s="188"/>
      <c r="D23" s="189">
        <v>1</v>
      </c>
      <c r="E23" s="192"/>
      <c r="F23" s="192"/>
      <c r="G23" s="191"/>
      <c r="H23" s="192"/>
      <c r="I23" s="192"/>
      <c r="J23" s="192"/>
      <c r="K23" s="192"/>
      <c r="L23" s="192"/>
      <c r="M23" s="191"/>
      <c r="N23" s="191"/>
      <c r="O23" s="192"/>
    </row>
    <row r="24" spans="1:15" ht="12">
      <c r="A24" s="262" t="str">
        <f>'Planilha orç'!A68</f>
        <v>8.0</v>
      </c>
      <c r="B24" s="183" t="str">
        <f>'Planilha orç'!D68</f>
        <v>COBERTURA</v>
      </c>
      <c r="C24" s="184">
        <f>'Planilha orç'!J68</f>
        <v>32354.35278768</v>
      </c>
      <c r="D24" s="184">
        <f t="shared" si="6"/>
        <v>32354.35278768</v>
      </c>
      <c r="E24" s="184"/>
      <c r="F24" s="184"/>
      <c r="G24" s="191"/>
      <c r="H24" s="192"/>
      <c r="I24" s="192"/>
      <c r="J24" s="192"/>
      <c r="K24" s="192"/>
      <c r="L24" s="192"/>
      <c r="M24" s="191"/>
      <c r="N24" s="191"/>
      <c r="O24" s="192"/>
    </row>
    <row r="25" spans="1:15" ht="12">
      <c r="A25" s="186"/>
      <c r="B25" s="187"/>
      <c r="C25" s="188"/>
      <c r="D25" s="189">
        <v>1</v>
      </c>
      <c r="E25" s="192"/>
      <c r="F25" s="192"/>
      <c r="G25" s="191"/>
      <c r="H25" s="192"/>
      <c r="I25" s="192"/>
      <c r="J25" s="192"/>
      <c r="K25" s="192"/>
      <c r="L25" s="192"/>
      <c r="M25" s="191"/>
      <c r="N25" s="191"/>
      <c r="O25" s="192"/>
    </row>
    <row r="26" spans="1:15" s="193" customFormat="1" ht="12">
      <c r="A26" s="376" t="s">
        <v>141</v>
      </c>
      <c r="B26" s="376"/>
      <c r="C26" s="376"/>
      <c r="D26" s="184">
        <f>D10+D12+D14+D16+D18+D20+D22+D24</f>
        <v>63714.58671648</v>
      </c>
      <c r="E26" s="184">
        <f t="shared" ref="E26:F26" si="7">E10+E12+E14+E16+E18+E20+E22+E24</f>
        <v>50605.485415967996</v>
      </c>
      <c r="F26" s="184">
        <f t="shared" si="7"/>
        <v>42348.778419360002</v>
      </c>
      <c r="G26" s="184">
        <f t="shared" ref="G26:O26" si="8">G10+G12+G14+G16+G18+G20+G22</f>
        <v>0</v>
      </c>
      <c r="H26" s="184">
        <f t="shared" si="8"/>
        <v>0</v>
      </c>
      <c r="I26" s="184">
        <f t="shared" si="8"/>
        <v>0</v>
      </c>
      <c r="J26" s="184">
        <f t="shared" si="8"/>
        <v>0</v>
      </c>
      <c r="K26" s="184">
        <f t="shared" si="8"/>
        <v>0</v>
      </c>
      <c r="L26" s="184">
        <f t="shared" si="8"/>
        <v>0</v>
      </c>
      <c r="M26" s="184">
        <f t="shared" si="8"/>
        <v>0</v>
      </c>
      <c r="N26" s="184">
        <f t="shared" si="8"/>
        <v>0</v>
      </c>
      <c r="O26" s="184">
        <f t="shared" si="8"/>
        <v>0</v>
      </c>
    </row>
    <row r="27" spans="1:15" s="194" customFormat="1" ht="12">
      <c r="A27" s="186"/>
      <c r="B27" s="186"/>
      <c r="C27" s="186"/>
      <c r="D27" s="189">
        <f>D26/$D$32</f>
        <v>0.40668318234332462</v>
      </c>
      <c r="E27" s="189">
        <f t="shared" ref="E27:O27" si="9">E26/$D$32</f>
        <v>0.32300923404830584</v>
      </c>
      <c r="F27" s="189">
        <f t="shared" si="9"/>
        <v>0.27030758360836959</v>
      </c>
      <c r="G27" s="189">
        <f t="shared" si="9"/>
        <v>0</v>
      </c>
      <c r="H27" s="189">
        <f t="shared" si="9"/>
        <v>0</v>
      </c>
      <c r="I27" s="189">
        <f t="shared" si="9"/>
        <v>0</v>
      </c>
      <c r="J27" s="189">
        <f t="shared" si="9"/>
        <v>0</v>
      </c>
      <c r="K27" s="189">
        <f t="shared" si="9"/>
        <v>0</v>
      </c>
      <c r="L27" s="189">
        <f t="shared" si="9"/>
        <v>0</v>
      </c>
      <c r="M27" s="189">
        <f t="shared" si="9"/>
        <v>0</v>
      </c>
      <c r="N27" s="189">
        <f t="shared" si="9"/>
        <v>0</v>
      </c>
      <c r="O27" s="189">
        <f t="shared" si="9"/>
        <v>0</v>
      </c>
    </row>
    <row r="28" spans="1:15" s="194" customFormat="1" ht="12">
      <c r="A28" s="186"/>
      <c r="B28" s="186"/>
      <c r="C28" s="186"/>
      <c r="D28" s="188"/>
      <c r="E28" s="188"/>
      <c r="F28" s="188"/>
      <c r="G28" s="188"/>
      <c r="H28" s="195"/>
      <c r="I28" s="195"/>
      <c r="J28" s="196"/>
      <c r="K28" s="196"/>
      <c r="L28" s="196"/>
      <c r="M28" s="196"/>
      <c r="N28" s="196"/>
      <c r="O28" s="196"/>
    </row>
    <row r="29" spans="1:15" s="193" customFormat="1" ht="12">
      <c r="A29" s="376" t="s">
        <v>142</v>
      </c>
      <c r="B29" s="376"/>
      <c r="C29" s="376"/>
      <c r="D29" s="184">
        <f>D26</f>
        <v>63714.58671648</v>
      </c>
      <c r="E29" s="184">
        <f t="shared" ref="E29:O29" si="10">SUM(E26,D29)</f>
        <v>114320.072132448</v>
      </c>
      <c r="F29" s="184">
        <f t="shared" si="10"/>
        <v>156668.85055180799</v>
      </c>
      <c r="G29" s="184">
        <f t="shared" si="10"/>
        <v>156668.85055180799</v>
      </c>
      <c r="H29" s="184">
        <f t="shared" si="10"/>
        <v>156668.85055180799</v>
      </c>
      <c r="I29" s="184">
        <f t="shared" si="10"/>
        <v>156668.85055180799</v>
      </c>
      <c r="J29" s="184">
        <f t="shared" si="10"/>
        <v>156668.85055180799</v>
      </c>
      <c r="K29" s="184">
        <f t="shared" si="10"/>
        <v>156668.85055180799</v>
      </c>
      <c r="L29" s="184">
        <f t="shared" si="10"/>
        <v>156668.85055180799</v>
      </c>
      <c r="M29" s="184">
        <f t="shared" si="10"/>
        <v>156668.85055180799</v>
      </c>
      <c r="N29" s="184">
        <f t="shared" si="10"/>
        <v>156668.85055180799</v>
      </c>
      <c r="O29" s="184">
        <f t="shared" si="10"/>
        <v>156668.85055180799</v>
      </c>
    </row>
    <row r="30" spans="1:15" s="194" customFormat="1" ht="11.4">
      <c r="A30" s="176"/>
      <c r="B30" s="176"/>
      <c r="C30" s="176"/>
      <c r="D30" s="189">
        <f>D27</f>
        <v>0.40668318234332462</v>
      </c>
      <c r="E30" s="189">
        <f>E27+D30</f>
        <v>0.72969241639163052</v>
      </c>
      <c r="F30" s="189">
        <f>F27+E30</f>
        <v>1</v>
      </c>
      <c r="G30" s="189">
        <f t="shared" ref="G30:O30" si="11">G27+F30</f>
        <v>1</v>
      </c>
      <c r="H30" s="189">
        <f t="shared" si="11"/>
        <v>1</v>
      </c>
      <c r="I30" s="189">
        <f t="shared" si="11"/>
        <v>1</v>
      </c>
      <c r="J30" s="189">
        <f t="shared" si="11"/>
        <v>1</v>
      </c>
      <c r="K30" s="189">
        <f t="shared" si="11"/>
        <v>1</v>
      </c>
      <c r="L30" s="189">
        <f t="shared" si="11"/>
        <v>1</v>
      </c>
      <c r="M30" s="189">
        <f t="shared" si="11"/>
        <v>1</v>
      </c>
      <c r="N30" s="189">
        <f t="shared" si="11"/>
        <v>1</v>
      </c>
      <c r="O30" s="189">
        <f t="shared" si="11"/>
        <v>1</v>
      </c>
    </row>
    <row r="31" spans="1:15" s="194" customFormat="1" ht="10.8" thickBot="1">
      <c r="A31" s="197"/>
      <c r="B31" s="198"/>
      <c r="C31" s="198"/>
      <c r="D31" s="199"/>
      <c r="E31" s="199"/>
      <c r="F31" s="199"/>
      <c r="G31" s="200"/>
      <c r="H31" s="201"/>
      <c r="I31" s="201"/>
      <c r="J31" s="202"/>
      <c r="K31" s="202"/>
      <c r="L31" s="202"/>
      <c r="M31" s="202"/>
      <c r="N31" s="202"/>
      <c r="O31" s="202"/>
    </row>
    <row r="32" spans="1:15" s="203" customFormat="1" ht="15.6" customHeight="1" thickTop="1" thickBot="1">
      <c r="A32" s="377" t="s">
        <v>143</v>
      </c>
      <c r="B32" s="377"/>
      <c r="C32" s="377"/>
      <c r="D32" s="378">
        <f>SUM(D26:O26)</f>
        <v>156668.85055180799</v>
      </c>
      <c r="E32" s="379"/>
      <c r="F32" s="379"/>
      <c r="G32" s="379"/>
      <c r="H32" s="379"/>
      <c r="I32" s="379"/>
      <c r="J32" s="379"/>
      <c r="K32" s="379"/>
      <c r="L32" s="379"/>
      <c r="M32" s="379"/>
      <c r="N32" s="379"/>
      <c r="O32" s="379"/>
    </row>
    <row r="33" spans="2:9" ht="11.4" thickTop="1" thickBot="1">
      <c r="C33" s="165"/>
      <c r="D33" s="165"/>
      <c r="E33" s="165"/>
      <c r="F33" s="165"/>
      <c r="G33" s="165"/>
    </row>
    <row r="34" spans="2:9" ht="10.8" thickBot="1">
      <c r="C34" s="204">
        <f>SUM(C9:C23)</f>
        <v>124314.497764128</v>
      </c>
      <c r="D34" s="165"/>
      <c r="E34" s="165"/>
      <c r="F34" s="165"/>
      <c r="G34" s="165"/>
    </row>
    <row r="35" spans="2:9">
      <c r="B35" s="205" t="s">
        <v>144</v>
      </c>
      <c r="C35" s="206" t="e">
        <f>'[4]ORÇAMENTO SEM DESON'!#REF!/4</f>
        <v>#REF!</v>
      </c>
      <c r="D35" s="207" t="e">
        <f>D26-$C$35</f>
        <v>#REF!</v>
      </c>
      <c r="E35" s="207" t="e">
        <f t="shared" ref="E35:G35" si="12">E26-$C$35</f>
        <v>#REF!</v>
      </c>
      <c r="F35" s="207" t="e">
        <f t="shared" si="12"/>
        <v>#REF!</v>
      </c>
      <c r="G35" s="207" t="e">
        <f t="shared" si="12"/>
        <v>#REF!</v>
      </c>
    </row>
    <row r="36" spans="2:9">
      <c r="C36" s="207" t="e">
        <f>D32-'[4]ORÇAMENTO SEM DESON'!#REF!</f>
        <v>#REF!</v>
      </c>
      <c r="D36" s="208" t="e">
        <f>D35/$C$34</f>
        <v>#REF!</v>
      </c>
      <c r="E36" s="208" t="e">
        <f t="shared" ref="E36:G36" si="13">E35/$C$34</f>
        <v>#REF!</v>
      </c>
      <c r="F36" s="208" t="e">
        <f t="shared" si="13"/>
        <v>#REF!</v>
      </c>
      <c r="G36" s="208" t="e">
        <f t="shared" si="13"/>
        <v>#REF!</v>
      </c>
    </row>
    <row r="37" spans="2:9">
      <c r="D37" s="165"/>
      <c r="E37" s="165"/>
      <c r="F37" s="165"/>
      <c r="G37" s="165"/>
    </row>
    <row r="39" spans="2:9">
      <c r="F39" s="165"/>
      <c r="G39" s="165"/>
      <c r="H39" s="166"/>
      <c r="I39" s="166"/>
    </row>
  </sheetData>
  <mergeCells count="10">
    <mergeCell ref="A26:C26"/>
    <mergeCell ref="A29:C29"/>
    <mergeCell ref="A32:C32"/>
    <mergeCell ref="D32:O32"/>
    <mergeCell ref="A1:O1"/>
    <mergeCell ref="A3:G3"/>
    <mergeCell ref="A7:A8"/>
    <mergeCell ref="B7:B8"/>
    <mergeCell ref="C7:C8"/>
    <mergeCell ref="D7:O7"/>
  </mergeCells>
  <printOptions horizontalCentered="1"/>
  <pageMargins left="0.51181102362204722" right="0.51181102362204722" top="1.2598425196850394" bottom="0.78740157480314965" header="0.31496062992125984" footer="0.31496062992125984"/>
  <pageSetup paperSize="9" orientation="landscape" horizontalDpi="360" verticalDpi="360" r:id="rId1"/>
  <headerFooter>
    <oddHeader>&amp;C&amp;G</oddHeader>
    <oddFooter>&amp;RPág. &amp;P de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B1:G69"/>
  <sheetViews>
    <sheetView view="pageBreakPreview" topLeftCell="A29" zoomScaleSheetLayoutView="100" workbookViewId="0">
      <selection activeCell="B14" sqref="B14:D14"/>
    </sheetView>
  </sheetViews>
  <sheetFormatPr defaultColWidth="9.109375" defaultRowHeight="13.8"/>
  <cols>
    <col min="1" max="1" width="1.109375" style="41" customWidth="1"/>
    <col min="2" max="2" width="75.6640625" style="41" customWidth="1"/>
    <col min="3" max="3" width="10.109375" style="43" customWidth="1"/>
    <col min="4" max="4" width="12" style="43" customWidth="1"/>
    <col min="5" max="5" width="11.44140625" style="41" customWidth="1"/>
    <col min="6" max="6" width="62.5546875" style="41" customWidth="1"/>
    <col min="7" max="16384" width="9.109375" style="41"/>
  </cols>
  <sheetData>
    <row r="1" spans="2:4" hidden="1"/>
    <row r="2" spans="2:4" hidden="1"/>
    <row r="3" spans="2:4" hidden="1"/>
    <row r="4" spans="2:4" hidden="1"/>
    <row r="5" spans="2:4" hidden="1"/>
    <row r="6" spans="2:4" hidden="1"/>
    <row r="7" spans="2:4" hidden="1"/>
    <row r="8" spans="2:4" hidden="1"/>
    <row r="9" spans="2:4" hidden="1"/>
    <row r="10" spans="2:4" hidden="1"/>
    <row r="11" spans="2:4" ht="15.6">
      <c r="B11" s="390" t="s">
        <v>17</v>
      </c>
      <c r="C11" s="390"/>
      <c r="D11" s="390"/>
    </row>
    <row r="12" spans="2:4" s="10" customFormat="1" ht="54.6" customHeight="1">
      <c r="B12" s="397" t="s">
        <v>54</v>
      </c>
      <c r="C12" s="397"/>
      <c r="D12" s="397"/>
    </row>
    <row r="13" spans="2:4" s="13" customFormat="1" ht="10.199999999999999">
      <c r="B13" s="12"/>
      <c r="C13" s="12"/>
      <c r="D13" s="12"/>
    </row>
    <row r="14" spans="2:4" s="10" customFormat="1" ht="15.6">
      <c r="B14" s="390" t="s">
        <v>19</v>
      </c>
      <c r="C14" s="390"/>
      <c r="D14" s="390"/>
    </row>
    <row r="15" spans="2:4" s="10" customFormat="1" ht="13.2">
      <c r="B15" s="14"/>
      <c r="C15" s="14"/>
      <c r="D15" s="14"/>
    </row>
    <row r="16" spans="2:4" s="3" customFormat="1" ht="30" customHeight="1">
      <c r="B16" s="398" t="s">
        <v>347</v>
      </c>
      <c r="C16" s="398"/>
      <c r="D16" s="398"/>
    </row>
    <row r="17" spans="2:6" s="3" customFormat="1">
      <c r="B17" s="398" t="s">
        <v>52</v>
      </c>
      <c r="C17" s="398"/>
      <c r="D17" s="398"/>
    </row>
    <row r="18" spans="2:6" s="10" customFormat="1">
      <c r="B18" s="399" t="s">
        <v>345</v>
      </c>
      <c r="C18" s="400"/>
      <c r="D18" s="400"/>
    </row>
    <row r="19" spans="2:6" s="10" customFormat="1" ht="13.2">
      <c r="B19" s="15"/>
      <c r="C19" s="16"/>
      <c r="D19" s="16"/>
    </row>
    <row r="20" spans="2:6" s="10" customFormat="1">
      <c r="B20" s="17" t="s">
        <v>20</v>
      </c>
      <c r="C20" s="18" t="s">
        <v>21</v>
      </c>
      <c r="D20" s="18" t="s">
        <v>22</v>
      </c>
      <c r="F20" s="19" t="s">
        <v>23</v>
      </c>
    </row>
    <row r="21" spans="2:6" s="10" customFormat="1">
      <c r="B21" s="20"/>
      <c r="C21" s="21"/>
      <c r="D21" s="21"/>
    </row>
    <row r="22" spans="2:6" s="10" customFormat="1">
      <c r="B22" s="22" t="s">
        <v>24</v>
      </c>
      <c r="C22" s="23" t="s">
        <v>11</v>
      </c>
      <c r="D22" s="24">
        <v>0.05</v>
      </c>
      <c r="E22" s="10" t="s">
        <v>25</v>
      </c>
      <c r="F22" s="25" t="s">
        <v>57</v>
      </c>
    </row>
    <row r="23" spans="2:6" s="10" customFormat="1">
      <c r="B23" s="22"/>
      <c r="C23" s="23"/>
      <c r="D23" s="26"/>
    </row>
    <row r="24" spans="2:6" s="10" customFormat="1">
      <c r="B24" s="22" t="s">
        <v>26</v>
      </c>
      <c r="C24" s="23" t="s">
        <v>13</v>
      </c>
      <c r="D24" s="24">
        <v>5.8999999999999999E-3</v>
      </c>
      <c r="E24" s="10" t="s">
        <v>25</v>
      </c>
      <c r="F24" s="25" t="s">
        <v>60</v>
      </c>
    </row>
    <row r="25" spans="2:6" s="10" customFormat="1">
      <c r="B25" s="22"/>
      <c r="C25" s="23"/>
      <c r="D25" s="27"/>
    </row>
    <row r="26" spans="2:6" s="10" customFormat="1">
      <c r="B26" s="22" t="s">
        <v>27</v>
      </c>
      <c r="C26" s="23" t="s">
        <v>12</v>
      </c>
      <c r="D26" s="24">
        <v>9.7000000000000003E-3</v>
      </c>
      <c r="E26" s="10" t="s">
        <v>25</v>
      </c>
      <c r="F26" s="25" t="s">
        <v>58</v>
      </c>
    </row>
    <row r="27" spans="2:6" s="10" customFormat="1">
      <c r="B27" s="22"/>
      <c r="C27" s="23"/>
      <c r="D27" s="27"/>
    </row>
    <row r="28" spans="2:6" s="10" customFormat="1">
      <c r="B28" s="28" t="s">
        <v>28</v>
      </c>
      <c r="C28" s="29" t="s">
        <v>29</v>
      </c>
      <c r="D28" s="30">
        <v>8.0000000000000002E-3</v>
      </c>
      <c r="E28" s="10" t="s">
        <v>30</v>
      </c>
      <c r="F28" s="401" t="s">
        <v>59</v>
      </c>
    </row>
    <row r="29" spans="2:6" s="10" customFormat="1">
      <c r="B29" s="22"/>
      <c r="C29" s="23"/>
      <c r="D29" s="31"/>
      <c r="F29" s="402"/>
    </row>
    <row r="30" spans="2:6" s="10" customFormat="1">
      <c r="B30" s="22" t="s">
        <v>31</v>
      </c>
      <c r="C30" s="23" t="s">
        <v>31</v>
      </c>
      <c r="D30" s="31">
        <v>0.03</v>
      </c>
    </row>
    <row r="31" spans="2:6" s="10" customFormat="1">
      <c r="B31" s="22" t="s">
        <v>32</v>
      </c>
      <c r="C31" s="23" t="s">
        <v>15</v>
      </c>
      <c r="D31" s="31">
        <v>0.02</v>
      </c>
      <c r="E31" s="32">
        <f>0.05*0.4</f>
        <v>2.0000000000000004E-2</v>
      </c>
    </row>
    <row r="32" spans="2:6" s="10" customFormat="1">
      <c r="B32" s="22" t="s">
        <v>33</v>
      </c>
      <c r="C32" s="23" t="s">
        <v>33</v>
      </c>
      <c r="D32" s="31">
        <v>6.4999999999999997E-3</v>
      </c>
    </row>
    <row r="33" spans="2:7" s="10" customFormat="1">
      <c r="B33" s="22" t="s">
        <v>34</v>
      </c>
      <c r="C33" s="23" t="s">
        <v>35</v>
      </c>
      <c r="D33" s="24">
        <f>SUM(D30:D32)</f>
        <v>5.6500000000000002E-2</v>
      </c>
    </row>
    <row r="34" spans="2:7" s="10" customFormat="1">
      <c r="B34" s="22"/>
      <c r="C34" s="23"/>
      <c r="D34" s="31"/>
    </row>
    <row r="35" spans="2:7" s="10" customFormat="1">
      <c r="B35" s="22" t="s">
        <v>36</v>
      </c>
      <c r="C35" s="23" t="s">
        <v>14</v>
      </c>
      <c r="D35" s="24">
        <v>7.7399999999999997E-2</v>
      </c>
      <c r="E35" s="10" t="s">
        <v>37</v>
      </c>
      <c r="F35" s="25" t="s">
        <v>61</v>
      </c>
    </row>
    <row r="36" spans="2:7" s="10" customFormat="1">
      <c r="B36" s="20"/>
      <c r="C36" s="21"/>
      <c r="D36" s="33"/>
    </row>
    <row r="37" spans="2:7" s="10" customFormat="1">
      <c r="B37" s="34" t="s">
        <v>38</v>
      </c>
      <c r="C37" s="35"/>
      <c r="D37" s="24">
        <f>ROUND((((1+D22+D28+D26)*(1+D24)*(1+D35))/(1-D33))-1,4)</f>
        <v>0.22639999999999999</v>
      </c>
      <c r="E37" s="403" t="s">
        <v>39</v>
      </c>
      <c r="F37" s="404"/>
    </row>
    <row r="38" spans="2:7" s="10" customFormat="1" ht="13.2">
      <c r="C38" s="11"/>
      <c r="D38" s="36"/>
      <c r="F38" s="25" t="s">
        <v>62</v>
      </c>
    </row>
    <row r="39" spans="2:7" s="10" customFormat="1" ht="13.2" customHeight="1">
      <c r="C39" s="11"/>
      <c r="D39" s="11"/>
      <c r="E39" s="391" t="s">
        <v>40</v>
      </c>
      <c r="F39" s="391"/>
      <c r="G39" s="391"/>
    </row>
    <row r="40" spans="2:7" s="10" customFormat="1" ht="13.2" hidden="1">
      <c r="C40" s="11"/>
      <c r="D40" s="11"/>
      <c r="E40" s="391"/>
      <c r="F40" s="391"/>
      <c r="G40" s="391"/>
    </row>
    <row r="41" spans="2:7" s="10" customFormat="1" ht="15">
      <c r="B41" s="37" t="s">
        <v>41</v>
      </c>
      <c r="C41" s="11"/>
      <c r="D41" s="11"/>
      <c r="E41" s="391"/>
      <c r="F41" s="391"/>
      <c r="G41" s="391"/>
    </row>
    <row r="42" spans="2:7">
      <c r="B42" s="38"/>
      <c r="C42" s="39"/>
      <c r="D42" s="40"/>
      <c r="E42" s="391"/>
      <c r="F42" s="391"/>
      <c r="G42" s="391"/>
    </row>
    <row r="43" spans="2:7">
      <c r="B43" s="42"/>
      <c r="D43" s="44"/>
    </row>
    <row r="44" spans="2:7">
      <c r="B44" s="42"/>
      <c r="D44" s="44"/>
    </row>
    <row r="45" spans="2:7">
      <c r="B45" s="42"/>
      <c r="D45" s="44"/>
    </row>
    <row r="46" spans="2:7">
      <c r="B46" s="42"/>
      <c r="D46" s="44"/>
    </row>
    <row r="47" spans="2:7">
      <c r="B47" s="45"/>
      <c r="C47" s="46"/>
      <c r="D47" s="47"/>
    </row>
    <row r="48" spans="2:7">
      <c r="B48" s="48"/>
    </row>
    <row r="49" spans="2:4">
      <c r="B49" s="48" t="s">
        <v>42</v>
      </c>
    </row>
    <row r="50" spans="2:4" s="49" customFormat="1">
      <c r="B50" s="392" t="s">
        <v>43</v>
      </c>
      <c r="C50" s="392"/>
      <c r="D50" s="392"/>
    </row>
    <row r="51" spans="2:4" s="49" customFormat="1" ht="48" customHeight="1">
      <c r="B51" s="393" t="s">
        <v>47</v>
      </c>
      <c r="C51" s="393"/>
      <c r="D51" s="393"/>
    </row>
    <row r="54" spans="2:4">
      <c r="B54" s="41" t="s">
        <v>44</v>
      </c>
    </row>
    <row r="55" spans="2:4" ht="135" customHeight="1">
      <c r="B55" s="394" t="s">
        <v>45</v>
      </c>
      <c r="C55" s="395"/>
      <c r="D55" s="396"/>
    </row>
    <row r="67" spans="2:4" s="10" customFormat="1" ht="13.2">
      <c r="C67" s="11"/>
      <c r="D67" s="11"/>
    </row>
    <row r="68" spans="2:4" s="10" customFormat="1" ht="13.2">
      <c r="C68" s="11"/>
      <c r="D68" s="11"/>
    </row>
    <row r="69" spans="2:4">
      <c r="B69" s="41" t="s">
        <v>46</v>
      </c>
    </row>
  </sheetData>
  <mergeCells count="12">
    <mergeCell ref="B11:D11"/>
    <mergeCell ref="E39:G42"/>
    <mergeCell ref="B50:D50"/>
    <mergeCell ref="B51:D51"/>
    <mergeCell ref="B55:D55"/>
    <mergeCell ref="B12:D12"/>
    <mergeCell ref="B14:D14"/>
    <mergeCell ref="B16:D16"/>
    <mergeCell ref="B17:D17"/>
    <mergeCell ref="B18:D18"/>
    <mergeCell ref="F28:F29"/>
    <mergeCell ref="E37:F37"/>
  </mergeCells>
  <printOptions horizontalCentered="1"/>
  <pageMargins left="0.59055118110236227" right="0.59055118110236227" top="1.3779527559055118" bottom="0.78740157480314965" header="0.39370078740157483" footer="0.39370078740157483"/>
  <pageSetup paperSize="9" scale="65" orientation="landscape" r:id="rId1"/>
  <headerFooter>
    <oddHeader>&amp;C&amp;G</oddHeader>
  </headerFooter>
  <rowBreaks count="1" manualBreakCount="1">
    <brk id="51" min="1" max="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9217" r:id="rId5">
          <objectPr defaultSize="0" autoPict="0" r:id="rId6">
            <anchor moveWithCells="1" sizeWithCells="1">
              <from>
                <xdr:col>1</xdr:col>
                <xdr:colOff>38100</xdr:colOff>
                <xdr:row>42</xdr:row>
                <xdr:rowOff>0</xdr:rowOff>
              </from>
              <to>
                <xdr:col>1</xdr:col>
                <xdr:colOff>4671060</xdr:colOff>
                <xdr:row>46</xdr:row>
                <xdr:rowOff>7620</xdr:rowOff>
              </to>
            </anchor>
          </objectPr>
        </oleObject>
      </mc:Choice>
      <mc:Fallback>
        <oleObject progId="Equation.3" shapeId="921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Planilha orç</vt:lpstr>
      <vt:lpstr>Memória de cálculo</vt:lpstr>
      <vt:lpstr>COMPOSIÇÕES</vt:lpstr>
      <vt:lpstr>COTAÇÕES</vt:lpstr>
      <vt:lpstr>RESUMO SEM DESON</vt:lpstr>
      <vt:lpstr>CRONOGRAMA</vt:lpstr>
      <vt:lpstr>COMP_BDI_EDIFICACOES_23,38%_SEM</vt:lpstr>
      <vt:lpstr>'COMP_BDI_EDIFICACOES_23,38%_SEM'!Area_de_impressao</vt:lpstr>
      <vt:lpstr>COMPOSIÇÕES!Area_de_impressao</vt:lpstr>
      <vt:lpstr>COTAÇÕES!Area_de_impressao</vt:lpstr>
      <vt:lpstr>CRONOGRAMA!Area_de_impressao</vt:lpstr>
      <vt:lpstr>'Memória de cálculo'!Area_de_impressao</vt:lpstr>
      <vt:lpstr>'Planilha orç'!Area_de_impressao</vt:lpstr>
      <vt:lpstr>'RESUMO SEM DESON'!Area_de_impressao</vt:lpstr>
      <vt:lpstr>COTAÇÕES!Titulos_de_impressao</vt:lpstr>
      <vt:lpstr>CRONOGRAMA!Titulos_de_impressao</vt:lpstr>
      <vt:lpstr>'RESUMO SEM DESON'!Titulos_de_impressao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Infraestrutura Araçoiaba PE</dc:creator>
  <cp:lastModifiedBy>Mario</cp:lastModifiedBy>
  <cp:lastPrinted>2022-06-09T12:17:16Z</cp:lastPrinted>
  <dcterms:created xsi:type="dcterms:W3CDTF">2015-12-21T18:24:38Z</dcterms:created>
  <dcterms:modified xsi:type="dcterms:W3CDTF">2022-06-22T17:22:23Z</dcterms:modified>
</cp:coreProperties>
</file>