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24226"/>
  <xr:revisionPtr revIDLastSave="0" documentId="13_ncr:1_{96DB18CD-3A1C-4765-9F60-7F0ACB2AB668}" xr6:coauthVersionLast="47" xr6:coauthVersionMax="47" xr10:uidLastSave="{00000000-0000-0000-0000-000000000000}"/>
  <bookViews>
    <workbookView xWindow="-108" yWindow="-108" windowWidth="23256" windowHeight="12456" tabRatio="867" xr2:uid="{00000000-000D-0000-FFFF-FFFF00000000}"/>
  </bookViews>
  <sheets>
    <sheet name="RESUMO SEM DESON" sheetId="47" r:id="rId1"/>
    <sheet name="ORÇAMENTO SEM DESON" sheetId="45" r:id="rId2"/>
    <sheet name="MEMORIA DE CALCULO" sheetId="44" r:id="rId3"/>
    <sheet name="COMPOSICOES" sheetId="50" r:id="rId4"/>
    <sheet name="CRONOGRAMA" sheetId="31" r:id="rId5"/>
    <sheet name="COMP_BDI_EDIFICACOES_20,84%_SEM" sheetId="37" r:id="rId6"/>
    <sheet name="COTAÇÕES" sheetId="51" r:id="rId7"/>
  </sheets>
  <externalReferences>
    <externalReference r:id="rId8"/>
    <externalReference r:id="rId9"/>
    <externalReference r:id="rId10"/>
  </externalReferences>
  <definedNames>
    <definedName name="_xlnm._FilterDatabase" localSheetId="3" hidden="1">COMPOSICOES!$A$9:$G$34</definedName>
    <definedName name="_xlnm._FilterDatabase" localSheetId="6" hidden="1">COTAÇÕES!$A$8:$F$30</definedName>
    <definedName name="_xlnm._FilterDatabase" localSheetId="1" hidden="1">'ORÇAMENTO SEM DESON'!$A$8:$I$60</definedName>
    <definedName name="_xlnm._FilterDatabase" localSheetId="0" hidden="1">'RESUMO SEM DESON'!$A$8:$C$31</definedName>
    <definedName name="ADITIVO" localSheetId="3">#REF!</definedName>
    <definedName name="ADITIVO">#REF!</definedName>
    <definedName name="AF">#REF!</definedName>
    <definedName name="AFF">#REF!</definedName>
    <definedName name="AFFF">#REF!</definedName>
    <definedName name="AFFFF">#REF!</definedName>
    <definedName name="AFFFFFF">#REF!</definedName>
    <definedName name="AFFFFFFF">#REF!</definedName>
    <definedName name="AFFFFFFFF">#REF!</definedName>
    <definedName name="AFFFFFFFFFFF">#REF!</definedName>
    <definedName name="AFFFFFFFFFFFFF">#REF!</definedName>
    <definedName name="AFFFFFFFFFFFFFFF">#REF!</definedName>
    <definedName name="_xlnm.Print_Area" localSheetId="5">'COMP_BDI_EDIFICACOES_20,84%_SEM'!$B$2:$D$44</definedName>
    <definedName name="_xlnm.Print_Area" localSheetId="3">COMPOSICOES!$A$1:$G$34</definedName>
    <definedName name="_xlnm.Print_Area" localSheetId="6">COTAÇÕES!$A$1:$F$30</definedName>
    <definedName name="_xlnm.Print_Area" localSheetId="4">CRONOGRAMA!$A$1:$O$37</definedName>
    <definedName name="_xlnm.Print_Area" localSheetId="2">'MEMORIA DE CALCULO'!$A$1:$J$290</definedName>
    <definedName name="_xlnm.Print_Area" localSheetId="1">'ORÇAMENTO SEM DESON'!$A$1:$I$61</definedName>
    <definedName name="_xlnm.Print_Area" localSheetId="0">'RESUMO SEM DESON'!$A$1:$D$30</definedName>
    <definedName name="AreaTeste" localSheetId="5">#REF!</definedName>
    <definedName name="AreaTeste" localSheetId="3">#REF!</definedName>
    <definedName name="AreaTeste" localSheetId="6">#REF!</definedName>
    <definedName name="AreaTeste" localSheetId="2">#REF!</definedName>
    <definedName name="AreaTeste" localSheetId="1">#REF!</definedName>
    <definedName name="AreaTeste" localSheetId="0">#REF!</definedName>
    <definedName name="AreaTeste">#REF!</definedName>
    <definedName name="AreaTeste2" localSheetId="5">#REF!</definedName>
    <definedName name="AreaTeste2" localSheetId="3">#REF!</definedName>
    <definedName name="AreaTeste2" localSheetId="6">#REF!</definedName>
    <definedName name="AreaTeste2" localSheetId="2">#REF!</definedName>
    <definedName name="AreaTeste2" localSheetId="1">#REF!</definedName>
    <definedName name="AreaTeste2" localSheetId="0">#REF!</definedName>
    <definedName name="AreaTeste2">#REF!</definedName>
    <definedName name="CélulaInicioPlanilha" localSheetId="5">#REF!</definedName>
    <definedName name="CélulaInicioPlanilha" localSheetId="3">#REF!</definedName>
    <definedName name="CélulaInicioPlanilha" localSheetId="6">#REF!</definedName>
    <definedName name="CélulaInicioPlanilha" localSheetId="2">#REF!</definedName>
    <definedName name="CélulaInicioPlanilha" localSheetId="1">#REF!</definedName>
    <definedName name="CélulaInicioPlanilha" localSheetId="0">#REF!</definedName>
    <definedName name="CélulaInicioPlanilha">#REF!</definedName>
    <definedName name="CélulaResumo" localSheetId="5">#REF!</definedName>
    <definedName name="CélulaResumo" localSheetId="3">#REF!</definedName>
    <definedName name="CélulaResumo" localSheetId="6">#REF!</definedName>
    <definedName name="CélulaResumo" localSheetId="2">#REF!</definedName>
    <definedName name="CélulaResumo" localSheetId="1">#REF!</definedName>
    <definedName name="CélulaResumo" localSheetId="0">#REF!</definedName>
    <definedName name="CélulaResumo">#REF!</definedName>
    <definedName name="fdfd" localSheetId="5">#REF!</definedName>
    <definedName name="fdfd" localSheetId="3">#REF!</definedName>
    <definedName name="fdfd" localSheetId="6">#REF!</definedName>
    <definedName name="fdfd" localSheetId="2">#REF!</definedName>
    <definedName name="fdfd" localSheetId="1">#REF!</definedName>
    <definedName name="fdfd" localSheetId="0">#REF!</definedName>
    <definedName name="fdfd">#REF!</definedName>
    <definedName name="FFF">#REF!</definedName>
    <definedName name="GGGG">#REF!</definedName>
    <definedName name="HHHHH">#REF!</definedName>
    <definedName name="jfhdskjg" localSheetId="5">#REF!</definedName>
    <definedName name="jfhdskjg" localSheetId="3">#REF!</definedName>
    <definedName name="jfhdskjg" localSheetId="6">#REF!</definedName>
    <definedName name="jfhdskjg" localSheetId="2">#REF!</definedName>
    <definedName name="jfhdskjg" localSheetId="1">#REF!</definedName>
    <definedName name="jfhdskjg" localSheetId="0">#REF!</definedName>
    <definedName name="jfhdskjg">#REF!</definedName>
    <definedName name="orçamento" localSheetId="5">#REF!</definedName>
    <definedName name="orçamento" localSheetId="3">#REF!</definedName>
    <definedName name="orçamento" localSheetId="6">#REF!</definedName>
    <definedName name="orçamento" localSheetId="2">#REF!</definedName>
    <definedName name="orçamento" localSheetId="1">#REF!</definedName>
    <definedName name="orçamento" localSheetId="0">#REF!</definedName>
    <definedName name="orçamento">#REF!</definedName>
    <definedName name="PINTURA">#REF!</definedName>
    <definedName name="RESUMO">#REF!</definedName>
    <definedName name="TABELA" localSheetId="5">'[2]PLANILHA FONTE'!$B$1:$G$290</definedName>
    <definedName name="TABELA" localSheetId="3">'[1]PLANILHA FONTE'!$B$1:$G$290</definedName>
    <definedName name="TABELA" localSheetId="6">'[1]PLANILHA FONTE'!$B$1:$G$290</definedName>
    <definedName name="TABELA">'[1]PLANILHA FONTE'!$B$1:$G$290</definedName>
    <definedName name="_xlnm.Print_Titles" localSheetId="3">COMPOSICOES!$1:$9</definedName>
    <definedName name="_xlnm.Print_Titles" localSheetId="6">COTAÇÕES!$1:$8</definedName>
    <definedName name="_xlnm.Print_Titles" localSheetId="4">CRONOGRAMA!$1:$10</definedName>
    <definedName name="_xlnm.Print_Titles" localSheetId="2">'MEMORIA DE CALCULO'!$3:$9</definedName>
    <definedName name="_xlnm.Print_Titles" localSheetId="1">'ORÇAMENTO SEM DESON'!$2:$8</definedName>
    <definedName name="_xlnm.Print_Titles" localSheetId="0">'RESUMO SEM DESON'!$1:$8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51" l="1"/>
  <c r="C27" i="31"/>
  <c r="C25" i="31"/>
  <c r="C23" i="31"/>
  <c r="C21" i="31"/>
  <c r="C19" i="31"/>
  <c r="C17" i="31"/>
  <c r="C15" i="31"/>
  <c r="C13" i="31"/>
  <c r="C11" i="31"/>
  <c r="I49" i="45"/>
  <c r="I44" i="45"/>
  <c r="I39" i="45"/>
  <c r="I32" i="45"/>
  <c r="I26" i="45"/>
  <c r="I21" i="45"/>
  <c r="I16" i="45"/>
  <c r="I13" i="45"/>
  <c r="I9" i="45"/>
  <c r="F222" i="44"/>
  <c r="F221" i="44"/>
  <c r="F220" i="44"/>
  <c r="J20" i="44"/>
  <c r="J27" i="44"/>
  <c r="J32" i="44"/>
  <c r="J45" i="44"/>
  <c r="J57" i="44"/>
  <c r="J75" i="44"/>
  <c r="J81" i="44"/>
  <c r="J88" i="44"/>
  <c r="J101" i="44"/>
  <c r="J114" i="44"/>
  <c r="J122" i="44"/>
  <c r="J128" i="44"/>
  <c r="J132" i="44"/>
  <c r="J142" i="44"/>
  <c r="J150" i="44"/>
  <c r="J157" i="44"/>
  <c r="J166" i="44"/>
  <c r="J176" i="44"/>
  <c r="J180" i="44"/>
  <c r="J189" i="44"/>
  <c r="J194" i="44"/>
  <c r="J198" i="44"/>
  <c r="J205" i="44"/>
  <c r="J211" i="44"/>
  <c r="J217" i="44"/>
  <c r="J230" i="44"/>
  <c r="J234" i="44"/>
  <c r="J238" i="44"/>
  <c r="J243" i="44"/>
  <c r="J250" i="44"/>
  <c r="J255" i="44"/>
  <c r="J259" i="44"/>
  <c r="J263" i="44"/>
  <c r="J270" i="44"/>
  <c r="J276" i="44"/>
  <c r="J282" i="44"/>
  <c r="J285" i="44"/>
  <c r="J286" i="44" s="1"/>
  <c r="J290" i="44"/>
  <c r="J281" i="44"/>
  <c r="E287" i="44"/>
  <c r="A287" i="44"/>
  <c r="D59" i="45"/>
  <c r="D287" i="44" s="1"/>
  <c r="G18" i="50" l="1"/>
  <c r="G19" i="50" s="1"/>
  <c r="G59" i="45" s="1"/>
  <c r="H59" i="45" s="1"/>
  <c r="F18" i="50"/>
  <c r="C18" i="50"/>
  <c r="A10" i="50"/>
  <c r="J289" i="44"/>
  <c r="F59" i="45" s="1"/>
  <c r="I290" i="44"/>
  <c r="E181" i="44"/>
  <c r="D181" i="44"/>
  <c r="A181" i="44"/>
  <c r="I184" i="44" s="1"/>
  <c r="E177" i="44"/>
  <c r="D177" i="44"/>
  <c r="A177" i="44"/>
  <c r="H35" i="45"/>
  <c r="H34" i="45"/>
  <c r="I59" i="45" l="1"/>
  <c r="I54" i="45" s="1"/>
  <c r="J179" i="44"/>
  <c r="I180" i="44"/>
  <c r="D183" i="44" s="1"/>
  <c r="J229" i="44"/>
  <c r="J222" i="44"/>
  <c r="J221" i="44"/>
  <c r="J220" i="44"/>
  <c r="J214" i="44"/>
  <c r="J215" i="44"/>
  <c r="J216" i="44"/>
  <c r="J149" i="44"/>
  <c r="G140" i="44"/>
  <c r="J140" i="44" s="1"/>
  <c r="J141" i="44"/>
  <c r="F127" i="44"/>
  <c r="J127" i="44" s="1"/>
  <c r="F126" i="44"/>
  <c r="J126" i="44" s="1"/>
  <c r="F125" i="44"/>
  <c r="J26" i="44"/>
  <c r="J19" i="44"/>
  <c r="A27" i="31"/>
  <c r="B26" i="47"/>
  <c r="B27" i="31" s="1"/>
  <c r="A26" i="47"/>
  <c r="J249" i="44"/>
  <c r="E260" i="44"/>
  <c r="D260" i="44"/>
  <c r="A260" i="44"/>
  <c r="I263" i="44" s="1"/>
  <c r="J262" i="44"/>
  <c r="H53" i="45"/>
  <c r="C29" i="31" l="1"/>
  <c r="O37" i="31" s="1"/>
  <c r="I60" i="45"/>
  <c r="J223" i="44"/>
  <c r="F53" i="45"/>
  <c r="I53" i="45" s="1"/>
  <c r="F34" i="45"/>
  <c r="I34" i="45" s="1"/>
  <c r="J183" i="44"/>
  <c r="J184" i="44" l="1"/>
  <c r="F35" i="45" s="1"/>
  <c r="I35" i="45" s="1"/>
  <c r="E256" i="44"/>
  <c r="D256" i="44"/>
  <c r="A256" i="44"/>
  <c r="I259" i="44" s="1"/>
  <c r="E252" i="44"/>
  <c r="D252" i="44"/>
  <c r="A252" i="44"/>
  <c r="I255" i="44" s="1"/>
  <c r="E247" i="44"/>
  <c r="D247" i="44"/>
  <c r="A247" i="44"/>
  <c r="I250" i="44" s="1"/>
  <c r="D245" i="44"/>
  <c r="A245" i="44"/>
  <c r="H50" i="45"/>
  <c r="H52" i="45"/>
  <c r="H51" i="45"/>
  <c r="J258" i="44"/>
  <c r="J254" i="44"/>
  <c r="F50" i="45"/>
  <c r="E218" i="44"/>
  <c r="D218" i="44"/>
  <c r="A218" i="44"/>
  <c r="H43" i="45"/>
  <c r="I50" i="45" l="1"/>
  <c r="F51" i="45"/>
  <c r="I51" i="45" s="1"/>
  <c r="F52" i="45"/>
  <c r="I52" i="45" s="1"/>
  <c r="I223" i="44" l="1"/>
  <c r="F43" i="45"/>
  <c r="I43" i="45" s="1"/>
  <c r="J100" i="44"/>
  <c r="J18" i="44"/>
  <c r="J175" i="44"/>
  <c r="J74" i="44"/>
  <c r="J51" i="44"/>
  <c r="J56" i="44"/>
  <c r="J44" i="44"/>
  <c r="J96" i="44"/>
  <c r="G87" i="44"/>
  <c r="J87" i="44" s="1"/>
  <c r="J80" i="44"/>
  <c r="J69" i="44"/>
  <c r="J113" i="44"/>
  <c r="J131" i="44"/>
  <c r="E129" i="44"/>
  <c r="D129" i="44"/>
  <c r="A129" i="44"/>
  <c r="I132" i="44" s="1"/>
  <c r="H25" i="45"/>
  <c r="E195" i="44"/>
  <c r="D195" i="44"/>
  <c r="A195" i="44"/>
  <c r="I198" i="44" s="1"/>
  <c r="H38" i="45"/>
  <c r="J268" i="44"/>
  <c r="J156" i="44"/>
  <c r="E27" i="31" l="1"/>
  <c r="C26" i="47"/>
  <c r="F25" i="45"/>
  <c r="I25" i="45" s="1"/>
  <c r="F58" i="45" l="1"/>
  <c r="E283" i="44"/>
  <c r="D283" i="44"/>
  <c r="A283" i="44"/>
  <c r="H58" i="45"/>
  <c r="D12" i="50"/>
  <c r="I58" i="45" l="1"/>
  <c r="I286" i="44"/>
  <c r="D267" i="44"/>
  <c r="J125" i="44"/>
  <c r="J120" i="44"/>
  <c r="J111" i="44"/>
  <c r="J54" i="44"/>
  <c r="J50" i="44"/>
  <c r="J39" i="44"/>
  <c r="J30" i="44"/>
  <c r="G24" i="44"/>
  <c r="J24" i="44" s="1"/>
  <c r="E123" i="44"/>
  <c r="D123" i="44"/>
  <c r="A123" i="44"/>
  <c r="I128" i="44" s="1"/>
  <c r="H24" i="45"/>
  <c r="E212" i="44"/>
  <c r="D212" i="44"/>
  <c r="A212" i="44"/>
  <c r="I217" i="44" s="1"/>
  <c r="H42" i="45"/>
  <c r="I155" i="44"/>
  <c r="I165" i="44"/>
  <c r="I154" i="44"/>
  <c r="G155" i="44"/>
  <c r="H148" i="44"/>
  <c r="H165" i="44" s="1"/>
  <c r="H188" i="44" s="1"/>
  <c r="F197" i="44" s="1"/>
  <c r="H147" i="44"/>
  <c r="J147" i="44" s="1"/>
  <c r="H146" i="44"/>
  <c r="H154" i="44" s="1"/>
  <c r="G148" i="44"/>
  <c r="G139" i="44"/>
  <c r="J139" i="44" s="1"/>
  <c r="E163" i="44"/>
  <c r="D163" i="44"/>
  <c r="A163" i="44"/>
  <c r="H31" i="45"/>
  <c r="J148" i="44" l="1"/>
  <c r="F42" i="45"/>
  <c r="I42" i="45" s="1"/>
  <c r="G165" i="44"/>
  <c r="F24" i="45"/>
  <c r="I24" i="45" s="1"/>
  <c r="H155" i="44"/>
  <c r="J155" i="44" s="1"/>
  <c r="G188" i="44" l="1"/>
  <c r="J165" i="44"/>
  <c r="G197" i="44"/>
  <c r="J197" i="44" s="1"/>
  <c r="J188" i="44"/>
  <c r="I166" i="44"/>
  <c r="E186" i="44"/>
  <c r="D186" i="44"/>
  <c r="A186" i="44"/>
  <c r="H36" i="45"/>
  <c r="F38" i="45" l="1"/>
  <c r="I38" i="45" s="1"/>
  <c r="I189" i="44"/>
  <c r="G280" i="44"/>
  <c r="J280" i="44" s="1"/>
  <c r="G31" i="44"/>
  <c r="J242" i="44"/>
  <c r="G237" i="44"/>
  <c r="E235" i="44"/>
  <c r="D235" i="44"/>
  <c r="A235" i="44"/>
  <c r="I238" i="44" s="1"/>
  <c r="H47" i="45"/>
  <c r="E277" i="44"/>
  <c r="D277" i="44"/>
  <c r="A277" i="44"/>
  <c r="I282" i="44" s="1"/>
  <c r="J279" i="44"/>
  <c r="H57" i="45"/>
  <c r="J237" i="44" l="1"/>
  <c r="F36" i="45"/>
  <c r="I36" i="45" s="1"/>
  <c r="F57" i="45"/>
  <c r="I57" i="45" s="1"/>
  <c r="E28" i="44"/>
  <c r="D28" i="44"/>
  <c r="A28" i="44"/>
  <c r="I32" i="44" s="1"/>
  <c r="J31" i="44"/>
  <c r="H12" i="45"/>
  <c r="J18" i="45"/>
  <c r="J19" i="45" s="1"/>
  <c r="F31" i="31"/>
  <c r="G31" i="31"/>
  <c r="H31" i="31"/>
  <c r="I31" i="31"/>
  <c r="J31" i="31"/>
  <c r="K31" i="31"/>
  <c r="L31" i="31"/>
  <c r="M31" i="31"/>
  <c r="N31" i="31"/>
  <c r="O31" i="31"/>
  <c r="B24" i="47"/>
  <c r="A24" i="47"/>
  <c r="B25" i="31"/>
  <c r="A25" i="31"/>
  <c r="E239" i="44"/>
  <c r="D239" i="44"/>
  <c r="A239" i="44"/>
  <c r="I243" i="44" s="1"/>
  <c r="E227" i="44"/>
  <c r="D227" i="44"/>
  <c r="A227" i="44"/>
  <c r="J241" i="44"/>
  <c r="E231" i="44"/>
  <c r="D231" i="44"/>
  <c r="A231" i="44"/>
  <c r="E272" i="44"/>
  <c r="D272" i="44"/>
  <c r="A272" i="44"/>
  <c r="I276" i="44" s="1"/>
  <c r="E267" i="44"/>
  <c r="A267" i="44"/>
  <c r="I270" i="44" s="1"/>
  <c r="D265" i="44"/>
  <c r="A265" i="44"/>
  <c r="J275" i="44"/>
  <c r="J274" i="44"/>
  <c r="F55" i="45"/>
  <c r="D225" i="44"/>
  <c r="A225" i="44"/>
  <c r="F47" i="45" l="1"/>
  <c r="I47" i="45" s="1"/>
  <c r="F56" i="45"/>
  <c r="F12" i="45"/>
  <c r="I12" i="45" s="1"/>
  <c r="F48" i="45"/>
  <c r="H46" i="45" l="1"/>
  <c r="H48" i="45"/>
  <c r="H45" i="45"/>
  <c r="C11" i="51"/>
  <c r="F18" i="51"/>
  <c r="F17" i="51"/>
  <c r="F16" i="51"/>
  <c r="F12" i="51" s="1"/>
  <c r="G17" i="50"/>
  <c r="F233" i="44"/>
  <c r="J233" i="44" s="1"/>
  <c r="I234" i="44"/>
  <c r="J108" i="44"/>
  <c r="J73" i="44"/>
  <c r="G14" i="44"/>
  <c r="F31" i="45" l="1"/>
  <c r="I31" i="45" s="1"/>
  <c r="F45" i="45"/>
  <c r="I45" i="45" s="1"/>
  <c r="I48" i="45"/>
  <c r="G13" i="50"/>
  <c r="H56" i="45"/>
  <c r="E32" i="50"/>
  <c r="G32" i="50" s="1"/>
  <c r="E31" i="50"/>
  <c r="G31" i="50" s="1"/>
  <c r="E30" i="50"/>
  <c r="E29" i="51"/>
  <c r="F29" i="51" s="1"/>
  <c r="E28" i="51"/>
  <c r="F28" i="51" s="1"/>
  <c r="E27" i="51"/>
  <c r="F27" i="51" s="1"/>
  <c r="E29" i="50"/>
  <c r="C28" i="50"/>
  <c r="D23" i="50"/>
  <c r="K317" i="51"/>
  <c r="F46" i="45" l="1"/>
  <c r="I46" i="45" s="1"/>
  <c r="I56" i="45"/>
  <c r="F30" i="51"/>
  <c r="F28" i="50" s="1"/>
  <c r="E25" i="31" l="1"/>
  <c r="C24" i="47"/>
  <c r="F23" i="51"/>
  <c r="I230" i="44"/>
  <c r="J174" i="44" l="1"/>
  <c r="J173" i="44"/>
  <c r="J172" i="44"/>
  <c r="G193" i="44"/>
  <c r="F204" i="44" s="1"/>
  <c r="J15" i="44"/>
  <c r="I14" i="44"/>
  <c r="G17" i="44" l="1"/>
  <c r="F193" i="44"/>
  <c r="G138" i="44"/>
  <c r="J121" i="44"/>
  <c r="G86" i="44"/>
  <c r="G146" i="44" l="1"/>
  <c r="G154" i="44" s="1"/>
  <c r="J154" i="44" s="1"/>
  <c r="J161" i="44" s="1"/>
  <c r="J162" i="44" s="1"/>
  <c r="J138" i="44"/>
  <c r="F64" i="44"/>
  <c r="J64" i="44" s="1"/>
  <c r="J16" i="44"/>
  <c r="J119" i="44"/>
  <c r="J110" i="44"/>
  <c r="J93" i="44"/>
  <c r="J94" i="44"/>
  <c r="J95" i="44"/>
  <c r="J66" i="44"/>
  <c r="J67" i="44"/>
  <c r="J68" i="44"/>
  <c r="J71" i="44"/>
  <c r="J72" i="44"/>
  <c r="J53" i="44"/>
  <c r="J55" i="44"/>
  <c r="J41" i="44"/>
  <c r="J42" i="44"/>
  <c r="J43" i="44"/>
  <c r="J25" i="44"/>
  <c r="J17" i="44"/>
  <c r="J146" i="44" l="1"/>
  <c r="J193" i="44"/>
  <c r="F99" i="44"/>
  <c r="J99" i="44" s="1"/>
  <c r="F86" i="44"/>
  <c r="J86" i="44" s="1"/>
  <c r="F79" i="44"/>
  <c r="J204" i="44" l="1"/>
  <c r="J79" i="44"/>
  <c r="B28" i="47" l="1"/>
  <c r="B29" i="31" s="1"/>
  <c r="A28" i="47"/>
  <c r="A29" i="31" s="1"/>
  <c r="B16" i="47"/>
  <c r="B17" i="31" s="1"/>
  <c r="A16" i="47"/>
  <c r="A17" i="31" s="1"/>
  <c r="B14" i="47"/>
  <c r="B15" i="31" s="1"/>
  <c r="A14" i="47"/>
  <c r="A15" i="31" s="1"/>
  <c r="B12" i="47"/>
  <c r="B13" i="31" s="1"/>
  <c r="A12" i="47"/>
  <c r="A13" i="31" s="1"/>
  <c r="E22" i="44" l="1"/>
  <c r="D22" i="44"/>
  <c r="A22" i="44"/>
  <c r="I27" i="44" s="1"/>
  <c r="H11" i="45"/>
  <c r="E90" i="44"/>
  <c r="D90" i="44"/>
  <c r="A90" i="44"/>
  <c r="I101" i="44" s="1"/>
  <c r="H20" i="45"/>
  <c r="H55" i="45"/>
  <c r="E207" i="44"/>
  <c r="D207" i="44"/>
  <c r="A207" i="44"/>
  <c r="I211" i="44" s="1"/>
  <c r="J210" i="44"/>
  <c r="J209" i="44"/>
  <c r="H41" i="45"/>
  <c r="F41" i="45" l="1"/>
  <c r="I41" i="45" s="1"/>
  <c r="F11" i="45"/>
  <c r="I11" i="45" s="1"/>
  <c r="I55" i="45"/>
  <c r="C28" i="47" l="1"/>
  <c r="E29" i="31" s="1"/>
  <c r="G28" i="50" l="1"/>
  <c r="G30" i="50"/>
  <c r="G29" i="50"/>
  <c r="A4" i="50"/>
  <c r="B6" i="37" s="1"/>
  <c r="A5" i="50"/>
  <c r="B5" i="50"/>
  <c r="A6" i="50"/>
  <c r="A7" i="50"/>
  <c r="B4" i="50"/>
  <c r="E191" i="44"/>
  <c r="D191" i="44"/>
  <c r="A191" i="44"/>
  <c r="I194" i="44" s="1"/>
  <c r="E202" i="44"/>
  <c r="D202" i="44"/>
  <c r="A202" i="44"/>
  <c r="I205" i="44" s="1"/>
  <c r="H40" i="45"/>
  <c r="E116" i="44"/>
  <c r="D116" i="44"/>
  <c r="A116" i="44"/>
  <c r="I122" i="44" s="1"/>
  <c r="H23" i="45"/>
  <c r="E105" i="44"/>
  <c r="D105" i="44"/>
  <c r="A105" i="44"/>
  <c r="I114" i="44" s="1"/>
  <c r="D103" i="44"/>
  <c r="A103" i="44"/>
  <c r="H22" i="45"/>
  <c r="E83" i="44"/>
  <c r="D83" i="44"/>
  <c r="A83" i="44"/>
  <c r="I88" i="44" s="1"/>
  <c r="E77" i="44"/>
  <c r="D77" i="44"/>
  <c r="A77" i="44"/>
  <c r="I81" i="44" s="1"/>
  <c r="E61" i="44"/>
  <c r="D61" i="44"/>
  <c r="A61" i="44"/>
  <c r="I75" i="44" s="1"/>
  <c r="D59" i="44"/>
  <c r="A59" i="44"/>
  <c r="H19" i="45"/>
  <c r="H18" i="45"/>
  <c r="H17" i="45"/>
  <c r="E47" i="44"/>
  <c r="D47" i="44"/>
  <c r="A47" i="44"/>
  <c r="I57" i="44" s="1"/>
  <c r="H15" i="45"/>
  <c r="G33" i="50" l="1"/>
  <c r="G24" i="50" s="1"/>
  <c r="L337" i="50"/>
  <c r="F37" i="45"/>
  <c r="F40" i="45"/>
  <c r="I40" i="45" s="1"/>
  <c r="F22" i="45" l="1"/>
  <c r="I22" i="45" s="1"/>
  <c r="E36" i="44" l="1"/>
  <c r="D36" i="44"/>
  <c r="A36" i="44"/>
  <c r="I45" i="44" s="1"/>
  <c r="D34" i="44"/>
  <c r="A34" i="44"/>
  <c r="H14" i="45"/>
  <c r="H37" i="45"/>
  <c r="B22" i="47"/>
  <c r="B23" i="31" s="1"/>
  <c r="A22" i="47"/>
  <c r="A23" i="31" s="1"/>
  <c r="B20" i="47"/>
  <c r="B21" i="31" s="1"/>
  <c r="A20" i="47"/>
  <c r="A21" i="31" s="1"/>
  <c r="B18" i="47"/>
  <c r="B19" i="31" s="1"/>
  <c r="A18" i="47"/>
  <c r="A19" i="31" s="1"/>
  <c r="B10" i="47"/>
  <c r="B11" i="31" s="1"/>
  <c r="A10" i="47"/>
  <c r="A11" i="31" s="1"/>
  <c r="A1" i="31"/>
  <c r="A1" i="47" s="1"/>
  <c r="A1" i="44"/>
  <c r="E170" i="44"/>
  <c r="D170" i="44"/>
  <c r="A170" i="44"/>
  <c r="I176" i="44" s="1"/>
  <c r="E136" i="44"/>
  <c r="D136" i="44"/>
  <c r="A136" i="44"/>
  <c r="I142" i="44" s="1"/>
  <c r="E152" i="44"/>
  <c r="D152" i="44"/>
  <c r="A152" i="44"/>
  <c r="I157" i="44" s="1"/>
  <c r="D161" i="44" s="1"/>
  <c r="E159" i="44"/>
  <c r="D159" i="44"/>
  <c r="A159" i="44"/>
  <c r="I162" i="44" s="1"/>
  <c r="E144" i="44"/>
  <c r="D144" i="44"/>
  <c r="A144" i="44"/>
  <c r="I150" i="44" s="1"/>
  <c r="D134" i="44"/>
  <c r="A134" i="44"/>
  <c r="E12" i="44"/>
  <c r="D12" i="44"/>
  <c r="A12" i="44"/>
  <c r="I20" i="44" s="1"/>
  <c r="D10" i="44"/>
  <c r="A10" i="44"/>
  <c r="H33" i="45"/>
  <c r="H10" i="45"/>
  <c r="J14" i="44" l="1"/>
  <c r="I37" i="45"/>
  <c r="F10" i="45" l="1"/>
  <c r="I10" i="45" s="1"/>
  <c r="F15" i="45"/>
  <c r="I15" i="45" s="1"/>
  <c r="F27" i="45"/>
  <c r="F23" i="45" l="1"/>
  <c r="I23" i="45" s="1"/>
  <c r="F14" i="45"/>
  <c r="I14" i="45" s="1"/>
  <c r="C16" i="47" l="1"/>
  <c r="E17" i="31" s="1"/>
  <c r="C12" i="47"/>
  <c r="F20" i="45"/>
  <c r="I20" i="45" s="1"/>
  <c r="F29" i="45"/>
  <c r="F30" i="45"/>
  <c r="F28" i="45"/>
  <c r="A6" i="47"/>
  <c r="A5" i="47"/>
  <c r="A4" i="47"/>
  <c r="E13" i="31" l="1"/>
  <c r="F18" i="45"/>
  <c r="I18" i="45" s="1"/>
  <c r="F19" i="45"/>
  <c r="I19" i="45" s="1"/>
  <c r="B9" i="37"/>
  <c r="B8" i="37"/>
  <c r="B7" i="37"/>
  <c r="A6" i="31"/>
  <c r="A5" i="31"/>
  <c r="A4" i="31"/>
  <c r="A4" i="44"/>
  <c r="A6" i="44"/>
  <c r="A5" i="44"/>
  <c r="H27" i="45" l="1"/>
  <c r="D200" i="44" l="1"/>
  <c r="A200" i="44"/>
  <c r="D168" i="44"/>
  <c r="A168" i="44"/>
  <c r="H29" i="45" l="1"/>
  <c r="H28" i="45"/>
  <c r="C10" i="47" l="1"/>
  <c r="I28" i="45"/>
  <c r="I27" i="45"/>
  <c r="I29" i="45"/>
  <c r="C39" i="47" l="1"/>
  <c r="E11" i="31" l="1"/>
  <c r="H30" i="45"/>
  <c r="I30" i="45" l="1"/>
  <c r="C18" i="47" l="1"/>
  <c r="E19" i="31" l="1"/>
  <c r="D25" i="37" l="1"/>
  <c r="D29" i="37" s="1"/>
  <c r="E22" i="37"/>
  <c r="C22" i="47" l="1"/>
  <c r="E23" i="31" l="1"/>
  <c r="F33" i="45" l="1"/>
  <c r="I33" i="45" s="1"/>
  <c r="C20" i="47" l="1"/>
  <c r="G11" i="47" l="1"/>
  <c r="E21" i="31" l="1"/>
  <c r="F17" i="45"/>
  <c r="I17" i="45" s="1"/>
  <c r="C14" i="47" l="1"/>
  <c r="E37" i="31" s="1"/>
  <c r="J44" i="45"/>
  <c r="J9" i="45"/>
  <c r="J13" i="45"/>
  <c r="J39" i="45"/>
  <c r="J21" i="45"/>
  <c r="J26" i="45"/>
  <c r="J32" i="45"/>
  <c r="J16" i="45"/>
  <c r="C30" i="47" l="1"/>
  <c r="D26" i="47" s="1"/>
  <c r="E15" i="31"/>
  <c r="E31" i="31" s="1"/>
  <c r="E34" i="31" s="1"/>
  <c r="D31" i="31"/>
  <c r="D24" i="47" l="1"/>
  <c r="G13" i="47"/>
  <c r="D28" i="47"/>
  <c r="D16" i="47"/>
  <c r="G17" i="47"/>
  <c r="D20" i="47"/>
  <c r="D18" i="47"/>
  <c r="D10" i="47"/>
  <c r="D22" i="47"/>
  <c r="G15" i="47"/>
  <c r="D14" i="47"/>
  <c r="D12" i="47"/>
  <c r="G34" i="31" l="1"/>
  <c r="G35" i="31" s="1"/>
  <c r="E35" i="31"/>
  <c r="D30" i="47"/>
  <c r="I34" i="31" l="1"/>
  <c r="I35" i="31" s="1"/>
  <c r="K34" i="31" l="1"/>
  <c r="M34" i="31" s="1"/>
  <c r="O34" i="31" s="1"/>
  <c r="O35" i="31" s="1"/>
  <c r="M35" i="31" l="1"/>
  <c r="K35" i="31"/>
</calcChain>
</file>

<file path=xl/sharedStrings.xml><?xml version="1.0" encoding="utf-8"?>
<sst xmlns="http://schemas.openxmlformats.org/spreadsheetml/2006/main" count="715" uniqueCount="328">
  <si>
    <t>ITEM</t>
  </si>
  <si>
    <t>UN.</t>
  </si>
  <si>
    <t>TAXA</t>
  </si>
  <si>
    <t>ALTURA</t>
  </si>
  <si>
    <t>TOTAL</t>
  </si>
  <si>
    <t>1.0</t>
  </si>
  <si>
    <t>SERVIÇOS PRELIMINARES</t>
  </si>
  <si>
    <t>1.1</t>
  </si>
  <si>
    <t>m²</t>
  </si>
  <si>
    <t>2.0</t>
  </si>
  <si>
    <t>2.1</t>
  </si>
  <si>
    <t>2.2</t>
  </si>
  <si>
    <t>3.0</t>
  </si>
  <si>
    <t>3.1</t>
  </si>
  <si>
    <t>3.2</t>
  </si>
  <si>
    <t>4.0</t>
  </si>
  <si>
    <t>4.1</t>
  </si>
  <si>
    <t>4.2</t>
  </si>
  <si>
    <t>5.0</t>
  </si>
  <si>
    <t>5.1</t>
  </si>
  <si>
    <t>5.2</t>
  </si>
  <si>
    <t>CÓDIGO</t>
  </si>
  <si>
    <t>PLANILHA ORÇAMENTÁRIA</t>
  </si>
  <si>
    <t>7.0</t>
  </si>
  <si>
    <t>7.1</t>
  </si>
  <si>
    <t>8.1</t>
  </si>
  <si>
    <t>9.0</t>
  </si>
  <si>
    <t>ESQUADRIAS</t>
  </si>
  <si>
    <t>INSTALAÇÕES ELÉTRICAS</t>
  </si>
  <si>
    <t>pt</t>
  </si>
  <si>
    <t>un</t>
  </si>
  <si>
    <t>Total</t>
  </si>
  <si>
    <t>4.3</t>
  </si>
  <si>
    <t>8.2</t>
  </si>
  <si>
    <t>5.3</t>
  </si>
  <si>
    <t>m³</t>
  </si>
  <si>
    <t>m</t>
  </si>
  <si>
    <t>6.0</t>
  </si>
  <si>
    <t>6.1</t>
  </si>
  <si>
    <t>7.2</t>
  </si>
  <si>
    <t>7.3</t>
  </si>
  <si>
    <t>8.3</t>
  </si>
  <si>
    <t>8.4</t>
  </si>
  <si>
    <t>MEMÓRIA DE CÁLCULO EXPLICATIVO</t>
  </si>
  <si>
    <t>3.3</t>
  </si>
  <si>
    <t>5.4</t>
  </si>
  <si>
    <t>6.2</t>
  </si>
  <si>
    <t>6.3</t>
  </si>
  <si>
    <t>6.4</t>
  </si>
  <si>
    <t>Quantidade</t>
  </si>
  <si>
    <t xml:space="preserve">Discriminação: </t>
  </si>
  <si>
    <t>Unidade</t>
  </si>
  <si>
    <t>Preço Unitário Custo</t>
  </si>
  <si>
    <t>Composição</t>
  </si>
  <si>
    <t>COMPOSIÇÕES DE CUSTO UNITÁRIOS COMPLEMENTARES</t>
  </si>
  <si>
    <t>COMP.</t>
  </si>
  <si>
    <t>LARG.</t>
  </si>
  <si>
    <t>REFERÊNCIA</t>
  </si>
  <si>
    <t>DESCRIÇÃO DOS SERVIÇOS</t>
  </si>
  <si>
    <t>SINAPI</t>
  </si>
  <si>
    <t>TOTAL GERAL</t>
  </si>
  <si>
    <t>RESUMO DO ORÇAMENTO</t>
  </si>
  <si>
    <t>CRONOGRAMA FÍSICO FINANCEIRO</t>
  </si>
  <si>
    <t>ETAPA</t>
  </si>
  <si>
    <t>SERVIÇO</t>
  </si>
  <si>
    <t>TOTAL ETAPA (R$)</t>
  </si>
  <si>
    <t>TOTAIS PARCIAIS</t>
  </si>
  <si>
    <t>TOTAIS ACUMULADOS</t>
  </si>
  <si>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</si>
  <si>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</si>
  <si>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</si>
  <si>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</si>
  <si>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</si>
  <si>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</si>
  <si>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</si>
  <si>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</si>
  <si>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</si>
  <si>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</si>
  <si>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COFINS</t>
  </si>
  <si>
    <t>ISS (**)</t>
  </si>
  <si>
    <t>ISS</t>
  </si>
  <si>
    <t>PIS</t>
  </si>
  <si>
    <t>CONTRIBUIÇÃO PREVIDENCIÁRIA SOBRE RECEITA BRUTA (***)</t>
  </si>
  <si>
    <t>CPRB</t>
  </si>
  <si>
    <t>*</t>
  </si>
  <si>
    <t>I</t>
  </si>
  <si>
    <t>Taxa de Lucro</t>
  </si>
  <si>
    <t>L</t>
  </si>
  <si>
    <t>BDI Resultante</t>
  </si>
  <si>
    <t>Fórmula do BDI conforme Acórdão TCU 2622/2013-P:</t>
  </si>
  <si>
    <t xml:space="preserve">Obs.: </t>
  </si>
  <si>
    <t>(*) Todas as taxas adotadas estão na faixa admissível do Acórdão 2622/2013-P do TCU.</t>
  </si>
  <si>
    <t>Obs.:</t>
  </si>
  <si>
    <t>Fórmula BDI conforme Acórdão TCU 325/2007:</t>
  </si>
  <si>
    <t>COMPOSIÇÃO DE BDI PARA SERVIÇOS GERAIS DE EDIFICAÇÕES</t>
  </si>
  <si>
    <t>med</t>
  </si>
  <si>
    <r>
      <t xml:space="preserve">De </t>
    </r>
    <r>
      <rPr>
        <b/>
        <sz val="10"/>
        <color theme="1"/>
        <rFont val="Arial"/>
        <family val="2"/>
      </rPr>
      <t>3,00%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5,50%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4,00%</t>
    </r>
  </si>
  <si>
    <r>
      <t xml:space="preserve">De </t>
    </r>
    <r>
      <rPr>
        <b/>
        <sz val="10"/>
        <color theme="1"/>
        <rFont val="Arial"/>
        <family val="2"/>
      </rPr>
      <t>0,59%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1,39%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1,23%</t>
    </r>
  </si>
  <si>
    <r>
      <t xml:space="preserve">De </t>
    </r>
    <r>
      <rPr>
        <b/>
        <sz val="10"/>
        <color theme="1"/>
        <rFont val="Arial"/>
        <family val="2"/>
      </rPr>
      <t>0,97%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1,27%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1,27%</t>
    </r>
  </si>
  <si>
    <t>Taxa de Seguro e Taxa de Garantia</t>
  </si>
  <si>
    <t>S + G</t>
  </si>
  <si>
    <t>*med=min</t>
  </si>
  <si>
    <r>
      <t xml:space="preserve">De </t>
    </r>
    <r>
      <rPr>
        <b/>
        <sz val="10"/>
        <color theme="1"/>
        <rFont val="Arial"/>
        <family val="2"/>
      </rPr>
      <t>0,80%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1,00%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0,80%</t>
    </r>
  </si>
  <si>
    <t xml:space="preserve">Taxa de Tributos (Soma dos itens COFINS, ISS, PIS e CPRB) </t>
  </si>
  <si>
    <t>min-med</t>
  </si>
  <si>
    <r>
      <t xml:space="preserve">De </t>
    </r>
    <r>
      <rPr>
        <b/>
        <sz val="10"/>
        <color theme="1"/>
        <rFont val="Arial"/>
        <family val="2"/>
      </rPr>
      <t>6,16%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8,96%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7,40%</t>
    </r>
  </si>
  <si>
    <r>
      <t xml:space="preserve">De </t>
    </r>
    <r>
      <rPr>
        <b/>
        <sz val="10"/>
        <color theme="1"/>
        <rFont val="Arial"/>
        <family val="2"/>
      </rPr>
      <t>20,34%</t>
    </r>
    <r>
      <rPr>
        <sz val="10"/>
        <color theme="1"/>
        <rFont val="Arial"/>
        <family val="2"/>
      </rPr>
      <t xml:space="preserve"> até </t>
    </r>
    <r>
      <rPr>
        <b/>
        <sz val="10"/>
        <color theme="1"/>
        <rFont val="Arial"/>
        <family val="2"/>
      </rPr>
      <t>25,00%</t>
    </r>
    <r>
      <rPr>
        <sz val="10"/>
        <color theme="1"/>
        <rFont val="Arial"/>
        <family val="2"/>
      </rPr>
      <t xml:space="preserve">; médio = </t>
    </r>
    <r>
      <rPr>
        <b/>
        <sz val="10"/>
        <color theme="1"/>
        <rFont val="Arial"/>
        <family val="2"/>
      </rPr>
      <t>22,12%</t>
    </r>
  </si>
  <si>
    <r>
      <rPr>
        <sz val="12"/>
        <color theme="1"/>
        <rFont val="Arial"/>
        <family val="2"/>
      </rPr>
      <t xml:space="preserve">    Os custos indiretos são decorrentes da estrutura da obra e da empresa e que não podem ser atribuídos diretamente à execução de um dado serviço.
    Os custos indiretos variam muito, principalmente, em função do local de execução dos serviços, do tipo da obra, impostos incidentes, e ainda com as exigências do edital ou contrato. Devem ser distribuídos pelos custos unitários diretos totais dos serviços na forma de percentual destes.
    Os custos indiretos que mais afetam a construção estão a seguir identificados, entretanto, o engenheiro de custos deve analisar em cada caso sua validade. </t>
    </r>
    <r>
      <rPr>
        <b/>
        <sz val="12"/>
        <color theme="1"/>
        <rFont val="Arial"/>
        <family val="2"/>
      </rPr>
      <t xml:space="preserve">
</t>
    </r>
  </si>
  <si>
    <t>(**) A alíquota de ISS no Município de Limoeiro/PE é de 5% sobre os custos de mão de obra. 
Considerou-se para todos os serviços uma proporção de 40% de mão de obra, de modo que a taxa de ISS a incidir sobre os custos unitários dos itens será de 5% x 40% = 2,00%.</t>
  </si>
  <si>
    <t>8.0</t>
  </si>
  <si>
    <t>10.0</t>
  </si>
  <si>
    <t>VALOR TOTAL (R$)</t>
  </si>
  <si>
    <t>EMLURB</t>
  </si>
  <si>
    <t>05.01.010</t>
  </si>
  <si>
    <t>05.02.020</t>
  </si>
  <si>
    <t>06.03.103</t>
  </si>
  <si>
    <t>06.03.133</t>
  </si>
  <si>
    <t>5.5</t>
  </si>
  <si>
    <t>6.5</t>
  </si>
  <si>
    <t>COBERTA</t>
  </si>
  <si>
    <t>9.1</t>
  </si>
  <si>
    <t>COMPOSIÇÃO</t>
  </si>
  <si>
    <t>COMP-001</t>
  </si>
  <si>
    <t>9.2</t>
  </si>
  <si>
    <t>9.3</t>
  </si>
  <si>
    <t>9.4</t>
  </si>
  <si>
    <t>11.02.010</t>
  </si>
  <si>
    <t>10.1</t>
  </si>
  <si>
    <t>10.2</t>
  </si>
  <si>
    <t>10.3</t>
  </si>
  <si>
    <t>V. UNIT. S/BDI</t>
  </si>
  <si>
    <t>V. UNIT. C/BDI</t>
  </si>
  <si>
    <t xml:space="preserve">19.01.030 </t>
  </si>
  <si>
    <t>UN</t>
  </si>
  <si>
    <t>SINAPI-I</t>
  </si>
  <si>
    <t>CHAPISCO COM ARGAMASSA DE CIMENTO E AREIA NO TRACO 1 3.</t>
  </si>
  <si>
    <t xml:space="preserve">Fonte </t>
  </si>
  <si>
    <t>Código</t>
  </si>
  <si>
    <t>Coeficiente</t>
  </si>
  <si>
    <t>Custo
Unitário</t>
  </si>
  <si>
    <t>Custo
Total</t>
  </si>
  <si>
    <t>OK</t>
  </si>
  <si>
    <t>COMP-002</t>
  </si>
  <si>
    <t>3.4</t>
  </si>
  <si>
    <t>4.2.3</t>
  </si>
  <si>
    <t>SEINFRA</t>
  </si>
  <si>
    <t xml:space="preserve">TRAMA DE MADEIRA COMPOSTA POR RIPAS, CAIBROS E TERÇAS PARA TELHADOS DE ATÉ 2 ÁGUAS PARA TELHA CERÂMICA CAPA-CANAL, INCLUSO TRANSPORTE VERTICAL. </t>
  </si>
  <si>
    <t>QUANT.</t>
  </si>
  <si>
    <t>BDI Ñ DESON</t>
  </si>
  <si>
    <t>(BDI padrão Edificações sem CPRB considerando M.O. de 40%)</t>
  </si>
  <si>
    <t>COMPOSIÇÃO DE B.D.I. – BONIFICAÇÃO E DESPESAS INDIRETAS - SEM DESONERAÇÃO</t>
  </si>
  <si>
    <t>TOTAL GLOBAL</t>
  </si>
  <si>
    <t>REPRESEN-
TATIVIDADE</t>
  </si>
  <si>
    <t>Área externa</t>
  </si>
  <si>
    <t>APLICAÇÃO MANUAL DE PINTURA COM TINTA LÁTEX ACRÍLICA EM PAREDES, DUAS DEMÃOS. AF_06/2014</t>
  </si>
  <si>
    <t>APLICAÇÃO MANUAL DE PINTURA COM TINTA LÁTEX ACRÍLICA EM TETO, DUAS DEMÃOS. AF_06/2014</t>
  </si>
  <si>
    <t>11.04.020</t>
  </si>
  <si>
    <t xml:space="preserve">TOTAL GLOBAL </t>
  </si>
  <si>
    <t>LOCALIZAÇÃO: LIMOEIRO - PE</t>
  </si>
  <si>
    <t xml:space="preserve">DEMOLICAO DE ALVENARIA DE 1/2 VEZ COM PREPARO PARA REMOCAO.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</si>
  <si>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03.01.150</t>
  </si>
  <si>
    <t>PAREDES E PAINÉIS</t>
  </si>
  <si>
    <t>REBOCO EM CIMENTADO, TIPO BARRA LISA , APLICADA SOBRE EMBOCO PRONTO COM 5,0 MM DE ESPESSURA.</t>
  </si>
  <si>
    <t>Altura</t>
  </si>
  <si>
    <t>Compr.</t>
  </si>
  <si>
    <t>Taxa</t>
  </si>
  <si>
    <t>Perímetro</t>
  </si>
  <si>
    <t>Larg.</t>
  </si>
  <si>
    <t>Alt.</t>
  </si>
  <si>
    <t>Quant.</t>
  </si>
  <si>
    <t>PERCENT.</t>
  </si>
  <si>
    <t>VALOR</t>
  </si>
  <si>
    <t>MOVIMENTO DE TERRA</t>
  </si>
  <si>
    <r>
      <t>m</t>
    </r>
    <r>
      <rPr>
        <i/>
        <sz val="8"/>
        <rFont val="Arial"/>
        <family val="2"/>
      </rPr>
      <t>³</t>
    </r>
  </si>
  <si>
    <t>ESCAVACAO MANUAL EM TERRA ATE 1,50 M DE PROFUNDIDADE, SEM ESCORAMENTO.</t>
  </si>
  <si>
    <t>REATERRO APILOADO DE VALAS EM CAMADAS DE 20CM DE ESPESSURA , COM APROVEITAMENTO DO MATERIAL ESCAVADO.</t>
  </si>
  <si>
    <t>Muro (sapatas)</t>
  </si>
  <si>
    <t>CONCRETO ARMADO PRONTO, FCK 25 MPA CONDICAO A (NBR 12655), LANCADO EM FUNDACOES E ADENSADO, INCLUSIVE FORMA, ESCORAMENTO E FERRAGEM.</t>
  </si>
  <si>
    <t>07.01.185</t>
  </si>
  <si>
    <t>ALVENARIA DE TIJOLOS DE 8 FUROS, ASSENTADOS E REJUNTADOS COM ARGAMASSA DE CIMENTO E AREIA NO TRACO 1:6 - 1 VEZ.</t>
  </si>
  <si>
    <t>IMPERMEABILIZAÇÃO DE SUPERFÍCIE COM EMULSÃO ASFÁLTICA, 2 DEMÃOS AF_06/2018</t>
  </si>
  <si>
    <r>
      <t>m</t>
    </r>
    <r>
      <rPr>
        <b/>
        <sz val="8"/>
        <rFont val="Arial"/>
        <family val="2"/>
      </rPr>
      <t>²</t>
    </r>
  </si>
  <si>
    <t>Muro (cinta)</t>
  </si>
  <si>
    <t>Larg. + Altura</t>
  </si>
  <si>
    <t>FUNDAÇÃO</t>
  </si>
  <si>
    <t>ESTRUTURA</t>
  </si>
  <si>
    <t>CONCRETO ARMADO PRONTO, FCK 25 MPA,CONDICAO A (NBR 12655),LANCADO EM PILARES E ADENSADO,INCLUSIVE FORMA, ESCORAMENTO E FERRAGEM.</t>
  </si>
  <si>
    <t>06.03.123</t>
  </si>
  <si>
    <t>CONCRETO ARMADO PRONTO, FCK 25 MPA,CONDICAO A (NBR 12655), LANCADO EM VIGAS E ADENSADO, INCLUSIVE FORMA, ESCORAMENTO E FERRAGEM.</t>
  </si>
  <si>
    <t>Muro (Pilar da entrada)</t>
  </si>
  <si>
    <t>Muro (Pilar h=1,10 m)</t>
  </si>
  <si>
    <t>07.01.180</t>
  </si>
  <si>
    <t>ALVENARIA DE TIJOLOS DE 8 FUROS, ASSENTADOS E REJUNTADOS COM ARGAMASSA DE CIMENTO E AREIA NO TRACO 1:12 - 1/2 VEZ.</t>
  </si>
  <si>
    <t>Desconto</t>
  </si>
  <si>
    <t>Base para letreiro</t>
  </si>
  <si>
    <t>Muro (viga)</t>
  </si>
  <si>
    <t>C3681</t>
  </si>
  <si>
    <t>GRADE DE FERRO TUBULAR C/MOLDURA EM BARRA CHATA DE FERRO</t>
  </si>
  <si>
    <t>PINTURA COM TINTA ALQUÍDICA DE ACABAMENTO (ESMALTE SINTÉTICO ACETINADO ) APLICADA A ROLO OU PINCEL SOBRE PERFIL METÁLICO EXECUTADO EM FÁBRICA (POR DEMÃO). AF_01/2020</t>
  </si>
  <si>
    <t>88316</t>
  </si>
  <si>
    <t>COTAÇÃO</t>
  </si>
  <si>
    <t>SERVIÇOS COMPLEMENTARES</t>
  </si>
  <si>
    <t>C4397</t>
  </si>
  <si>
    <t>PORTÃO DE ALUMÍNIO EM TUBOS DE 20 mm (FORNECIMENTO E MONTAGEM)</t>
  </si>
  <si>
    <t>Acesso principal - 02 folhas em alumínio branco</t>
  </si>
  <si>
    <t>C1620</t>
  </si>
  <si>
    <t>LETREIRO - LETRA EM CAIXA DE ZINCO, H= 20CM</t>
  </si>
  <si>
    <t>taxa</t>
  </si>
  <si>
    <t>LASTRO DE CONCRETO MAGRO, APLICADO EM PISOS, LAJES SOBRE SOLO OU RADIERS, ESPESSURA DE 5 CM. AF_07/2016</t>
  </si>
  <si>
    <t>30 DIAS</t>
  </si>
  <si>
    <t>60 DIAS</t>
  </si>
  <si>
    <t>90 DIAS</t>
  </si>
  <si>
    <t>120 DIAS</t>
  </si>
  <si>
    <t>150 DIAS</t>
  </si>
  <si>
    <t>180 DIAS</t>
  </si>
  <si>
    <t>Muro lateral esquerdo</t>
  </si>
  <si>
    <t>Muro frontal</t>
  </si>
  <si>
    <t>Muro lateral direito</t>
  </si>
  <si>
    <t>Grade do muro frontal</t>
  </si>
  <si>
    <t>Acesso lateral direito - 02 folhas em alumínio branco</t>
  </si>
  <si>
    <t>1.2</t>
  </si>
  <si>
    <t>Muro (Pilar h=2,50 m)</t>
  </si>
  <si>
    <t>Alvenaria de embasamento</t>
  </si>
  <si>
    <t>Muro (alvenaria de embasamento)</t>
  </si>
  <si>
    <t>descontando 1,7m de porta</t>
  </si>
  <si>
    <t>(0,60 do pilar + 0,25 da sapata + 0,5 do lastro)</t>
  </si>
  <si>
    <t>Muro frontal (abertura para os pilares)</t>
  </si>
  <si>
    <t>C3040</t>
  </si>
  <si>
    <t>RETIRADA DE GRADE DE FERRO</t>
  </si>
  <si>
    <t>C0660</t>
  </si>
  <si>
    <t>CALHA DE CHAPA GALVANIZADA 26 DESENVOLVIMENTO 33cm</t>
  </si>
  <si>
    <t>COTAÇÃO 1</t>
  </si>
  <si>
    <t>CNPJ</t>
  </si>
  <si>
    <t xml:space="preserve">ESTABELECIMENTO </t>
  </si>
  <si>
    <t>FONTES DE PREÇOS: EMLURB 2018 / SINAPI MARÇO-2022 / SEINFRA 027 MARÇO-2021 - SEM DESONERAÇÃO (BDI = 20,84%)</t>
  </si>
  <si>
    <t>DATA: MAIO/2022</t>
  </si>
  <si>
    <r>
      <t xml:space="preserve">FONTES DE PREÇOS: EMLURB 2018 / SINAPI MARÇO-2022 / SEINFRA 027 MARÇO-2021 - </t>
    </r>
    <r>
      <rPr>
        <b/>
        <u/>
        <sz val="8"/>
        <rFont val="Arial"/>
        <family val="2"/>
      </rPr>
      <t>SEM</t>
    </r>
    <r>
      <rPr>
        <b/>
        <sz val="8"/>
        <rFont val="Arial"/>
        <family val="2"/>
      </rPr>
      <t xml:space="preserve"> DESONERAÇÃO (BDI = 20,84%)</t>
    </r>
  </si>
  <si>
    <t>44862110/0001-38</t>
  </si>
  <si>
    <t>Ronaldo da Silva Azevedo</t>
  </si>
  <si>
    <t>Vidraçaria Limoeirense LTDA</t>
  </si>
  <si>
    <t>08138448/0001-88</t>
  </si>
  <si>
    <t>Serralharia São Cristóvão</t>
  </si>
  <si>
    <t>12093584/0001-76</t>
  </si>
  <si>
    <t>JANELA DE CORRER, DE ALUMÍNIO, COM VIDRO TEMPERADO 1,60M X 0,85M</t>
  </si>
  <si>
    <t>001</t>
  </si>
  <si>
    <t>4377</t>
  </si>
  <si>
    <t>PARAFUSO DE ACO ZINCADO COM ROSCA SOBERBA, CABECA CHATA E FENDA SIMPLES, DIAMETRO 4,2 MM, COMPRIMENTO * 32 * MM</t>
  </si>
  <si>
    <t xml:space="preserve">39961 </t>
  </si>
  <si>
    <t xml:space="preserve"> SILICONE ACETICO USO GERAL INCOLOR 280 G</t>
  </si>
  <si>
    <t xml:space="preserve">88309 </t>
  </si>
  <si>
    <t>PEDREIRO COM ENCARGOS COMPLEMENTARES</t>
  </si>
  <si>
    <t xml:space="preserve"> SERVENTE COM ENCARGOS COMPLEMENTARES </t>
  </si>
  <si>
    <t xml:space="preserve">C4773 </t>
  </si>
  <si>
    <t xml:space="preserve">TAMPA EM CONCRETO ARMADO, ESPESSURA 0,08M </t>
  </si>
  <si>
    <t>Perto da lavanderia</t>
  </si>
  <si>
    <t>Muro lateral direito(abertura para os pilares)</t>
  </si>
  <si>
    <t>Grade do muro lateral esquerdo</t>
  </si>
  <si>
    <t>Muro lateral direito (abertura para os pilares)</t>
  </si>
  <si>
    <t>Área externa (lateral esquerda)</t>
  </si>
  <si>
    <t>Área externa (calhas)</t>
  </si>
  <si>
    <t>Muro - Pilar (arranque do pilar)</t>
  </si>
  <si>
    <t xml:space="preserve">C4911 </t>
  </si>
  <si>
    <t>RUFO EM CHAPA DE ALUMÍNIO LISA 22, ESP.=0,71MM, INCLUSO TRANSPORTE VERTICAL</t>
  </si>
  <si>
    <t>Área de serviço</t>
  </si>
  <si>
    <t>Comp.</t>
  </si>
  <si>
    <t>C3022</t>
  </si>
  <si>
    <t xml:space="preserve"> PINTURA ESMALTE SINTÉTICO EM PAREDES.</t>
  </si>
  <si>
    <t>1.3</t>
  </si>
  <si>
    <t xml:space="preserve">C1066 </t>
  </si>
  <si>
    <t>DEMOLIÇÃO DE PISO CIMENTADO SOBRE LASTRO DE CONCRETO</t>
  </si>
  <si>
    <t>Calçada frontal</t>
  </si>
  <si>
    <t>Calçada lateral esquerda</t>
  </si>
  <si>
    <t xml:space="preserve">C4916
</t>
  </si>
  <si>
    <t>PISO INTERTRAVADO TIPO TIJOLINHO (20X10X6)CM 35MPA, COLORIDO - COMPACTAÇÃO MECANIZADA</t>
  </si>
  <si>
    <t xml:space="preserve">C2594 </t>
  </si>
  <si>
    <t>TUBO PVC BRANCO P/ESGOTO D=100mm (4") - JUNTA C/ANÉIS</t>
  </si>
  <si>
    <t xml:space="preserve">C1550 </t>
  </si>
  <si>
    <t>JOELHO PVC BRANCO P/ESGOTO D=100mm (4") - JUNTA C/ANÉIS</t>
  </si>
  <si>
    <t>Parede entre área externa lateral direita e área externa coberta</t>
  </si>
  <si>
    <t xml:space="preserve">C1207 </t>
  </si>
  <si>
    <t>EMASSAMENTO DE PAREDES EXTERNAS 2 DEMÃOS C/MASSA ACRÍLICA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</si>
  <si>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</si>
  <si>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JANELA DE ALUMÍNIO DE CORRER COM 2 FOLHAS PARA VIDROS, COM VIDROS, BATENTE, ACABAMENTO COM ACETATO OU BRILHANTE E FERRAGENS. EXCLUSIVE ALIZAR E CONTRAMARCO. FORNECIMENTO E INSTALAÇÃO. AF_12/2019</t>
  </si>
  <si>
    <t>06.03.143</t>
  </si>
  <si>
    <t xml:space="preserve">CONCRETO ARMADO PRONTO, FCK 25 MPA,CONDICAO A
(NBR 12655),LANCADO EM QUALQUER TIPO DE ESTRUTURA
E ADENSADO, INCLUSIVE FORMA, ESCORAMENTO
E FERRAGEM. </t>
  </si>
  <si>
    <t>Rampa da entrada lateral esquerda</t>
  </si>
  <si>
    <t>Acesso Principal</t>
  </si>
  <si>
    <t>Qnt.</t>
  </si>
  <si>
    <t>CMEI JÚLIA GUIMARÃES RODRIGUES</t>
  </si>
  <si>
    <t>PINTURA E REVESTIMENTOS</t>
  </si>
  <si>
    <t>11.06.052</t>
  </si>
  <si>
    <t>REVESTIMENTO EM PAREDE COM CERAMICA ESMALTADA 
45X45CM, TIPO A, PEI5, ELIANE,PORTO RICO, SA MARSA, ELIZABETH OU SIMILAR, ASSENTADO COM AR 
GAMASSA PRE FABRICADA E REJUNTE DA QUARTZOLIT 
OU SIMILAR (ESPESSURA DA JUNTA DE 6MM) SOBRE 
EMBOCO PRONTO.</t>
  </si>
  <si>
    <t>Parede entre área externa lateral direita e área externa coberta (lado externo)</t>
  </si>
  <si>
    <t>4.4</t>
  </si>
  <si>
    <t>06.03.113</t>
  </si>
  <si>
    <t>CONCRETO ARMADO PRONTO, FCK 25 MPA,CONDICAO A (NBR 12655), LANCADO EM LAJES E ADENSADO, INCLUSIVE FORMA, ESCORAMENTO E FERRAGEM.</t>
  </si>
  <si>
    <t>Acesso principal</t>
  </si>
  <si>
    <t>Laje acesso principal</t>
  </si>
  <si>
    <t>Sapata corrida acesso principal</t>
  </si>
  <si>
    <t>Sapatas corridas acesso principal</t>
  </si>
  <si>
    <t>7.4</t>
  </si>
  <si>
    <t>C1869</t>
  </si>
  <si>
    <t>PEITORIL DE GRANITO L= 15 cm</t>
  </si>
  <si>
    <t>Janelas da parede entre a área externa lateral direita e área coberta</t>
  </si>
  <si>
    <t>10.4</t>
  </si>
  <si>
    <t>18.22.010</t>
  </si>
  <si>
    <t>PONTO DE LUZ EM TETO OU PAREDE, INCLUINDO CAIXA 4 X 4 POL. TIGREFLEX OU SIMILAR, TUBULACAO PVC RIGIDO E FIACAO, ATE O QUADRO DE DISTRIBUICAO.</t>
  </si>
  <si>
    <t xml:space="preserve">103782 </t>
  </si>
  <si>
    <t>LUMINÁRIA TIPO PLAFON CIRCULAR, DE SOBREPOR, COM LED DE 12/13 W - FORNECIMENTO E INSTALAÇÃO. AF_03/2022</t>
  </si>
  <si>
    <t>Letreiro</t>
  </si>
  <si>
    <t>39389</t>
  </si>
  <si>
    <t>LUMINARIA LED REFLETOR RETANGULAR BIVOLT, LUZ BRANCA, 10 W</t>
  </si>
  <si>
    <t xml:space="preserve">101632 </t>
  </si>
  <si>
    <t>RELÉ FOTOELÉTRICO PARA COMANDO DE ILUMINAÇÃO EXTERNA 1000 W - FORNECIMENTO E INSTALAÇÃO. AF_08/2020</t>
  </si>
  <si>
    <t>Mureta abaixo da grade do acesso principal onde ficará o pilar esquerdo da base para letreiro</t>
  </si>
  <si>
    <t xml:space="preserve">CONTRAVERGA PRÉ-MOLDADA PARA VÃOS DE MAIS DE 1,5 M DE COMPRIMENTO. AF_ </t>
  </si>
  <si>
    <t>6.6</t>
  </si>
  <si>
    <t>APLICAÇÃO DE FUNDO SELADOR ACRÍLICO EM TETO, UMA DEMÃO. AF_06/2014</t>
  </si>
  <si>
    <t>10.5</t>
  </si>
  <si>
    <t>PLAYGROUND EM EUCALIPTO, CONTENDO 1 GANGORRA DUPLA, 1 ESCORREGADOR, 1 BALANÇO DUPLO, 1 CASINHA SUSPENSA E 1 LIXEIRA.</t>
  </si>
  <si>
    <t>69.890.267/0001-06</t>
  </si>
  <si>
    <t>LUIZ AMARO DE SENA - ME</t>
  </si>
  <si>
    <t>33.937.533/0001-53</t>
  </si>
  <si>
    <t>JADERITO BARBOZA DE SOARES</t>
  </si>
  <si>
    <t>ANA MADEIRAS LTDA</t>
  </si>
  <si>
    <t>04.386.891/0001-17</t>
  </si>
  <si>
    <t>Área externa do playground</t>
  </si>
  <si>
    <t>2ª ETAPA - AMPLIAÇÃO E REFORMA DA CRECHE JÚLIA GUIMARÃES NO MUNICÍPIO DE LIMOEIRO/PE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</si>
</sst>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_ &quot;R$&quot;\ * #,##0.00_ ;_ &quot;R$&quot;\ * \-#,##0.00_ ;_ &quot;R$&quot;\ * &quot;-&quot;??_ ;_ @_ "/>
    <numFmt numFmtId="168" formatCode="_ * #,##0.00_ ;_ * \-#,##0.00_ ;_ * &quot;-&quot;??_ ;_ @_ "/>
    <numFmt numFmtId="169" formatCode="#,##0.00_ ;[Red]\-#,##0.00\ "/>
    <numFmt numFmtId="170" formatCode="0000"/>
    <numFmt numFmtId="171" formatCode="&quot;R$&quot;\ #,##0.00"/>
    <numFmt numFmtId="172" formatCode="0.000"/>
    <numFmt numFmtId="173" formatCode="_(* #,##0.0000_);_(* \(#,##0.0000\);_(* &quot;-&quot;??_);_(@_)"/>
    <numFmt numFmtId="174" formatCode="0.0%"/>
    <numFmt numFmtId="175" formatCode="0.0"/>
    <numFmt numFmtId="176" formatCode="0.000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b/>
      <sz val="15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000000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b/>
      <sz val="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7" fillId="0" borderId="0"/>
    <xf numFmtId="165" fontId="2" fillId="0" borderId="0" applyFont="0" applyFill="0" applyBorder="0" applyAlignment="0" applyProtection="0"/>
    <xf numFmtId="0" fontId="7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166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8" fillId="0" borderId="0"/>
    <xf numFmtId="165" fontId="2" fillId="0" borderId="0" applyFill="0" applyBorder="0" applyAlignment="0" applyProtection="0"/>
  </cellStyleXfs>
  <cellXfs count="368">
    <xf numFmtId="0" fontId="0" fillId="0" borderId="0" xfId="0"/>
    <xf numFmtId="0" fontId="5" fillId="0" borderId="1" xfId="2" applyFont="1" applyFill="1" applyBorder="1" applyAlignment="1">
      <alignment horizontal="right" vertical="justify"/>
    </xf>
    <xf numFmtId="0" fontId="4" fillId="0" borderId="1" xfId="2" applyFont="1" applyFill="1" applyBorder="1" applyAlignment="1">
      <alignment horizontal="right" vertical="justify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2" fillId="0" borderId="0" xfId="0" applyFont="1"/>
    <xf numFmtId="0" fontId="16" fillId="0" borderId="0" xfId="0" applyFont="1"/>
    <xf numFmtId="0" fontId="5" fillId="0" borderId="0" xfId="0" applyFont="1"/>
    <xf numFmtId="0" fontId="5" fillId="0" borderId="21" xfId="0" applyFont="1" applyBorder="1"/>
    <xf numFmtId="169" fontId="5" fillId="4" borderId="21" xfId="12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/>
    <xf numFmtId="0" fontId="28" fillId="0" borderId="0" xfId="0" applyFont="1" applyAlignment="1">
      <alignment horizontal="center"/>
    </xf>
    <xf numFmtId="0" fontId="28" fillId="0" borderId="5" xfId="0" applyFont="1" applyBorder="1" applyAlignment="1">
      <alignment horizontal="left"/>
    </xf>
    <xf numFmtId="0" fontId="23" fillId="0" borderId="0" xfId="0" applyFont="1" applyFill="1" applyBorder="1"/>
    <xf numFmtId="0" fontId="29" fillId="0" borderId="13" xfId="0" applyFont="1" applyFill="1" applyBorder="1"/>
    <xf numFmtId="0" fontId="29" fillId="0" borderId="13" xfId="0" applyFont="1" applyFill="1" applyBorder="1" applyAlignment="1">
      <alignment horizontal="center"/>
    </xf>
    <xf numFmtId="0" fontId="23" fillId="0" borderId="0" xfId="0" applyFont="1" applyFill="1"/>
    <xf numFmtId="0" fontId="29" fillId="0" borderId="5" xfId="0" applyFont="1" applyBorder="1"/>
    <xf numFmtId="0" fontId="29" fillId="0" borderId="5" xfId="0" applyFont="1" applyBorder="1" applyAlignment="1">
      <alignment horizontal="center"/>
    </xf>
    <xf numFmtId="10" fontId="15" fillId="3" borderId="5" xfId="1" applyNumberFormat="1" applyFont="1" applyFill="1" applyBorder="1" applyAlignment="1">
      <alignment horizontal="center"/>
    </xf>
    <xf numFmtId="0" fontId="23" fillId="0" borderId="5" xfId="0" applyFont="1" applyBorder="1"/>
    <xf numFmtId="2" fontId="19" fillId="0" borderId="5" xfId="0" applyNumberFormat="1" applyFont="1" applyBorder="1" applyAlignment="1">
      <alignment horizontal="center"/>
    </xf>
    <xf numFmtId="10" fontId="19" fillId="0" borderId="5" xfId="1" applyNumberFormat="1" applyFont="1" applyBorder="1" applyAlignment="1">
      <alignment horizontal="center"/>
    </xf>
    <xf numFmtId="0" fontId="29" fillId="0" borderId="5" xfId="19" applyFont="1" applyBorder="1"/>
    <xf numFmtId="0" fontId="29" fillId="0" borderId="5" xfId="19" applyFont="1" applyBorder="1" applyAlignment="1">
      <alignment horizontal="center"/>
    </xf>
    <xf numFmtId="10" fontId="15" fillId="3" borderId="5" xfId="36" applyNumberFormat="1" applyFont="1" applyFill="1" applyBorder="1" applyAlignment="1">
      <alignment horizontal="center"/>
    </xf>
    <xf numFmtId="10" fontId="15" fillId="0" borderId="5" xfId="1" applyNumberFormat="1" applyFont="1" applyBorder="1" applyAlignment="1">
      <alignment horizontal="center"/>
    </xf>
    <xf numFmtId="172" fontId="30" fillId="0" borderId="0" xfId="0" applyNumberFormat="1" applyFont="1" applyAlignment="1">
      <alignment horizontal="left"/>
    </xf>
    <xf numFmtId="10" fontId="15" fillId="0" borderId="13" xfId="1" applyNumberFormat="1" applyFont="1" applyFill="1" applyBorder="1" applyAlignment="1">
      <alignment horizontal="center"/>
    </xf>
    <xf numFmtId="0" fontId="29" fillId="6" borderId="11" xfId="0" applyFont="1" applyFill="1" applyBorder="1"/>
    <xf numFmtId="0" fontId="31" fillId="6" borderId="12" xfId="0" applyFont="1" applyFill="1" applyBorder="1" applyAlignment="1">
      <alignment horizontal="center"/>
    </xf>
    <xf numFmtId="0" fontId="21" fillId="0" borderId="0" xfId="0" applyFont="1"/>
    <xf numFmtId="0" fontId="18" fillId="0" borderId="0" xfId="0" applyFont="1" applyAlignment="1">
      <alignment horizontal="center"/>
    </xf>
    <xf numFmtId="0" fontId="32" fillId="0" borderId="0" xfId="0" applyFont="1"/>
    <xf numFmtId="0" fontId="31" fillId="0" borderId="37" xfId="0" applyFont="1" applyBorder="1"/>
    <xf numFmtId="0" fontId="31" fillId="0" borderId="38" xfId="0" applyFont="1" applyBorder="1" applyAlignment="1">
      <alignment horizontal="center"/>
    </xf>
    <xf numFmtId="0" fontId="31" fillId="0" borderId="39" xfId="0" applyFont="1" applyBorder="1" applyAlignment="1">
      <alignment horizontal="center"/>
    </xf>
    <xf numFmtId="0" fontId="31" fillId="0" borderId="0" xfId="0" applyFont="1"/>
    <xf numFmtId="0" fontId="31" fillId="0" borderId="40" xfId="0" applyFont="1" applyBorder="1"/>
    <xf numFmtId="0" fontId="31" fillId="0" borderId="0" xfId="0" applyFont="1" applyBorder="1" applyAlignment="1">
      <alignment horizontal="center"/>
    </xf>
    <xf numFmtId="0" fontId="31" fillId="0" borderId="41" xfId="0" applyFont="1" applyBorder="1" applyAlignment="1">
      <alignment horizontal="center"/>
    </xf>
    <xf numFmtId="0" fontId="31" fillId="0" borderId="42" xfId="0" applyFont="1" applyBorder="1"/>
    <xf numFmtId="0" fontId="31" fillId="0" borderId="43" xfId="0" applyFont="1" applyBorder="1" applyAlignment="1">
      <alignment horizontal="center"/>
    </xf>
    <xf numFmtId="0" fontId="31" fillId="0" borderId="44" xfId="0" applyFont="1" applyBorder="1" applyAlignment="1">
      <alignment horizontal="center"/>
    </xf>
    <xf numFmtId="0" fontId="29" fillId="0" borderId="0" xfId="0" applyFont="1" applyBorder="1"/>
    <xf numFmtId="0" fontId="31" fillId="0" borderId="0" xfId="6" applyFont="1"/>
    <xf numFmtId="0" fontId="31" fillId="0" borderId="0" xfId="0" applyFont="1" applyBorder="1"/>
    <xf numFmtId="0" fontId="31" fillId="0" borderId="0" xfId="0" applyFont="1" applyAlignment="1">
      <alignment horizontal="center"/>
    </xf>
    <xf numFmtId="0" fontId="5" fillId="0" borderId="1" xfId="2" applyFont="1" applyFill="1" applyBorder="1" applyAlignment="1">
      <alignment horizontal="justify" vertical="justify"/>
    </xf>
    <xf numFmtId="0" fontId="4" fillId="0" borderId="1" xfId="2" applyFont="1" applyFill="1" applyBorder="1" applyAlignment="1">
      <alignment horizontal="justify" vertical="justify"/>
    </xf>
    <xf numFmtId="0" fontId="5" fillId="0" borderId="1" xfId="0" applyFont="1" applyFill="1" applyBorder="1"/>
    <xf numFmtId="0" fontId="12" fillId="0" borderId="0" xfId="0" applyFont="1"/>
    <xf numFmtId="0" fontId="4" fillId="3" borderId="1" xfId="0" applyFont="1" applyFill="1" applyBorder="1" applyAlignment="1">
      <alignment horizontal="center"/>
    </xf>
    <xf numFmtId="4" fontId="5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10" borderId="1" xfId="0" applyFont="1" applyFill="1" applyBorder="1"/>
    <xf numFmtId="0" fontId="5" fillId="0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justify"/>
    </xf>
    <xf numFmtId="0" fontId="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/>
    <xf numFmtId="0" fontId="13" fillId="2" borderId="1" xfId="2" applyFont="1" applyFill="1" applyBorder="1" applyAlignment="1">
      <alignment horizontal="center" vertical="center"/>
    </xf>
    <xf numFmtId="4" fontId="13" fillId="2" borderId="1" xfId="2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165" fontId="4" fillId="4" borderId="21" xfId="9" applyFont="1" applyFill="1" applyBorder="1" applyAlignment="1">
      <alignment horizontal="right" vertical="distributed" wrapText="1"/>
    </xf>
    <xf numFmtId="165" fontId="4" fillId="4" borderId="21" xfId="9" applyFont="1" applyFill="1" applyBorder="1" applyAlignment="1">
      <alignment horizontal="center" vertical="distributed" wrapText="1"/>
    </xf>
    <xf numFmtId="170" fontId="5" fillId="4" borderId="21" xfId="9" applyNumberFormat="1" applyFont="1" applyFill="1" applyBorder="1" applyAlignment="1">
      <alignment horizontal="justify" vertical="distributed" wrapText="1"/>
    </xf>
    <xf numFmtId="165" fontId="5" fillId="4" borderId="21" xfId="9" applyFont="1" applyFill="1" applyBorder="1" applyAlignment="1">
      <alignment horizontal="justify" vertical="distributed" wrapText="1"/>
    </xf>
    <xf numFmtId="173" fontId="5" fillId="0" borderId="21" xfId="12" applyNumberFormat="1" applyFont="1" applyFill="1" applyBorder="1" applyAlignment="1">
      <alignment horizontal="justify" vertical="distributed" wrapText="1"/>
    </xf>
    <xf numFmtId="49" fontId="5" fillId="4" borderId="21" xfId="9" applyNumberFormat="1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vertical="top" wrapText="1"/>
    </xf>
    <xf numFmtId="0" fontId="5" fillId="4" borderId="21" xfId="9" applyNumberFormat="1" applyFont="1" applyFill="1" applyBorder="1" applyAlignment="1">
      <alignment horizontal="justify" vertical="center" wrapText="1"/>
    </xf>
    <xf numFmtId="165" fontId="12" fillId="0" borderId="0" xfId="0" applyNumberFormat="1" applyFont="1"/>
    <xf numFmtId="0" fontId="13" fillId="13" borderId="1" xfId="2" applyFont="1" applyFill="1" applyBorder="1" applyAlignment="1">
      <alignment horizontal="justify" vertical="justify"/>
    </xf>
    <xf numFmtId="0" fontId="2" fillId="7" borderId="1" xfId="0" applyFont="1" applyFill="1" applyBorder="1"/>
    <xf numFmtId="2" fontId="4" fillId="0" borderId="1" xfId="2" applyNumberFormat="1" applyFont="1" applyFill="1" applyBorder="1" applyAlignment="1">
      <alignment horizontal="right" vertical="center"/>
    </xf>
    <xf numFmtId="2" fontId="5" fillId="0" borderId="1" xfId="2" applyNumberFormat="1" applyFont="1" applyFill="1" applyBorder="1" applyAlignment="1">
      <alignment horizontal="right" vertical="center"/>
    </xf>
    <xf numFmtId="4" fontId="5" fillId="0" borderId="1" xfId="2" applyNumberFormat="1" applyFont="1" applyFill="1" applyBorder="1" applyAlignment="1">
      <alignment horizontal="right" vertical="center"/>
    </xf>
    <xf numFmtId="4" fontId="4" fillId="0" borderId="1" xfId="2" applyNumberFormat="1" applyFont="1" applyFill="1" applyBorder="1" applyAlignment="1">
      <alignment horizontal="right" vertical="center"/>
    </xf>
    <xf numFmtId="0" fontId="19" fillId="5" borderId="5" xfId="0" applyFont="1" applyFill="1" applyBorder="1"/>
    <xf numFmtId="0" fontId="19" fillId="5" borderId="5" xfId="0" applyFont="1" applyFill="1" applyBorder="1" applyAlignment="1">
      <alignment horizontal="center"/>
    </xf>
    <xf numFmtId="10" fontId="19" fillId="5" borderId="5" xfId="1" applyNumberFormat="1" applyFont="1" applyFill="1" applyBorder="1" applyAlignment="1">
      <alignment horizontal="center"/>
    </xf>
    <xf numFmtId="0" fontId="18" fillId="5" borderId="0" xfId="0" applyFont="1" applyFill="1"/>
    <xf numFmtId="0" fontId="5" fillId="0" borderId="1" xfId="2" applyFont="1" applyFill="1" applyBorder="1" applyAlignment="1">
      <alignment horizontal="justify" vertical="justify" wrapText="1"/>
    </xf>
    <xf numFmtId="0" fontId="17" fillId="2" borderId="1" xfId="0" applyFont="1" applyFill="1" applyBorder="1"/>
    <xf numFmtId="2" fontId="5" fillId="0" borderId="1" xfId="2" applyNumberFormat="1" applyFont="1" applyFill="1" applyBorder="1" applyAlignment="1">
      <alignment horizontal="right" vertical="justify"/>
    </xf>
    <xf numFmtId="0" fontId="5" fillId="0" borderId="1" xfId="2" applyFont="1" applyBorder="1" applyAlignment="1">
      <alignment horizontal="left" vertical="center" wrapText="1"/>
    </xf>
    <xf numFmtId="4" fontId="5" fillId="0" borderId="1" xfId="2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12" fillId="0" borderId="1" xfId="0" applyFont="1" applyBorder="1" applyAlignment="1">
      <alignment horizontal="left"/>
    </xf>
    <xf numFmtId="0" fontId="4" fillId="0" borderId="1" xfId="2" applyFont="1" applyFill="1" applyBorder="1" applyAlignment="1">
      <alignment horizontal="center"/>
    </xf>
    <xf numFmtId="0" fontId="37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/>
    </xf>
    <xf numFmtId="9" fontId="5" fillId="0" borderId="1" xfId="1" applyNumberFormat="1" applyFont="1" applyFill="1" applyBorder="1" applyAlignment="1">
      <alignment horizontal="left"/>
    </xf>
    <xf numFmtId="0" fontId="5" fillId="0" borderId="1" xfId="2" applyFont="1" applyFill="1" applyBorder="1" applyAlignment="1">
      <alignment horizontal="center"/>
    </xf>
    <xf numFmtId="0" fontId="5" fillId="7" borderId="1" xfId="0" applyFont="1" applyFill="1" applyBorder="1"/>
    <xf numFmtId="4" fontId="5" fillId="0" borderId="1" xfId="2" applyNumberFormat="1" applyFont="1" applyFill="1" applyBorder="1" applyAlignment="1">
      <alignment horizontal="center"/>
    </xf>
    <xf numFmtId="0" fontId="9" fillId="9" borderId="1" xfId="0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 vertical="top"/>
    </xf>
    <xf numFmtId="4" fontId="4" fillId="0" borderId="1" xfId="2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8" fillId="2" borderId="1" xfId="0" applyFont="1" applyFill="1" applyBorder="1"/>
    <xf numFmtId="43" fontId="8" fillId="0" borderId="1" xfId="55" applyFont="1" applyFill="1" applyBorder="1"/>
    <xf numFmtId="0" fontId="8" fillId="0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9" applyNumberFormat="1" applyFont="1" applyFill="1" applyBorder="1" applyAlignment="1">
      <alignment horizontal="center" vertical="distributed" wrapText="1"/>
    </xf>
    <xf numFmtId="4" fontId="5" fillId="0" borderId="1" xfId="9" applyNumberFormat="1" applyFont="1" applyFill="1" applyBorder="1" applyAlignment="1">
      <alignment horizontal="center" vertical="distributed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justify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/>
    </xf>
    <xf numFmtId="10" fontId="4" fillId="0" borderId="1" xfId="1" applyNumberFormat="1" applyFont="1" applyBorder="1" applyAlignment="1" applyProtection="1">
      <alignment horizontal="center" vertical="center"/>
      <protection locked="0"/>
    </xf>
    <xf numFmtId="169" fontId="4" fillId="0" borderId="1" xfId="0" applyNumberFormat="1" applyFont="1" applyBorder="1" applyAlignment="1" applyProtection="1">
      <alignment horizontal="center" vertical="center"/>
    </xf>
    <xf numFmtId="0" fontId="5" fillId="0" borderId="1" xfId="9" applyNumberFormat="1" applyFont="1" applyFill="1" applyBorder="1" applyAlignment="1">
      <alignment vertical="top" wrapText="1"/>
    </xf>
    <xf numFmtId="0" fontId="3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justify"/>
    </xf>
    <xf numFmtId="9" fontId="12" fillId="0" borderId="1" xfId="1" applyFont="1" applyFill="1" applyBorder="1" applyAlignment="1">
      <alignment horizontal="left"/>
    </xf>
    <xf numFmtId="0" fontId="4" fillId="0" borderId="1" xfId="2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/>
    </xf>
    <xf numFmtId="0" fontId="3" fillId="0" borderId="1" xfId="2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/>
    </xf>
    <xf numFmtId="0" fontId="6" fillId="0" borderId="1" xfId="2" applyFont="1" applyFill="1" applyBorder="1" applyAlignment="1"/>
    <xf numFmtId="0" fontId="9" fillId="2" borderId="1" xfId="0" applyFont="1" applyFill="1" applyBorder="1"/>
    <xf numFmtId="0" fontId="9" fillId="0" borderId="1" xfId="0" applyFont="1" applyFill="1" applyBorder="1"/>
    <xf numFmtId="0" fontId="9" fillId="9" borderId="1" xfId="0" applyFont="1" applyFill="1" applyBorder="1"/>
    <xf numFmtId="43" fontId="8" fillId="0" borderId="1" xfId="55" applyFont="1" applyFill="1" applyBorder="1" applyAlignment="1">
      <alignment horizontal="right"/>
    </xf>
    <xf numFmtId="43" fontId="8" fillId="0" borderId="1" xfId="55" applyFont="1" applyFill="1" applyBorder="1" applyAlignment="1">
      <alignment horizontal="center"/>
    </xf>
    <xf numFmtId="174" fontId="8" fillId="0" borderId="1" xfId="1" applyNumberFormat="1" applyFont="1" applyFill="1" applyBorder="1"/>
    <xf numFmtId="0" fontId="3" fillId="0" borderId="1" xfId="2" applyFont="1" applyFill="1" applyBorder="1" applyAlignment="1">
      <alignment horizontal="justify" vertical="justify" wrapText="1"/>
    </xf>
    <xf numFmtId="0" fontId="5" fillId="0" borderId="0" xfId="0" applyFont="1" applyFill="1" applyBorder="1" applyAlignment="1">
      <alignment horizontal="center" vertical="justify"/>
    </xf>
    <xf numFmtId="0" fontId="12" fillId="0" borderId="45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 wrapText="1"/>
    </xf>
    <xf numFmtId="0" fontId="12" fillId="0" borderId="45" xfId="0" applyFont="1" applyFill="1" applyBorder="1" applyAlignment="1">
      <alignment horizontal="justify" vertical="justify"/>
    </xf>
    <xf numFmtId="0" fontId="12" fillId="0" borderId="45" xfId="0" applyFont="1" applyFill="1" applyBorder="1" applyAlignment="1">
      <alignment horizontal="left"/>
    </xf>
    <xf numFmtId="0" fontId="12" fillId="0" borderId="47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2" fillId="0" borderId="1" xfId="0" applyFont="1" applyFill="1" applyBorder="1"/>
    <xf numFmtId="0" fontId="6" fillId="0" borderId="1" xfId="2" applyFont="1" applyFill="1" applyBorder="1" applyAlignment="1">
      <alignment horizontal="left" vertical="center"/>
    </xf>
    <xf numFmtId="9" fontId="18" fillId="0" borderId="1" xfId="1" applyFont="1" applyFill="1" applyBorder="1" applyAlignment="1">
      <alignment horizontal="left"/>
    </xf>
    <xf numFmtId="4" fontId="3" fillId="0" borderId="1" xfId="2" applyNumberFormat="1" applyFont="1" applyFill="1" applyBorder="1" applyAlignment="1">
      <alignment horizontal="center" vertical="center"/>
    </xf>
    <xf numFmtId="174" fontId="3" fillId="0" borderId="1" xfId="1" applyNumberFormat="1" applyFont="1" applyFill="1" applyBorder="1" applyAlignment="1">
      <alignment horizontal="center" vertical="center"/>
    </xf>
    <xf numFmtId="43" fontId="5" fillId="0" borderId="1" xfId="55" applyFont="1" applyFill="1" applyBorder="1" applyAlignment="1">
      <alignment horizontal="center" vertical="center"/>
    </xf>
    <xf numFmtId="9" fontId="13" fillId="2" borderId="1" xfId="1" applyFont="1" applyFill="1" applyBorder="1" applyAlignment="1">
      <alignment horizontal="left"/>
    </xf>
    <xf numFmtId="0" fontId="6" fillId="0" borderId="1" xfId="2" applyFont="1" applyFill="1" applyBorder="1" applyAlignment="1">
      <alignment horizontal="center" vertical="center"/>
    </xf>
    <xf numFmtId="4" fontId="5" fillId="0" borderId="1" xfId="0" applyNumberFormat="1" applyFont="1" applyFill="1" applyBorder="1"/>
    <xf numFmtId="0" fontId="4" fillId="14" borderId="1" xfId="2" applyFont="1" applyFill="1" applyBorder="1" applyAlignment="1">
      <alignment horizontal="center" vertical="center"/>
    </xf>
    <xf numFmtId="0" fontId="4" fillId="14" borderId="1" xfId="2" applyFont="1" applyFill="1" applyBorder="1" applyAlignment="1">
      <alignment horizontal="center" vertical="center" wrapText="1"/>
    </xf>
    <xf numFmtId="0" fontId="4" fillId="14" borderId="1" xfId="2" applyFont="1" applyFill="1" applyBorder="1" applyAlignment="1">
      <alignment horizontal="left" vertical="justify"/>
    </xf>
    <xf numFmtId="4" fontId="12" fillId="14" borderId="1" xfId="2" applyNumberFormat="1" applyFont="1" applyFill="1" applyBorder="1" applyAlignment="1">
      <alignment horizontal="center" vertical="center"/>
    </xf>
    <xf numFmtId="4" fontId="5" fillId="14" borderId="1" xfId="2" applyNumberFormat="1" applyFont="1" applyFill="1" applyBorder="1" applyAlignment="1">
      <alignment horizontal="center" vertical="center"/>
    </xf>
    <xf numFmtId="4" fontId="4" fillId="14" borderId="1" xfId="2" applyNumberFormat="1" applyFont="1" applyFill="1" applyBorder="1" applyAlignment="1">
      <alignment horizontal="center" vertical="center"/>
    </xf>
    <xf numFmtId="0" fontId="4" fillId="14" borderId="1" xfId="2" applyFont="1" applyFill="1" applyBorder="1" applyAlignment="1">
      <alignment horizontal="justify" vertical="justify"/>
    </xf>
    <xf numFmtId="175" fontId="4" fillId="14" borderId="1" xfId="2" applyNumberFormat="1" applyFont="1" applyFill="1" applyBorder="1" applyAlignment="1">
      <alignment horizontal="center" vertical="center"/>
    </xf>
    <xf numFmtId="0" fontId="4" fillId="14" borderId="1" xfId="0" applyFont="1" applyFill="1" applyBorder="1" applyAlignment="1">
      <alignment wrapText="1"/>
    </xf>
    <xf numFmtId="0" fontId="12" fillId="14" borderId="1" xfId="0" applyFont="1" applyFill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 wrapText="1"/>
    </xf>
    <xf numFmtId="0" fontId="12" fillId="14" borderId="1" xfId="0" applyFont="1" applyFill="1" applyBorder="1" applyAlignment="1">
      <alignment horizontal="justify" vertical="justify"/>
    </xf>
    <xf numFmtId="0" fontId="4" fillId="14" borderId="1" xfId="0" applyFont="1" applyFill="1" applyBorder="1" applyAlignment="1">
      <alignment horizontal="center" vertical="center"/>
    </xf>
    <xf numFmtId="4" fontId="4" fillId="14" borderId="1" xfId="0" applyNumberFormat="1" applyFont="1" applyFill="1" applyBorder="1" applyAlignment="1">
      <alignment horizontal="center" vertical="center"/>
    </xf>
    <xf numFmtId="4" fontId="4" fillId="14" borderId="1" xfId="2" applyNumberFormat="1" applyFont="1" applyFill="1" applyBorder="1" applyAlignment="1">
      <alignment horizontal="right" vertical="center"/>
    </xf>
    <xf numFmtId="2" fontId="4" fillId="14" borderId="1" xfId="2" applyNumberFormat="1" applyFont="1" applyFill="1" applyBorder="1" applyAlignment="1">
      <alignment horizontal="right" vertical="center"/>
    </xf>
    <xf numFmtId="0" fontId="4" fillId="12" borderId="1" xfId="2" applyFont="1" applyFill="1" applyBorder="1" applyAlignment="1">
      <alignment horizontal="center" vertical="center"/>
    </xf>
    <xf numFmtId="0" fontId="4" fillId="12" borderId="1" xfId="2" applyFont="1" applyFill="1" applyBorder="1" applyAlignment="1">
      <alignment horizontal="center" vertical="center" wrapText="1"/>
    </xf>
    <xf numFmtId="0" fontId="4" fillId="12" borderId="1" xfId="2" applyFont="1" applyFill="1" applyBorder="1" applyAlignment="1">
      <alignment horizontal="justify" vertical="justify"/>
    </xf>
    <xf numFmtId="4" fontId="4" fillId="12" borderId="1" xfId="2" applyNumberFormat="1" applyFont="1" applyFill="1" applyBorder="1" applyAlignment="1">
      <alignment horizontal="right" vertical="center"/>
    </xf>
    <xf numFmtId="2" fontId="4" fillId="12" borderId="1" xfId="2" applyNumberFormat="1" applyFont="1" applyFill="1" applyBorder="1" applyAlignment="1">
      <alignment horizontal="right" vertical="center"/>
    </xf>
    <xf numFmtId="0" fontId="4" fillId="12" borderId="1" xfId="2" applyFont="1" applyFill="1" applyBorder="1" applyAlignment="1">
      <alignment horizontal="justify" vertical="justify" wrapText="1"/>
    </xf>
    <xf numFmtId="0" fontId="4" fillId="14" borderId="1" xfId="0" applyFont="1" applyFill="1" applyBorder="1" applyAlignment="1">
      <alignment horizontal="center" vertical="center" wrapText="1"/>
    </xf>
    <xf numFmtId="2" fontId="5" fillId="0" borderId="1" xfId="2" applyNumberFormat="1" applyFont="1" applyFill="1" applyBorder="1" applyAlignment="1">
      <alignment horizontal="center" vertical="center"/>
    </xf>
    <xf numFmtId="2" fontId="4" fillId="0" borderId="1" xfId="2" applyNumberFormat="1" applyFont="1" applyFill="1" applyBorder="1" applyAlignment="1">
      <alignment horizontal="center" vertical="center"/>
    </xf>
    <xf numFmtId="4" fontId="5" fillId="0" borderId="1" xfId="9" applyNumberFormat="1" applyFont="1" applyFill="1" applyBorder="1" applyAlignment="1">
      <alignment horizontal="center" vertical="center" wrapText="1"/>
    </xf>
    <xf numFmtId="4" fontId="4" fillId="14" borderId="1" xfId="2" applyNumberFormat="1" applyFont="1" applyFill="1" applyBorder="1" applyAlignment="1">
      <alignment horizontal="center"/>
    </xf>
    <xf numFmtId="0" fontId="4" fillId="14" borderId="1" xfId="2" applyFont="1" applyFill="1" applyBorder="1" applyAlignment="1">
      <alignment horizontal="center" vertical="top"/>
    </xf>
    <xf numFmtId="0" fontId="4" fillId="14" borderId="1" xfId="2" applyFont="1" applyFill="1" applyBorder="1" applyAlignment="1">
      <alignment horizontal="left" vertical="top"/>
    </xf>
    <xf numFmtId="175" fontId="4" fillId="14" borderId="1" xfId="2" applyNumberFormat="1" applyFont="1" applyFill="1" applyBorder="1" applyAlignment="1">
      <alignment horizontal="center" vertical="top"/>
    </xf>
    <xf numFmtId="44" fontId="4" fillId="14" borderId="1" xfId="49" applyFont="1" applyFill="1" applyBorder="1" applyAlignment="1">
      <alignment horizontal="center"/>
    </xf>
    <xf numFmtId="10" fontId="40" fillId="14" borderId="1" xfId="1" applyNumberFormat="1" applyFont="1" applyFill="1" applyBorder="1" applyAlignment="1">
      <alignment horizontal="center"/>
    </xf>
    <xf numFmtId="0" fontId="41" fillId="15" borderId="1" xfId="2" applyFont="1" applyFill="1" applyBorder="1" applyAlignment="1">
      <alignment horizontal="center" vertical="center"/>
    </xf>
    <xf numFmtId="0" fontId="41" fillId="15" borderId="1" xfId="2" applyFont="1" applyFill="1" applyBorder="1" applyAlignment="1">
      <alignment horizontal="center" vertical="center" wrapText="1"/>
    </xf>
    <xf numFmtId="4" fontId="41" fillId="15" borderId="1" xfId="2" applyNumberFormat="1" applyFont="1" applyFill="1" applyBorder="1" applyAlignment="1">
      <alignment horizontal="center" vertical="center"/>
    </xf>
    <xf numFmtId="2" fontId="41" fillId="15" borderId="1" xfId="2" applyNumberFormat="1" applyFont="1" applyFill="1" applyBorder="1" applyAlignment="1">
      <alignment horizontal="center" vertical="center"/>
    </xf>
    <xf numFmtId="4" fontId="41" fillId="15" borderId="1" xfId="2" applyNumberFormat="1" applyFont="1" applyFill="1" applyBorder="1" applyAlignment="1">
      <alignment horizontal="center" vertical="center" wrapText="1"/>
    </xf>
    <xf numFmtId="9" fontId="41" fillId="15" borderId="45" xfId="1" applyFont="1" applyFill="1" applyBorder="1" applyAlignment="1">
      <alignment horizontal="center" vertical="center"/>
    </xf>
    <xf numFmtId="4" fontId="41" fillId="15" borderId="45" xfId="2" applyNumberFormat="1" applyFont="1" applyFill="1" applyBorder="1" applyAlignment="1">
      <alignment horizontal="center" vertical="center"/>
    </xf>
    <xf numFmtId="0" fontId="42" fillId="15" borderId="1" xfId="2" applyFont="1" applyFill="1" applyBorder="1" applyAlignment="1">
      <alignment horizontal="center" vertical="center"/>
    </xf>
    <xf numFmtId="4" fontId="42" fillId="15" borderId="1" xfId="2" applyNumberFormat="1" applyFont="1" applyFill="1" applyBorder="1" applyAlignment="1">
      <alignment horizontal="center" vertical="center" wrapText="1"/>
    </xf>
    <xf numFmtId="9" fontId="42" fillId="15" borderId="1" xfId="1" applyFont="1" applyFill="1" applyBorder="1" applyAlignment="1">
      <alignment horizontal="center" vertical="center" wrapText="1"/>
    </xf>
    <xf numFmtId="0" fontId="3" fillId="14" borderId="1" xfId="2" applyFont="1" applyFill="1" applyBorder="1" applyAlignment="1">
      <alignment horizontal="center" vertical="center"/>
    </xf>
    <xf numFmtId="0" fontId="3" fillId="14" borderId="1" xfId="2" applyFont="1" applyFill="1" applyBorder="1" applyAlignment="1">
      <alignment horizontal="left" vertical="justify"/>
    </xf>
    <xf numFmtId="4" fontId="3" fillId="14" borderId="1" xfId="2" applyNumberFormat="1" applyFont="1" applyFill="1" applyBorder="1" applyAlignment="1">
      <alignment horizontal="center" vertical="center"/>
    </xf>
    <xf numFmtId="174" fontId="3" fillId="14" borderId="1" xfId="1" applyNumberFormat="1" applyFont="1" applyFill="1" applyBorder="1" applyAlignment="1">
      <alignment horizontal="center" vertical="center"/>
    </xf>
    <xf numFmtId="43" fontId="42" fillId="15" borderId="1" xfId="55" applyFont="1" applyFill="1" applyBorder="1" applyAlignment="1">
      <alignment horizontal="center" vertical="center"/>
    </xf>
    <xf numFmtId="175" fontId="3" fillId="14" borderId="1" xfId="2" applyNumberFormat="1" applyFont="1" applyFill="1" applyBorder="1" applyAlignment="1">
      <alignment horizontal="center" vertical="center"/>
    </xf>
    <xf numFmtId="0" fontId="43" fillId="15" borderId="5" xfId="0" applyFont="1" applyFill="1" applyBorder="1" applyAlignment="1">
      <alignment horizontal="center" vertical="center"/>
    </xf>
    <xf numFmtId="165" fontId="4" fillId="4" borderId="21" xfId="9" applyFont="1" applyFill="1" applyBorder="1" applyAlignment="1">
      <alignment horizontal="justify" vertical="distributed" wrapText="1"/>
    </xf>
    <xf numFmtId="0" fontId="4" fillId="14" borderId="1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wrapText="1"/>
    </xf>
    <xf numFmtId="0" fontId="22" fillId="0" borderId="1" xfId="2" applyFont="1" applyFill="1" applyBorder="1" applyAlignment="1">
      <alignment horizontal="center" wrapText="1"/>
    </xf>
    <xf numFmtId="0" fontId="3" fillId="0" borderId="30" xfId="2" applyFont="1" applyFill="1" applyBorder="1" applyAlignment="1">
      <alignment horizontal="center" vertical="center"/>
    </xf>
    <xf numFmtId="0" fontId="3" fillId="0" borderId="33" xfId="2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9" applyNumberFormat="1" applyFont="1" applyFill="1" applyBorder="1" applyAlignment="1">
      <alignment vertical="distributed" wrapText="1"/>
    </xf>
    <xf numFmtId="0" fontId="5" fillId="0" borderId="1" xfId="2" applyFont="1" applyBorder="1" applyAlignment="1">
      <alignment horizontal="justify" vertical="justify" wrapText="1"/>
    </xf>
    <xf numFmtId="2" fontId="4" fillId="12" borderId="1" xfId="2" applyNumberFormat="1" applyFont="1" applyFill="1" applyBorder="1" applyAlignment="1">
      <alignment horizontal="center" vertical="center"/>
    </xf>
    <xf numFmtId="176" fontId="4" fillId="12" borderId="1" xfId="2" applyNumberFormat="1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distributed"/>
    </xf>
    <xf numFmtId="169" fontId="5" fillId="0" borderId="21" xfId="0" applyNumberFormat="1" applyFont="1" applyBorder="1" applyAlignment="1">
      <alignment horizontal="right" vertical="center"/>
    </xf>
    <xf numFmtId="165" fontId="4" fillId="4" borderId="29" xfId="9" applyFont="1" applyFill="1" applyBorder="1" applyAlignment="1">
      <alignment horizontal="right" vertical="distributed" wrapText="1"/>
    </xf>
    <xf numFmtId="170" fontId="4" fillId="12" borderId="21" xfId="9" applyNumberFormat="1" applyFont="1" applyFill="1" applyBorder="1" applyAlignment="1">
      <alignment horizontal="center" vertical="distributed" wrapText="1"/>
    </xf>
    <xf numFmtId="165" fontId="4" fillId="12" borderId="21" xfId="9" applyFont="1" applyFill="1" applyBorder="1" applyAlignment="1">
      <alignment horizontal="justify" vertical="distributed" wrapText="1"/>
    </xf>
    <xf numFmtId="165" fontId="4" fillId="12" borderId="21" xfId="9" applyFont="1" applyFill="1" applyBorder="1" applyAlignment="1">
      <alignment horizontal="center" vertical="distributed" wrapText="1"/>
    </xf>
    <xf numFmtId="165" fontId="4" fillId="12" borderId="21" xfId="9" applyFont="1" applyFill="1" applyBorder="1" applyAlignment="1">
      <alignment horizontal="right" vertical="distributed" wrapText="1"/>
    </xf>
    <xf numFmtId="49" fontId="5" fillId="0" borderId="1" xfId="2" applyNumberFormat="1" applyFont="1" applyBorder="1" applyAlignment="1">
      <alignment horizontal="center" vertical="center" wrapText="1"/>
    </xf>
    <xf numFmtId="9" fontId="42" fillId="15" borderId="1" xfId="1" applyFont="1" applyFill="1" applyBorder="1" applyAlignment="1">
      <alignment horizontal="center" vertical="center"/>
    </xf>
    <xf numFmtId="9" fontId="4" fillId="14" borderId="1" xfId="1" applyFont="1" applyFill="1" applyBorder="1" applyAlignment="1">
      <alignment horizontal="center"/>
    </xf>
    <xf numFmtId="171" fontId="15" fillId="14" borderId="1" xfId="49" applyNumberFormat="1" applyFont="1" applyFill="1" applyBorder="1" applyAlignment="1">
      <alignment horizontal="center" vertical="center"/>
    </xf>
    <xf numFmtId="165" fontId="4" fillId="4" borderId="21" xfId="58" applyFont="1" applyFill="1" applyBorder="1" applyAlignment="1">
      <alignment horizontal="center" vertical="distributed" wrapText="1"/>
    </xf>
    <xf numFmtId="170" fontId="5" fillId="4" borderId="21" xfId="58" applyNumberFormat="1" applyFont="1" applyFill="1" applyBorder="1" applyAlignment="1">
      <alignment horizontal="justify" vertical="distributed" wrapText="1"/>
    </xf>
    <xf numFmtId="165" fontId="4" fillId="4" borderId="21" xfId="58" applyFont="1" applyFill="1" applyBorder="1" applyAlignment="1">
      <alignment horizontal="justify" vertical="distributed" wrapText="1"/>
    </xf>
    <xf numFmtId="165" fontId="5" fillId="4" borderId="21" xfId="58" applyFont="1" applyFill="1" applyBorder="1" applyAlignment="1">
      <alignment horizontal="justify" vertical="distributed" wrapText="1"/>
    </xf>
    <xf numFmtId="170" fontId="4" fillId="2" borderId="21" xfId="58" applyNumberFormat="1" applyFont="1" applyFill="1" applyBorder="1" applyAlignment="1">
      <alignment horizontal="center" vertical="distributed" wrapText="1"/>
    </xf>
    <xf numFmtId="165" fontId="4" fillId="2" borderId="21" xfId="58" applyFont="1" applyFill="1" applyBorder="1" applyAlignment="1">
      <alignment horizontal="justify" vertical="distributed" wrapText="1"/>
    </xf>
    <xf numFmtId="165" fontId="4" fillId="2" borderId="21" xfId="58" applyFont="1" applyFill="1" applyBorder="1" applyAlignment="1">
      <alignment horizontal="center" vertical="distributed" wrapText="1"/>
    </xf>
    <xf numFmtId="49" fontId="5" fillId="4" borderId="21" xfId="58" applyNumberFormat="1" applyFont="1" applyFill="1" applyBorder="1" applyAlignment="1">
      <alignment horizontal="center" vertical="center" wrapText="1"/>
    </xf>
    <xf numFmtId="170" fontId="5" fillId="4" borderId="21" xfId="50" applyNumberFormat="1" applyFont="1" applyFill="1" applyBorder="1" applyAlignment="1">
      <alignment horizontal="center" vertical="center" wrapText="1"/>
    </xf>
    <xf numFmtId="173" fontId="5" fillId="0" borderId="21" xfId="50" applyNumberFormat="1" applyFont="1" applyFill="1" applyBorder="1" applyAlignment="1">
      <alignment horizontal="justify" vertical="distributed" wrapText="1"/>
    </xf>
    <xf numFmtId="169" fontId="5" fillId="4" borderId="21" xfId="50" applyNumberFormat="1" applyFont="1" applyFill="1" applyBorder="1" applyAlignment="1">
      <alignment horizontal="right" vertical="center"/>
    </xf>
    <xf numFmtId="165" fontId="4" fillId="2" borderId="21" xfId="58" applyFont="1" applyFill="1" applyBorder="1" applyAlignment="1">
      <alignment horizontal="right" vertical="distributed" wrapText="1"/>
    </xf>
    <xf numFmtId="165" fontId="4" fillId="8" borderId="21" xfId="58" applyFont="1" applyFill="1" applyBorder="1" applyAlignment="1">
      <alignment horizontal="justify" vertical="distributed" wrapText="1"/>
    </xf>
    <xf numFmtId="165" fontId="4" fillId="4" borderId="21" xfId="9" applyFont="1" applyFill="1" applyBorder="1" applyAlignment="1">
      <alignment horizontal="justify" vertical="distributed" wrapText="1"/>
    </xf>
    <xf numFmtId="165" fontId="4" fillId="4" borderId="21" xfId="58" applyFont="1" applyFill="1" applyBorder="1" applyAlignment="1">
      <alignment horizontal="justify" vertical="distributed" wrapText="1"/>
    </xf>
    <xf numFmtId="0" fontId="5" fillId="0" borderId="1" xfId="2" applyFont="1" applyFill="1" applyBorder="1" applyAlignment="1">
      <alignment horizontal="center" vertical="justify"/>
    </xf>
    <xf numFmtId="0" fontId="15" fillId="14" borderId="2" xfId="2" applyFont="1" applyFill="1" applyBorder="1" applyAlignment="1">
      <alignment vertical="center"/>
    </xf>
    <xf numFmtId="0" fontId="15" fillId="14" borderId="3" xfId="2" applyFont="1" applyFill="1" applyBorder="1" applyAlignment="1">
      <alignment vertical="center"/>
    </xf>
    <xf numFmtId="4" fontId="12" fillId="0" borderId="1" xfId="0" applyNumberFormat="1" applyFont="1" applyBorder="1" applyAlignment="1">
      <alignment horizontal="left"/>
    </xf>
    <xf numFmtId="0" fontId="12" fillId="0" borderId="45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/>
    </xf>
    <xf numFmtId="0" fontId="23" fillId="0" borderId="10" xfId="0" applyFont="1" applyBorder="1" applyAlignment="1">
      <alignment horizontal="left" vertical="center"/>
    </xf>
    <xf numFmtId="0" fontId="23" fillId="0" borderId="36" xfId="0" applyFont="1" applyBorder="1" applyAlignment="1">
      <alignment horizontal="left" vertical="center"/>
    </xf>
    <xf numFmtId="0" fontId="31" fillId="0" borderId="0" xfId="6" applyFont="1" applyBorder="1" applyAlignment="1">
      <alignment horizontal="justify" wrapText="1"/>
    </xf>
    <xf numFmtId="0" fontId="17" fillId="0" borderId="0" xfId="6" applyFont="1" applyBorder="1" applyAlignment="1">
      <alignment horizontal="justify" wrapText="1"/>
    </xf>
    <xf numFmtId="0" fontId="33" fillId="0" borderId="11" xfId="0" applyFont="1" applyBorder="1" applyAlignment="1">
      <alignment horizontal="left" vertical="justify" wrapText="1"/>
    </xf>
    <xf numFmtId="0" fontId="33" fillId="0" borderId="13" xfId="0" applyFont="1" applyBorder="1" applyAlignment="1">
      <alignment horizontal="left" vertical="justify" wrapText="1"/>
    </xf>
    <xf numFmtId="0" fontId="33" fillId="0" borderId="12" xfId="0" applyFont="1" applyBorder="1" applyAlignment="1">
      <alignment horizontal="left" vertical="justify" wrapText="1"/>
    </xf>
    <xf numFmtId="0" fontId="24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22" fillId="0" borderId="1" xfId="2" applyFont="1" applyFill="1" applyBorder="1" applyAlignment="1">
      <alignment horizontal="center"/>
    </xf>
    <xf numFmtId="0" fontId="42" fillId="15" borderId="1" xfId="0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 wrapText="1"/>
    </xf>
    <xf numFmtId="0" fontId="6" fillId="0" borderId="4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/>
    </xf>
    <xf numFmtId="0" fontId="6" fillId="0" borderId="3" xfId="2" applyFont="1" applyFill="1" applyBorder="1" applyAlignment="1">
      <alignment horizontal="left" vertical="center"/>
    </xf>
    <xf numFmtId="0" fontId="22" fillId="0" borderId="4" xfId="2" applyFont="1" applyFill="1" applyBorder="1" applyAlignment="1">
      <alignment horizontal="center"/>
    </xf>
    <xf numFmtId="0" fontId="22" fillId="0" borderId="2" xfId="2" applyFont="1" applyFill="1" applyBorder="1" applyAlignment="1">
      <alignment horizontal="center"/>
    </xf>
    <xf numFmtId="0" fontId="22" fillId="0" borderId="3" xfId="2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6" fillId="14" borderId="4" xfId="0" applyNumberFormat="1" applyFont="1" applyFill="1" applyBorder="1" applyAlignment="1">
      <alignment horizontal="center"/>
    </xf>
    <xf numFmtId="49" fontId="6" fillId="14" borderId="2" xfId="0" applyNumberFormat="1" applyFont="1" applyFill="1" applyBorder="1" applyAlignment="1">
      <alignment horizontal="center"/>
    </xf>
    <xf numFmtId="49" fontId="6" fillId="14" borderId="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 vertical="center"/>
    </xf>
    <xf numFmtId="0" fontId="13" fillId="0" borderId="4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/>
    </xf>
    <xf numFmtId="0" fontId="22" fillId="0" borderId="4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165" fontId="4" fillId="4" borderId="21" xfId="9" applyFont="1" applyFill="1" applyBorder="1" applyAlignment="1">
      <alignment horizontal="justify" vertical="distributed" wrapText="1"/>
    </xf>
    <xf numFmtId="0" fontId="20" fillId="14" borderId="5" xfId="0" applyFont="1" applyFill="1" applyBorder="1" applyAlignment="1">
      <alignment horizontal="center"/>
    </xf>
    <xf numFmtId="170" fontId="4" fillId="4" borderId="34" xfId="9" applyNumberFormat="1" applyFont="1" applyFill="1" applyBorder="1" applyAlignment="1">
      <alignment horizontal="center" vertical="distributed" wrapText="1"/>
    </xf>
    <xf numFmtId="170" fontId="4" fillId="4" borderId="35" xfId="9" applyNumberFormat="1" applyFont="1" applyFill="1" applyBorder="1" applyAlignment="1">
      <alignment horizontal="center" vertical="distributed" wrapText="1"/>
    </xf>
    <xf numFmtId="170" fontId="4" fillId="4" borderId="27" xfId="9" applyNumberFormat="1" applyFont="1" applyFill="1" applyBorder="1" applyAlignment="1">
      <alignment horizontal="center" vertical="distributed" wrapText="1"/>
    </xf>
    <xf numFmtId="170" fontId="4" fillId="4" borderId="28" xfId="9" applyNumberFormat="1" applyFont="1" applyFill="1" applyBorder="1" applyAlignment="1">
      <alignment horizontal="center" vertical="distributed" wrapText="1"/>
    </xf>
    <xf numFmtId="165" fontId="4" fillId="4" borderId="27" xfId="9" applyFont="1" applyFill="1" applyBorder="1" applyAlignment="1">
      <alignment horizontal="left" vertical="distributed" wrapText="1"/>
    </xf>
    <xf numFmtId="165" fontId="4" fillId="4" borderId="33" xfId="9" applyFont="1" applyFill="1" applyBorder="1" applyAlignment="1">
      <alignment horizontal="left" vertical="distributed" wrapText="1"/>
    </xf>
    <xf numFmtId="165" fontId="4" fillId="4" borderId="28" xfId="9" applyFont="1" applyFill="1" applyBorder="1" applyAlignment="1">
      <alignment horizontal="left" vertical="distributed" wrapText="1"/>
    </xf>
    <xf numFmtId="0" fontId="4" fillId="14" borderId="21" xfId="9" applyNumberFormat="1" applyFont="1" applyFill="1" applyBorder="1" applyAlignment="1">
      <alignment horizontal="center" vertical="center" wrapText="1"/>
    </xf>
    <xf numFmtId="165" fontId="4" fillId="4" borderId="24" xfId="9" applyFont="1" applyFill="1" applyBorder="1" applyAlignment="1">
      <alignment horizontal="center" vertical="distributed" wrapText="1"/>
    </xf>
    <xf numFmtId="165" fontId="4" fillId="4" borderId="25" xfId="9" applyFont="1" applyFill="1" applyBorder="1" applyAlignment="1">
      <alignment horizontal="center" vertical="distributed" wrapText="1"/>
    </xf>
    <xf numFmtId="165" fontId="4" fillId="4" borderId="27" xfId="9" applyFont="1" applyFill="1" applyBorder="1" applyAlignment="1">
      <alignment horizontal="center" vertical="distributed" wrapText="1"/>
    </xf>
    <xf numFmtId="165" fontId="4" fillId="4" borderId="28" xfId="9" applyFont="1" applyFill="1" applyBorder="1" applyAlignment="1">
      <alignment horizontal="center" vertical="distributed" wrapText="1"/>
    </xf>
    <xf numFmtId="165" fontId="4" fillId="12" borderId="26" xfId="9" applyFont="1" applyFill="1" applyBorder="1" applyAlignment="1">
      <alignment horizontal="center" vertical="distributed" wrapText="1"/>
    </xf>
    <xf numFmtId="165" fontId="4" fillId="12" borderId="29" xfId="9" applyFont="1" applyFill="1" applyBorder="1" applyAlignment="1">
      <alignment horizontal="center" vertical="distributed" wrapText="1"/>
    </xf>
    <xf numFmtId="0" fontId="20" fillId="14" borderId="5" xfId="0" applyFont="1" applyFill="1" applyBorder="1" applyAlignment="1">
      <alignment horizontal="center" wrapText="1"/>
    </xf>
    <xf numFmtId="0" fontId="35" fillId="14" borderId="6" xfId="0" applyFont="1" applyFill="1" applyBorder="1" applyAlignment="1">
      <alignment horizontal="center"/>
    </xf>
    <xf numFmtId="0" fontId="35" fillId="14" borderId="7" xfId="0" applyFont="1" applyFill="1" applyBorder="1" applyAlignment="1">
      <alignment horizontal="center"/>
    </xf>
    <xf numFmtId="0" fontId="35" fillId="14" borderId="8" xfId="0" applyFont="1" applyFill="1" applyBorder="1" applyAlignment="1">
      <alignment horizontal="center"/>
    </xf>
    <xf numFmtId="4" fontId="36" fillId="0" borderId="14" xfId="0" applyNumberFormat="1" applyFont="1" applyBorder="1" applyAlignment="1">
      <alignment horizontal="left" vertical="top" wrapText="1"/>
    </xf>
    <xf numFmtId="4" fontId="36" fillId="0" borderId="9" xfId="0" applyNumberFormat="1" applyFont="1" applyBorder="1" applyAlignment="1">
      <alignment horizontal="left" vertical="top" wrapText="1"/>
    </xf>
    <xf numFmtId="0" fontId="36" fillId="0" borderId="9" xfId="0" applyFont="1" applyBorder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4" fontId="36" fillId="0" borderId="16" xfId="0" applyNumberFormat="1" applyFont="1" applyBorder="1" applyAlignment="1">
      <alignment horizontal="left" vertical="top" wrapText="1"/>
    </xf>
    <xf numFmtId="4" fontId="36" fillId="0" borderId="0" xfId="0" applyNumberFormat="1" applyFont="1" applyAlignment="1">
      <alignment horizontal="left" vertical="top" wrapText="1"/>
    </xf>
    <xf numFmtId="4" fontId="36" fillId="0" borderId="17" xfId="0" applyNumberFormat="1" applyFont="1" applyBorder="1" applyAlignment="1">
      <alignment horizontal="left" vertical="top" wrapText="1"/>
    </xf>
    <xf numFmtId="0" fontId="44" fillId="4" borderId="18" xfId="0" applyFont="1" applyFill="1" applyBorder="1" applyAlignment="1">
      <alignment horizontal="left" vertical="top" wrapText="1"/>
    </xf>
    <xf numFmtId="0" fontId="44" fillId="4" borderId="19" xfId="0" applyFont="1" applyFill="1" applyBorder="1" applyAlignment="1">
      <alignment horizontal="left" vertical="top" wrapText="1"/>
    </xf>
    <xf numFmtId="0" fontId="44" fillId="4" borderId="20" xfId="0" applyFont="1" applyFill="1" applyBorder="1" applyAlignment="1">
      <alignment horizontal="left" vertical="top" wrapText="1"/>
    </xf>
    <xf numFmtId="0" fontId="20" fillId="12" borderId="21" xfId="0" applyFont="1" applyFill="1" applyBorder="1" applyAlignment="1">
      <alignment horizontal="center"/>
    </xf>
    <xf numFmtId="0" fontId="35" fillId="2" borderId="6" xfId="0" applyFont="1" applyFill="1" applyBorder="1" applyAlignment="1">
      <alignment horizontal="center"/>
    </xf>
    <xf numFmtId="0" fontId="35" fillId="2" borderId="7" xfId="0" applyFont="1" applyFill="1" applyBorder="1" applyAlignment="1">
      <alignment horizontal="center"/>
    </xf>
    <xf numFmtId="0" fontId="35" fillId="2" borderId="8" xfId="0" applyFont="1" applyFill="1" applyBorder="1" applyAlignment="1">
      <alignment horizontal="center"/>
    </xf>
    <xf numFmtId="0" fontId="15" fillId="14" borderId="4" xfId="2" applyFont="1" applyFill="1" applyBorder="1" applyAlignment="1">
      <alignment horizontal="center" vertical="center"/>
    </xf>
    <xf numFmtId="0" fontId="15" fillId="14" borderId="2" xfId="2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left" wrapText="1"/>
    </xf>
    <xf numFmtId="0" fontId="3" fillId="0" borderId="31" xfId="2" applyFont="1" applyFill="1" applyBorder="1" applyAlignment="1">
      <alignment horizontal="center" vertical="center"/>
    </xf>
    <xf numFmtId="0" fontId="3" fillId="0" borderId="30" xfId="2" applyFont="1" applyFill="1" applyBorder="1" applyAlignment="1">
      <alignment horizontal="center" vertical="center"/>
    </xf>
    <xf numFmtId="0" fontId="3" fillId="0" borderId="46" xfId="2" applyFont="1" applyFill="1" applyBorder="1" applyAlignment="1">
      <alignment horizontal="center" vertical="center"/>
    </xf>
    <xf numFmtId="0" fontId="3" fillId="0" borderId="33" xfId="2" applyFont="1" applyFill="1" applyBorder="1" applyAlignment="1">
      <alignment horizontal="center" vertical="center"/>
    </xf>
    <xf numFmtId="0" fontId="4" fillId="14" borderId="1" xfId="2" applyFont="1" applyFill="1" applyBorder="1" applyAlignment="1">
      <alignment horizontal="center" vertical="top"/>
    </xf>
    <xf numFmtId="0" fontId="11" fillId="0" borderId="4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3" xfId="2" applyFont="1" applyFill="1" applyBorder="1" applyAlignment="1">
      <alignment horizontal="left" vertical="center" wrapText="1"/>
    </xf>
    <xf numFmtId="4" fontId="41" fillId="15" borderId="31" xfId="2" applyNumberFormat="1" applyFont="1" applyFill="1" applyBorder="1" applyAlignment="1">
      <alignment horizontal="center" vertical="center"/>
    </xf>
    <xf numFmtId="4" fontId="41" fillId="15" borderId="32" xfId="2" applyNumberFormat="1" applyFont="1" applyFill="1" applyBorder="1" applyAlignment="1">
      <alignment horizontal="center" vertical="center"/>
    </xf>
    <xf numFmtId="0" fontId="41" fillId="15" borderId="1" xfId="2" applyFont="1" applyFill="1" applyBorder="1" applyAlignment="1">
      <alignment horizontal="center" vertical="center"/>
    </xf>
    <xf numFmtId="0" fontId="41" fillId="15" borderId="1" xfId="2" applyFont="1" applyFill="1" applyBorder="1" applyAlignment="1">
      <alignment horizontal="center" vertical="center" wrapText="1"/>
    </xf>
    <xf numFmtId="4" fontId="28" fillId="0" borderId="0" xfId="0" applyNumberFormat="1" applyFont="1" applyAlignment="1">
      <alignment horizontal="center" vertical="center" wrapText="1"/>
    </xf>
    <xf numFmtId="0" fontId="20" fillId="12" borderId="21" xfId="0" applyFont="1" applyFill="1" applyBorder="1" applyAlignment="1">
      <alignment horizontal="center" wrapText="1"/>
    </xf>
    <xf numFmtId="170" fontId="4" fillId="4" borderId="24" xfId="58" applyNumberFormat="1" applyFont="1" applyFill="1" applyBorder="1" applyAlignment="1">
      <alignment horizontal="center" vertical="distributed" wrapText="1"/>
    </xf>
    <xf numFmtId="170" fontId="4" fillId="4" borderId="25" xfId="58" applyNumberFormat="1" applyFont="1" applyFill="1" applyBorder="1" applyAlignment="1">
      <alignment horizontal="center" vertical="distributed" wrapText="1"/>
    </xf>
    <xf numFmtId="170" fontId="4" fillId="4" borderId="34" xfId="58" applyNumberFormat="1" applyFont="1" applyFill="1" applyBorder="1" applyAlignment="1">
      <alignment horizontal="center" vertical="distributed" wrapText="1"/>
    </xf>
    <xf numFmtId="170" fontId="4" fillId="4" borderId="35" xfId="58" applyNumberFormat="1" applyFont="1" applyFill="1" applyBorder="1" applyAlignment="1">
      <alignment horizontal="center" vertical="distributed" wrapText="1"/>
    </xf>
    <xf numFmtId="170" fontId="4" fillId="4" borderId="27" xfId="58" applyNumberFormat="1" applyFont="1" applyFill="1" applyBorder="1" applyAlignment="1">
      <alignment horizontal="center" vertical="distributed" wrapText="1"/>
    </xf>
    <xf numFmtId="170" fontId="4" fillId="4" borderId="28" xfId="58" applyNumberFormat="1" applyFont="1" applyFill="1" applyBorder="1" applyAlignment="1">
      <alignment horizontal="center" vertical="distributed" wrapText="1"/>
    </xf>
    <xf numFmtId="165" fontId="4" fillId="4" borderId="22" xfId="58" applyFont="1" applyFill="1" applyBorder="1" applyAlignment="1">
      <alignment horizontal="left" vertical="distributed" wrapText="1"/>
    </xf>
    <xf numFmtId="165" fontId="4" fillId="4" borderId="2" xfId="58" applyFont="1" applyFill="1" applyBorder="1" applyAlignment="1">
      <alignment horizontal="left" vertical="distributed" wrapText="1"/>
    </xf>
    <xf numFmtId="165" fontId="4" fillId="4" borderId="23" xfId="58" applyFont="1" applyFill="1" applyBorder="1" applyAlignment="1">
      <alignment horizontal="left" vertical="distributed" wrapText="1"/>
    </xf>
    <xf numFmtId="0" fontId="4" fillId="11" borderId="21" xfId="58" applyNumberFormat="1" applyFont="1" applyFill="1" applyBorder="1" applyAlignment="1">
      <alignment horizontal="justify" vertical="distributed" wrapText="1"/>
    </xf>
    <xf numFmtId="165" fontId="4" fillId="4" borderId="24" xfId="58" applyFont="1" applyFill="1" applyBorder="1" applyAlignment="1">
      <alignment horizontal="center" vertical="distributed" wrapText="1"/>
    </xf>
    <xf numFmtId="165" fontId="4" fillId="4" borderId="25" xfId="58" applyFont="1" applyFill="1" applyBorder="1" applyAlignment="1">
      <alignment horizontal="center" vertical="distributed" wrapText="1"/>
    </xf>
    <xf numFmtId="165" fontId="4" fillId="4" borderId="27" xfId="58" applyFont="1" applyFill="1" applyBorder="1" applyAlignment="1">
      <alignment horizontal="center" vertical="distributed" wrapText="1"/>
    </xf>
    <xf numFmtId="165" fontId="4" fillId="4" borderId="28" xfId="58" applyFont="1" applyFill="1" applyBorder="1" applyAlignment="1">
      <alignment horizontal="center" vertical="distributed" wrapText="1"/>
    </xf>
    <xf numFmtId="165" fontId="4" fillId="10" borderId="26" xfId="58" applyFont="1" applyFill="1" applyBorder="1" applyAlignment="1">
      <alignment horizontal="center" vertical="distributed" wrapText="1"/>
    </xf>
    <xf numFmtId="165" fontId="4" fillId="10" borderId="29" xfId="58" applyFont="1" applyFill="1" applyBorder="1" applyAlignment="1">
      <alignment horizontal="center" vertical="distributed" wrapText="1"/>
    </xf>
    <xf numFmtId="165" fontId="4" fillId="4" borderId="21" xfId="58" applyFont="1" applyFill="1" applyBorder="1" applyAlignment="1">
      <alignment horizontal="justify" vertical="distributed" wrapText="1"/>
    </xf>
  </cellXfs>
  <cellStyles count="59">
    <cellStyle name="Moeda" xfId="49" builtinId="4"/>
    <cellStyle name="Moeda 2" xfId="10" xr:uid="{00000000-0005-0000-0000-000001000000}"/>
    <cellStyle name="Moeda 3" xfId="14" xr:uid="{00000000-0005-0000-0000-000002000000}"/>
    <cellStyle name="Moeda 4" xfId="15" xr:uid="{00000000-0005-0000-0000-000003000000}"/>
    <cellStyle name="Moeda 5" xfId="16" xr:uid="{00000000-0005-0000-0000-000004000000}"/>
    <cellStyle name="Normal" xfId="0" builtinId="0"/>
    <cellStyle name="Normal 19" xfId="52" xr:uid="{00000000-0005-0000-0000-000006000000}"/>
    <cellStyle name="Normal 2" xfId="3" xr:uid="{00000000-0005-0000-0000-000007000000}"/>
    <cellStyle name="Normal 2 2" xfId="5" xr:uid="{00000000-0005-0000-0000-000008000000}"/>
    <cellStyle name="Normal 2 3" xfId="17" xr:uid="{00000000-0005-0000-0000-000009000000}"/>
    <cellStyle name="Normal 2 3 2" xfId="13" xr:uid="{00000000-0005-0000-0000-00000A000000}"/>
    <cellStyle name="Normal 2 4" xfId="18" xr:uid="{00000000-0005-0000-0000-00000B000000}"/>
    <cellStyle name="Normal 2 5" xfId="51" xr:uid="{00000000-0005-0000-0000-00000C000000}"/>
    <cellStyle name="Normal 3" xfId="6" xr:uid="{00000000-0005-0000-0000-00000D000000}"/>
    <cellStyle name="Normal 3 2" xfId="19" xr:uid="{00000000-0005-0000-0000-00000E000000}"/>
    <cellStyle name="Normal 3 2 2" xfId="20" xr:uid="{00000000-0005-0000-0000-00000F000000}"/>
    <cellStyle name="Normal 3 2 3" xfId="21" xr:uid="{00000000-0005-0000-0000-000010000000}"/>
    <cellStyle name="Normal 3 3" xfId="22" xr:uid="{00000000-0005-0000-0000-000011000000}"/>
    <cellStyle name="Normal 4" xfId="11" xr:uid="{00000000-0005-0000-0000-000012000000}"/>
    <cellStyle name="Normal 4 2" xfId="23" xr:uid="{00000000-0005-0000-0000-000013000000}"/>
    <cellStyle name="Normal 4 2 2" xfId="24" xr:uid="{00000000-0005-0000-0000-000014000000}"/>
    <cellStyle name="Normal 4 3" xfId="25" xr:uid="{00000000-0005-0000-0000-000015000000}"/>
    <cellStyle name="Normal 5" xfId="26" xr:uid="{00000000-0005-0000-0000-000016000000}"/>
    <cellStyle name="Normal 5 2" xfId="27" xr:uid="{00000000-0005-0000-0000-000017000000}"/>
    <cellStyle name="Normal 5 3" xfId="28" xr:uid="{00000000-0005-0000-0000-000018000000}"/>
    <cellStyle name="Normal 6" xfId="29" xr:uid="{00000000-0005-0000-0000-000019000000}"/>
    <cellStyle name="Normal 6 2" xfId="30" xr:uid="{00000000-0005-0000-0000-00001A000000}"/>
    <cellStyle name="Normal 7" xfId="31" xr:uid="{00000000-0005-0000-0000-00001B000000}"/>
    <cellStyle name="Normal 7 2" xfId="32" xr:uid="{00000000-0005-0000-0000-00001C000000}"/>
    <cellStyle name="Normal 7 4" xfId="57" xr:uid="{00000000-0005-0000-0000-00001D000000}"/>
    <cellStyle name="Normal 8" xfId="33" xr:uid="{00000000-0005-0000-0000-00001E000000}"/>
    <cellStyle name="Normal_cronograma 6 meses 2" xfId="2" xr:uid="{00000000-0005-0000-0000-00001F000000}"/>
    <cellStyle name="Porcentagem" xfId="1" builtinId="5"/>
    <cellStyle name="Porcentagem 2" xfId="7" xr:uid="{00000000-0005-0000-0000-000021000000}"/>
    <cellStyle name="Porcentagem 2 2" xfId="34" xr:uid="{00000000-0005-0000-0000-000022000000}"/>
    <cellStyle name="Porcentagem 2 2 2" xfId="35" xr:uid="{00000000-0005-0000-0000-000023000000}"/>
    <cellStyle name="Porcentagem 3" xfId="36" xr:uid="{00000000-0005-0000-0000-000024000000}"/>
    <cellStyle name="Porcentagem 7" xfId="53" xr:uid="{00000000-0005-0000-0000-000025000000}"/>
    <cellStyle name="Separador de milhares 2" xfId="8" xr:uid="{00000000-0005-0000-0000-000026000000}"/>
    <cellStyle name="Separador de milhares 2 2" xfId="37" xr:uid="{00000000-0005-0000-0000-000027000000}"/>
    <cellStyle name="Separador de milhares 2 2 2" xfId="38" xr:uid="{00000000-0005-0000-0000-000028000000}"/>
    <cellStyle name="Separador de milhares 2 2 2 2" xfId="39" xr:uid="{00000000-0005-0000-0000-000029000000}"/>
    <cellStyle name="Separador de milhares 3" xfId="4" xr:uid="{00000000-0005-0000-0000-00002A000000}"/>
    <cellStyle name="Separador de milhares 3 2" xfId="40" xr:uid="{00000000-0005-0000-0000-00002B000000}"/>
    <cellStyle name="Separador de milhares 3 3" xfId="41" xr:uid="{00000000-0005-0000-0000-00002C000000}"/>
    <cellStyle name="Separador de milhares 4" xfId="42" xr:uid="{00000000-0005-0000-0000-00002D000000}"/>
    <cellStyle name="Separador de milhares 4 2" xfId="43" xr:uid="{00000000-0005-0000-0000-00002E000000}"/>
    <cellStyle name="Separador de milhares 4 3" xfId="44" xr:uid="{00000000-0005-0000-0000-00002F000000}"/>
    <cellStyle name="Separador de milhares 4 4" xfId="54" xr:uid="{00000000-0005-0000-0000-000030000000}"/>
    <cellStyle name="Separador de milhares 5" xfId="45" xr:uid="{00000000-0005-0000-0000-000031000000}"/>
    <cellStyle name="Vírgula" xfId="55" builtinId="3"/>
    <cellStyle name="Vírgula 2" xfId="9" xr:uid="{00000000-0005-0000-0000-000033000000}"/>
    <cellStyle name="Vírgula 2 2" xfId="12" xr:uid="{00000000-0005-0000-0000-000034000000}"/>
    <cellStyle name="Vírgula 2 2 2" xfId="50" xr:uid="{00000000-0005-0000-0000-000035000000}"/>
    <cellStyle name="Vírgula 2 3" xfId="46" xr:uid="{00000000-0005-0000-0000-000036000000}"/>
    <cellStyle name="Vírgula 2 5" xfId="58" xr:uid="{EFF9AD93-BB64-4307-BD46-671DEABD6763}"/>
    <cellStyle name="Vírgula 3" xfId="47" xr:uid="{00000000-0005-0000-0000-000037000000}"/>
    <cellStyle name="Vírgula 4" xfId="48" xr:uid="{00000000-0005-0000-0000-000038000000}"/>
    <cellStyle name="Vírgula 4 2" xfId="56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57151</xdr:colOff>
      <xdr:row>61</xdr:row>
      <xdr:rowOff>11301</xdr:rowOff>
    </xdr:from>
    <xdr:to>
      <xdr:col>1</xdr:col>
      <xdr:colOff>4000501</xdr:colOff>
      <xdr:row>64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133351" y="14698851"/>
          <a:ext cx="3943350" cy="684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1</xdr:col>
      <xdr:colOff>581025</xdr:colOff>
      <xdr:row>61</xdr:row>
      <xdr:rowOff>19050</xdr:rowOff>
    </xdr:from>
    <xdr:to>
      <xdr:col>1</xdr:col>
      <xdr:colOff>3190875</xdr:colOff>
      <xdr:row>64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657225" y="14706600"/>
          <a:ext cx="2609850" cy="6191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457200</xdr:colOff>
      <xdr:row>61</xdr:row>
      <xdr:rowOff>0</xdr:rowOff>
    </xdr:from>
    <xdr:to>
      <xdr:col>1</xdr:col>
      <xdr:colOff>3415393</xdr:colOff>
      <xdr:row>64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533400" y="14687550"/>
          <a:ext cx="2958193" cy="685799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1876425</xdr:colOff>
      <xdr:row>62</xdr:row>
      <xdr:rowOff>95250</xdr:rowOff>
    </xdr:from>
    <xdr:to>
      <xdr:col>1</xdr:col>
      <xdr:colOff>2333625</xdr:colOff>
      <xdr:row>64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1952625" y="14963775"/>
          <a:ext cx="457200" cy="32384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1571624</xdr:colOff>
      <xdr:row>62</xdr:row>
      <xdr:rowOff>57150</xdr:rowOff>
    </xdr:from>
    <xdr:to>
      <xdr:col>1</xdr:col>
      <xdr:colOff>2419349</xdr:colOff>
      <xdr:row>64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1647824" y="14925675"/>
          <a:ext cx="847725" cy="44767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34</xdr:row>
          <xdr:rowOff>0</xdr:rowOff>
        </xdr:from>
        <xdr:to>
          <xdr:col>1</xdr:col>
          <xdr:colOff>4671060</xdr:colOff>
          <xdr:row>38</xdr:row>
          <xdr:rowOff>7620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C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RNANDO/Downloads/Sec.%20Direitos%20Humanos/Ger&#234;ncia%20de%20Projetos/UFRPE/44.003%20-%20Pr&#233;dio%20de%206%20pavimentos/CD%20-%20VERS&#195;O%20FINAL25-09-07/PR&#201;DIO%20DE%206%20PAVIMENTOS/OR&#199;AMENTOS/orca-elet-refinaria%20por%20bloc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Users\FERNANDO\Downloads\Sec.%20Direitos%20Humanos\Ger&#234;ncia%20de%20Projetos\UFRPE\44.003%20-%20Pr&#233;dio%20de%206%20pavimentos\CD%20-%20VERS&#195;O%20FINAL25-09-07\PR&#201;DIO%20DE%206%20PAVIMENTOS\OR&#199;AMENTOS\orca-elet-refinaria%20por%20bloc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&#233;Carlos/Desktop/aux%20fossa/_____FOSSA+SUMIDOURO-OROBO/_MODELO_CODIGOS_SINAPI_CLUBE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  <sheetName val="BM 01"/>
      <sheetName val="MEMORIA BM 01"/>
      <sheetName val="GERAL - COM DESONERAÇÃO"/>
      <sheetName val="GERAL - SEM DESONERAÇÃO"/>
      <sheetName val="ORCAMENTO COM DES"/>
      <sheetName val="MEM CÁLC COM DES"/>
      <sheetName val="_RESUMO COMPARATIVO_"/>
      <sheetName val="CRONOGRAMA "/>
      <sheetName val="BDI_PAV_26,01_NOVA_CPRB"/>
      <sheetName val="BDI_PAV_20,00_NOVA_CPRB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">
          <cell r="B1"/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teat-mus"/>
      <sheetName val="arte"/>
      <sheetName val="Lanchonete"/>
      <sheetName val="Loja 1"/>
      <sheetName val="Loja 2"/>
      <sheetName val="terraço de ativ."/>
      <sheetName val="se-ilum ext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D,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18.16.010</v>
          </cell>
          <cell r="C148" t="str">
            <v>Tomada de embutir (2P+T)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  <cell r="G148">
            <v>0</v>
          </cell>
        </row>
        <row r="149">
          <cell r="B149" t="str">
            <v>18.16.020</v>
          </cell>
          <cell r="C149" t="str">
            <v>Tomada de embutir para telefone quatro polos, Padrão Telebrás, com placa, para caixa de 4 x 2 pol., Pial (linha silentoque) ou similar, inclusive instalação.</v>
          </cell>
          <cell r="D149" t="str">
            <v>un</v>
          </cell>
          <cell r="F149">
            <v>6.55</v>
          </cell>
          <cell r="G149">
            <v>0</v>
          </cell>
        </row>
        <row r="151">
          <cell r="B151" t="str">
            <v>18.17</v>
          </cell>
        </row>
        <row r="152">
          <cell r="B152" t="str">
            <v>18.17.010</v>
          </cell>
          <cell r="C152" t="str">
            <v>Conjunto ARSTOP ou similar de embutir, em caixa 4 x 4 pol., com placa, tomada Tripolar para pino chato e disjuntor termomagnético de 25 A, 250 V, inclusive instalação.</v>
          </cell>
          <cell r="D152" t="str">
            <v>un</v>
          </cell>
          <cell r="F152">
            <v>20.72</v>
          </cell>
          <cell r="G152">
            <v>0</v>
          </cell>
        </row>
        <row r="154">
          <cell r="B154" t="str">
            <v>18.18</v>
          </cell>
        </row>
        <row r="155">
          <cell r="B155" t="str">
            <v>18.18.010</v>
          </cell>
          <cell r="C155" t="str">
            <v>Interruptor de embutir de uma secção para caixa de 4 x 2 pol., com placa, 10 A, 250 V, Pial (linha silentoque) ou similar, inclusive instalação.</v>
          </cell>
          <cell r="D155" t="str">
            <v>un</v>
          </cell>
          <cell r="F155">
            <v>3.9</v>
          </cell>
          <cell r="G155">
            <v>0</v>
          </cell>
        </row>
        <row r="156">
          <cell r="B156" t="str">
            <v>18.18.020</v>
          </cell>
          <cell r="C156" t="str">
            <v>Interruptor de embutir de duas secções para caixa de 4 x 2 pol., com placa, 10 A, 250 V, Pial (linha silentoque) ou similar, inclusive instalação.</v>
          </cell>
          <cell r="D156" t="str">
            <v>un</v>
          </cell>
          <cell r="F156">
            <v>6.76</v>
          </cell>
          <cell r="G156">
            <v>0</v>
          </cell>
        </row>
        <row r="157">
          <cell r="B157" t="str">
            <v>18.18.030</v>
          </cell>
          <cell r="C157" t="str">
            <v>Interruptor de embutir de três secções para caixa de 4 x 2 pol., com placa, 10 A, 250 V, Pial (linha silentoque) ou similar, inclusive instalação.</v>
          </cell>
          <cell r="D157" t="str">
            <v>un</v>
          </cell>
          <cell r="F157">
            <v>8.8800000000000008</v>
          </cell>
          <cell r="G157">
            <v>0</v>
          </cell>
        </row>
        <row r="158">
          <cell r="B158" t="str">
            <v>18.18.040</v>
          </cell>
          <cell r="C158" t="str">
            <v>Interruptor de embutir de uma secção conjugada com tomada, para caixa de 4 x 2 pol., com placa, 10 A, 250 V, Pial (linha silentoque) ou similar, inclusive instalação.</v>
          </cell>
          <cell r="D158" t="str">
            <v>un</v>
          </cell>
          <cell r="F158">
            <v>6.71</v>
          </cell>
          <cell r="G158">
            <v>0</v>
          </cell>
        </row>
        <row r="159">
          <cell r="B159" t="str">
            <v>18.18.050</v>
          </cell>
          <cell r="C159" t="str">
            <v>Interruptor de embutir de duas secções conjugada com tomada, para caixa de 4 x 2 pol., com placa, 10 A, 250 V, Pial (linha silentoque) ou similar, inclusive instalação.</v>
          </cell>
          <cell r="D159" t="str">
            <v>un</v>
          </cell>
          <cell r="F159">
            <v>8.93</v>
          </cell>
          <cell r="G159">
            <v>0</v>
          </cell>
        </row>
        <row r="160">
          <cell r="B160" t="str">
            <v>18.18.060</v>
          </cell>
          <cell r="C160" t="str">
            <v>Interruptor de embutir Three-Way (vai e vem), para caixa de 4 x 2 pol., com placa, 10 A, 250 V, Pial (linha silentoque) ou similar, inclusive instalação.</v>
          </cell>
          <cell r="D160" t="str">
            <v>un</v>
          </cell>
          <cell r="F160">
            <v>5.19</v>
          </cell>
          <cell r="G160">
            <v>0</v>
          </cell>
        </row>
        <row r="162">
          <cell r="B162" t="str">
            <v>18.19</v>
          </cell>
        </row>
        <row r="163">
          <cell r="B163" t="str">
            <v>18.19.010</v>
          </cell>
          <cell r="C163" t="str">
            <v>Fio de cobre, têmpera mole, classe 1, isolamento de PVC - 70 C, tipo BWF, 750 V, Foreplast ou similar, S.M. - 1,5 mm², inclusive instalação em eletroduto.</v>
          </cell>
          <cell r="D163" t="str">
            <v>m</v>
          </cell>
          <cell r="F163">
            <v>0.59</v>
          </cell>
          <cell r="G163">
            <v>0</v>
          </cell>
        </row>
        <row r="164">
          <cell r="B164" t="str">
            <v>18.19.020</v>
          </cell>
          <cell r="C164" t="str">
            <v>Fio de cobre, têmpera mole, classe 1, isolamento de PVC - 70 C, tipo BWF, 750 V, Foreplast ou similar, S.M. - 2,5 mm², inclusive instalação em eletroduto.</v>
          </cell>
          <cell r="D164" t="str">
            <v>m</v>
          </cell>
          <cell r="F164">
            <v>0.85</v>
          </cell>
          <cell r="G164">
            <v>0</v>
          </cell>
        </row>
        <row r="165">
          <cell r="B165" t="str">
            <v>18.19.025</v>
          </cell>
          <cell r="C165" t="str">
            <v>Cabro de cobre, têmpera mole, encordoamento classe 2, isolamento de PVC - 70 C, tipo BWF, 750 V, Foreplast ou similar, S.M. - 2,5 mm², inclusive instalação em eletroduto.</v>
          </cell>
          <cell r="D165" t="str">
            <v>m</v>
          </cell>
          <cell r="F165">
            <v>0.9</v>
          </cell>
          <cell r="G165">
            <v>0</v>
          </cell>
        </row>
        <row r="166">
          <cell r="B166" t="str">
            <v>18.19.030</v>
          </cell>
          <cell r="C166" t="str">
            <v>Cabo de cobre, têmpera mole, encordoamento classe 2, isolamento de PVC - 70 C, tipo BWF, 750 V, Foreplast ou similar, S.M. - 4,0 mm², inclusive instalação em eletroduto.</v>
          </cell>
          <cell r="D166" t="str">
            <v>m</v>
          </cell>
          <cell r="F166">
            <v>0.94</v>
          </cell>
          <cell r="G166">
            <v>0</v>
          </cell>
        </row>
        <row r="167">
          <cell r="B167" t="str">
            <v>18.19.040</v>
          </cell>
          <cell r="C167" t="str">
            <v>Cabo de cobre, têmpera mole, encordoamento classe 2, isolamento de PVC - 70 C, tipo BWF, 750 V, Foreplast ou similar, S.M. - 6,0 mm², inclusive instalação em eletroduto.</v>
          </cell>
          <cell r="D167" t="str">
            <v>m</v>
          </cell>
          <cell r="F167">
            <v>1.1299999999999999</v>
          </cell>
          <cell r="G167">
            <v>0</v>
          </cell>
        </row>
        <row r="168">
          <cell r="B168" t="str">
            <v>18.19.041</v>
          </cell>
          <cell r="C168" t="str">
            <v>Cabo de cobre, têmpera mole, encordoamento classe 2, isolamento de PVC - 70 C, tipo BWF, 750 V, Foreplast ou similar, S.M. - 10,0 mm², inclusive instalação em eletroduto.</v>
          </cell>
          <cell r="D168" t="str">
            <v>m</v>
          </cell>
          <cell r="F168">
            <v>1.6</v>
          </cell>
          <cell r="G168">
            <v>0</v>
          </cell>
        </row>
        <row r="169">
          <cell r="B169" t="str">
            <v>18.19.042</v>
          </cell>
          <cell r="C169" t="str">
            <v>Cabo de cobre, têmpera mole, encordoamento classe 2, isolamento de PVC - 70 C, tipo BWF, 750 V, Foreplast ou similar, S.M. - 16,0 mm², inclusive instalação em eletroduto.</v>
          </cell>
          <cell r="D169" t="str">
            <v>m</v>
          </cell>
          <cell r="F169">
            <v>2.11</v>
          </cell>
          <cell r="G169">
            <v>0</v>
          </cell>
        </row>
        <row r="170">
          <cell r="B170" t="str">
            <v>18.19.043</v>
          </cell>
          <cell r="C170" t="str">
            <v>Cabo de cobre, têmpera mole, encordoamento classe 2, isolamento de PVC - 70 C, tipo BWF, 750 V, Foreplast ou similar, S.M. - 25,0 mm², inclusive instalação em eletroduto.</v>
          </cell>
          <cell r="D170" t="str">
            <v>m</v>
          </cell>
          <cell r="F170">
            <v>2.93</v>
          </cell>
          <cell r="G170">
            <v>0</v>
          </cell>
        </row>
        <row r="171">
          <cell r="B171" t="str">
            <v>18.19.046</v>
          </cell>
          <cell r="C171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1" t="str">
            <v>m</v>
          </cell>
          <cell r="F171">
            <v>0.69</v>
          </cell>
          <cell r="G171">
            <v>0</v>
          </cell>
        </row>
        <row r="172">
          <cell r="B172" t="str">
            <v>18.19.047</v>
          </cell>
          <cell r="C172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2" t="str">
            <v>m</v>
          </cell>
          <cell r="F172">
            <v>0.83</v>
          </cell>
          <cell r="G172">
            <v>0</v>
          </cell>
        </row>
        <row r="173">
          <cell r="B173" t="str">
            <v>18.19.048</v>
          </cell>
          <cell r="C173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3" t="str">
            <v>m</v>
          </cell>
          <cell r="F173">
            <v>1.29</v>
          </cell>
          <cell r="G173">
            <v>0</v>
          </cell>
        </row>
        <row r="174">
          <cell r="B174" t="str">
            <v>18.19.049</v>
          </cell>
          <cell r="C174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4" t="str">
            <v>m</v>
          </cell>
          <cell r="F174">
            <v>1.56</v>
          </cell>
          <cell r="G174">
            <v>0</v>
          </cell>
        </row>
        <row r="175">
          <cell r="B175" t="str">
            <v>18.19.050</v>
          </cell>
          <cell r="C175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5" t="str">
            <v>m</v>
          </cell>
          <cell r="F175">
            <v>2.06</v>
          </cell>
          <cell r="G175">
            <v>0</v>
          </cell>
        </row>
        <row r="176">
          <cell r="B176" t="str">
            <v>18.19.060</v>
          </cell>
          <cell r="C176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6" t="str">
            <v>m</v>
          </cell>
          <cell r="F176">
            <v>2.9</v>
          </cell>
          <cell r="G176">
            <v>0</v>
          </cell>
        </row>
        <row r="177">
          <cell r="B177" t="str">
            <v>18.19.065</v>
          </cell>
          <cell r="C177" t="str">
            <v>Dec., de piso cimentado.</v>
          </cell>
          <cell r="F177">
            <v>9.1</v>
          </cell>
          <cell r="G177">
            <v>0</v>
          </cell>
        </row>
        <row r="178">
          <cell r="B178" t="str">
            <v>18.19.070</v>
          </cell>
          <cell r="C178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8" t="str">
            <v>m</v>
          </cell>
          <cell r="F178">
            <v>3.85</v>
          </cell>
          <cell r="G178">
            <v>0</v>
          </cell>
        </row>
        <row r="179">
          <cell r="B179" t="str">
            <v>18.19.080</v>
          </cell>
          <cell r="C179" t="str">
            <v>Cabo de cobre (1 condutor), têmpera mole, encordoamento classe 2, isolamento de PVC - Flame Resistant - 70 C, 0,6 / 1 Kv, cobertura de PVC-ST 1, Foremax ou similar, S.M. - 35,0 mm², inclusive instalação em eletroduto.</v>
          </cell>
          <cell r="D179" t="str">
            <v>m</v>
          </cell>
          <cell r="F179">
            <v>4.91</v>
          </cell>
          <cell r="G179">
            <v>0</v>
          </cell>
        </row>
        <row r="180">
          <cell r="B180" t="str">
            <v>18.19.085</v>
          </cell>
          <cell r="C180" t="str">
            <v>Cabo de Cobre  com isolamento termoplástico para ligação dos postes, com 4,0 mm² - 28 A, inclusive instalação em eletroduto.</v>
          </cell>
          <cell r="D180" t="str">
            <v>m</v>
          </cell>
          <cell r="F180">
            <v>0.8</v>
          </cell>
          <cell r="G180">
            <v>0</v>
          </cell>
        </row>
        <row r="182">
          <cell r="B182" t="str">
            <v>18.20</v>
          </cell>
        </row>
        <row r="183">
          <cell r="B183" t="str">
            <v>18.20.010</v>
          </cell>
          <cell r="C183" t="str">
            <v>Disjuntor monopolar termomagnético até 30 A, 220 V, Eletromar ou similar, inclusive instalação em quadro de distribuição.</v>
          </cell>
          <cell r="D183" t="str">
            <v>un</v>
          </cell>
          <cell r="F183">
            <v>6.01</v>
          </cell>
          <cell r="G183">
            <v>0</v>
          </cell>
        </row>
        <row r="184">
          <cell r="B184" t="str">
            <v>18.20.020</v>
          </cell>
          <cell r="C184" t="str">
            <v>Disjuntor monopolar termomagnético até 35 a 50A, 220 V, Eletromar ou similar, inclusive instalação em quadro de distribuição.</v>
          </cell>
          <cell r="D184" t="str">
            <v>un</v>
          </cell>
          <cell r="F184">
            <v>8.06</v>
          </cell>
          <cell r="G184">
            <v>0</v>
          </cell>
        </row>
        <row r="185">
          <cell r="B185" t="str">
            <v>18.20.030</v>
          </cell>
          <cell r="C185" t="str">
            <v>Disjuntor tripolar termomagnético até 50 A 380, 220 V, Eletromar ou similar, inclusive instalação em quadro de distribuição.</v>
          </cell>
          <cell r="D185" t="str">
            <v>un</v>
          </cell>
          <cell r="F185">
            <v>30.85</v>
          </cell>
          <cell r="G185">
            <v>0</v>
          </cell>
        </row>
        <row r="186">
          <cell r="B186" t="str">
            <v>18.20.040</v>
          </cell>
          <cell r="C186" t="str">
            <v>Disjuntor tripolar termomagnético até 60 a 100 A, 380 V, Eletromar ou similar, inclusive instalação em quadro de distribuição.</v>
          </cell>
          <cell r="D186" t="str">
            <v>un</v>
          </cell>
          <cell r="F186">
            <v>45.39</v>
          </cell>
          <cell r="G186">
            <v>0</v>
          </cell>
        </row>
        <row r="187">
          <cell r="B187" t="str">
            <v>18.20.050</v>
          </cell>
          <cell r="C187" t="str">
            <v>Disjuntor tripolar termomagnético até 120 a 150 A, 380 V, Eletromar ou similar, inclusive instalação em quadro de distribuição.</v>
          </cell>
          <cell r="D187" t="str">
            <v>un</v>
          </cell>
          <cell r="F187">
            <v>115.39</v>
          </cell>
          <cell r="G187">
            <v>0</v>
          </cell>
        </row>
        <row r="188">
          <cell r="B188" t="str">
            <v>18.20.055</v>
          </cell>
          <cell r="C188" t="str">
            <v>Fornecimento e colocação de disjuntor 15 A.</v>
          </cell>
          <cell r="D188" t="str">
            <v>un</v>
          </cell>
          <cell r="F188">
            <v>7.67</v>
          </cell>
        </row>
        <row r="189">
          <cell r="B189" t="str">
            <v>18.20.056</v>
          </cell>
          <cell r="C189" t="str">
            <v>Fornecimento e colocação de disjuntor 50 A.</v>
          </cell>
          <cell r="D189" t="str">
            <v>un</v>
          </cell>
          <cell r="F189">
            <v>10.27</v>
          </cell>
        </row>
        <row r="190">
          <cell r="B190" t="str">
            <v>18.20.057</v>
          </cell>
          <cell r="C190" t="str">
            <v>Fornecimento e colocação de disjuntor tripolar 150 A (quadro de medição).</v>
          </cell>
          <cell r="D190" t="str">
            <v>un</v>
          </cell>
          <cell r="F190">
            <v>149.04</v>
          </cell>
        </row>
        <row r="192">
          <cell r="B192" t="str">
            <v>18.21</v>
          </cell>
        </row>
        <row r="193">
          <cell r="B193" t="str">
            <v>18.21.010</v>
          </cell>
          <cell r="C193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3" t="str">
            <v>un</v>
          </cell>
          <cell r="F193">
            <v>49.2</v>
          </cell>
          <cell r="G193">
            <v>0</v>
          </cell>
        </row>
        <row r="194">
          <cell r="B194" t="str">
            <v>18.21.020</v>
          </cell>
          <cell r="C194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4" t="str">
            <v>un</v>
          </cell>
          <cell r="F194">
            <v>52.3</v>
          </cell>
          <cell r="G194">
            <v>0</v>
          </cell>
        </row>
        <row r="196">
          <cell r="B196" t="str">
            <v>18.21.150</v>
          </cell>
          <cell r="C196" t="str">
            <v xml:space="preserve">Quadro de distribuição metálico de embutir, com barramento, chave geral e placa neutro ref. QDETN-12, Cemar ou similar, para até 12 circuitos momopolares, com porta, inclusive instalação. </v>
          </cell>
          <cell r="D196" t="str">
            <v>un</v>
          </cell>
          <cell r="F196">
            <v>50.64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18.21.170</v>
          </cell>
          <cell r="C199" t="str">
            <v xml:space="preserve">Quadro de distribuição metálico de embutir, com barramento, chave geral e placa neutro ref. QDETN-32 Cemar ou similar, para 32 , circuitos momopolares, com porta e trinco, inclusive instalação. </v>
          </cell>
          <cell r="D199" t="str">
            <v>un</v>
          </cell>
          <cell r="F199">
            <v>104.28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30 CA, eletromar ou similar, para 30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sinalização instalado no posto de enfermagem.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18.25.190</v>
          </cell>
          <cell r="C273" t="str">
            <v>Luminária para lâmpada a vapor de mercúrio de 125 W, ref. ABL 50 / A.B. Leão ou similar, completa, inclusive braço,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ADM. LOCAL - NAO DESONERADO)"/>
      <sheetName val="ADM. LOCAL - DESONERADO"/>
      <sheetName val="GERAL - ORIGINAL"/>
      <sheetName val="__MEMORIA DE CALCULO__"/>
      <sheetName val="(GERAL - SINAPI COM DESON)"/>
      <sheetName val="ORÇAMENTO COM DESON"/>
      <sheetName val="COMPOSICOES - SINAPI COM DESON"/>
      <sheetName val="COMP_BDI_EDIF_SECID COM DESON"/>
      <sheetName val="BDI EDIFIC SECID COM DESON"/>
      <sheetName val="COMP_ENCARGOS_SOCIAIS_COM_DESON"/>
      <sheetName val="_RESUMO COMPARATIVO_"/>
      <sheetName val="COTACOES"/>
      <sheetName val="(GERAL - SINAPI SEM DESON)"/>
      <sheetName val="ORÇAMENTO SEM DESON"/>
      <sheetName val="COMPOSICOES - SINAPI SEM DESON"/>
      <sheetName val="RESUMO_SEM_DESON"/>
      <sheetName val="CRONOGRAMA_SEM_DESON"/>
      <sheetName val="COMP_BDI_EDIF_SECID SEM DESON"/>
      <sheetName val="BDI EDIFIC SECID SEM DESON"/>
      <sheetName val="COMP_ENCARGOS_SOCIAIS_SEM_DESON"/>
      <sheetName val="_QCI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7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 tint="0.39997558519241921"/>
  </sheetPr>
  <dimension ref="A1:G39"/>
  <sheetViews>
    <sheetView tabSelected="1" view="pageBreakPreview" zoomScaleNormal="100" zoomScaleSheetLayoutView="100" workbookViewId="0">
      <selection activeCell="I46" sqref="I46"/>
    </sheetView>
  </sheetViews>
  <sheetFormatPr defaultColWidth="9.109375" defaultRowHeight="10.199999999999999" x14ac:dyDescent="0.2"/>
  <cols>
    <col min="1" max="1" width="7.88671875" style="130" customWidth="1"/>
    <col min="2" max="2" width="80.88671875" style="132" customWidth="1"/>
    <col min="3" max="3" width="15.6640625" style="130" customWidth="1"/>
    <col min="4" max="4" width="14.6640625" style="133" customWidth="1"/>
    <col min="5" max="16384" width="9.109375" style="68"/>
  </cols>
  <sheetData>
    <row r="1" spans="1:7" s="59" customFormat="1" ht="36" customHeight="1" x14ac:dyDescent="0.3">
      <c r="A1" s="274" t="str">
        <f>CRONOGRAMA!A1</f>
        <v>2ª ETAPA - AMPLIAÇÃO E REFORMA DA CRECHE JÚLIA GUIMARÃES NO MUNICÍPIO DE LIMOEIRO/PE</v>
      </c>
      <c r="B1" s="274"/>
      <c r="C1" s="274"/>
      <c r="D1" s="274"/>
    </row>
    <row r="2" spans="1:7" s="59" customFormat="1" ht="17.399999999999999" x14ac:dyDescent="0.3">
      <c r="A2" s="278" t="s">
        <v>61</v>
      </c>
      <c r="B2" s="279"/>
      <c r="C2" s="279"/>
      <c r="D2" s="280"/>
    </row>
    <row r="3" spans="1:7" s="59" customFormat="1" ht="17.399999999999999" x14ac:dyDescent="0.3">
      <c r="A3" s="272"/>
      <c r="B3" s="272"/>
      <c r="C3" s="157"/>
      <c r="D3" s="133"/>
    </row>
    <row r="4" spans="1:7" s="158" customFormat="1" ht="27.75" customHeight="1" x14ac:dyDescent="0.25">
      <c r="A4" s="275" t="str">
        <f>'ORÇAMENTO SEM DESON'!A4</f>
        <v>LOCALIZAÇÃO: LIMOEIRO - PE</v>
      </c>
      <c r="B4" s="276"/>
      <c r="C4" s="276"/>
      <c r="D4" s="277"/>
    </row>
    <row r="5" spans="1:7" s="158" customFormat="1" ht="13.2" x14ac:dyDescent="0.25">
      <c r="A5" s="159" t="str">
        <f>'ORÇAMENTO SEM DESON'!A5</f>
        <v>FONTES DE PREÇOS: EMLURB 2018 / SINAPI MARÇO-2022 / SEINFRA 027 MARÇO-2021 - SEM DESONERAÇÃO (BDI = 20,84%)</v>
      </c>
      <c r="B5" s="159"/>
      <c r="C5" s="165"/>
      <c r="D5" s="160"/>
    </row>
    <row r="6" spans="1:7" s="158" customFormat="1" ht="15" customHeight="1" x14ac:dyDescent="0.25">
      <c r="A6" s="165" t="str">
        <f>'ORÇAMENTO SEM DESON'!A6</f>
        <v>DATA: MAIO/2022</v>
      </c>
      <c r="B6" s="159"/>
      <c r="C6" s="165"/>
      <c r="D6" s="160"/>
    </row>
    <row r="7" spans="1:7" s="59" customFormat="1" x14ac:dyDescent="0.2">
      <c r="A7" s="3"/>
      <c r="B7" s="104"/>
      <c r="C7" s="62"/>
      <c r="D7" s="133"/>
    </row>
    <row r="8" spans="1:7" s="61" customFormat="1" ht="34.200000000000003" customHeight="1" x14ac:dyDescent="0.2">
      <c r="A8" s="206" t="s">
        <v>0</v>
      </c>
      <c r="B8" s="206" t="s">
        <v>58</v>
      </c>
      <c r="C8" s="207" t="s">
        <v>111</v>
      </c>
      <c r="D8" s="208" t="s">
        <v>152</v>
      </c>
    </row>
    <row r="9" spans="1:7" s="59" customFormat="1" ht="15.6" x14ac:dyDescent="0.2">
      <c r="A9" s="138"/>
      <c r="B9" s="150"/>
      <c r="C9" s="161"/>
      <c r="D9" s="162"/>
    </row>
    <row r="10" spans="1:7" s="82" customFormat="1" ht="15.6" x14ac:dyDescent="0.25">
      <c r="A10" s="209" t="str">
        <f>'ORÇAMENTO SEM DESON'!A9</f>
        <v>1.0</v>
      </c>
      <c r="B10" s="210" t="str">
        <f>'ORÇAMENTO SEM DESON'!D9</f>
        <v>SERVIÇOS PRELIMINARES</v>
      </c>
      <c r="C10" s="211">
        <f>'ORÇAMENTO SEM DESON'!I9</f>
        <v>6458.1399999999994</v>
      </c>
      <c r="D10" s="212">
        <f>C10/$C$30</f>
        <v>4.3716188041871322E-2</v>
      </c>
    </row>
    <row r="11" spans="1:7" s="59" customFormat="1" ht="15.6" x14ac:dyDescent="0.2">
      <c r="A11" s="138"/>
      <c r="B11" s="150"/>
      <c r="C11" s="161"/>
      <c r="D11" s="162"/>
      <c r="G11" s="166" t="e">
        <f>C10+C18+C20+C22+#REF!+#REF!</f>
        <v>#REF!</v>
      </c>
    </row>
    <row r="12" spans="1:7" s="82" customFormat="1" ht="15.6" x14ac:dyDescent="0.25">
      <c r="A12" s="214" t="str">
        <f>'ORÇAMENTO SEM DESON'!A13</f>
        <v>2.0</v>
      </c>
      <c r="B12" s="210" t="str">
        <f>'ORÇAMENTO SEM DESON'!D13</f>
        <v>MOVIMENTO DE TERRA</v>
      </c>
      <c r="C12" s="211">
        <f>'ORÇAMENTO SEM DESON'!I13</f>
        <v>2272.25</v>
      </c>
      <c r="D12" s="212">
        <f>C12/$C$30</f>
        <v>1.5381225597175367E-2</v>
      </c>
    </row>
    <row r="13" spans="1:7" s="59" customFormat="1" ht="15.6" x14ac:dyDescent="0.2">
      <c r="A13" s="138"/>
      <c r="B13" s="150"/>
      <c r="C13" s="161"/>
      <c r="D13" s="162"/>
      <c r="G13" s="166" t="e">
        <f>C12+C20+C22+#REF!+#REF!+C30</f>
        <v>#REF!</v>
      </c>
    </row>
    <row r="14" spans="1:7" s="82" customFormat="1" ht="15.6" x14ac:dyDescent="0.25">
      <c r="A14" s="214" t="str">
        <f>'ORÇAMENTO SEM DESON'!A16</f>
        <v>3.0</v>
      </c>
      <c r="B14" s="210" t="str">
        <f>'ORÇAMENTO SEM DESON'!D16</f>
        <v>FUNDAÇÃO</v>
      </c>
      <c r="C14" s="211">
        <f>'ORÇAMENTO SEM DESON'!I16</f>
        <v>18548.579999999998</v>
      </c>
      <c r="D14" s="212">
        <f>C14/$C$30</f>
        <v>0.12555832038167236</v>
      </c>
    </row>
    <row r="15" spans="1:7" s="59" customFormat="1" ht="15.6" x14ac:dyDescent="0.2">
      <c r="A15" s="138"/>
      <c r="B15" s="150"/>
      <c r="C15" s="161"/>
      <c r="D15" s="162"/>
      <c r="G15" s="166" t="e">
        <f>C14+C22+#REF!+#REF!+C30+C32</f>
        <v>#REF!</v>
      </c>
    </row>
    <row r="16" spans="1:7" s="82" customFormat="1" ht="15.6" x14ac:dyDescent="0.25">
      <c r="A16" s="214" t="str">
        <f>'ORÇAMENTO SEM DESON'!A21</f>
        <v>4.0</v>
      </c>
      <c r="B16" s="210" t="str">
        <f>'ORÇAMENTO SEM DESON'!D21</f>
        <v>ESTRUTURA</v>
      </c>
      <c r="C16" s="211">
        <f>'ORÇAMENTO SEM DESON'!I21</f>
        <v>18749.68</v>
      </c>
      <c r="D16" s="212">
        <f>C16/$C$30</f>
        <v>0.12691959861584201</v>
      </c>
    </row>
    <row r="17" spans="1:7" s="59" customFormat="1" ht="15.6" x14ac:dyDescent="0.2">
      <c r="A17" s="138"/>
      <c r="B17" s="150"/>
      <c r="C17" s="161"/>
      <c r="D17" s="162"/>
      <c r="G17" s="166" t="e">
        <f>C16+#REF!+#REF!+C30+C32+C34</f>
        <v>#REF!</v>
      </c>
    </row>
    <row r="18" spans="1:7" s="82" customFormat="1" ht="15.6" x14ac:dyDescent="0.25">
      <c r="A18" s="214" t="str">
        <f>'ORÇAMENTO SEM DESON'!A26</f>
        <v>5.0</v>
      </c>
      <c r="B18" s="210" t="str">
        <f>'ORÇAMENTO SEM DESON'!D26</f>
        <v>PAREDES E PAINÉIS</v>
      </c>
      <c r="C18" s="211">
        <f>'ORÇAMENTO SEM DESON'!I26</f>
        <v>15781.480000000001</v>
      </c>
      <c r="D18" s="212">
        <f>C18/$C$30</f>
        <v>0.10682737556928644</v>
      </c>
    </row>
    <row r="19" spans="1:7" s="59" customFormat="1" ht="15.6" x14ac:dyDescent="0.2">
      <c r="A19" s="138"/>
      <c r="B19" s="150"/>
      <c r="C19" s="161"/>
      <c r="D19" s="162"/>
    </row>
    <row r="20" spans="1:7" s="82" customFormat="1" ht="15.6" x14ac:dyDescent="0.25">
      <c r="A20" s="214" t="str">
        <f>'ORÇAMENTO SEM DESON'!A32</f>
        <v>6.0</v>
      </c>
      <c r="B20" s="210" t="str">
        <f>'ORÇAMENTO SEM DESON'!D32</f>
        <v>PINTURA E REVESTIMENTOS</v>
      </c>
      <c r="C20" s="211">
        <f>'ORÇAMENTO SEM DESON'!I32</f>
        <v>12293.800000000001</v>
      </c>
      <c r="D20" s="212">
        <f>C20/$C$30</f>
        <v>8.3218708877348238E-2</v>
      </c>
    </row>
    <row r="21" spans="1:7" s="59" customFormat="1" ht="15.6" x14ac:dyDescent="0.2">
      <c r="A21" s="138"/>
      <c r="B21" s="150"/>
      <c r="C21" s="161"/>
      <c r="D21" s="162"/>
    </row>
    <row r="22" spans="1:7" s="82" customFormat="1" ht="15.6" x14ac:dyDescent="0.25">
      <c r="A22" s="214" t="str">
        <f>'ORÇAMENTO SEM DESON'!A39</f>
        <v>7.0</v>
      </c>
      <c r="B22" s="210" t="str">
        <f>'ORÇAMENTO SEM DESON'!D39</f>
        <v>ESQUADRIAS</v>
      </c>
      <c r="C22" s="211">
        <f>'ORÇAMENTO SEM DESON'!I39</f>
        <v>26064.41</v>
      </c>
      <c r="D22" s="212">
        <f>C22/$C$30</f>
        <v>0.1764341820958405</v>
      </c>
    </row>
    <row r="23" spans="1:7" s="82" customFormat="1" ht="15.6" x14ac:dyDescent="0.25">
      <c r="A23" s="138"/>
      <c r="B23" s="150"/>
      <c r="C23" s="161"/>
      <c r="D23" s="162"/>
    </row>
    <row r="24" spans="1:7" s="82" customFormat="1" ht="15.6" x14ac:dyDescent="0.25">
      <c r="A24" s="214" t="str">
        <f>'ORÇAMENTO SEM DESON'!A44</f>
        <v>8.0</v>
      </c>
      <c r="B24" s="210" t="str">
        <f>'ORÇAMENTO SEM DESON'!D44</f>
        <v>COBERTA</v>
      </c>
      <c r="C24" s="211">
        <f>'ORÇAMENTO SEM DESON'!I44</f>
        <v>4683.25</v>
      </c>
      <c r="D24" s="212">
        <f>C24/$C$30</f>
        <v>3.1701672253480702E-2</v>
      </c>
    </row>
    <row r="25" spans="1:7" s="59" customFormat="1" ht="15.6" x14ac:dyDescent="0.2">
      <c r="A25" s="138"/>
      <c r="B25" s="150"/>
      <c r="C25" s="161"/>
      <c r="D25" s="162"/>
    </row>
    <row r="26" spans="1:7" s="59" customFormat="1" ht="15.6" x14ac:dyDescent="0.2">
      <c r="A26" s="214" t="str">
        <f>'ORÇAMENTO SEM DESON'!A49</f>
        <v>9.0</v>
      </c>
      <c r="B26" s="210" t="str">
        <f>'ORÇAMENTO SEM DESON'!D49</f>
        <v>INSTALAÇÕES ELÉTRICAS</v>
      </c>
      <c r="C26" s="211">
        <f>'ORÇAMENTO SEM DESON'!I49</f>
        <v>542.97</v>
      </c>
      <c r="D26" s="212">
        <f>C26/$C$30</f>
        <v>3.6754512322580302E-3</v>
      </c>
    </row>
    <row r="27" spans="1:7" s="59" customFormat="1" ht="15.6" x14ac:dyDescent="0.2">
      <c r="A27" s="138"/>
      <c r="B27" s="150"/>
      <c r="C27" s="161"/>
      <c r="D27" s="162"/>
    </row>
    <row r="28" spans="1:7" s="82" customFormat="1" ht="15.6" x14ac:dyDescent="0.25">
      <c r="A28" s="214" t="str">
        <f>'ORÇAMENTO SEM DESON'!A54</f>
        <v>10.0</v>
      </c>
      <c r="B28" s="210" t="str">
        <f>'ORÇAMENTO SEM DESON'!D54</f>
        <v>SERVIÇOS COMPLEMENTARES</v>
      </c>
      <c r="C28" s="211">
        <f>'ORÇAMENTO SEM DESON'!I54</f>
        <v>42334.239999999998</v>
      </c>
      <c r="D28" s="212">
        <f>C28/$C$30</f>
        <v>0.28656727733522508</v>
      </c>
    </row>
    <row r="29" spans="1:7" s="59" customFormat="1" ht="15.6" x14ac:dyDescent="0.2">
      <c r="A29" s="138"/>
      <c r="B29" s="150"/>
      <c r="C29" s="161"/>
      <c r="D29" s="162"/>
    </row>
    <row r="30" spans="1:7" s="92" customFormat="1" ht="21.75" customHeight="1" x14ac:dyDescent="0.25">
      <c r="A30" s="273" t="s">
        <v>151</v>
      </c>
      <c r="B30" s="273"/>
      <c r="C30" s="213">
        <f>SUM(C10:C29)</f>
        <v>147728.79999999999</v>
      </c>
      <c r="D30" s="236">
        <f>SUM(D10:D29)</f>
        <v>1</v>
      </c>
    </row>
    <row r="31" spans="1:7" x14ac:dyDescent="0.2">
      <c r="C31" s="163"/>
    </row>
    <row r="39" spans="1:4" s="71" customFormat="1" ht="20.399999999999999" hidden="1" x14ac:dyDescent="0.2">
      <c r="A39" s="69" t="s">
        <v>144</v>
      </c>
      <c r="B39" s="81" t="s">
        <v>146</v>
      </c>
      <c r="C39" s="70" t="e">
        <f>TRUNC(#REF!*#REF!,2)</f>
        <v>#REF!</v>
      </c>
      <c r="D39" s="164"/>
    </row>
  </sheetData>
  <mergeCells count="5">
    <mergeCell ref="A3:B3"/>
    <mergeCell ref="A30:B30"/>
    <mergeCell ref="A1:D1"/>
    <mergeCell ref="A4:D4"/>
    <mergeCell ref="A2:D2"/>
  </mergeCells>
  <printOptions horizontalCentered="1"/>
  <pageMargins left="0.59055118110236227" right="0.39370078740157483" top="1.5748031496062993" bottom="1.2598425196850394" header="0.39370078740157483" footer="0.39370078740157483"/>
  <pageSetup paperSize="9" scale="77" orientation="portrait" r:id="rId1"/>
  <headerFooter>
    <oddHeader>&amp;C
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 tint="-0.249977111117893"/>
    <pageSetUpPr fitToPage="1"/>
  </sheetPr>
  <dimension ref="A1:M67"/>
  <sheetViews>
    <sheetView view="pageBreakPreview" topLeftCell="A25" zoomScale="134" zoomScaleNormal="100" zoomScaleSheetLayoutView="134" workbookViewId="0">
      <selection activeCell="A61" sqref="A61:I61"/>
    </sheetView>
  </sheetViews>
  <sheetFormatPr defaultColWidth="9.109375" defaultRowHeight="10.199999999999999" x14ac:dyDescent="0.2"/>
  <cols>
    <col min="1" max="1" width="6.44140625" style="130" customWidth="1"/>
    <col min="2" max="2" width="12" style="130" customWidth="1"/>
    <col min="3" max="3" width="10.109375" style="131" bestFit="1" customWidth="1"/>
    <col min="4" max="4" width="47.5546875" style="132" customWidth="1"/>
    <col min="5" max="5" width="4.88671875" style="130" bestFit="1" customWidth="1"/>
    <col min="6" max="6" width="7.5546875" style="130" customWidth="1"/>
    <col min="7" max="7" width="9.6640625" style="130" customWidth="1"/>
    <col min="8" max="8" width="13" style="130" customWidth="1"/>
    <col min="9" max="9" width="19.33203125" style="130" bestFit="1" customWidth="1"/>
    <col min="10" max="10" width="11.6640625" style="125" bestFit="1" customWidth="1"/>
    <col min="11" max="11" width="10.77734375" style="68" bestFit="1" customWidth="1"/>
    <col min="12" max="12" width="12.6640625" style="125" bestFit="1" customWidth="1"/>
    <col min="13" max="13" width="13.33203125" style="68" bestFit="1" customWidth="1"/>
    <col min="14" max="16384" width="9.109375" style="68"/>
  </cols>
  <sheetData>
    <row r="1" spans="1:13" ht="27" customHeight="1" x14ac:dyDescent="0.2">
      <c r="A1" s="284" t="s">
        <v>327</v>
      </c>
      <c r="B1" s="285"/>
      <c r="C1" s="285"/>
      <c r="D1" s="285"/>
      <c r="E1" s="285"/>
      <c r="F1" s="285"/>
      <c r="G1" s="285"/>
      <c r="H1" s="285"/>
      <c r="I1" s="286"/>
    </row>
    <row r="2" spans="1:13" s="59" customFormat="1" ht="19.95" customHeight="1" x14ac:dyDescent="0.2">
      <c r="A2" s="281" t="s">
        <v>22</v>
      </c>
      <c r="B2" s="282"/>
      <c r="C2" s="282"/>
      <c r="D2" s="282"/>
      <c r="E2" s="282"/>
      <c r="F2" s="282"/>
      <c r="G2" s="282"/>
      <c r="H2" s="282"/>
      <c r="I2" s="283"/>
      <c r="J2" s="125"/>
      <c r="L2" s="126"/>
    </row>
    <row r="3" spans="1:13" s="59" customFormat="1" ht="16.2" customHeight="1" x14ac:dyDescent="0.2">
      <c r="A3" s="294"/>
      <c r="B3" s="295"/>
      <c r="C3" s="295"/>
      <c r="D3" s="295"/>
      <c r="E3" s="295"/>
      <c r="F3" s="295"/>
      <c r="G3" s="295"/>
      <c r="H3" s="295"/>
      <c r="I3" s="296"/>
      <c r="J3" s="125"/>
      <c r="L3" s="127"/>
      <c r="M3" s="127" t="s">
        <v>148</v>
      </c>
    </row>
    <row r="4" spans="1:13" s="105" customFormat="1" ht="14.4" customHeight="1" x14ac:dyDescent="0.2">
      <c r="A4" s="134" t="s">
        <v>158</v>
      </c>
      <c r="B4" s="134"/>
      <c r="C4" s="134"/>
      <c r="D4" s="134"/>
      <c r="E4" s="3"/>
      <c r="F4" s="134"/>
      <c r="G4" s="134"/>
      <c r="H4" s="134"/>
      <c r="I4" s="134"/>
      <c r="L4" s="126"/>
      <c r="M4" s="126">
        <v>0.2084</v>
      </c>
    </row>
    <row r="5" spans="1:13" s="105" customFormat="1" ht="14.4" customHeight="1" x14ac:dyDescent="0.2">
      <c r="A5" s="134" t="s">
        <v>236</v>
      </c>
      <c r="B5" s="134"/>
      <c r="C5" s="134"/>
      <c r="D5" s="134"/>
      <c r="E5" s="3"/>
      <c r="F5" s="134"/>
      <c r="G5" s="134"/>
      <c r="H5" s="134"/>
      <c r="I5" s="134"/>
    </row>
    <row r="6" spans="1:13" s="105" customFormat="1" ht="15" customHeight="1" x14ac:dyDescent="0.2">
      <c r="A6" s="134" t="s">
        <v>235</v>
      </c>
      <c r="B6" s="134"/>
      <c r="C6" s="134"/>
      <c r="D6" s="134"/>
      <c r="E6" s="3"/>
      <c r="F6" s="134"/>
      <c r="G6" s="134"/>
      <c r="H6" s="134"/>
      <c r="I6" s="134"/>
    </row>
    <row r="7" spans="1:13" s="59" customFormat="1" ht="14.4" customHeight="1" x14ac:dyDescent="0.2">
      <c r="A7" s="3"/>
      <c r="B7" s="3"/>
      <c r="C7" s="4"/>
      <c r="D7" s="104"/>
      <c r="E7" s="4"/>
      <c r="F7" s="8"/>
      <c r="G7" s="62"/>
      <c r="H7" s="62"/>
      <c r="I7" s="62"/>
      <c r="J7" s="125"/>
    </row>
    <row r="8" spans="1:13" s="136" customFormat="1" ht="21.6" customHeight="1" x14ac:dyDescent="0.3">
      <c r="A8" s="199" t="s">
        <v>0</v>
      </c>
      <c r="B8" s="199" t="s">
        <v>57</v>
      </c>
      <c r="C8" s="200" t="s">
        <v>21</v>
      </c>
      <c r="D8" s="199" t="s">
        <v>58</v>
      </c>
      <c r="E8" s="199" t="s">
        <v>1</v>
      </c>
      <c r="F8" s="201" t="s">
        <v>147</v>
      </c>
      <c r="G8" s="203" t="s">
        <v>130</v>
      </c>
      <c r="H8" s="203" t="s">
        <v>131</v>
      </c>
      <c r="I8" s="203" t="s">
        <v>111</v>
      </c>
      <c r="J8" s="135"/>
    </row>
    <row r="9" spans="1:13" s="108" customFormat="1" x14ac:dyDescent="0.2">
      <c r="A9" s="167" t="s">
        <v>5</v>
      </c>
      <c r="B9" s="167"/>
      <c r="C9" s="168"/>
      <c r="D9" s="169" t="s">
        <v>6</v>
      </c>
      <c r="E9" s="167"/>
      <c r="F9" s="170"/>
      <c r="G9" s="171"/>
      <c r="H9" s="171"/>
      <c r="I9" s="172">
        <f>SUM(I10:I12)</f>
        <v>6458.1399999999994</v>
      </c>
      <c r="J9" s="106">
        <f>I9/I$60</f>
        <v>4.3716188041871315E-2</v>
      </c>
    </row>
    <row r="10" spans="1:13" s="59" customFormat="1" ht="20.399999999999999" x14ac:dyDescent="0.2">
      <c r="A10" s="65" t="s">
        <v>7</v>
      </c>
      <c r="B10" s="65" t="s">
        <v>112</v>
      </c>
      <c r="C10" s="7" t="s">
        <v>160</v>
      </c>
      <c r="D10" s="99" t="s">
        <v>159</v>
      </c>
      <c r="E10" s="65" t="s">
        <v>8</v>
      </c>
      <c r="F10" s="62">
        <f>'MEMORIA DE CALCULO'!J20</f>
        <v>113.3</v>
      </c>
      <c r="G10" s="62">
        <v>16.55</v>
      </c>
      <c r="H10" s="62">
        <f t="shared" ref="H10" si="0">ROUND(G10*(1+$M$4),2)</f>
        <v>20</v>
      </c>
      <c r="I10" s="62">
        <f t="shared" ref="I10" si="1">TRUNC(F10*H10,2)</f>
        <v>2266</v>
      </c>
      <c r="J10" s="125"/>
    </row>
    <row r="11" spans="1:13" s="59" customFormat="1" x14ac:dyDescent="0.2">
      <c r="A11" s="65" t="s">
        <v>220</v>
      </c>
      <c r="B11" s="65" t="s">
        <v>145</v>
      </c>
      <c r="C11" s="7" t="s">
        <v>227</v>
      </c>
      <c r="D11" s="99" t="s">
        <v>228</v>
      </c>
      <c r="E11" s="65" t="s">
        <v>8</v>
      </c>
      <c r="F11" s="62">
        <f>'MEMORIA DE CALCULO'!J27</f>
        <v>12.260000000000002</v>
      </c>
      <c r="G11" s="62">
        <v>8.06</v>
      </c>
      <c r="H11" s="62">
        <f t="shared" ref="H11" si="2">ROUND(G11*(1+$M$4),2)</f>
        <v>9.74</v>
      </c>
      <c r="I11" s="62">
        <f t="shared" ref="I11" si="3">TRUNC(F11*H11,2)</f>
        <v>119.41</v>
      </c>
      <c r="J11" s="125"/>
    </row>
    <row r="12" spans="1:13" s="59" customFormat="1" ht="20.399999999999999" x14ac:dyDescent="0.2">
      <c r="A12" s="65" t="s">
        <v>267</v>
      </c>
      <c r="B12" s="65" t="s">
        <v>145</v>
      </c>
      <c r="C12" s="7" t="s">
        <v>268</v>
      </c>
      <c r="D12" s="99" t="s">
        <v>269</v>
      </c>
      <c r="E12" s="65" t="s">
        <v>8</v>
      </c>
      <c r="F12" s="62">
        <f>'MEMORIA DE CALCULO'!J32</f>
        <v>133.27000000000001</v>
      </c>
      <c r="G12" s="62">
        <v>25.29</v>
      </c>
      <c r="H12" s="62">
        <f t="shared" ref="H12" si="4">ROUND(G12*(1+$M$4),2)</f>
        <v>30.56</v>
      </c>
      <c r="I12" s="62">
        <f t="shared" ref="I12" si="5">TRUNC(F12*H12,2)</f>
        <v>4072.73</v>
      </c>
      <c r="J12" s="125"/>
    </row>
    <row r="13" spans="1:13" s="108" customFormat="1" x14ac:dyDescent="0.2">
      <c r="A13" s="174" t="s">
        <v>9</v>
      </c>
      <c r="B13" s="217"/>
      <c r="C13" s="168"/>
      <c r="D13" s="169" t="s">
        <v>172</v>
      </c>
      <c r="E13" s="217"/>
      <c r="F13" s="170"/>
      <c r="G13" s="171"/>
      <c r="H13" s="171"/>
      <c r="I13" s="172">
        <f>SUM(I14:I15)</f>
        <v>2272.25</v>
      </c>
      <c r="J13" s="106">
        <f>I13/I$60</f>
        <v>1.5381225597175363E-2</v>
      </c>
    </row>
    <row r="14" spans="1:13" s="59" customFormat="1" ht="20.399999999999999" x14ac:dyDescent="0.2">
      <c r="A14" s="65" t="s">
        <v>10</v>
      </c>
      <c r="B14" s="98" t="s">
        <v>112</v>
      </c>
      <c r="C14" s="97" t="s">
        <v>113</v>
      </c>
      <c r="D14" s="224" t="s">
        <v>174</v>
      </c>
      <c r="E14" s="65" t="s">
        <v>173</v>
      </c>
      <c r="F14" s="62">
        <f>'MEMORIA DE CALCULO'!J45</f>
        <v>32.42</v>
      </c>
      <c r="G14" s="118">
        <v>31.06</v>
      </c>
      <c r="H14" s="62">
        <f t="shared" ref="H14" si="6">ROUND(G14*(1+$M$4),2)</f>
        <v>37.53</v>
      </c>
      <c r="I14" s="62">
        <f>TRUNC(F14*H14,2)</f>
        <v>1216.72</v>
      </c>
      <c r="J14" s="125"/>
    </row>
    <row r="15" spans="1:13" s="96" customFormat="1" ht="23.4" customHeight="1" x14ac:dyDescent="0.2">
      <c r="A15" s="65" t="s">
        <v>11</v>
      </c>
      <c r="B15" s="98" t="s">
        <v>112</v>
      </c>
      <c r="C15" s="97" t="s">
        <v>114</v>
      </c>
      <c r="D15" s="225" t="s">
        <v>175</v>
      </c>
      <c r="E15" s="118" t="s">
        <v>35</v>
      </c>
      <c r="F15" s="95">
        <f>'MEMORIA DE CALCULO'!J57</f>
        <v>20.619999999999997</v>
      </c>
      <c r="G15" s="95">
        <v>42.36</v>
      </c>
      <c r="H15" s="95">
        <f>ROUND(G15*(1+$M$4),2)</f>
        <v>51.19</v>
      </c>
      <c r="I15" s="95">
        <f>TRUNC(F15*H15,2)</f>
        <v>1055.53</v>
      </c>
      <c r="J15" s="100"/>
    </row>
    <row r="16" spans="1:13" s="108" customFormat="1" x14ac:dyDescent="0.2">
      <c r="A16" s="174" t="s">
        <v>12</v>
      </c>
      <c r="B16" s="217"/>
      <c r="C16" s="168"/>
      <c r="D16" s="169" t="s">
        <v>184</v>
      </c>
      <c r="E16" s="217"/>
      <c r="F16" s="170"/>
      <c r="G16" s="171"/>
      <c r="H16" s="171"/>
      <c r="I16" s="172">
        <f>SUM(I17:I20)</f>
        <v>18548.579999999998</v>
      </c>
      <c r="J16" s="106">
        <f>I16/I$60</f>
        <v>0.12555832038167233</v>
      </c>
    </row>
    <row r="17" spans="1:10" s="96" customFormat="1" ht="30.6" x14ac:dyDescent="0.2">
      <c r="A17" s="98" t="s">
        <v>13</v>
      </c>
      <c r="B17" s="98" t="s">
        <v>112</v>
      </c>
      <c r="C17" s="97" t="s">
        <v>115</v>
      </c>
      <c r="D17" s="99" t="s">
        <v>177</v>
      </c>
      <c r="E17" s="98" t="s">
        <v>35</v>
      </c>
      <c r="F17" s="95">
        <f>'MEMORIA DE CALCULO'!J75</f>
        <v>6.33</v>
      </c>
      <c r="G17" s="95">
        <v>1634.89</v>
      </c>
      <c r="H17" s="95">
        <f>ROUND(G17*(1+$M$4),2)</f>
        <v>1975.6</v>
      </c>
      <c r="I17" s="95">
        <f>TRUNC(F17*H17,2)</f>
        <v>12505.54</v>
      </c>
      <c r="J17" s="100"/>
    </row>
    <row r="18" spans="1:10" s="96" customFormat="1" ht="30.6" x14ac:dyDescent="0.2">
      <c r="A18" s="98" t="s">
        <v>14</v>
      </c>
      <c r="B18" s="98" t="s">
        <v>112</v>
      </c>
      <c r="C18" s="97" t="s">
        <v>178</v>
      </c>
      <c r="D18" s="225" t="s">
        <v>179</v>
      </c>
      <c r="E18" s="98" t="s">
        <v>8</v>
      </c>
      <c r="F18" s="95">
        <f>'MEMORIA DE CALCULO'!J81</f>
        <v>41.5</v>
      </c>
      <c r="G18" s="95">
        <v>84.1</v>
      </c>
      <c r="H18" s="95">
        <f>ROUND(G18*(1+$M$4),2)</f>
        <v>101.63</v>
      </c>
      <c r="I18" s="95">
        <f>TRUNC(F18*H18,2)</f>
        <v>4217.6400000000003</v>
      </c>
      <c r="J18" s="257">
        <f>G17+G22+G23</f>
        <v>6908.9</v>
      </c>
    </row>
    <row r="19" spans="1:10" s="96" customFormat="1" ht="20.399999999999999" x14ac:dyDescent="0.2">
      <c r="A19" s="98" t="s">
        <v>44</v>
      </c>
      <c r="B19" s="98" t="s">
        <v>59</v>
      </c>
      <c r="C19" s="97">
        <v>98557</v>
      </c>
      <c r="D19" s="225" t="s">
        <v>180</v>
      </c>
      <c r="E19" s="98" t="s">
        <v>8</v>
      </c>
      <c r="F19" s="95">
        <f>'MEMORIA DE CALCULO'!J88</f>
        <v>23.04</v>
      </c>
      <c r="G19" s="95">
        <v>40.44</v>
      </c>
      <c r="H19" s="95">
        <f>ROUND(G19*(1+$M$4),2)</f>
        <v>48.87</v>
      </c>
      <c r="I19" s="95">
        <f>TRUNC(F19*H19,2)</f>
        <v>1125.96</v>
      </c>
      <c r="J19" s="100">
        <f>J18*0.1</f>
        <v>690.89</v>
      </c>
    </row>
    <row r="20" spans="1:10" s="96" customFormat="1" ht="20.399999999999999" x14ac:dyDescent="0.2">
      <c r="A20" s="98" t="s">
        <v>143</v>
      </c>
      <c r="B20" s="98" t="s">
        <v>59</v>
      </c>
      <c r="C20" s="97">
        <v>95241</v>
      </c>
      <c r="D20" s="225" t="s">
        <v>208</v>
      </c>
      <c r="E20" s="98" t="s">
        <v>8</v>
      </c>
      <c r="F20" s="95">
        <f>'MEMORIA DE CALCULO'!J101</f>
        <v>21.94</v>
      </c>
      <c r="G20" s="95">
        <v>26.38</v>
      </c>
      <c r="H20" s="95">
        <f>ROUND(G20*(1+$M$4),2)</f>
        <v>31.88</v>
      </c>
      <c r="I20" s="95">
        <f>TRUNC(F20*H20,2)</f>
        <v>699.44</v>
      </c>
      <c r="J20" s="100"/>
    </row>
    <row r="21" spans="1:10" s="108" customFormat="1" x14ac:dyDescent="0.2">
      <c r="A21" s="174" t="s">
        <v>15</v>
      </c>
      <c r="B21" s="217"/>
      <c r="C21" s="168"/>
      <c r="D21" s="169" t="s">
        <v>185</v>
      </c>
      <c r="E21" s="217"/>
      <c r="F21" s="170"/>
      <c r="G21" s="171"/>
      <c r="H21" s="171"/>
      <c r="I21" s="172">
        <f>SUM(I22:I25)</f>
        <v>18749.68</v>
      </c>
      <c r="J21" s="106">
        <f>I21/I$60</f>
        <v>0.12691959861584198</v>
      </c>
    </row>
    <row r="22" spans="1:10" s="96" customFormat="1" ht="30.6" x14ac:dyDescent="0.2">
      <c r="A22" s="98" t="s">
        <v>16</v>
      </c>
      <c r="B22" s="98" t="s">
        <v>112</v>
      </c>
      <c r="C22" s="97" t="s">
        <v>116</v>
      </c>
      <c r="D22" s="225" t="s">
        <v>186</v>
      </c>
      <c r="E22" s="98" t="s">
        <v>35</v>
      </c>
      <c r="F22" s="95">
        <f>'MEMORIA DE CALCULO'!J114</f>
        <v>2.7800000000000002</v>
      </c>
      <c r="G22" s="95">
        <v>2835.22</v>
      </c>
      <c r="H22" s="95">
        <f>ROUND(G22*(1+$M$4),2)</f>
        <v>3426.08</v>
      </c>
      <c r="I22" s="95">
        <f>TRUNC(F22*H22,2)</f>
        <v>9524.5</v>
      </c>
      <c r="J22" s="100"/>
    </row>
    <row r="23" spans="1:10" s="96" customFormat="1" ht="30.6" x14ac:dyDescent="0.2">
      <c r="A23" s="98" t="s">
        <v>17</v>
      </c>
      <c r="B23" s="98" t="s">
        <v>112</v>
      </c>
      <c r="C23" s="97" t="s">
        <v>187</v>
      </c>
      <c r="D23" s="99" t="s">
        <v>188</v>
      </c>
      <c r="E23" s="98" t="s">
        <v>35</v>
      </c>
      <c r="F23" s="95">
        <f>'MEMORIA DE CALCULO'!J122</f>
        <v>2.4</v>
      </c>
      <c r="G23" s="95">
        <v>2438.79</v>
      </c>
      <c r="H23" s="95">
        <f>ROUND(G23*(1+$M$4),2)</f>
        <v>2947.03</v>
      </c>
      <c r="I23" s="95">
        <f>TRUNC(F23*H23,2)</f>
        <v>7072.87</v>
      </c>
      <c r="J23" s="100"/>
    </row>
    <row r="24" spans="1:10" s="96" customFormat="1" ht="20.399999999999999" x14ac:dyDescent="0.2">
      <c r="A24" s="98" t="s">
        <v>32</v>
      </c>
      <c r="B24" s="98" t="s">
        <v>59</v>
      </c>
      <c r="C24" s="97">
        <v>93195</v>
      </c>
      <c r="D24" s="99" t="s">
        <v>315</v>
      </c>
      <c r="E24" s="98" t="s">
        <v>36</v>
      </c>
      <c r="F24" s="95">
        <f>'MEMORIA DE CALCULO'!J128</f>
        <v>7.79</v>
      </c>
      <c r="G24" s="95">
        <v>54</v>
      </c>
      <c r="H24" s="95">
        <f>ROUND(G24*(1+$M$4),2)</f>
        <v>65.25</v>
      </c>
      <c r="I24" s="95">
        <f>TRUNC(F24*H24,2)</f>
        <v>508.29</v>
      </c>
      <c r="J24" s="100"/>
    </row>
    <row r="25" spans="1:10" s="96" customFormat="1" ht="30.6" x14ac:dyDescent="0.2">
      <c r="A25" s="98" t="s">
        <v>293</v>
      </c>
      <c r="B25" s="98" t="s">
        <v>112</v>
      </c>
      <c r="C25" s="97" t="s">
        <v>294</v>
      </c>
      <c r="D25" s="99" t="s">
        <v>295</v>
      </c>
      <c r="E25" s="98" t="s">
        <v>35</v>
      </c>
      <c r="F25" s="95">
        <f>'MEMORIA DE CALCULO'!J132</f>
        <v>0.66</v>
      </c>
      <c r="G25" s="95">
        <v>2061.36</v>
      </c>
      <c r="H25" s="95">
        <f>ROUND(G25*(1+$M$4),2)</f>
        <v>2490.9499999999998</v>
      </c>
      <c r="I25" s="95">
        <f>TRUNC(F25*H25,2)</f>
        <v>1644.02</v>
      </c>
      <c r="J25" s="100"/>
    </row>
    <row r="26" spans="1:10" s="64" customFormat="1" x14ac:dyDescent="0.2">
      <c r="A26" s="174" t="s">
        <v>18</v>
      </c>
      <c r="B26" s="167"/>
      <c r="C26" s="168"/>
      <c r="D26" s="173" t="s">
        <v>161</v>
      </c>
      <c r="E26" s="167"/>
      <c r="F26" s="171"/>
      <c r="G26" s="171"/>
      <c r="H26" s="171"/>
      <c r="I26" s="172">
        <f>SUM(I27:I31)</f>
        <v>15781.480000000001</v>
      </c>
      <c r="J26" s="106">
        <f>I26/I$60</f>
        <v>0.10682737556928643</v>
      </c>
    </row>
    <row r="27" spans="1:10" s="59" customFormat="1" ht="30.6" x14ac:dyDescent="0.2">
      <c r="A27" s="65" t="s">
        <v>19</v>
      </c>
      <c r="B27" s="65" t="s">
        <v>112</v>
      </c>
      <c r="C27" s="117" t="s">
        <v>191</v>
      </c>
      <c r="D27" s="99" t="s">
        <v>192</v>
      </c>
      <c r="E27" s="65" t="s">
        <v>8</v>
      </c>
      <c r="F27" s="62">
        <f>'MEMORIA DE CALCULO'!J142</f>
        <v>86.75</v>
      </c>
      <c r="G27" s="118">
        <v>45.78</v>
      </c>
      <c r="H27" s="62">
        <f>ROUND(G27*(1+$M$4),2)</f>
        <v>55.32</v>
      </c>
      <c r="I27" s="62">
        <f>TRUNC(F27*H27,2)</f>
        <v>4799.01</v>
      </c>
      <c r="J27" s="125"/>
    </row>
    <row r="28" spans="1:10" s="59" customFormat="1" ht="20.399999999999999" x14ac:dyDescent="0.2">
      <c r="A28" s="65" t="s">
        <v>20</v>
      </c>
      <c r="B28" s="65" t="s">
        <v>112</v>
      </c>
      <c r="C28" s="7" t="s">
        <v>126</v>
      </c>
      <c r="D28" s="99" t="s">
        <v>135</v>
      </c>
      <c r="E28" s="65" t="s">
        <v>8</v>
      </c>
      <c r="F28" s="62">
        <f>'MEMORIA DE CALCULO'!J150</f>
        <v>173.51</v>
      </c>
      <c r="G28" s="62">
        <v>8.32</v>
      </c>
      <c r="H28" s="62">
        <f>ROUND(G28*(1+$M$4),2)</f>
        <v>10.050000000000001</v>
      </c>
      <c r="I28" s="62">
        <f>TRUNC(F28*H28,2)</f>
        <v>1743.77</v>
      </c>
      <c r="J28" s="125"/>
    </row>
    <row r="29" spans="1:10" s="59" customFormat="1" ht="20.399999999999999" x14ac:dyDescent="0.2">
      <c r="A29" s="65" t="s">
        <v>34</v>
      </c>
      <c r="B29" s="65" t="s">
        <v>112</v>
      </c>
      <c r="C29" s="129" t="s">
        <v>156</v>
      </c>
      <c r="D29" s="102" t="s">
        <v>162</v>
      </c>
      <c r="E29" s="65" t="s">
        <v>8</v>
      </c>
      <c r="F29" s="62">
        <f>'MEMORIA DE CALCULO'!J157</f>
        <v>164.87</v>
      </c>
      <c r="G29" s="62">
        <v>28.38</v>
      </c>
      <c r="H29" s="62">
        <f t="shared" ref="H29" si="7">ROUND(G29*(1+$M$4),2)</f>
        <v>34.29</v>
      </c>
      <c r="I29" s="62">
        <f t="shared" ref="I29" si="8">TRUNC(F29*H29,2)</f>
        <v>5653.39</v>
      </c>
      <c r="J29" s="125"/>
    </row>
    <row r="30" spans="1:10" s="59" customFormat="1" ht="20.399999999999999" x14ac:dyDescent="0.2">
      <c r="A30" s="65" t="s">
        <v>45</v>
      </c>
      <c r="B30" s="65" t="s">
        <v>145</v>
      </c>
      <c r="C30" s="7" t="s">
        <v>279</v>
      </c>
      <c r="D30" s="91" t="s">
        <v>280</v>
      </c>
      <c r="E30" s="65" t="s">
        <v>8</v>
      </c>
      <c r="F30" s="62">
        <f>'MEMORIA DE CALCULO'!J162</f>
        <v>164.87</v>
      </c>
      <c r="G30" s="62">
        <v>16.39</v>
      </c>
      <c r="H30" s="62">
        <f>ROUND(G30*(1+$M$4),2)</f>
        <v>19.809999999999999</v>
      </c>
      <c r="I30" s="62">
        <f>TRUNC(F30*H30,2)</f>
        <v>3266.07</v>
      </c>
      <c r="J30" s="125"/>
    </row>
    <row r="31" spans="1:10" s="59" customFormat="1" ht="51" x14ac:dyDescent="0.2">
      <c r="A31" s="65" t="s">
        <v>117</v>
      </c>
      <c r="B31" s="65" t="s">
        <v>59</v>
      </c>
      <c r="C31" s="7">
        <v>87535</v>
      </c>
      <c r="D31" s="91" t="s">
        <v>281</v>
      </c>
      <c r="E31" s="65" t="s">
        <v>8</v>
      </c>
      <c r="F31" s="62">
        <f>'MEMORIA DE CALCULO'!J166</f>
        <v>8.64</v>
      </c>
      <c r="G31" s="62">
        <v>30.58</v>
      </c>
      <c r="H31" s="62">
        <f>ROUND(G31*(1+$M$4),2)</f>
        <v>36.950000000000003</v>
      </c>
      <c r="I31" s="62">
        <f>TRUNC(F31*H31,2)</f>
        <v>319.24</v>
      </c>
      <c r="J31" s="125"/>
    </row>
    <row r="32" spans="1:10" s="59" customFormat="1" x14ac:dyDescent="0.2">
      <c r="A32" s="174" t="s">
        <v>37</v>
      </c>
      <c r="B32" s="167"/>
      <c r="C32" s="168"/>
      <c r="D32" s="175" t="s">
        <v>289</v>
      </c>
      <c r="E32" s="167"/>
      <c r="F32" s="172"/>
      <c r="G32" s="172"/>
      <c r="H32" s="172"/>
      <c r="I32" s="172">
        <f>SUM(I33:I38)</f>
        <v>12293.800000000001</v>
      </c>
      <c r="J32" s="106">
        <f>I32/I$60</f>
        <v>8.3218708877348224E-2</v>
      </c>
    </row>
    <row r="33" spans="1:10" s="59" customFormat="1" x14ac:dyDescent="0.2">
      <c r="A33" s="65" t="s">
        <v>38</v>
      </c>
      <c r="B33" s="65" t="s">
        <v>145</v>
      </c>
      <c r="C33" s="7" t="s">
        <v>265</v>
      </c>
      <c r="D33" s="128" t="s">
        <v>266</v>
      </c>
      <c r="E33" s="65" t="s">
        <v>8</v>
      </c>
      <c r="F33" s="192">
        <f>'MEMORIA DE CALCULO'!J176</f>
        <v>423.2</v>
      </c>
      <c r="G33" s="62">
        <v>22.35</v>
      </c>
      <c r="H33" s="62">
        <f t="shared" ref="H33:H36" si="9">ROUND(G33*(1+$M$4),2)</f>
        <v>27.01</v>
      </c>
      <c r="I33" s="62">
        <f t="shared" ref="I33:I36" si="10">TRUNC(F33*H33,2)</f>
        <v>11430.63</v>
      </c>
      <c r="J33" s="125"/>
    </row>
    <row r="34" spans="1:10" s="59" customFormat="1" ht="20.399999999999999" x14ac:dyDescent="0.2">
      <c r="A34" s="65" t="s">
        <v>46</v>
      </c>
      <c r="B34" s="98" t="s">
        <v>59</v>
      </c>
      <c r="C34" s="97">
        <v>88484</v>
      </c>
      <c r="D34" s="94" t="s">
        <v>317</v>
      </c>
      <c r="E34" s="98" t="s">
        <v>8</v>
      </c>
      <c r="F34" s="95">
        <f>'MEMORIA DE CALCULO'!J180</f>
        <v>6</v>
      </c>
      <c r="G34" s="95">
        <v>3.04</v>
      </c>
      <c r="H34" s="95">
        <f t="shared" si="9"/>
        <v>3.67</v>
      </c>
      <c r="I34" s="95">
        <f t="shared" si="10"/>
        <v>22.02</v>
      </c>
      <c r="J34" s="125"/>
    </row>
    <row r="35" spans="1:10" s="59" customFormat="1" ht="20.399999999999999" x14ac:dyDescent="0.2">
      <c r="A35" s="65" t="s">
        <v>47</v>
      </c>
      <c r="B35" s="98" t="s">
        <v>59</v>
      </c>
      <c r="C35" s="97">
        <v>88488</v>
      </c>
      <c r="D35" s="94" t="s">
        <v>155</v>
      </c>
      <c r="E35" s="98" t="s">
        <v>8</v>
      </c>
      <c r="F35" s="95">
        <f>'MEMORIA DE CALCULO'!J184</f>
        <v>6</v>
      </c>
      <c r="G35" s="95">
        <v>16.190000000000001</v>
      </c>
      <c r="H35" s="95">
        <f t="shared" si="9"/>
        <v>19.559999999999999</v>
      </c>
      <c r="I35" s="95">
        <f t="shared" si="10"/>
        <v>117.36</v>
      </c>
      <c r="J35" s="125"/>
    </row>
    <row r="36" spans="1:10" s="59" customFormat="1" ht="20.399999999999999" x14ac:dyDescent="0.2">
      <c r="A36" s="65" t="s">
        <v>48</v>
      </c>
      <c r="B36" s="65" t="s">
        <v>59</v>
      </c>
      <c r="C36" s="7">
        <v>88489</v>
      </c>
      <c r="D36" s="128" t="s">
        <v>154</v>
      </c>
      <c r="E36" s="65" t="s">
        <v>8</v>
      </c>
      <c r="F36" s="192">
        <f>'MEMORIA DE CALCULO'!J189</f>
        <v>4.32</v>
      </c>
      <c r="G36" s="62">
        <v>14.48</v>
      </c>
      <c r="H36" s="62">
        <f t="shared" si="9"/>
        <v>17.5</v>
      </c>
      <c r="I36" s="62">
        <f t="shared" si="10"/>
        <v>75.599999999999994</v>
      </c>
      <c r="J36" s="125"/>
    </row>
    <row r="37" spans="1:10" s="59" customFormat="1" ht="40.799999999999997" x14ac:dyDescent="0.2">
      <c r="A37" s="65" t="s">
        <v>118</v>
      </c>
      <c r="B37" s="65" t="s">
        <v>59</v>
      </c>
      <c r="C37" s="7">
        <v>100740</v>
      </c>
      <c r="D37" s="94" t="s">
        <v>198</v>
      </c>
      <c r="E37" s="65" t="s">
        <v>8</v>
      </c>
      <c r="F37" s="62">
        <f>'MEMORIA DE CALCULO'!J194</f>
        <v>39.200000000000003</v>
      </c>
      <c r="G37" s="62">
        <v>9.44</v>
      </c>
      <c r="H37" s="62">
        <f t="shared" ref="H37:H38" si="11">ROUND(G37*(1+$M$4),2)</f>
        <v>11.41</v>
      </c>
      <c r="I37" s="62">
        <f t="shared" ref="I37:I38" si="12">TRUNC(F37*H37,2)</f>
        <v>447.27</v>
      </c>
      <c r="J37" s="125"/>
    </row>
    <row r="38" spans="1:10" s="59" customFormat="1" ht="61.2" x14ac:dyDescent="0.2">
      <c r="A38" s="65" t="s">
        <v>316</v>
      </c>
      <c r="B38" s="65" t="s">
        <v>112</v>
      </c>
      <c r="C38" s="7" t="s">
        <v>290</v>
      </c>
      <c r="D38" s="94" t="s">
        <v>291</v>
      </c>
      <c r="E38" s="65" t="s">
        <v>8</v>
      </c>
      <c r="F38" s="62">
        <f>'MEMORIA DE CALCULO'!J198</f>
        <v>4.32</v>
      </c>
      <c r="G38" s="62">
        <v>38.49</v>
      </c>
      <c r="H38" s="62">
        <f t="shared" si="11"/>
        <v>46.51</v>
      </c>
      <c r="I38" s="62">
        <f t="shared" si="12"/>
        <v>200.92</v>
      </c>
      <c r="J38" s="125"/>
    </row>
    <row r="39" spans="1:10" s="64" customFormat="1" x14ac:dyDescent="0.2">
      <c r="A39" s="174" t="s">
        <v>23</v>
      </c>
      <c r="B39" s="167"/>
      <c r="C39" s="168"/>
      <c r="D39" s="173" t="s">
        <v>27</v>
      </c>
      <c r="E39" s="167"/>
      <c r="F39" s="170"/>
      <c r="G39" s="170"/>
      <c r="H39" s="171"/>
      <c r="I39" s="172">
        <f>SUM(I40:I43)</f>
        <v>26064.41</v>
      </c>
      <c r="J39" s="106">
        <f>I39/I$60</f>
        <v>0.17643418209584047</v>
      </c>
    </row>
    <row r="40" spans="1:10" s="59" customFormat="1" ht="20.399999999999999" x14ac:dyDescent="0.2">
      <c r="A40" s="190" t="s">
        <v>24</v>
      </c>
      <c r="B40" s="65" t="s">
        <v>145</v>
      </c>
      <c r="C40" s="7" t="s">
        <v>196</v>
      </c>
      <c r="D40" s="99" t="s">
        <v>197</v>
      </c>
      <c r="E40" s="65" t="s">
        <v>8</v>
      </c>
      <c r="F40" s="119">
        <f>'MEMORIA DE CALCULO'!J205</f>
        <v>39.200000000000003</v>
      </c>
      <c r="G40" s="62">
        <v>376.15</v>
      </c>
      <c r="H40" s="62">
        <f t="shared" ref="H40" si="13">ROUND(G40*(1+$M$4),2)</f>
        <v>454.54</v>
      </c>
      <c r="I40" s="62">
        <f t="shared" ref="I40" si="14">TRUNC(F40*H40,2)</f>
        <v>17817.96</v>
      </c>
      <c r="J40" s="125"/>
    </row>
    <row r="41" spans="1:10" s="59" customFormat="1" ht="20.399999999999999" x14ac:dyDescent="0.2">
      <c r="A41" s="190" t="s">
        <v>39</v>
      </c>
      <c r="B41" s="65" t="s">
        <v>145</v>
      </c>
      <c r="C41" s="7" t="s">
        <v>202</v>
      </c>
      <c r="D41" s="99" t="s">
        <v>203</v>
      </c>
      <c r="E41" s="65" t="s">
        <v>8</v>
      </c>
      <c r="F41" s="119">
        <f>'MEMORIA DE CALCULO'!J211</f>
        <v>11.75</v>
      </c>
      <c r="G41" s="62">
        <v>351.81</v>
      </c>
      <c r="H41" s="62">
        <f t="shared" ref="H41:H43" si="15">ROUND(G41*(1+$M$4),2)</f>
        <v>425.13</v>
      </c>
      <c r="I41" s="62">
        <f t="shared" ref="I41:I43" si="16">TRUNC(F41*H41,2)</f>
        <v>4995.2700000000004</v>
      </c>
      <c r="J41" s="125"/>
    </row>
    <row r="42" spans="1:10" s="59" customFormat="1" ht="40.799999999999997" x14ac:dyDescent="0.2">
      <c r="A42" s="190" t="s">
        <v>40</v>
      </c>
      <c r="B42" s="65" t="s">
        <v>59</v>
      </c>
      <c r="C42" s="7">
        <v>94570</v>
      </c>
      <c r="D42" s="99" t="s">
        <v>282</v>
      </c>
      <c r="E42" s="65" t="s">
        <v>8</v>
      </c>
      <c r="F42" s="119">
        <f>'MEMORIA DE CALCULO'!J217</f>
        <v>7.37</v>
      </c>
      <c r="G42" s="62">
        <v>290.93</v>
      </c>
      <c r="H42" s="62">
        <f t="shared" si="15"/>
        <v>351.56</v>
      </c>
      <c r="I42" s="62">
        <f t="shared" si="16"/>
        <v>2590.9899999999998</v>
      </c>
      <c r="J42" s="125"/>
    </row>
    <row r="43" spans="1:10" s="59" customFormat="1" x14ac:dyDescent="0.2">
      <c r="A43" s="190" t="s">
        <v>300</v>
      </c>
      <c r="B43" s="65" t="s">
        <v>145</v>
      </c>
      <c r="C43" s="7" t="s">
        <v>301</v>
      </c>
      <c r="D43" s="99" t="s">
        <v>302</v>
      </c>
      <c r="E43" s="65" t="s">
        <v>36</v>
      </c>
      <c r="F43" s="119">
        <f>'MEMORIA DE CALCULO'!J223</f>
        <v>6.29</v>
      </c>
      <c r="G43" s="62">
        <v>86.86</v>
      </c>
      <c r="H43" s="62">
        <f t="shared" si="15"/>
        <v>104.96</v>
      </c>
      <c r="I43" s="62">
        <f t="shared" si="16"/>
        <v>660.19</v>
      </c>
      <c r="J43" s="125"/>
    </row>
    <row r="44" spans="1:10" s="64" customFormat="1" x14ac:dyDescent="0.2">
      <c r="A44" s="174" t="s">
        <v>109</v>
      </c>
      <c r="B44" s="217"/>
      <c r="C44" s="168"/>
      <c r="D44" s="173" t="s">
        <v>119</v>
      </c>
      <c r="E44" s="217"/>
      <c r="F44" s="170"/>
      <c r="G44" s="170"/>
      <c r="H44" s="171"/>
      <c r="I44" s="172">
        <f>SUM(I45:I48)</f>
        <v>4683.25</v>
      </c>
      <c r="J44" s="106">
        <f>I54/I$60</f>
        <v>0.28656727733522502</v>
      </c>
    </row>
    <row r="45" spans="1:10" s="96" customFormat="1" x14ac:dyDescent="0.2">
      <c r="A45" s="98" t="s">
        <v>25</v>
      </c>
      <c r="B45" s="98" t="s">
        <v>145</v>
      </c>
      <c r="C45" s="235" t="s">
        <v>229</v>
      </c>
      <c r="D45" s="99" t="s">
        <v>230</v>
      </c>
      <c r="E45" s="65" t="s">
        <v>36</v>
      </c>
      <c r="F45" s="119">
        <f>'MEMORIA DE CALCULO'!J230</f>
        <v>23.6</v>
      </c>
      <c r="G45" s="95">
        <v>60.75</v>
      </c>
      <c r="H45" s="95">
        <f t="shared" ref="H45:H48" si="17">ROUND(G45*(1+$M$4),2)</f>
        <v>73.41</v>
      </c>
      <c r="I45" s="95">
        <f t="shared" ref="I45:I48" si="18">TRUNC(F45*H45,2)</f>
        <v>1732.47</v>
      </c>
      <c r="J45" s="100"/>
    </row>
    <row r="46" spans="1:10" s="96" customFormat="1" ht="20.399999999999999" x14ac:dyDescent="0.2">
      <c r="A46" s="98" t="s">
        <v>33</v>
      </c>
      <c r="B46" s="98" t="s">
        <v>145</v>
      </c>
      <c r="C46" s="235" t="s">
        <v>261</v>
      </c>
      <c r="D46" s="99" t="s">
        <v>262</v>
      </c>
      <c r="E46" s="65" t="s">
        <v>8</v>
      </c>
      <c r="F46" s="119">
        <f>'MEMORIA DE CALCULO'!J234</f>
        <v>1.53</v>
      </c>
      <c r="G46" s="95">
        <v>137.75</v>
      </c>
      <c r="H46" s="95">
        <f>ROUND(G46*(1+$M$4),2)</f>
        <v>166.46</v>
      </c>
      <c r="I46" s="95">
        <f>TRUNC(F46*H46,2)</f>
        <v>254.68</v>
      </c>
      <c r="J46" s="100"/>
    </row>
    <row r="47" spans="1:10" s="96" customFormat="1" x14ac:dyDescent="0.2">
      <c r="A47" s="98" t="s">
        <v>41</v>
      </c>
      <c r="B47" s="98" t="s">
        <v>145</v>
      </c>
      <c r="C47" s="235" t="s">
        <v>276</v>
      </c>
      <c r="D47" s="99" t="s">
        <v>277</v>
      </c>
      <c r="E47" s="65" t="s">
        <v>30</v>
      </c>
      <c r="F47" s="119">
        <f>'MEMORIA DE CALCULO'!J238</f>
        <v>12</v>
      </c>
      <c r="G47" s="95">
        <v>31.79</v>
      </c>
      <c r="H47" s="95">
        <f t="shared" si="17"/>
        <v>38.42</v>
      </c>
      <c r="I47" s="95">
        <f t="shared" si="18"/>
        <v>461.04</v>
      </c>
      <c r="J47" s="100"/>
    </row>
    <row r="48" spans="1:10" s="96" customFormat="1" x14ac:dyDescent="0.2">
      <c r="A48" s="98" t="s">
        <v>42</v>
      </c>
      <c r="B48" s="98" t="s">
        <v>145</v>
      </c>
      <c r="C48" s="235" t="s">
        <v>274</v>
      </c>
      <c r="D48" s="99" t="s">
        <v>275</v>
      </c>
      <c r="E48" s="65" t="s">
        <v>36</v>
      </c>
      <c r="F48" s="119">
        <f>'MEMORIA DE CALCULO'!J243</f>
        <v>54</v>
      </c>
      <c r="G48" s="95">
        <v>34.25</v>
      </c>
      <c r="H48" s="95">
        <f t="shared" si="17"/>
        <v>41.39</v>
      </c>
      <c r="I48" s="95">
        <f t="shared" si="18"/>
        <v>2235.06</v>
      </c>
      <c r="J48" s="100"/>
    </row>
    <row r="49" spans="1:10" s="96" customFormat="1" x14ac:dyDescent="0.2">
      <c r="A49" s="174" t="s">
        <v>26</v>
      </c>
      <c r="B49" s="217"/>
      <c r="C49" s="168"/>
      <c r="D49" s="173" t="s">
        <v>28</v>
      </c>
      <c r="E49" s="217"/>
      <c r="F49" s="170"/>
      <c r="G49" s="170"/>
      <c r="H49" s="171"/>
      <c r="I49" s="172">
        <f>SUM(I50:I53)</f>
        <v>542.97</v>
      </c>
      <c r="J49" s="100"/>
    </row>
    <row r="50" spans="1:10" s="96" customFormat="1" ht="30.6" x14ac:dyDescent="0.2">
      <c r="A50" s="98" t="s">
        <v>120</v>
      </c>
      <c r="B50" s="98" t="s">
        <v>112</v>
      </c>
      <c r="C50" s="97" t="s">
        <v>305</v>
      </c>
      <c r="D50" s="94" t="s">
        <v>306</v>
      </c>
      <c r="E50" s="98" t="s">
        <v>29</v>
      </c>
      <c r="F50" s="95">
        <f>'MEMORIA DE CALCULO'!J250</f>
        <v>3</v>
      </c>
      <c r="G50" s="95">
        <v>104.95</v>
      </c>
      <c r="H50" s="95">
        <f t="shared" ref="H50" si="19">ROUND(G50*(1+$M$4),2)</f>
        <v>126.82</v>
      </c>
      <c r="I50" s="95">
        <f t="shared" ref="I50" si="20">TRUNC(F50*H50,2)</f>
        <v>380.46</v>
      </c>
      <c r="J50" s="100"/>
    </row>
    <row r="51" spans="1:10" s="96" customFormat="1" ht="20.399999999999999" x14ac:dyDescent="0.2">
      <c r="A51" s="98" t="s">
        <v>123</v>
      </c>
      <c r="B51" s="65" t="s">
        <v>59</v>
      </c>
      <c r="C51" s="235" t="s">
        <v>307</v>
      </c>
      <c r="D51" s="99" t="s">
        <v>308</v>
      </c>
      <c r="E51" s="65" t="s">
        <v>30</v>
      </c>
      <c r="F51" s="119">
        <f>'MEMORIA DE CALCULO'!J255</f>
        <v>1</v>
      </c>
      <c r="G51" s="95">
        <v>35.69</v>
      </c>
      <c r="H51" s="95">
        <f t="shared" ref="H51:H53" si="21">ROUND(G51*(1+$M$4),2)</f>
        <v>43.13</v>
      </c>
      <c r="I51" s="95">
        <f t="shared" ref="I51:I53" si="22">TRUNC(F51*H51,2)</f>
        <v>43.13</v>
      </c>
      <c r="J51" s="100"/>
    </row>
    <row r="52" spans="1:10" s="96" customFormat="1" ht="20.399999999999999" x14ac:dyDescent="0.2">
      <c r="A52" s="98" t="s">
        <v>124</v>
      </c>
      <c r="B52" s="65" t="s">
        <v>59</v>
      </c>
      <c r="C52" s="235" t="s">
        <v>310</v>
      </c>
      <c r="D52" s="99" t="s">
        <v>311</v>
      </c>
      <c r="E52" s="65" t="s">
        <v>30</v>
      </c>
      <c r="F52" s="119">
        <f>'MEMORIA DE CALCULO'!J259</f>
        <v>2</v>
      </c>
      <c r="G52" s="95">
        <v>22.44</v>
      </c>
      <c r="H52" s="95">
        <f t="shared" si="21"/>
        <v>27.12</v>
      </c>
      <c r="I52" s="95">
        <f t="shared" si="22"/>
        <v>54.24</v>
      </c>
      <c r="J52" s="258"/>
    </row>
    <row r="53" spans="1:10" s="96" customFormat="1" ht="20.399999999999999" x14ac:dyDescent="0.2">
      <c r="A53" s="98" t="s">
        <v>125</v>
      </c>
      <c r="B53" s="65" t="s">
        <v>59</v>
      </c>
      <c r="C53" s="235" t="s">
        <v>312</v>
      </c>
      <c r="D53" s="99" t="s">
        <v>313</v>
      </c>
      <c r="E53" s="65" t="s">
        <v>30</v>
      </c>
      <c r="F53" s="119">
        <f>'MEMORIA DE CALCULO'!J263</f>
        <v>2</v>
      </c>
      <c r="G53" s="95">
        <v>26.95</v>
      </c>
      <c r="H53" s="95">
        <f t="shared" si="21"/>
        <v>32.57</v>
      </c>
      <c r="I53" s="95">
        <f t="shared" si="22"/>
        <v>65.14</v>
      </c>
      <c r="J53" s="258"/>
    </row>
    <row r="54" spans="1:10" s="96" customFormat="1" x14ac:dyDescent="0.2">
      <c r="A54" s="174" t="s">
        <v>110</v>
      </c>
      <c r="B54" s="217"/>
      <c r="C54" s="168"/>
      <c r="D54" s="173" t="s">
        <v>201</v>
      </c>
      <c r="E54" s="217"/>
      <c r="F54" s="170"/>
      <c r="G54" s="170"/>
      <c r="H54" s="171"/>
      <c r="I54" s="172">
        <f>SUM(I55:I59)</f>
        <v>42334.239999999998</v>
      </c>
      <c r="J54" s="100"/>
    </row>
    <row r="55" spans="1:10" s="96" customFormat="1" x14ac:dyDescent="0.2">
      <c r="A55" s="98" t="s">
        <v>127</v>
      </c>
      <c r="B55" s="98" t="s">
        <v>145</v>
      </c>
      <c r="C55" s="235" t="s">
        <v>205</v>
      </c>
      <c r="D55" s="99" t="s">
        <v>206</v>
      </c>
      <c r="E55" s="65" t="s">
        <v>30</v>
      </c>
      <c r="F55" s="119">
        <f>'MEMORIA DE CALCULO'!J270</f>
        <v>27</v>
      </c>
      <c r="G55" s="95">
        <v>90.73</v>
      </c>
      <c r="H55" s="95">
        <f t="shared" ref="H55:H58" si="23">ROUND(G55*(1+$M$4),2)</f>
        <v>109.64</v>
      </c>
      <c r="I55" s="95">
        <f t="shared" ref="I55:I58" si="24">TRUNC(F55*H55,2)</f>
        <v>2960.28</v>
      </c>
      <c r="J55" s="100"/>
    </row>
    <row r="56" spans="1:10" s="96" customFormat="1" x14ac:dyDescent="0.2">
      <c r="A56" s="98" t="s">
        <v>128</v>
      </c>
      <c r="B56" s="98" t="s">
        <v>145</v>
      </c>
      <c r="C56" s="235" t="s">
        <v>252</v>
      </c>
      <c r="D56" s="99" t="s">
        <v>253</v>
      </c>
      <c r="E56" s="65" t="s">
        <v>8</v>
      </c>
      <c r="F56" s="119">
        <f>'MEMORIA DE CALCULO'!J276</f>
        <v>1.77</v>
      </c>
      <c r="G56" s="95">
        <v>117.69</v>
      </c>
      <c r="H56" s="95">
        <f t="shared" si="23"/>
        <v>142.22</v>
      </c>
      <c r="I56" s="95">
        <f t="shared" si="24"/>
        <v>251.72</v>
      </c>
      <c r="J56" s="100"/>
    </row>
    <row r="57" spans="1:10" s="96" customFormat="1" ht="20.399999999999999" x14ac:dyDescent="0.2">
      <c r="A57" s="98" t="s">
        <v>129</v>
      </c>
      <c r="B57" s="98" t="s">
        <v>145</v>
      </c>
      <c r="C57" s="235" t="s">
        <v>272</v>
      </c>
      <c r="D57" s="99" t="s">
        <v>273</v>
      </c>
      <c r="E57" s="65" t="s">
        <v>8</v>
      </c>
      <c r="F57" s="119">
        <f>'MEMORIA DE CALCULO'!J282</f>
        <v>201.67000000000002</v>
      </c>
      <c r="G57" s="95">
        <v>53.25</v>
      </c>
      <c r="H57" s="95">
        <f t="shared" si="23"/>
        <v>64.349999999999994</v>
      </c>
      <c r="I57" s="95">
        <f t="shared" si="24"/>
        <v>12977.46</v>
      </c>
      <c r="J57" s="258"/>
    </row>
    <row r="58" spans="1:10" s="96" customFormat="1" ht="40.799999999999997" x14ac:dyDescent="0.2">
      <c r="A58" s="98" t="s">
        <v>304</v>
      </c>
      <c r="B58" s="98" t="s">
        <v>112</v>
      </c>
      <c r="C58" s="235" t="s">
        <v>283</v>
      </c>
      <c r="D58" s="99" t="s">
        <v>284</v>
      </c>
      <c r="E58" s="65" t="s">
        <v>35</v>
      </c>
      <c r="F58" s="119">
        <f>'MEMORIA DE CALCULO'!J286</f>
        <v>0.18</v>
      </c>
      <c r="G58" s="95">
        <v>2585.15</v>
      </c>
      <c r="H58" s="95">
        <f t="shared" si="23"/>
        <v>3123.9</v>
      </c>
      <c r="I58" s="95">
        <f t="shared" si="24"/>
        <v>562.29999999999995</v>
      </c>
      <c r="J58" s="258"/>
    </row>
    <row r="59" spans="1:10" s="96" customFormat="1" ht="30.6" x14ac:dyDescent="0.2">
      <c r="A59" s="98" t="s">
        <v>318</v>
      </c>
      <c r="B59" s="98" t="s">
        <v>121</v>
      </c>
      <c r="C59" s="235" t="s">
        <v>244</v>
      </c>
      <c r="D59" s="99" t="str">
        <f>COMPOSICOES!D12</f>
        <v>PLAYGROUND EM EUCALIPTO, CONTENDO 1 GANGORRA DUPLA, 1 ESCORREGADOR, 1 BALANÇO DUPLO, 1 CASINHA SUSPENSA E 1 LIXEIRA.</v>
      </c>
      <c r="E59" s="65" t="s">
        <v>30</v>
      </c>
      <c r="F59" s="119">
        <f>'MEMORIA DE CALCULO'!J290</f>
        <v>1</v>
      </c>
      <c r="G59" s="95">
        <f>COMPOSICOES!G19</f>
        <v>21170.54</v>
      </c>
      <c r="H59" s="95">
        <f t="shared" ref="H59" si="25">ROUND(G59*(1+$M$4),2)</f>
        <v>25582.48</v>
      </c>
      <c r="I59" s="95">
        <f t="shared" ref="I59" si="26">TRUNC(F59*H59,2)</f>
        <v>25582.48</v>
      </c>
      <c r="J59" s="258"/>
    </row>
    <row r="60" spans="1:10" x14ac:dyDescent="0.2">
      <c r="A60" s="176"/>
      <c r="B60" s="176"/>
      <c r="C60" s="177"/>
      <c r="D60" s="178"/>
      <c r="E60" s="176"/>
      <c r="F60" s="176"/>
      <c r="G60" s="176"/>
      <c r="H60" s="179" t="s">
        <v>157</v>
      </c>
      <c r="I60" s="180">
        <f>I9+I26+I32+I39+I21+I16+I13+I44+I49+I54</f>
        <v>147728.80000000002</v>
      </c>
      <c r="J60" s="155"/>
    </row>
    <row r="61" spans="1:10" ht="13.2" x14ac:dyDescent="0.25">
      <c r="A61" s="287"/>
      <c r="B61" s="288"/>
      <c r="C61" s="288"/>
      <c r="D61" s="288"/>
      <c r="E61" s="288"/>
      <c r="F61" s="288"/>
      <c r="G61" s="288"/>
      <c r="H61" s="288"/>
      <c r="I61" s="289"/>
    </row>
    <row r="62" spans="1:10" x14ac:dyDescent="0.2">
      <c r="A62" s="290"/>
      <c r="B62" s="290"/>
      <c r="C62" s="290"/>
      <c r="D62" s="291"/>
      <c r="E62" s="293"/>
      <c r="F62" s="293"/>
      <c r="G62" s="293"/>
      <c r="H62" s="293"/>
      <c r="I62" s="293"/>
    </row>
    <row r="63" spans="1:10" x14ac:dyDescent="0.2">
      <c r="A63" s="290"/>
      <c r="B63" s="290"/>
      <c r="C63" s="290"/>
      <c r="D63" s="292"/>
      <c r="E63" s="293"/>
      <c r="F63" s="293"/>
      <c r="G63" s="293"/>
      <c r="H63" s="293"/>
      <c r="I63" s="293"/>
    </row>
    <row r="64" spans="1:10" x14ac:dyDescent="0.2">
      <c r="A64" s="290"/>
      <c r="B64" s="290"/>
      <c r="C64" s="290"/>
      <c r="D64" s="292"/>
      <c r="E64" s="293"/>
      <c r="F64" s="293"/>
      <c r="G64" s="293"/>
      <c r="H64" s="293"/>
      <c r="I64" s="293"/>
    </row>
    <row r="65" spans="1:9" x14ac:dyDescent="0.2">
      <c r="A65" s="290"/>
      <c r="B65" s="290"/>
      <c r="C65" s="290"/>
      <c r="D65" s="151"/>
      <c r="E65" s="293"/>
      <c r="F65" s="293"/>
      <c r="G65" s="293"/>
      <c r="H65" s="293"/>
      <c r="I65" s="293"/>
    </row>
    <row r="66" spans="1:9" x14ac:dyDescent="0.2">
      <c r="A66" s="290"/>
      <c r="B66" s="290"/>
      <c r="C66" s="290"/>
      <c r="D66" s="151"/>
      <c r="E66" s="293"/>
      <c r="F66" s="293"/>
      <c r="G66" s="293"/>
      <c r="H66" s="293"/>
      <c r="I66" s="293"/>
    </row>
    <row r="67" spans="1:9" x14ac:dyDescent="0.2">
      <c r="A67" s="156"/>
      <c r="B67" s="152"/>
      <c r="C67" s="153"/>
      <c r="D67" s="154"/>
      <c r="E67" s="152"/>
      <c r="F67" s="152"/>
      <c r="G67" s="152"/>
      <c r="H67" s="152"/>
      <c r="I67" s="152"/>
    </row>
  </sheetData>
  <autoFilter ref="A8:I60" xr:uid="{00000000-0009-0000-0000-000009000000}"/>
  <mergeCells count="7">
    <mergeCell ref="A2:I2"/>
    <mergeCell ref="A1:I1"/>
    <mergeCell ref="A61:I61"/>
    <mergeCell ref="A62:C66"/>
    <mergeCell ref="D62:D64"/>
    <mergeCell ref="E62:I66"/>
    <mergeCell ref="A3:I3"/>
  </mergeCells>
  <phoneticPr fontId="8" type="noConversion"/>
  <dataValidations disablePrompts="1" count="1">
    <dataValidation allowBlank="1" showInputMessage="1" showErrorMessage="1" promptTitle="Atenção!!!" prompt="Inserir o BDI em valor percentual." sqref="L2 L4:M4" xr:uid="{00000000-0002-0000-0900-000000000000}"/>
  </dataValidations>
  <printOptions horizontalCentered="1"/>
  <pageMargins left="0.59055118110236227" right="0.39370078740157483" top="1.2204724409448819" bottom="0.86614173228346458" header="0.39370078740157483" footer="7.874015748031496E-2"/>
  <pageSetup paperSize="9" scale="71" fitToHeight="0" orientation="portrait" horizontalDpi="360" verticalDpi="360" r:id="rId1"/>
  <headerFooter>
    <oddHeader>&amp;C&amp;G</oddHeader>
    <oddFooter>&amp;L
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  <pageSetUpPr fitToPage="1"/>
  </sheetPr>
  <dimension ref="A1:K290"/>
  <sheetViews>
    <sheetView view="pageBreakPreview" topLeftCell="A31" zoomScaleNormal="100" zoomScaleSheetLayoutView="100" workbookViewId="0">
      <pane ySplit="492" activePane="bottomLeft"/>
      <selection activeCell="F31" sqref="F1:F1048576"/>
      <selection pane="bottomLeft" activeCell="E21" sqref="E21"/>
    </sheetView>
  </sheetViews>
  <sheetFormatPr defaultColWidth="9.109375" defaultRowHeight="10.199999999999999" x14ac:dyDescent="0.2"/>
  <cols>
    <col min="1" max="1" width="6.44140625" style="121" customWidth="1"/>
    <col min="2" max="2" width="12" style="120" hidden="1" customWidth="1"/>
    <col min="3" max="3" width="10" style="103" hidden="1" customWidth="1"/>
    <col min="4" max="4" width="45.6640625" style="122" customWidth="1"/>
    <col min="5" max="5" width="7.33203125" style="120" bestFit="1" customWidth="1"/>
    <col min="6" max="6" width="9.33203125" style="123" customWidth="1"/>
    <col min="7" max="8" width="10" style="120" customWidth="1"/>
    <col min="9" max="9" width="10" style="124" customWidth="1"/>
    <col min="10" max="10" width="11.21875" style="120" customWidth="1"/>
    <col min="11" max="11" width="13.109375" style="59" customWidth="1"/>
    <col min="12" max="13" width="9.109375" style="59" customWidth="1"/>
    <col min="14" max="16384" width="9.109375" style="59"/>
  </cols>
  <sheetData>
    <row r="1" spans="1:10" ht="37.799999999999997" customHeight="1" x14ac:dyDescent="0.3">
      <c r="A1" s="298" t="str">
        <f>'ORÇAMENTO SEM DESON'!A1:I1</f>
        <v>2ª ETAPA - AMPLIAÇÃO E REFORMA DA CRECHE JÚLIA GUIMARÃES NO MUNICÍPIO DE LIMOEIRO/PE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0" ht="12.6" customHeight="1" x14ac:dyDescent="0.2">
      <c r="A2" s="139"/>
      <c r="B2" s="140"/>
      <c r="C2" s="140"/>
      <c r="D2" s="140"/>
      <c r="E2" s="140"/>
      <c r="F2" s="140"/>
      <c r="G2" s="140"/>
      <c r="H2" s="140"/>
      <c r="I2" s="140"/>
      <c r="J2" s="141"/>
    </row>
    <row r="3" spans="1:10" ht="15.6" x14ac:dyDescent="0.3">
      <c r="A3" s="297" t="s">
        <v>43</v>
      </c>
      <c r="B3" s="297"/>
      <c r="C3" s="297"/>
      <c r="D3" s="297"/>
      <c r="E3" s="297"/>
      <c r="F3" s="297"/>
      <c r="G3" s="297"/>
      <c r="H3" s="297"/>
      <c r="I3" s="297"/>
      <c r="J3" s="297"/>
    </row>
    <row r="4" spans="1:10" ht="13.95" customHeight="1" x14ac:dyDescent="0.2">
      <c r="A4" s="137" t="str">
        <f>'ORÇAMENTO SEM DESON'!A4</f>
        <v>LOCALIZAÇÃO: LIMOEIRO - PE</v>
      </c>
      <c r="B4" s="101"/>
      <c r="C4" s="101"/>
      <c r="D4" s="101"/>
      <c r="E4" s="101"/>
      <c r="F4" s="101"/>
      <c r="G4" s="101"/>
      <c r="H4" s="101"/>
      <c r="I4" s="101"/>
      <c r="J4" s="101"/>
    </row>
    <row r="5" spans="1:10" ht="18" customHeight="1" x14ac:dyDescent="0.2">
      <c r="A5" s="137" t="str">
        <f>'ORÇAMENTO SEM DESON'!A5</f>
        <v>FONTES DE PREÇOS: EMLURB 2018 / SINAPI MARÇO-2022 / SEINFRA 027 MARÇO-2021 - SEM DESONERAÇÃO (BDI = 20,84%)</v>
      </c>
      <c r="B5" s="101"/>
      <c r="C5" s="101"/>
      <c r="D5" s="101"/>
      <c r="E5" s="101"/>
      <c r="F5" s="101"/>
      <c r="G5" s="101"/>
      <c r="H5" s="101"/>
      <c r="I5" s="101"/>
      <c r="J5" s="101"/>
    </row>
    <row r="6" spans="1:10" ht="14.4" customHeight="1" x14ac:dyDescent="0.2">
      <c r="A6" s="137" t="str">
        <f>'ORÇAMENTO SEM DESON'!A6</f>
        <v>DATA: MAIO/2022</v>
      </c>
      <c r="B6" s="101"/>
      <c r="C6" s="101"/>
      <c r="D6" s="101"/>
      <c r="E6" s="101"/>
      <c r="F6" s="101"/>
      <c r="G6" s="101"/>
      <c r="H6" s="101"/>
      <c r="I6" s="101"/>
      <c r="J6" s="101"/>
    </row>
    <row r="7" spans="1:10" x14ac:dyDescent="0.2">
      <c r="A7" s="101"/>
      <c r="B7" s="101"/>
      <c r="C7" s="101"/>
      <c r="D7" s="101"/>
      <c r="E7" s="101"/>
      <c r="F7" s="101"/>
      <c r="G7" s="101"/>
      <c r="H7" s="101"/>
      <c r="I7" s="101"/>
      <c r="J7" s="101"/>
    </row>
    <row r="8" spans="1:10" s="61" customFormat="1" ht="16.5" customHeight="1" x14ac:dyDescent="0.2">
      <c r="A8" s="199" t="s">
        <v>0</v>
      </c>
      <c r="B8" s="199" t="s">
        <v>57</v>
      </c>
      <c r="C8" s="200" t="s">
        <v>21</v>
      </c>
      <c r="D8" s="199" t="s">
        <v>58</v>
      </c>
      <c r="E8" s="199" t="s">
        <v>1</v>
      </c>
      <c r="F8" s="201" t="s">
        <v>2</v>
      </c>
      <c r="G8" s="201" t="s">
        <v>55</v>
      </c>
      <c r="H8" s="201" t="s">
        <v>56</v>
      </c>
      <c r="I8" s="202" t="s">
        <v>3</v>
      </c>
      <c r="J8" s="201" t="s">
        <v>4</v>
      </c>
    </row>
    <row r="9" spans="1:10" s="63" customFormat="1" x14ac:dyDescent="0.2">
      <c r="A9" s="3"/>
      <c r="B9" s="3"/>
      <c r="C9" s="4"/>
      <c r="D9" s="58"/>
      <c r="E9" s="3"/>
      <c r="F9" s="86"/>
      <c r="G9" s="86"/>
      <c r="H9" s="86"/>
      <c r="I9" s="83"/>
      <c r="J9" s="86"/>
    </row>
    <row r="10" spans="1:10" s="108" customFormat="1" x14ac:dyDescent="0.2">
      <c r="A10" s="167" t="str">
        <f>'ORÇAMENTO SEM DESON'!A9</f>
        <v>1.0</v>
      </c>
      <c r="B10" s="167"/>
      <c r="C10" s="168"/>
      <c r="D10" s="169" t="str">
        <f>'ORÇAMENTO SEM DESON'!D9</f>
        <v>SERVIÇOS PRELIMINARES</v>
      </c>
      <c r="E10" s="167"/>
      <c r="F10" s="181"/>
      <c r="G10" s="181"/>
      <c r="H10" s="181"/>
      <c r="I10" s="182"/>
      <c r="J10" s="181"/>
    </row>
    <row r="11" spans="1:10" s="63" customFormat="1" x14ac:dyDescent="0.2">
      <c r="A11" s="3"/>
      <c r="B11" s="3"/>
      <c r="C11" s="4"/>
      <c r="D11" s="58"/>
      <c r="E11" s="3"/>
      <c r="F11" s="86"/>
      <c r="G11" s="86"/>
      <c r="H11" s="86"/>
      <c r="I11" s="83"/>
      <c r="J11" s="86"/>
    </row>
    <row r="12" spans="1:10" s="64" customFormat="1" ht="20.399999999999999" x14ac:dyDescent="0.2">
      <c r="A12" s="183" t="str">
        <f>'ORÇAMENTO SEM DESON'!A10</f>
        <v>1.1</v>
      </c>
      <c r="B12" s="183"/>
      <c r="C12" s="184"/>
      <c r="D12" s="185" t="str">
        <f>'ORÇAMENTO SEM DESON'!D10</f>
        <v xml:space="preserve">DEMOLICAO DE ALVENARIA DE 1/2 VEZ COM PREPARO PARA REMOCAO.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12" s="183" t="str">
        <f>'ORÇAMENTO SEM DESON'!E10</f>
        <v>m²</v>
      </c>
      <c r="F12" s="186"/>
      <c r="G12" s="186"/>
      <c r="H12" s="186"/>
      <c r="I12" s="187"/>
      <c r="J12" s="186"/>
    </row>
    <row r="13" spans="1:10" s="64" customFormat="1" x14ac:dyDescent="0.2">
      <c r="A13" s="65"/>
      <c r="B13" s="65"/>
      <c r="C13" s="7"/>
      <c r="D13" s="57"/>
      <c r="E13" s="65"/>
      <c r="F13" s="62" t="s">
        <v>169</v>
      </c>
      <c r="G13" s="62" t="s">
        <v>264</v>
      </c>
      <c r="H13" s="62"/>
      <c r="I13" s="190" t="s">
        <v>168</v>
      </c>
      <c r="J13" s="85"/>
    </row>
    <row r="14" spans="1:10" x14ac:dyDescent="0.2">
      <c r="A14" s="3"/>
      <c r="B14" s="3"/>
      <c r="C14" s="4"/>
      <c r="D14" s="1" t="s">
        <v>216</v>
      </c>
      <c r="E14" s="65" t="s">
        <v>8</v>
      </c>
      <c r="F14" s="62"/>
      <c r="G14" s="62">
        <f>31-(9*(0.22*0.12))</f>
        <v>30.7624</v>
      </c>
      <c r="H14" s="85"/>
      <c r="I14" s="84">
        <f>2.1-0.8</f>
        <v>1.3</v>
      </c>
      <c r="J14" s="85">
        <f t="shared" ref="J14:J19" si="0">ROUND(PRODUCT(F14:I14),2)</f>
        <v>39.99</v>
      </c>
    </row>
    <row r="15" spans="1:10" x14ac:dyDescent="0.2">
      <c r="A15" s="3"/>
      <c r="B15" s="3"/>
      <c r="C15" s="4"/>
      <c r="D15" s="1" t="s">
        <v>226</v>
      </c>
      <c r="E15" s="65"/>
      <c r="F15" s="62">
        <v>9</v>
      </c>
      <c r="G15" s="62">
        <v>0.22</v>
      </c>
      <c r="H15" s="85"/>
      <c r="I15" s="84">
        <v>1.85</v>
      </c>
      <c r="J15" s="85">
        <f t="shared" si="0"/>
        <v>3.66</v>
      </c>
    </row>
    <row r="16" spans="1:10" x14ac:dyDescent="0.2">
      <c r="A16" s="3"/>
      <c r="B16" s="3"/>
      <c r="C16" s="4"/>
      <c r="D16" s="1" t="s">
        <v>255</v>
      </c>
      <c r="E16" s="65"/>
      <c r="F16" s="62">
        <v>14</v>
      </c>
      <c r="G16" s="62">
        <v>0.22</v>
      </c>
      <c r="H16" s="85"/>
      <c r="I16" s="84">
        <v>2.1</v>
      </c>
      <c r="J16" s="85">
        <f>ROUND(PRODUCT(F16:I16),2)</f>
        <v>6.47</v>
      </c>
    </row>
    <row r="17" spans="1:10" x14ac:dyDescent="0.2">
      <c r="A17" s="3"/>
      <c r="B17" s="3"/>
      <c r="C17" s="4"/>
      <c r="D17" s="1" t="s">
        <v>215</v>
      </c>
      <c r="E17" s="65"/>
      <c r="F17" s="62"/>
      <c r="G17" s="62">
        <f>34-1.7</f>
        <v>32.299999999999997</v>
      </c>
      <c r="H17" s="85"/>
      <c r="I17" s="84">
        <v>1.7</v>
      </c>
      <c r="J17" s="85">
        <f t="shared" si="0"/>
        <v>54.91</v>
      </c>
    </row>
    <row r="18" spans="1:10" x14ac:dyDescent="0.2">
      <c r="A18" s="3"/>
      <c r="B18" s="3"/>
      <c r="C18" s="4"/>
      <c r="D18" s="1" t="s">
        <v>296</v>
      </c>
      <c r="E18" s="65"/>
      <c r="F18" s="62"/>
      <c r="G18" s="62">
        <v>4.2</v>
      </c>
      <c r="H18" s="85"/>
      <c r="I18" s="84">
        <v>1.85</v>
      </c>
      <c r="J18" s="85">
        <f t="shared" si="0"/>
        <v>7.77</v>
      </c>
    </row>
    <row r="19" spans="1:10" ht="20.399999999999999" x14ac:dyDescent="0.2">
      <c r="A19" s="3"/>
      <c r="B19" s="3"/>
      <c r="C19" s="4"/>
      <c r="D19" s="1" t="s">
        <v>314</v>
      </c>
      <c r="E19" s="65"/>
      <c r="F19" s="62"/>
      <c r="G19" s="62">
        <v>1</v>
      </c>
      <c r="H19" s="85"/>
      <c r="I19" s="84">
        <v>0.5</v>
      </c>
      <c r="J19" s="85">
        <f t="shared" si="0"/>
        <v>0.5</v>
      </c>
    </row>
    <row r="20" spans="1:10" x14ac:dyDescent="0.2">
      <c r="A20" s="3"/>
      <c r="B20" s="3"/>
      <c r="C20" s="4"/>
      <c r="D20" s="66"/>
      <c r="E20" s="65"/>
      <c r="F20" s="85"/>
      <c r="G20" s="85"/>
      <c r="H20" s="85"/>
      <c r="I20" s="187" t="str">
        <f>"Total item "&amp;A12</f>
        <v>Total item 1.1</v>
      </c>
      <c r="J20" s="186">
        <f>SUM(J14:J19)</f>
        <v>113.3</v>
      </c>
    </row>
    <row r="21" spans="1:10" s="63" customFormat="1" x14ac:dyDescent="0.2">
      <c r="A21" s="3"/>
      <c r="B21" s="3"/>
      <c r="C21" s="4"/>
      <c r="D21" s="58"/>
      <c r="E21" s="3"/>
      <c r="F21" s="86"/>
      <c r="G21" s="86"/>
      <c r="H21" s="86"/>
      <c r="I21" s="83"/>
      <c r="J21" s="86"/>
    </row>
    <row r="22" spans="1:10" s="64" customFormat="1" x14ac:dyDescent="0.2">
      <c r="A22" s="183" t="str">
        <f>'ORÇAMENTO SEM DESON'!A11</f>
        <v>1.2</v>
      </c>
      <c r="B22" s="183"/>
      <c r="C22" s="184"/>
      <c r="D22" s="185" t="str">
        <f>'ORÇAMENTO SEM DESON'!D11</f>
        <v>RETIRADA DE GRADE DE FERRO</v>
      </c>
      <c r="E22" s="183" t="str">
        <f>'ORÇAMENTO SEM DESON'!E11</f>
        <v>m²</v>
      </c>
      <c r="F22" s="186"/>
      <c r="G22" s="186"/>
      <c r="H22" s="186"/>
      <c r="I22" s="187"/>
      <c r="J22" s="186"/>
    </row>
    <row r="23" spans="1:10" x14ac:dyDescent="0.2">
      <c r="A23" s="65"/>
      <c r="B23" s="65"/>
      <c r="C23" s="7"/>
      <c r="D23" s="254"/>
      <c r="E23" s="65"/>
      <c r="F23" s="62" t="s">
        <v>169</v>
      </c>
      <c r="G23" s="62" t="s">
        <v>264</v>
      </c>
      <c r="H23" s="190" t="s">
        <v>168</v>
      </c>
      <c r="J23" s="62"/>
    </row>
    <row r="24" spans="1:10" x14ac:dyDescent="0.2">
      <c r="A24" s="3"/>
      <c r="B24" s="3"/>
      <c r="C24" s="67"/>
      <c r="D24" s="1" t="s">
        <v>218</v>
      </c>
      <c r="E24" s="65" t="s">
        <v>8</v>
      </c>
      <c r="F24" s="62"/>
      <c r="G24" s="85">
        <f>1.8+0.78</f>
        <v>2.58</v>
      </c>
      <c r="H24" s="84">
        <v>2.1</v>
      </c>
      <c r="J24" s="85">
        <f>ROUND(PRODUCT(F24:H24),2)</f>
        <v>5.42</v>
      </c>
    </row>
    <row r="25" spans="1:10" x14ac:dyDescent="0.2">
      <c r="A25" s="3"/>
      <c r="B25" s="3"/>
      <c r="C25" s="67"/>
      <c r="D25" s="1" t="s">
        <v>256</v>
      </c>
      <c r="E25" s="65"/>
      <c r="F25" s="62"/>
      <c r="G25" s="85">
        <v>1.65</v>
      </c>
      <c r="H25" s="84">
        <v>1.5</v>
      </c>
      <c r="J25" s="85">
        <f>ROUND(PRODUCT(F25:H25),2)</f>
        <v>2.48</v>
      </c>
    </row>
    <row r="26" spans="1:10" x14ac:dyDescent="0.2">
      <c r="A26" s="3"/>
      <c r="B26" s="3"/>
      <c r="C26" s="67"/>
      <c r="D26" s="1" t="s">
        <v>296</v>
      </c>
      <c r="E26" s="65"/>
      <c r="F26" s="62"/>
      <c r="G26" s="85">
        <v>4.1500000000000004</v>
      </c>
      <c r="H26" s="84">
        <v>1.05</v>
      </c>
      <c r="J26" s="85">
        <f>ROUND(PRODUCT(F26:H26),2)</f>
        <v>4.3600000000000003</v>
      </c>
    </row>
    <row r="27" spans="1:10" x14ac:dyDescent="0.2">
      <c r="A27" s="3"/>
      <c r="B27" s="3"/>
      <c r="C27" s="4"/>
      <c r="D27" s="66"/>
      <c r="E27" s="65"/>
      <c r="F27" s="85"/>
      <c r="G27" s="85"/>
      <c r="H27" s="85"/>
      <c r="I27" s="187" t="str">
        <f>"Total item "&amp;A22</f>
        <v>Total item 1.2</v>
      </c>
      <c r="J27" s="186">
        <f>SUM(J24:J26)</f>
        <v>12.260000000000002</v>
      </c>
    </row>
    <row r="28" spans="1:10" s="64" customFormat="1" ht="20.399999999999999" x14ac:dyDescent="0.2">
      <c r="A28" s="183" t="str">
        <f>'ORÇAMENTO SEM DESON'!A12</f>
        <v>1.3</v>
      </c>
      <c r="B28" s="183"/>
      <c r="C28" s="184"/>
      <c r="D28" s="185" t="str">
        <f>'ORÇAMENTO SEM DESON'!D12</f>
        <v>DEMOLIÇÃO DE PISO CIMENTADO SOBRE LASTRO DE CONCRETO</v>
      </c>
      <c r="E28" s="183" t="str">
        <f>'ORÇAMENTO SEM DESON'!E12</f>
        <v>m²</v>
      </c>
      <c r="F28" s="186"/>
      <c r="G28" s="186"/>
      <c r="H28" s="186"/>
      <c r="I28" s="187"/>
      <c r="J28" s="186"/>
    </row>
    <row r="29" spans="1:10" x14ac:dyDescent="0.2">
      <c r="A29" s="65"/>
      <c r="B29" s="65"/>
      <c r="C29" s="7"/>
      <c r="D29" s="254"/>
      <c r="E29" s="65"/>
      <c r="F29" s="62" t="s">
        <v>167</v>
      </c>
      <c r="G29" s="62" t="s">
        <v>264</v>
      </c>
      <c r="H29" s="62"/>
      <c r="I29" s="190"/>
      <c r="J29" s="62"/>
    </row>
    <row r="30" spans="1:10" x14ac:dyDescent="0.2">
      <c r="A30" s="3"/>
      <c r="B30" s="3"/>
      <c r="C30" s="67"/>
      <c r="D30" s="1" t="s">
        <v>270</v>
      </c>
      <c r="E30" s="65"/>
      <c r="F30" s="62">
        <v>1.4</v>
      </c>
      <c r="G30" s="62">
        <v>29.45</v>
      </c>
      <c r="H30" s="85"/>
      <c r="I30" s="84"/>
      <c r="J30" s="85">
        <f>ROUND(PRODUCT(F30:I30),2)</f>
        <v>41.23</v>
      </c>
    </row>
    <row r="31" spans="1:10" x14ac:dyDescent="0.2">
      <c r="A31" s="3"/>
      <c r="B31" s="3"/>
      <c r="C31" s="67"/>
      <c r="D31" s="1" t="s">
        <v>271</v>
      </c>
      <c r="E31" s="65"/>
      <c r="F31" s="62">
        <v>2.6</v>
      </c>
      <c r="G31" s="62">
        <f>34+1.4</f>
        <v>35.4</v>
      </c>
      <c r="H31" s="85"/>
      <c r="I31" s="84"/>
      <c r="J31" s="85">
        <f t="shared" ref="J31" si="1">ROUND(PRODUCT(F31:I31),2)</f>
        <v>92.04</v>
      </c>
    </row>
    <row r="32" spans="1:10" x14ac:dyDescent="0.2">
      <c r="A32" s="3"/>
      <c r="B32" s="3"/>
      <c r="C32" s="4"/>
      <c r="D32" s="66"/>
      <c r="E32" s="65"/>
      <c r="F32" s="85"/>
      <c r="G32" s="85"/>
      <c r="H32" s="85"/>
      <c r="I32" s="187" t="str">
        <f>"Total item "&amp;A28</f>
        <v>Total item 1.3</v>
      </c>
      <c r="J32" s="186">
        <f>SUM(J30:J31)</f>
        <v>133.27000000000001</v>
      </c>
    </row>
    <row r="33" spans="1:11" s="63" customFormat="1" x14ac:dyDescent="0.2">
      <c r="A33" s="3"/>
      <c r="B33" s="3"/>
      <c r="C33" s="4"/>
      <c r="D33" s="58"/>
      <c r="E33" s="3"/>
      <c r="F33" s="86"/>
      <c r="G33" s="86"/>
      <c r="H33" s="86"/>
      <c r="I33" s="83"/>
      <c r="J33" s="86"/>
    </row>
    <row r="34" spans="1:11" x14ac:dyDescent="0.2">
      <c r="A34" s="174" t="str">
        <f>'ORÇAMENTO SEM DESON'!A13</f>
        <v>2.0</v>
      </c>
      <c r="B34" s="217"/>
      <c r="C34" s="189"/>
      <c r="D34" s="169" t="str">
        <f>'ORÇAMENTO SEM DESON'!D13</f>
        <v>MOVIMENTO DE TERRA</v>
      </c>
      <c r="E34" s="217"/>
      <c r="F34" s="181"/>
      <c r="G34" s="181"/>
      <c r="H34" s="181"/>
      <c r="I34" s="182"/>
      <c r="J34" s="181"/>
    </row>
    <row r="35" spans="1:11" x14ac:dyDescent="0.2">
      <c r="A35" s="3"/>
      <c r="B35" s="3"/>
      <c r="C35" s="67"/>
      <c r="D35" s="1"/>
      <c r="E35" s="65"/>
      <c r="F35" s="85"/>
      <c r="G35" s="85"/>
      <c r="H35" s="85"/>
      <c r="I35" s="83"/>
      <c r="J35" s="86"/>
    </row>
    <row r="36" spans="1:11" ht="20.399999999999999" x14ac:dyDescent="0.2">
      <c r="A36" s="183" t="str">
        <f>'ORÇAMENTO SEM DESON'!A14</f>
        <v>2.1</v>
      </c>
      <c r="B36" s="5" t="s">
        <v>112</v>
      </c>
      <c r="C36" s="6" t="s">
        <v>132</v>
      </c>
      <c r="D36" s="188" t="str">
        <f>'ORÇAMENTO SEM DESON'!D14</f>
        <v>ESCAVACAO MANUAL EM TERRA ATE 1,50 M DE PROFUNDIDADE, SEM ESCORAMENTO.</v>
      </c>
      <c r="E36" s="183" t="str">
        <f>'ORÇAMENTO SEM DESON'!E14</f>
        <v>m³</v>
      </c>
      <c r="F36" s="186"/>
      <c r="G36" s="186"/>
      <c r="H36" s="186"/>
      <c r="I36" s="187"/>
      <c r="J36" s="186"/>
    </row>
    <row r="37" spans="1:11" x14ac:dyDescent="0.2">
      <c r="A37" s="3"/>
      <c r="B37" s="3"/>
      <c r="C37" s="67"/>
      <c r="D37" s="1"/>
      <c r="E37" s="65"/>
      <c r="F37" s="62" t="s">
        <v>164</v>
      </c>
      <c r="G37" s="62" t="s">
        <v>167</v>
      </c>
      <c r="H37" s="62" t="s">
        <v>168</v>
      </c>
      <c r="I37" s="190" t="s">
        <v>169</v>
      </c>
      <c r="J37" s="85"/>
    </row>
    <row r="38" spans="1:11" x14ac:dyDescent="0.2">
      <c r="A38" s="3"/>
      <c r="B38" s="3"/>
      <c r="C38" s="67"/>
      <c r="D38" s="2" t="s">
        <v>223</v>
      </c>
      <c r="E38" s="65" t="s">
        <v>173</v>
      </c>
      <c r="F38" s="62"/>
      <c r="G38" s="62"/>
      <c r="H38" s="62"/>
      <c r="I38" s="190"/>
      <c r="J38" s="85"/>
    </row>
    <row r="39" spans="1:11" x14ac:dyDescent="0.2">
      <c r="A39" s="3"/>
      <c r="B39" s="3"/>
      <c r="C39" s="67"/>
      <c r="D39" s="1" t="s">
        <v>215</v>
      </c>
      <c r="E39" s="65"/>
      <c r="F39" s="62">
        <v>34</v>
      </c>
      <c r="G39" s="62">
        <v>0.3</v>
      </c>
      <c r="H39" s="62">
        <v>1.3</v>
      </c>
      <c r="I39" s="190"/>
      <c r="J39" s="85">
        <f>ROUND(PRODUCT(F39:I39),2)</f>
        <v>13.26</v>
      </c>
    </row>
    <row r="40" spans="1:11" x14ac:dyDescent="0.2">
      <c r="A40" s="3"/>
      <c r="B40" s="3"/>
      <c r="C40" s="67"/>
      <c r="D40" s="2" t="s">
        <v>176</v>
      </c>
      <c r="E40" s="65" t="s">
        <v>173</v>
      </c>
      <c r="F40" s="62"/>
      <c r="G40" s="62"/>
      <c r="H40" s="62"/>
      <c r="I40" s="190"/>
      <c r="J40" s="85"/>
    </row>
    <row r="41" spans="1:11" x14ac:dyDescent="0.2">
      <c r="A41" s="3"/>
      <c r="B41" s="3"/>
      <c r="C41" s="67"/>
      <c r="D41" s="1" t="s">
        <v>216</v>
      </c>
      <c r="E41" s="65"/>
      <c r="F41" s="62">
        <v>0.6</v>
      </c>
      <c r="G41" s="62">
        <v>0.6</v>
      </c>
      <c r="H41" s="62">
        <v>1.55</v>
      </c>
      <c r="I41" s="190">
        <v>7</v>
      </c>
      <c r="J41" s="85">
        <f>ROUND(PRODUCT(F41:I41),2)</f>
        <v>3.91</v>
      </c>
      <c r="K41" s="59" t="s">
        <v>225</v>
      </c>
    </row>
    <row r="42" spans="1:11" x14ac:dyDescent="0.2">
      <c r="A42" s="3"/>
      <c r="B42" s="3"/>
      <c r="C42" s="67"/>
      <c r="D42" s="1" t="s">
        <v>257</v>
      </c>
      <c r="E42" s="65"/>
      <c r="F42" s="62">
        <v>0.6</v>
      </c>
      <c r="G42" s="62">
        <v>0.6</v>
      </c>
      <c r="H42" s="62">
        <v>1.55</v>
      </c>
      <c r="I42" s="190">
        <v>14</v>
      </c>
      <c r="J42" s="85">
        <f>ROUND(PRODUCT(F42:I42),2)</f>
        <v>7.81</v>
      </c>
    </row>
    <row r="43" spans="1:11" x14ac:dyDescent="0.2">
      <c r="A43" s="3"/>
      <c r="B43" s="3"/>
      <c r="C43" s="67"/>
      <c r="D43" s="1" t="s">
        <v>215</v>
      </c>
      <c r="E43" s="65"/>
      <c r="F43" s="62">
        <v>0.6</v>
      </c>
      <c r="G43" s="62">
        <v>0.6</v>
      </c>
      <c r="H43" s="62">
        <v>1.55</v>
      </c>
      <c r="I43" s="190">
        <v>10</v>
      </c>
      <c r="J43" s="85">
        <f>ROUND(PRODUCT(F43:I43),2)</f>
        <v>5.58</v>
      </c>
    </row>
    <row r="44" spans="1:11" x14ac:dyDescent="0.2">
      <c r="A44" s="3"/>
      <c r="B44" s="3"/>
      <c r="C44" s="67"/>
      <c r="D44" s="1" t="s">
        <v>299</v>
      </c>
      <c r="E44" s="65"/>
      <c r="F44" s="62">
        <v>1</v>
      </c>
      <c r="G44" s="62">
        <v>0.6</v>
      </c>
      <c r="H44" s="62">
        <v>1.55</v>
      </c>
      <c r="I44" s="190">
        <v>2</v>
      </c>
      <c r="J44" s="85">
        <f>ROUND(PRODUCT(F44:I44),2)</f>
        <v>1.86</v>
      </c>
    </row>
    <row r="45" spans="1:11" x14ac:dyDescent="0.2">
      <c r="A45" s="3"/>
      <c r="B45" s="3"/>
      <c r="C45" s="67"/>
      <c r="D45" s="1"/>
      <c r="E45" s="65"/>
      <c r="F45" s="85"/>
      <c r="G45" s="85"/>
      <c r="H45" s="85"/>
      <c r="I45" s="187" t="str">
        <f>"Total item "&amp;A36</f>
        <v>Total item 2.1</v>
      </c>
      <c r="J45" s="186">
        <f>SUM(J38:J44)</f>
        <v>32.42</v>
      </c>
    </row>
    <row r="46" spans="1:11" x14ac:dyDescent="0.2">
      <c r="A46" s="3"/>
      <c r="B46" s="3"/>
      <c r="C46" s="67"/>
      <c r="D46" s="1"/>
      <c r="E46" s="65"/>
      <c r="F46" s="85"/>
      <c r="G46" s="85"/>
      <c r="H46" s="85"/>
      <c r="I46" s="83"/>
      <c r="J46" s="86"/>
    </row>
    <row r="47" spans="1:11" ht="30.6" x14ac:dyDescent="0.2">
      <c r="A47" s="183" t="str">
        <f>'ORÇAMENTO SEM DESON'!A15</f>
        <v>2.2</v>
      </c>
      <c r="B47" s="5" t="s">
        <v>112</v>
      </c>
      <c r="C47" s="6" t="s">
        <v>132</v>
      </c>
      <c r="D47" s="188" t="str">
        <f>'ORÇAMENTO SEM DESON'!D15</f>
        <v>REATERRO APILOADO DE VALAS EM CAMADAS DE 20CM DE ESPESSURA , COM APROVEITAMENTO DO MATERIAL ESCAVADO.</v>
      </c>
      <c r="E47" s="183" t="str">
        <f>'ORÇAMENTO SEM DESON'!E15</f>
        <v>m³</v>
      </c>
      <c r="F47" s="186"/>
      <c r="G47" s="186"/>
      <c r="H47" s="186"/>
      <c r="I47" s="187"/>
      <c r="J47" s="186"/>
    </row>
    <row r="48" spans="1:11" x14ac:dyDescent="0.2">
      <c r="A48" s="3"/>
      <c r="B48" s="3"/>
      <c r="C48" s="67"/>
      <c r="D48" s="1"/>
      <c r="E48" s="65"/>
      <c r="F48" s="62" t="s">
        <v>164</v>
      </c>
      <c r="G48" s="62" t="s">
        <v>167</v>
      </c>
      <c r="H48" s="62" t="s">
        <v>168</v>
      </c>
      <c r="I48" s="190" t="s">
        <v>169</v>
      </c>
      <c r="J48" s="85"/>
    </row>
    <row r="49" spans="1:10" x14ac:dyDescent="0.2">
      <c r="A49" s="3"/>
      <c r="B49" s="3"/>
      <c r="C49" s="67"/>
      <c r="D49" s="2" t="s">
        <v>223</v>
      </c>
      <c r="E49" s="65" t="s">
        <v>173</v>
      </c>
      <c r="F49" s="62"/>
      <c r="G49" s="62"/>
      <c r="H49" s="62"/>
      <c r="I49" s="190"/>
      <c r="J49" s="85"/>
    </row>
    <row r="50" spans="1:10" x14ac:dyDescent="0.2">
      <c r="A50" s="3"/>
      <c r="B50" s="3"/>
      <c r="C50" s="67"/>
      <c r="D50" s="1" t="s">
        <v>215</v>
      </c>
      <c r="E50" s="65"/>
      <c r="F50" s="62">
        <v>34</v>
      </c>
      <c r="G50" s="62">
        <v>0.1</v>
      </c>
      <c r="H50" s="62">
        <v>1.3</v>
      </c>
      <c r="I50" s="190"/>
      <c r="J50" s="85">
        <f>ROUND(PRODUCT(F50:I50),2)</f>
        <v>4.42</v>
      </c>
    </row>
    <row r="51" spans="1:10" x14ac:dyDescent="0.2">
      <c r="A51" s="3"/>
      <c r="B51" s="3"/>
      <c r="C51" s="67"/>
      <c r="D51" s="1" t="s">
        <v>296</v>
      </c>
      <c r="E51" s="65"/>
      <c r="F51" s="62">
        <v>1</v>
      </c>
      <c r="G51" s="62">
        <v>0.1</v>
      </c>
      <c r="H51" s="62">
        <v>1.3</v>
      </c>
      <c r="I51" s="190"/>
      <c r="J51" s="85">
        <f>ROUND(PRODUCT(F51:I51),2)</f>
        <v>0.13</v>
      </c>
    </row>
    <row r="52" spans="1:10" x14ac:dyDescent="0.2">
      <c r="A52" s="3"/>
      <c r="B52" s="3"/>
      <c r="C52" s="67"/>
      <c r="D52" s="2" t="s">
        <v>176</v>
      </c>
      <c r="E52" s="65" t="s">
        <v>173</v>
      </c>
      <c r="F52" s="62"/>
      <c r="G52" s="62"/>
      <c r="H52" s="62"/>
      <c r="I52" s="190"/>
      <c r="J52" s="85"/>
    </row>
    <row r="53" spans="1:10" x14ac:dyDescent="0.2">
      <c r="A53" s="3"/>
      <c r="B53" s="3"/>
      <c r="C53" s="67"/>
      <c r="D53" s="1" t="s">
        <v>216</v>
      </c>
      <c r="E53" s="65"/>
      <c r="F53" s="62">
        <v>0.6</v>
      </c>
      <c r="G53" s="62">
        <v>0.6</v>
      </c>
      <c r="H53" s="62">
        <v>1.3</v>
      </c>
      <c r="I53" s="190">
        <v>7</v>
      </c>
      <c r="J53" s="85">
        <f t="shared" ref="J53:J56" si="2">ROUND(PRODUCT(F53:I53),2)</f>
        <v>3.28</v>
      </c>
    </row>
    <row r="54" spans="1:10" x14ac:dyDescent="0.2">
      <c r="A54" s="3"/>
      <c r="B54" s="3"/>
      <c r="C54" s="67"/>
      <c r="D54" s="1" t="s">
        <v>257</v>
      </c>
      <c r="E54" s="65"/>
      <c r="F54" s="62">
        <v>0.6</v>
      </c>
      <c r="G54" s="62">
        <v>0.6</v>
      </c>
      <c r="H54" s="62">
        <v>1.3</v>
      </c>
      <c r="I54" s="190">
        <v>14</v>
      </c>
      <c r="J54" s="85">
        <f>ROUND(PRODUCT(F54:I54),2)</f>
        <v>6.55</v>
      </c>
    </row>
    <row r="55" spans="1:10" x14ac:dyDescent="0.2">
      <c r="A55" s="3"/>
      <c r="B55" s="3"/>
      <c r="C55" s="67"/>
      <c r="D55" s="1" t="s">
        <v>215</v>
      </c>
      <c r="E55" s="65"/>
      <c r="F55" s="62">
        <v>0.6</v>
      </c>
      <c r="G55" s="62">
        <v>0.6</v>
      </c>
      <c r="H55" s="62">
        <v>1.3</v>
      </c>
      <c r="I55" s="190">
        <v>10</v>
      </c>
      <c r="J55" s="85">
        <f t="shared" si="2"/>
        <v>4.68</v>
      </c>
    </row>
    <row r="56" spans="1:10" x14ac:dyDescent="0.2">
      <c r="A56" s="3"/>
      <c r="B56" s="3"/>
      <c r="C56" s="67"/>
      <c r="D56" s="1" t="s">
        <v>299</v>
      </c>
      <c r="E56" s="65"/>
      <c r="F56" s="62">
        <v>1</v>
      </c>
      <c r="G56" s="62">
        <v>0.6</v>
      </c>
      <c r="H56" s="62">
        <v>1.3</v>
      </c>
      <c r="I56" s="190">
        <v>2</v>
      </c>
      <c r="J56" s="85">
        <f t="shared" si="2"/>
        <v>1.56</v>
      </c>
    </row>
    <row r="57" spans="1:10" x14ac:dyDescent="0.2">
      <c r="A57" s="3"/>
      <c r="B57" s="3"/>
      <c r="C57" s="67"/>
      <c r="D57" s="1"/>
      <c r="E57" s="65"/>
      <c r="F57" s="85"/>
      <c r="G57" s="85"/>
      <c r="H57" s="85"/>
      <c r="I57" s="187" t="str">
        <f>"Total item "&amp;A47</f>
        <v>Total item 2.2</v>
      </c>
      <c r="J57" s="186">
        <f>SUM(J49:J56)</f>
        <v>20.619999999999997</v>
      </c>
    </row>
    <row r="58" spans="1:10" x14ac:dyDescent="0.2">
      <c r="A58" s="3"/>
      <c r="B58" s="3"/>
      <c r="C58" s="67"/>
      <c r="D58" s="1"/>
      <c r="E58" s="65"/>
      <c r="F58" s="85"/>
      <c r="G58" s="85"/>
      <c r="H58" s="85"/>
      <c r="I58" s="83"/>
      <c r="J58" s="86"/>
    </row>
    <row r="59" spans="1:10" x14ac:dyDescent="0.2">
      <c r="A59" s="174" t="str">
        <f>'ORÇAMENTO SEM DESON'!A16</f>
        <v>3.0</v>
      </c>
      <c r="B59" s="217"/>
      <c r="C59" s="189"/>
      <c r="D59" s="169" t="str">
        <f>'ORÇAMENTO SEM DESON'!D16</f>
        <v>FUNDAÇÃO</v>
      </c>
      <c r="E59" s="217"/>
      <c r="F59" s="181"/>
      <c r="G59" s="181"/>
      <c r="H59" s="181"/>
      <c r="I59" s="182"/>
      <c r="J59" s="181"/>
    </row>
    <row r="60" spans="1:10" x14ac:dyDescent="0.2">
      <c r="A60" s="3"/>
      <c r="B60" s="3"/>
      <c r="C60" s="67"/>
      <c r="D60" s="1"/>
      <c r="E60" s="65"/>
      <c r="F60" s="85"/>
      <c r="G60" s="85"/>
      <c r="H60" s="85"/>
      <c r="I60" s="83"/>
      <c r="J60" s="86"/>
    </row>
    <row r="61" spans="1:10" ht="30.6" x14ac:dyDescent="0.2">
      <c r="A61" s="183" t="str">
        <f>'ORÇAMENTO SEM DESON'!A17</f>
        <v>3.1</v>
      </c>
      <c r="B61" s="5" t="s">
        <v>112</v>
      </c>
      <c r="C61" s="6" t="s">
        <v>132</v>
      </c>
      <c r="D61" s="188" t="str">
        <f>'ORÇAMENTO SEM DESON'!D17</f>
        <v>CONCRETO ARMADO PRONTO, FCK 25 MPA CONDICAO A (NBR 12655), LANCADO EM FUNDACOES E ADENSADO, INCLUSIVE FORMA, ESCORAMENTO E FERRAGEM.</v>
      </c>
      <c r="E61" s="183" t="str">
        <f>'ORÇAMENTO SEM DESON'!E17</f>
        <v>m³</v>
      </c>
      <c r="F61" s="186"/>
      <c r="G61" s="186"/>
      <c r="H61" s="186"/>
      <c r="I61" s="187"/>
      <c r="J61" s="186"/>
    </row>
    <row r="62" spans="1:10" x14ac:dyDescent="0.2">
      <c r="A62" s="3"/>
      <c r="B62" s="3"/>
      <c r="C62" s="67"/>
      <c r="D62" s="1"/>
      <c r="E62" s="65"/>
      <c r="F62" s="62" t="s">
        <v>164</v>
      </c>
      <c r="G62" s="62" t="s">
        <v>167</v>
      </c>
      <c r="H62" s="62" t="s">
        <v>168</v>
      </c>
      <c r="I62" s="190" t="s">
        <v>169</v>
      </c>
      <c r="J62" s="85"/>
    </row>
    <row r="63" spans="1:10" x14ac:dyDescent="0.2">
      <c r="A63" s="3"/>
      <c r="B63" s="3"/>
      <c r="C63" s="67"/>
      <c r="D63" s="2" t="s">
        <v>182</v>
      </c>
      <c r="E63" s="65" t="s">
        <v>173</v>
      </c>
      <c r="F63" s="62"/>
      <c r="G63" s="62"/>
      <c r="H63" s="62"/>
      <c r="I63" s="190"/>
      <c r="J63" s="85"/>
    </row>
    <row r="64" spans="1:10" x14ac:dyDescent="0.2">
      <c r="A64" s="3"/>
      <c r="B64" s="3"/>
      <c r="C64" s="67"/>
      <c r="D64" s="1" t="s">
        <v>215</v>
      </c>
      <c r="E64" s="65"/>
      <c r="F64" s="62">
        <f>F39-(F72*I72)</f>
        <v>30.92</v>
      </c>
      <c r="G64" s="62">
        <v>0.2</v>
      </c>
      <c r="H64" s="62">
        <v>0.3</v>
      </c>
      <c r="I64" s="190">
        <v>1</v>
      </c>
      <c r="J64" s="85">
        <f t="shared" ref="J64:J68" si="3">ROUND(PRODUCT(F64:I64),2)</f>
        <v>1.86</v>
      </c>
    </row>
    <row r="65" spans="1:10" x14ac:dyDescent="0.2">
      <c r="A65" s="3"/>
      <c r="B65" s="3"/>
      <c r="C65" s="67"/>
      <c r="D65" s="2" t="s">
        <v>176</v>
      </c>
      <c r="E65" s="65" t="s">
        <v>173</v>
      </c>
      <c r="F65" s="62"/>
      <c r="G65" s="62"/>
      <c r="H65" s="62"/>
      <c r="I65" s="190"/>
      <c r="J65" s="85"/>
    </row>
    <row r="66" spans="1:10" x14ac:dyDescent="0.2">
      <c r="A66" s="3"/>
      <c r="B66" s="3"/>
      <c r="C66" s="67"/>
      <c r="D66" s="1" t="s">
        <v>216</v>
      </c>
      <c r="E66" s="65"/>
      <c r="F66" s="62">
        <v>0.6</v>
      </c>
      <c r="G66" s="62">
        <v>0.6</v>
      </c>
      <c r="H66" s="62">
        <v>0.2</v>
      </c>
      <c r="I66" s="190">
        <v>7</v>
      </c>
      <c r="J66" s="85">
        <f t="shared" si="3"/>
        <v>0.5</v>
      </c>
    </row>
    <row r="67" spans="1:10" x14ac:dyDescent="0.2">
      <c r="A67" s="3"/>
      <c r="B67" s="3"/>
      <c r="C67" s="67"/>
      <c r="D67" s="1" t="s">
        <v>257</v>
      </c>
      <c r="E67" s="65"/>
      <c r="F67" s="62">
        <v>0.6</v>
      </c>
      <c r="G67" s="62">
        <v>0.6</v>
      </c>
      <c r="H67" s="62">
        <v>0.2</v>
      </c>
      <c r="I67" s="190">
        <v>14</v>
      </c>
      <c r="J67" s="85">
        <f t="shared" si="3"/>
        <v>1.01</v>
      </c>
    </row>
    <row r="68" spans="1:10" x14ac:dyDescent="0.2">
      <c r="A68" s="3"/>
      <c r="B68" s="3"/>
      <c r="C68" s="67"/>
      <c r="D68" s="1" t="s">
        <v>215</v>
      </c>
      <c r="E68" s="65"/>
      <c r="F68" s="62">
        <v>0.6</v>
      </c>
      <c r="G68" s="62">
        <v>0.6</v>
      </c>
      <c r="H68" s="62">
        <v>0.2</v>
      </c>
      <c r="I68" s="190">
        <v>10</v>
      </c>
      <c r="J68" s="85">
        <f t="shared" si="3"/>
        <v>0.72</v>
      </c>
    </row>
    <row r="69" spans="1:10" x14ac:dyDescent="0.2">
      <c r="A69" s="3"/>
      <c r="B69" s="3"/>
      <c r="C69" s="67"/>
      <c r="D69" s="1" t="s">
        <v>298</v>
      </c>
      <c r="E69" s="65"/>
      <c r="F69" s="62">
        <v>1</v>
      </c>
      <c r="G69" s="223">
        <v>0.6</v>
      </c>
      <c r="H69" s="62">
        <v>0.2</v>
      </c>
      <c r="I69" s="190">
        <v>2</v>
      </c>
      <c r="J69" s="85">
        <f>ROUND(PRODUCT(F69:I69),2)</f>
        <v>0.24</v>
      </c>
    </row>
    <row r="70" spans="1:10" x14ac:dyDescent="0.2">
      <c r="A70" s="3"/>
      <c r="B70" s="3"/>
      <c r="C70" s="67"/>
      <c r="D70" s="2" t="s">
        <v>260</v>
      </c>
      <c r="E70" s="65" t="s">
        <v>173</v>
      </c>
      <c r="F70" s="62"/>
      <c r="G70" s="223"/>
      <c r="H70" s="62"/>
      <c r="I70" s="190"/>
      <c r="J70" s="85"/>
    </row>
    <row r="71" spans="1:10" x14ac:dyDescent="0.2">
      <c r="A71" s="3"/>
      <c r="B71" s="3"/>
      <c r="C71" s="67"/>
      <c r="D71" s="1" t="s">
        <v>216</v>
      </c>
      <c r="E71" s="65"/>
      <c r="F71" s="62">
        <v>0.22</v>
      </c>
      <c r="G71" s="62">
        <v>0.22</v>
      </c>
      <c r="H71" s="62">
        <v>1.05</v>
      </c>
      <c r="I71" s="190">
        <v>7</v>
      </c>
      <c r="J71" s="85">
        <f>ROUND(PRODUCT(F71:I71),2)</f>
        <v>0.36</v>
      </c>
    </row>
    <row r="72" spans="1:10" x14ac:dyDescent="0.2">
      <c r="A72" s="3"/>
      <c r="B72" s="3"/>
      <c r="C72" s="67"/>
      <c r="D72" s="1" t="s">
        <v>257</v>
      </c>
      <c r="E72" s="65"/>
      <c r="F72" s="62">
        <v>0.22</v>
      </c>
      <c r="G72" s="223">
        <v>0.22</v>
      </c>
      <c r="H72" s="62">
        <v>1.05</v>
      </c>
      <c r="I72" s="190">
        <v>14</v>
      </c>
      <c r="J72" s="85">
        <f>ROUND(PRODUCT(F72:I72),2)</f>
        <v>0.71</v>
      </c>
    </row>
    <row r="73" spans="1:10" x14ac:dyDescent="0.2">
      <c r="A73" s="3"/>
      <c r="B73" s="3"/>
      <c r="C73" s="67"/>
      <c r="D73" s="1" t="s">
        <v>215</v>
      </c>
      <c r="E73" s="65"/>
      <c r="F73" s="62">
        <v>0.22</v>
      </c>
      <c r="G73" s="223">
        <v>0.22</v>
      </c>
      <c r="H73" s="62">
        <v>1.05</v>
      </c>
      <c r="I73" s="190">
        <v>10</v>
      </c>
      <c r="J73" s="85">
        <f>ROUND(PRODUCT(F73:I73),2)</f>
        <v>0.51</v>
      </c>
    </row>
    <row r="74" spans="1:10" x14ac:dyDescent="0.2">
      <c r="A74" s="3"/>
      <c r="B74" s="3"/>
      <c r="C74" s="67"/>
      <c r="D74" s="1" t="s">
        <v>296</v>
      </c>
      <c r="E74" s="65"/>
      <c r="F74" s="62">
        <v>1</v>
      </c>
      <c r="G74" s="260">
        <v>0.2</v>
      </c>
      <c r="H74" s="62">
        <v>1.05</v>
      </c>
      <c r="I74" s="190">
        <v>2</v>
      </c>
      <c r="J74" s="85">
        <f>ROUND(PRODUCT(F74:I74),2)</f>
        <v>0.42</v>
      </c>
    </row>
    <row r="75" spans="1:10" x14ac:dyDescent="0.2">
      <c r="A75" s="3"/>
      <c r="B75" s="3"/>
      <c r="C75" s="67"/>
      <c r="D75" s="1"/>
      <c r="E75" s="65"/>
      <c r="F75" s="85"/>
      <c r="G75" s="85"/>
      <c r="H75" s="85"/>
      <c r="I75" s="187" t="str">
        <f>"Total item "&amp;A61</f>
        <v>Total item 3.1</v>
      </c>
      <c r="J75" s="186">
        <f>SUM(J63:J74)</f>
        <v>6.33</v>
      </c>
    </row>
    <row r="76" spans="1:10" x14ac:dyDescent="0.2">
      <c r="A76" s="3"/>
      <c r="B76" s="3"/>
      <c r="C76" s="67"/>
      <c r="D76" s="1"/>
      <c r="E76" s="65"/>
      <c r="F76" s="85"/>
      <c r="G76" s="85"/>
      <c r="H76" s="85"/>
      <c r="I76" s="83"/>
      <c r="J76" s="86"/>
    </row>
    <row r="77" spans="1:10" ht="31.2" customHeight="1" x14ac:dyDescent="0.2">
      <c r="A77" s="183" t="str">
        <f>'ORÇAMENTO SEM DESON'!A18</f>
        <v>3.2</v>
      </c>
      <c r="B77" s="5" t="s">
        <v>112</v>
      </c>
      <c r="C77" s="6" t="s">
        <v>132</v>
      </c>
      <c r="D77" s="188" t="str">
        <f>'ORÇAMENTO SEM DESON'!D18</f>
        <v>ALVENARIA DE TIJOLOS DE 8 FUROS, ASSENTADOS E REJUNTADOS COM ARGAMASSA DE CIMENTO E AREIA NO TRACO 1:6 - 1 VEZ.</v>
      </c>
      <c r="E77" s="183" t="str">
        <f>'ORÇAMENTO SEM DESON'!E18</f>
        <v>m²</v>
      </c>
      <c r="F77" s="186"/>
      <c r="G77" s="186"/>
      <c r="H77" s="186"/>
      <c r="I77" s="187"/>
      <c r="J77" s="186"/>
    </row>
    <row r="78" spans="1:10" x14ac:dyDescent="0.2">
      <c r="A78" s="3"/>
      <c r="B78" s="3"/>
      <c r="C78" s="67"/>
      <c r="D78" s="2" t="s">
        <v>222</v>
      </c>
      <c r="E78" s="65"/>
      <c r="F78" s="62" t="s">
        <v>164</v>
      </c>
      <c r="G78" s="62" t="s">
        <v>168</v>
      </c>
      <c r="H78" s="59"/>
      <c r="I78" s="190"/>
      <c r="J78" s="85"/>
    </row>
    <row r="79" spans="1:10" x14ac:dyDescent="0.2">
      <c r="A79" s="3"/>
      <c r="B79" s="3"/>
      <c r="C79" s="67"/>
      <c r="D79" s="1" t="s">
        <v>215</v>
      </c>
      <c r="E79" s="65"/>
      <c r="F79" s="62">
        <f>F64</f>
        <v>30.92</v>
      </c>
      <c r="G79" s="62">
        <v>1.3</v>
      </c>
      <c r="H79" s="59"/>
      <c r="I79" s="190"/>
      <c r="J79" s="85">
        <f t="shared" ref="J79" si="4">ROUND(PRODUCT(F79:I79),2)</f>
        <v>40.200000000000003</v>
      </c>
    </row>
    <row r="80" spans="1:10" x14ac:dyDescent="0.2">
      <c r="A80" s="3"/>
      <c r="B80" s="3"/>
      <c r="C80" s="67"/>
      <c r="D80" s="1" t="s">
        <v>296</v>
      </c>
      <c r="E80" s="65"/>
      <c r="F80" s="62">
        <v>1</v>
      </c>
      <c r="G80" s="62">
        <v>1.3</v>
      </c>
      <c r="H80" s="62"/>
      <c r="I80" s="190"/>
      <c r="J80" s="85">
        <f>ROUND(PRODUCT(F80:I80),2)</f>
        <v>1.3</v>
      </c>
    </row>
    <row r="81" spans="1:10" x14ac:dyDescent="0.2">
      <c r="A81" s="3"/>
      <c r="B81" s="3"/>
      <c r="C81" s="67"/>
      <c r="D81" s="1"/>
      <c r="E81" s="65"/>
      <c r="F81" s="85"/>
      <c r="G81" s="85"/>
      <c r="H81" s="85"/>
      <c r="I81" s="187" t="str">
        <f>"Total item "&amp;A77</f>
        <v>Total item 3.2</v>
      </c>
      <c r="J81" s="186">
        <f>SUM(J79:J80)</f>
        <v>41.5</v>
      </c>
    </row>
    <row r="82" spans="1:10" x14ac:dyDescent="0.2">
      <c r="A82" s="3"/>
      <c r="B82" s="3"/>
      <c r="C82" s="67"/>
      <c r="D82" s="1"/>
      <c r="E82" s="65"/>
      <c r="F82" s="85"/>
      <c r="G82" s="85"/>
      <c r="H82" s="85"/>
      <c r="I82" s="83"/>
      <c r="J82" s="86"/>
    </row>
    <row r="83" spans="1:10" ht="20.399999999999999" x14ac:dyDescent="0.2">
      <c r="A83" s="183" t="str">
        <f>'ORÇAMENTO SEM DESON'!A19</f>
        <v>3.3</v>
      </c>
      <c r="B83" s="5" t="s">
        <v>112</v>
      </c>
      <c r="C83" s="6" t="s">
        <v>132</v>
      </c>
      <c r="D83" s="188" t="str">
        <f>'ORÇAMENTO SEM DESON'!D19</f>
        <v>IMPERMEABILIZAÇÃO DE SUPERFÍCIE COM EMULSÃO ASFÁLTICA, 2 DEMÃOS AF_06/2018</v>
      </c>
      <c r="E83" s="183" t="str">
        <f>'ORÇAMENTO SEM DESON'!E19</f>
        <v>m²</v>
      </c>
      <c r="F83" s="186"/>
      <c r="G83" s="186"/>
      <c r="H83" s="186"/>
      <c r="I83" s="187"/>
      <c r="J83" s="186"/>
    </row>
    <row r="84" spans="1:10" x14ac:dyDescent="0.2">
      <c r="A84" s="3"/>
      <c r="B84" s="3"/>
      <c r="C84" s="67"/>
      <c r="D84" s="1"/>
      <c r="E84" s="65"/>
      <c r="F84" s="62" t="s">
        <v>164</v>
      </c>
      <c r="G84" s="62" t="s">
        <v>183</v>
      </c>
      <c r="H84" s="62" t="s">
        <v>165</v>
      </c>
      <c r="I84" s="190"/>
      <c r="J84" s="85"/>
    </row>
    <row r="85" spans="1:10" x14ac:dyDescent="0.2">
      <c r="A85" s="3"/>
      <c r="B85" s="3"/>
      <c r="C85" s="67"/>
      <c r="D85" s="2" t="s">
        <v>182</v>
      </c>
      <c r="E85" s="65" t="s">
        <v>181</v>
      </c>
      <c r="F85" s="62"/>
      <c r="G85" s="62"/>
      <c r="H85" s="62"/>
      <c r="I85" s="190"/>
      <c r="J85" s="85"/>
    </row>
    <row r="86" spans="1:10" x14ac:dyDescent="0.2">
      <c r="A86" s="3"/>
      <c r="B86" s="3"/>
      <c r="C86" s="67"/>
      <c r="D86" s="1" t="s">
        <v>215</v>
      </c>
      <c r="E86" s="65"/>
      <c r="F86" s="62">
        <f>F64</f>
        <v>30.92</v>
      </c>
      <c r="G86" s="62">
        <f>0.2+0.2+0.3</f>
        <v>0.7</v>
      </c>
      <c r="H86" s="62"/>
      <c r="I86" s="190"/>
      <c r="J86" s="85">
        <f t="shared" ref="J86:J87" si="5">ROUND(PRODUCT(F86:I86),2)</f>
        <v>21.64</v>
      </c>
    </row>
    <row r="87" spans="1:10" x14ac:dyDescent="0.2">
      <c r="A87" s="3"/>
      <c r="B87" s="3"/>
      <c r="C87" s="67"/>
      <c r="D87" s="1" t="s">
        <v>296</v>
      </c>
      <c r="E87" s="65"/>
      <c r="F87" s="62">
        <v>1</v>
      </c>
      <c r="G87" s="62">
        <f>0.2+0.2+0.3</f>
        <v>0.7</v>
      </c>
      <c r="H87" s="62">
        <v>2</v>
      </c>
      <c r="I87" s="190"/>
      <c r="J87" s="85">
        <f t="shared" si="5"/>
        <v>1.4</v>
      </c>
    </row>
    <row r="88" spans="1:10" x14ac:dyDescent="0.2">
      <c r="A88" s="3"/>
      <c r="B88" s="3"/>
      <c r="C88" s="67"/>
      <c r="D88" s="1"/>
      <c r="E88" s="65"/>
      <c r="F88" s="85"/>
      <c r="G88" s="85"/>
      <c r="H88" s="85"/>
      <c r="I88" s="187" t="str">
        <f>"Total item "&amp;A83</f>
        <v>Total item 3.3</v>
      </c>
      <c r="J88" s="186">
        <f>SUM(J86:J87)</f>
        <v>23.04</v>
      </c>
    </row>
    <row r="89" spans="1:10" x14ac:dyDescent="0.2">
      <c r="A89" s="3"/>
      <c r="B89" s="3"/>
      <c r="C89" s="67"/>
      <c r="D89" s="1"/>
      <c r="E89" s="65"/>
      <c r="F89" s="85"/>
      <c r="G89" s="85"/>
      <c r="H89" s="85"/>
      <c r="I89" s="83"/>
      <c r="J89" s="86"/>
    </row>
    <row r="90" spans="1:10" ht="20.399999999999999" x14ac:dyDescent="0.2">
      <c r="A90" s="183" t="str">
        <f>'ORÇAMENTO SEM DESON'!A20</f>
        <v>3.4</v>
      </c>
      <c r="B90" s="5" t="s">
        <v>112</v>
      </c>
      <c r="C90" s="6" t="s">
        <v>132</v>
      </c>
      <c r="D90" s="188" t="str">
        <f>'ORÇAMENTO SEM DESON'!D20</f>
        <v>LASTRO DE CONCRETO MAGRO, APLICADO EM PISOS, LAJES SOBRE SOLO OU RADIERS, ESPESSURA DE 5 CM. AF_07/2016</v>
      </c>
      <c r="E90" s="183" t="str">
        <f>'ORÇAMENTO SEM DESON'!E20</f>
        <v>m²</v>
      </c>
      <c r="F90" s="186"/>
      <c r="G90" s="186"/>
      <c r="H90" s="186"/>
      <c r="I90" s="187"/>
      <c r="J90" s="186"/>
    </row>
    <row r="91" spans="1:10" x14ac:dyDescent="0.2">
      <c r="A91" s="3"/>
      <c r="B91" s="3"/>
      <c r="C91" s="67"/>
      <c r="D91" s="1"/>
      <c r="E91" s="65"/>
      <c r="F91" s="62" t="s">
        <v>164</v>
      </c>
      <c r="G91" s="62" t="s">
        <v>167</v>
      </c>
      <c r="H91" s="62" t="s">
        <v>169</v>
      </c>
      <c r="I91" s="190"/>
      <c r="J91" s="85"/>
    </row>
    <row r="92" spans="1:10" x14ac:dyDescent="0.2">
      <c r="A92" s="3"/>
      <c r="B92" s="3"/>
      <c r="C92" s="67"/>
      <c r="D92" s="2" t="s">
        <v>176</v>
      </c>
      <c r="E92" s="65" t="s">
        <v>181</v>
      </c>
      <c r="F92" s="62"/>
      <c r="G92" s="62"/>
      <c r="H92" s="62"/>
      <c r="I92" s="190"/>
      <c r="J92" s="85"/>
    </row>
    <row r="93" spans="1:10" x14ac:dyDescent="0.2">
      <c r="A93" s="3"/>
      <c r="B93" s="3"/>
      <c r="C93" s="67"/>
      <c r="D93" s="1" t="s">
        <v>216</v>
      </c>
      <c r="E93" s="65"/>
      <c r="F93" s="62">
        <v>0.6</v>
      </c>
      <c r="G93" s="62">
        <v>0.6</v>
      </c>
      <c r="H93" s="190">
        <v>7</v>
      </c>
      <c r="I93" s="190"/>
      <c r="J93" s="85">
        <f t="shared" ref="J93:J100" si="6">ROUND(PRODUCT(F93:I93),2)</f>
        <v>2.52</v>
      </c>
    </row>
    <row r="94" spans="1:10" x14ac:dyDescent="0.2">
      <c r="A94" s="3"/>
      <c r="B94" s="3"/>
      <c r="C94" s="67"/>
      <c r="D94" s="1" t="s">
        <v>257</v>
      </c>
      <c r="E94" s="65"/>
      <c r="F94" s="62">
        <v>0.6</v>
      </c>
      <c r="G94" s="62">
        <v>0.6</v>
      </c>
      <c r="H94" s="190">
        <v>14</v>
      </c>
      <c r="I94" s="190"/>
      <c r="J94" s="85">
        <f t="shared" si="6"/>
        <v>5.04</v>
      </c>
    </row>
    <row r="95" spans="1:10" x14ac:dyDescent="0.2">
      <c r="A95" s="3"/>
      <c r="B95" s="3"/>
      <c r="C95" s="67"/>
      <c r="D95" s="1" t="s">
        <v>215</v>
      </c>
      <c r="E95" s="65"/>
      <c r="F95" s="62">
        <v>0.6</v>
      </c>
      <c r="G95" s="62">
        <v>0.6</v>
      </c>
      <c r="H95" s="190">
        <v>10</v>
      </c>
      <c r="I95" s="190"/>
      <c r="J95" s="85">
        <f t="shared" si="6"/>
        <v>3.6</v>
      </c>
    </row>
    <row r="96" spans="1:10" x14ac:dyDescent="0.2">
      <c r="A96" s="3"/>
      <c r="B96" s="3"/>
      <c r="C96" s="67"/>
      <c r="D96" s="1" t="s">
        <v>298</v>
      </c>
      <c r="E96" s="65"/>
      <c r="F96" s="62">
        <v>1</v>
      </c>
      <c r="G96" s="223">
        <v>0.6</v>
      </c>
      <c r="H96" s="62">
        <v>2</v>
      </c>
      <c r="I96" s="190"/>
      <c r="J96" s="85">
        <f t="shared" si="6"/>
        <v>1.2</v>
      </c>
    </row>
    <row r="97" spans="1:10" x14ac:dyDescent="0.2">
      <c r="A97" s="3"/>
      <c r="B97" s="3"/>
      <c r="C97" s="67"/>
      <c r="D97" s="1"/>
      <c r="E97" s="65"/>
      <c r="F97" s="62"/>
      <c r="G97" s="62"/>
      <c r="H97" s="190"/>
      <c r="I97" s="190"/>
      <c r="J97" s="85"/>
    </row>
    <row r="98" spans="1:10" x14ac:dyDescent="0.2">
      <c r="A98" s="3"/>
      <c r="B98" s="3"/>
      <c r="C98" s="67"/>
      <c r="D98" s="2" t="s">
        <v>223</v>
      </c>
      <c r="E98" s="65" t="s">
        <v>181</v>
      </c>
      <c r="F98" s="62"/>
      <c r="G98" s="62"/>
      <c r="H98" s="62"/>
      <c r="I98" s="190"/>
      <c r="J98" s="85"/>
    </row>
    <row r="99" spans="1:10" x14ac:dyDescent="0.2">
      <c r="A99" s="3"/>
      <c r="B99" s="3"/>
      <c r="C99" s="67"/>
      <c r="D99" s="1" t="s">
        <v>215</v>
      </c>
      <c r="E99" s="65"/>
      <c r="F99" s="62">
        <f>F64</f>
        <v>30.92</v>
      </c>
      <c r="G99" s="62">
        <v>0.3</v>
      </c>
      <c r="H99" s="62"/>
      <c r="I99" s="190"/>
      <c r="J99" s="85">
        <f t="shared" si="6"/>
        <v>9.2799999999999994</v>
      </c>
    </row>
    <row r="100" spans="1:10" x14ac:dyDescent="0.2">
      <c r="A100" s="3"/>
      <c r="B100" s="3"/>
      <c r="C100" s="67"/>
      <c r="D100" s="1" t="s">
        <v>296</v>
      </c>
      <c r="E100" s="65"/>
      <c r="F100" s="62">
        <v>1</v>
      </c>
      <c r="G100" s="62">
        <v>0.3</v>
      </c>
      <c r="H100" s="62"/>
      <c r="I100" s="190"/>
      <c r="J100" s="85">
        <f t="shared" si="6"/>
        <v>0.3</v>
      </c>
    </row>
    <row r="101" spans="1:10" x14ac:dyDescent="0.2">
      <c r="A101" s="3"/>
      <c r="B101" s="3"/>
      <c r="C101" s="67"/>
      <c r="D101" s="1"/>
      <c r="E101" s="65"/>
      <c r="F101" s="85"/>
      <c r="G101" s="85"/>
      <c r="H101" s="85"/>
      <c r="I101" s="187" t="str">
        <f>"Total item "&amp;A90</f>
        <v>Total item 3.4</v>
      </c>
      <c r="J101" s="186">
        <f>SUM(J92:J100)</f>
        <v>21.94</v>
      </c>
    </row>
    <row r="102" spans="1:10" x14ac:dyDescent="0.2">
      <c r="A102" s="59"/>
      <c r="B102" s="59"/>
      <c r="C102" s="59"/>
      <c r="D102" s="59"/>
      <c r="E102" s="59"/>
      <c r="F102" s="59"/>
      <c r="G102" s="59"/>
      <c r="H102" s="59"/>
      <c r="I102" s="59"/>
      <c r="J102" s="59"/>
    </row>
    <row r="103" spans="1:10" x14ac:dyDescent="0.2">
      <c r="A103" s="174" t="str">
        <f>'ORÇAMENTO SEM DESON'!A21</f>
        <v>4.0</v>
      </c>
      <c r="B103" s="217"/>
      <c r="C103" s="189"/>
      <c r="D103" s="169" t="str">
        <f>'ORÇAMENTO SEM DESON'!D21</f>
        <v>ESTRUTURA</v>
      </c>
      <c r="E103" s="217"/>
      <c r="F103" s="181"/>
      <c r="G103" s="181"/>
      <c r="H103" s="181"/>
      <c r="I103" s="182"/>
      <c r="J103" s="181"/>
    </row>
    <row r="104" spans="1:10" x14ac:dyDescent="0.2">
      <c r="A104" s="3"/>
      <c r="B104" s="3"/>
      <c r="C104" s="67"/>
      <c r="D104" s="1"/>
      <c r="E104" s="65"/>
      <c r="F104" s="85"/>
      <c r="G104" s="85"/>
      <c r="H104" s="85"/>
      <c r="I104" s="83"/>
      <c r="J104" s="86"/>
    </row>
    <row r="105" spans="1:10" ht="33" customHeight="1" x14ac:dyDescent="0.2">
      <c r="A105" s="183" t="str">
        <f>'ORÇAMENTO SEM DESON'!A22</f>
        <v>4.1</v>
      </c>
      <c r="B105" s="5" t="s">
        <v>112</v>
      </c>
      <c r="C105" s="6" t="s">
        <v>132</v>
      </c>
      <c r="D105" s="188" t="str">
        <f>'ORÇAMENTO SEM DESON'!D22</f>
        <v>CONCRETO ARMADO PRONTO, FCK 25 MPA,CONDICAO A (NBR 12655),LANCADO EM PILARES E ADENSADO,INCLUSIVE FORMA, ESCORAMENTO E FERRAGEM.</v>
      </c>
      <c r="E105" s="183" t="str">
        <f>'ORÇAMENTO SEM DESON'!E22</f>
        <v>m³</v>
      </c>
      <c r="F105" s="186"/>
      <c r="G105" s="186"/>
      <c r="H105" s="186"/>
      <c r="I105" s="187"/>
      <c r="J105" s="186"/>
    </row>
    <row r="106" spans="1:10" x14ac:dyDescent="0.2">
      <c r="A106" s="3"/>
      <c r="B106" s="3"/>
      <c r="C106" s="67"/>
      <c r="D106" s="1"/>
      <c r="E106" s="65"/>
      <c r="F106" s="62" t="s">
        <v>164</v>
      </c>
      <c r="G106" s="62" t="s">
        <v>167</v>
      </c>
      <c r="H106" s="62" t="s">
        <v>168</v>
      </c>
      <c r="I106" s="190" t="s">
        <v>169</v>
      </c>
      <c r="J106" s="85"/>
    </row>
    <row r="107" spans="1:10" x14ac:dyDescent="0.2">
      <c r="A107" s="3"/>
      <c r="B107" s="3"/>
      <c r="C107" s="67"/>
      <c r="D107" s="2" t="s">
        <v>190</v>
      </c>
      <c r="E107" s="65" t="s">
        <v>173</v>
      </c>
      <c r="F107" s="62"/>
      <c r="G107" s="62"/>
      <c r="H107" s="62"/>
      <c r="I107" s="190"/>
      <c r="J107" s="85"/>
    </row>
    <row r="108" spans="1:10" x14ac:dyDescent="0.2">
      <c r="A108" s="3"/>
      <c r="B108" s="3"/>
      <c r="C108" s="67"/>
      <c r="D108" s="1" t="s">
        <v>216</v>
      </c>
      <c r="E108" s="65"/>
      <c r="F108" s="62">
        <v>0.22</v>
      </c>
      <c r="G108" s="62">
        <v>0.12</v>
      </c>
      <c r="H108" s="62">
        <v>1.1000000000000001</v>
      </c>
      <c r="I108" s="190">
        <v>7</v>
      </c>
      <c r="J108" s="85">
        <f t="shared" ref="J108:J110" si="7">ROUND(PRODUCT(F108:I108),2)</f>
        <v>0.2</v>
      </c>
    </row>
    <row r="109" spans="1:10" x14ac:dyDescent="0.2">
      <c r="A109" s="3"/>
      <c r="B109" s="3"/>
      <c r="C109" s="67"/>
      <c r="D109" s="2" t="s">
        <v>221</v>
      </c>
      <c r="E109" s="65" t="s">
        <v>173</v>
      </c>
      <c r="F109" s="62"/>
      <c r="G109" s="62"/>
      <c r="H109" s="62"/>
      <c r="I109" s="190"/>
      <c r="J109" s="85"/>
    </row>
    <row r="110" spans="1:10" x14ac:dyDescent="0.2">
      <c r="A110" s="3"/>
      <c r="B110" s="3"/>
      <c r="C110" s="67"/>
      <c r="D110" s="1" t="s">
        <v>217</v>
      </c>
      <c r="E110" s="65"/>
      <c r="F110" s="62">
        <v>0.22</v>
      </c>
      <c r="G110" s="62">
        <v>0.12</v>
      </c>
      <c r="H110" s="62">
        <v>2.5</v>
      </c>
      <c r="I110" s="190">
        <v>14</v>
      </c>
      <c r="J110" s="85">
        <f t="shared" si="7"/>
        <v>0.92</v>
      </c>
    </row>
    <row r="111" spans="1:10" x14ac:dyDescent="0.2">
      <c r="A111" s="3"/>
      <c r="B111" s="3"/>
      <c r="C111" s="67"/>
      <c r="D111" s="1" t="s">
        <v>215</v>
      </c>
      <c r="E111" s="65"/>
      <c r="F111" s="62">
        <v>0.22</v>
      </c>
      <c r="G111" s="62">
        <v>0.12</v>
      </c>
      <c r="H111" s="62">
        <v>2.5</v>
      </c>
      <c r="I111" s="190">
        <v>10</v>
      </c>
      <c r="J111" s="85">
        <f>ROUND(PRODUCT(F111:I111),2)</f>
        <v>0.66</v>
      </c>
    </row>
    <row r="112" spans="1:10" x14ac:dyDescent="0.2">
      <c r="A112" s="3"/>
      <c r="B112" s="3"/>
      <c r="C112" s="67"/>
      <c r="D112" s="2" t="s">
        <v>189</v>
      </c>
      <c r="E112" s="65" t="s">
        <v>173</v>
      </c>
      <c r="F112" s="62"/>
      <c r="G112" s="62"/>
      <c r="H112" s="62"/>
      <c r="I112" s="190"/>
      <c r="J112" s="85"/>
    </row>
    <row r="113" spans="1:11" x14ac:dyDescent="0.2">
      <c r="A113" s="3"/>
      <c r="B113" s="3"/>
      <c r="C113" s="67"/>
      <c r="D113" s="1" t="s">
        <v>296</v>
      </c>
      <c r="E113" s="65"/>
      <c r="F113" s="62">
        <v>1</v>
      </c>
      <c r="G113" s="62">
        <v>0.2</v>
      </c>
      <c r="H113" s="62">
        <v>2.5</v>
      </c>
      <c r="I113" s="190">
        <v>2</v>
      </c>
      <c r="J113" s="85">
        <f>ROUND(PRODUCT(F113:I113),2)</f>
        <v>1</v>
      </c>
    </row>
    <row r="114" spans="1:11" x14ac:dyDescent="0.2">
      <c r="A114" s="3"/>
      <c r="B114" s="3"/>
      <c r="C114" s="67"/>
      <c r="D114" s="1"/>
      <c r="E114" s="65"/>
      <c r="F114" s="85"/>
      <c r="G114" s="85"/>
      <c r="H114" s="85"/>
      <c r="I114" s="187" t="str">
        <f>"Total item "&amp;A105</f>
        <v>Total item 4.1</v>
      </c>
      <c r="J114" s="186">
        <f>SUM(J107:J113)</f>
        <v>2.7800000000000002</v>
      </c>
    </row>
    <row r="115" spans="1:11" x14ac:dyDescent="0.2">
      <c r="A115" s="3"/>
      <c r="B115" s="3"/>
      <c r="C115" s="67"/>
      <c r="D115" s="1"/>
      <c r="E115" s="65"/>
      <c r="F115" s="85"/>
      <c r="G115" s="85"/>
      <c r="H115" s="85"/>
      <c r="I115" s="83"/>
      <c r="J115" s="86"/>
    </row>
    <row r="116" spans="1:11" ht="33" customHeight="1" x14ac:dyDescent="0.2">
      <c r="A116" s="183" t="str">
        <f>'ORÇAMENTO SEM DESON'!A23</f>
        <v>4.2</v>
      </c>
      <c r="B116" s="5" t="s">
        <v>112</v>
      </c>
      <c r="C116" s="6" t="s">
        <v>132</v>
      </c>
      <c r="D116" s="188" t="str">
        <f>'ORÇAMENTO SEM DESON'!D23</f>
        <v>CONCRETO ARMADO PRONTO, FCK 25 MPA,CONDICAO A (NBR 12655), LANCADO EM VIGAS E ADENSADO, INCLUSIVE FORMA, ESCORAMENTO E FERRAGEM.</v>
      </c>
      <c r="E116" s="183" t="str">
        <f>'ORÇAMENTO SEM DESON'!E23</f>
        <v>m³</v>
      </c>
      <c r="F116" s="186"/>
      <c r="G116" s="186"/>
      <c r="H116" s="186"/>
      <c r="I116" s="187"/>
      <c r="J116" s="186"/>
    </row>
    <row r="117" spans="1:11" x14ac:dyDescent="0.2">
      <c r="A117" s="3"/>
      <c r="B117" s="3"/>
      <c r="C117" s="67"/>
      <c r="D117" s="1"/>
      <c r="E117" s="65"/>
      <c r="F117" s="62" t="s">
        <v>164</v>
      </c>
      <c r="G117" s="62" t="s">
        <v>167</v>
      </c>
      <c r="H117" s="62" t="s">
        <v>168</v>
      </c>
      <c r="I117" s="190"/>
      <c r="J117" s="85"/>
    </row>
    <row r="118" spans="1:11" x14ac:dyDescent="0.2">
      <c r="A118" s="3"/>
      <c r="B118" s="3"/>
      <c r="C118" s="67"/>
      <c r="D118" s="2" t="s">
        <v>195</v>
      </c>
      <c r="E118" s="65" t="s">
        <v>173</v>
      </c>
      <c r="F118" s="62"/>
      <c r="G118" s="62"/>
      <c r="H118" s="62"/>
      <c r="I118" s="190"/>
      <c r="J118" s="85"/>
    </row>
    <row r="119" spans="1:11" x14ac:dyDescent="0.2">
      <c r="A119" s="3"/>
      <c r="B119" s="3"/>
      <c r="C119" s="67"/>
      <c r="D119" s="1" t="s">
        <v>216</v>
      </c>
      <c r="E119" s="65"/>
      <c r="F119" s="62">
        <v>31</v>
      </c>
      <c r="G119" s="62">
        <v>0.12</v>
      </c>
      <c r="H119" s="62">
        <v>0.2</v>
      </c>
      <c r="I119" s="190"/>
      <c r="J119" s="85">
        <f t="shared" ref="J119:J121" si="8">ROUND(PRODUCT(F119:I119),2)</f>
        <v>0.74</v>
      </c>
    </row>
    <row r="120" spans="1:11" x14ac:dyDescent="0.2">
      <c r="A120" s="3"/>
      <c r="B120" s="3"/>
      <c r="C120" s="67"/>
      <c r="D120" s="1" t="s">
        <v>215</v>
      </c>
      <c r="E120" s="65"/>
      <c r="F120" s="62">
        <v>34</v>
      </c>
      <c r="G120" s="62">
        <v>0.12</v>
      </c>
      <c r="H120" s="62">
        <v>0.2</v>
      </c>
      <c r="I120" s="190"/>
      <c r="J120" s="85">
        <f>ROUND(PRODUCT(F120:I120),2)</f>
        <v>0.82</v>
      </c>
    </row>
    <row r="121" spans="1:11" x14ac:dyDescent="0.2">
      <c r="A121" s="3"/>
      <c r="B121" s="3"/>
      <c r="C121" s="67"/>
      <c r="D121" s="1" t="s">
        <v>217</v>
      </c>
      <c r="E121" s="65"/>
      <c r="F121" s="62">
        <v>35</v>
      </c>
      <c r="G121" s="62">
        <v>0.12</v>
      </c>
      <c r="H121" s="62">
        <v>0.2</v>
      </c>
      <c r="I121" s="190"/>
      <c r="J121" s="85">
        <f t="shared" si="8"/>
        <v>0.84</v>
      </c>
    </row>
    <row r="122" spans="1:11" x14ac:dyDescent="0.2">
      <c r="A122" s="3"/>
      <c r="B122" s="3"/>
      <c r="C122" s="67"/>
      <c r="D122" s="1"/>
      <c r="E122" s="65"/>
      <c r="F122" s="85"/>
      <c r="G122" s="85"/>
      <c r="H122" s="85"/>
      <c r="I122" s="187" t="str">
        <f>"Total item "&amp;A116</f>
        <v>Total item 4.2</v>
      </c>
      <c r="J122" s="186">
        <f>SUM(J119:J121)</f>
        <v>2.4</v>
      </c>
    </row>
    <row r="123" spans="1:11" ht="20.399999999999999" x14ac:dyDescent="0.2">
      <c r="A123" s="183" t="str">
        <f>'ORÇAMENTO SEM DESON'!A24</f>
        <v>4.3</v>
      </c>
      <c r="B123" s="5"/>
      <c r="C123" s="6"/>
      <c r="D123" s="188" t="str">
        <f>'ORÇAMENTO SEM DESON'!D24</f>
        <v xml:space="preserve">CONTRAVERGA PRÉ-MOLDADA PARA VÃOS DE MAIS DE 1,5 M DE COMPRIMENTO. AF_ </v>
      </c>
      <c r="E123" s="183" t="str">
        <f>'ORÇAMENTO SEM DESON'!E24</f>
        <v>m</v>
      </c>
      <c r="F123" s="186"/>
      <c r="G123" s="186"/>
      <c r="H123" s="186"/>
      <c r="I123" s="187"/>
      <c r="J123" s="186"/>
    </row>
    <row r="124" spans="1:11" x14ac:dyDescent="0.2">
      <c r="A124" s="3"/>
      <c r="B124" s="3"/>
      <c r="C124" s="67"/>
      <c r="D124" s="1"/>
      <c r="E124" s="65"/>
      <c r="F124" s="62" t="s">
        <v>164</v>
      </c>
      <c r="G124" s="62" t="s">
        <v>165</v>
      </c>
      <c r="H124" s="62"/>
      <c r="I124" s="190"/>
      <c r="J124" s="85"/>
    </row>
    <row r="125" spans="1:11" x14ac:dyDescent="0.2">
      <c r="A125" s="3"/>
      <c r="B125" s="3"/>
      <c r="C125" s="67"/>
      <c r="D125" s="1" t="s">
        <v>278</v>
      </c>
      <c r="E125" s="65"/>
      <c r="F125" s="62">
        <f>1.67+0.3+0.3</f>
        <v>2.27</v>
      </c>
      <c r="G125" s="62">
        <v>1</v>
      </c>
      <c r="H125" s="62"/>
      <c r="I125" s="190"/>
      <c r="J125" s="85">
        <f>ROUND(PRODUCT(F125:I125),2)</f>
        <v>2.27</v>
      </c>
    </row>
    <row r="126" spans="1:11" x14ac:dyDescent="0.2">
      <c r="A126" s="3"/>
      <c r="B126" s="3"/>
      <c r="C126" s="67"/>
      <c r="D126" s="1" t="s">
        <v>278</v>
      </c>
      <c r="E126" s="65"/>
      <c r="F126" s="62">
        <f>2.12+0.3+0.3</f>
        <v>2.7199999999999998</v>
      </c>
      <c r="G126" s="62">
        <v>1</v>
      </c>
      <c r="H126" s="62"/>
      <c r="I126" s="190"/>
      <c r="J126" s="85">
        <f t="shared" ref="J126:J127" si="9">ROUND(PRODUCT(F126:I126),2)</f>
        <v>2.72</v>
      </c>
    </row>
    <row r="127" spans="1:11" x14ac:dyDescent="0.2">
      <c r="A127" s="3"/>
      <c r="B127" s="3"/>
      <c r="C127" s="67"/>
      <c r="D127" s="1" t="s">
        <v>278</v>
      </c>
      <c r="E127" s="65"/>
      <c r="F127" s="62">
        <f>2.2+0.3+0.3</f>
        <v>2.8</v>
      </c>
      <c r="G127" s="62">
        <v>1</v>
      </c>
      <c r="H127" s="62"/>
      <c r="I127" s="190"/>
      <c r="J127" s="85">
        <f t="shared" si="9"/>
        <v>2.8</v>
      </c>
    </row>
    <row r="128" spans="1:11" x14ac:dyDescent="0.2">
      <c r="A128" s="3"/>
      <c r="B128" s="3"/>
      <c r="C128" s="67"/>
      <c r="D128" s="1"/>
      <c r="E128" s="65"/>
      <c r="F128" s="85"/>
      <c r="G128" s="85"/>
      <c r="H128" s="85"/>
      <c r="I128" s="187" t="str">
        <f>"Total item "&amp;A123</f>
        <v>Total item 4.3</v>
      </c>
      <c r="J128" s="186">
        <f>SUM(J125:J127)</f>
        <v>7.79</v>
      </c>
      <c r="K128" s="59" t="s">
        <v>224</v>
      </c>
    </row>
    <row r="129" spans="1:11" ht="30.6" x14ac:dyDescent="0.2">
      <c r="A129" s="183" t="str">
        <f>'ORÇAMENTO SEM DESON'!A25</f>
        <v>4.4</v>
      </c>
      <c r="B129" s="5"/>
      <c r="C129" s="6"/>
      <c r="D129" s="188" t="str">
        <f>'ORÇAMENTO SEM DESON'!D25</f>
        <v>CONCRETO ARMADO PRONTO, FCK 25 MPA,CONDICAO A (NBR 12655), LANCADO EM LAJES E ADENSADO, INCLUSIVE FORMA, ESCORAMENTO E FERRAGEM.</v>
      </c>
      <c r="E129" s="183" t="str">
        <f>'ORÇAMENTO SEM DESON'!E25</f>
        <v>m³</v>
      </c>
      <c r="F129" s="186"/>
      <c r="G129" s="186"/>
      <c r="H129" s="186"/>
      <c r="I129" s="187"/>
      <c r="J129" s="186"/>
    </row>
    <row r="130" spans="1:11" x14ac:dyDescent="0.2">
      <c r="A130" s="3"/>
      <c r="B130" s="3"/>
      <c r="C130" s="67"/>
      <c r="D130" s="1"/>
      <c r="E130" s="65"/>
      <c r="F130" s="62" t="s">
        <v>164</v>
      </c>
      <c r="G130" s="62" t="s">
        <v>167</v>
      </c>
      <c r="H130" s="62" t="s">
        <v>168</v>
      </c>
      <c r="I130" s="190"/>
      <c r="J130" s="85"/>
    </row>
    <row r="131" spans="1:11" x14ac:dyDescent="0.2">
      <c r="A131" s="3"/>
      <c r="B131" s="3"/>
      <c r="C131" s="67"/>
      <c r="D131" s="1" t="s">
        <v>297</v>
      </c>
      <c r="E131" s="65"/>
      <c r="F131" s="62">
        <v>3</v>
      </c>
      <c r="G131" s="62">
        <v>1.1000000000000001</v>
      </c>
      <c r="H131" s="62">
        <v>0.2</v>
      </c>
      <c r="I131" s="190"/>
      <c r="J131" s="85">
        <f>ROUND(PRODUCT(F131:I131),2)</f>
        <v>0.66</v>
      </c>
    </row>
    <row r="132" spans="1:11" x14ac:dyDescent="0.2">
      <c r="A132" s="3"/>
      <c r="B132" s="3"/>
      <c r="C132" s="67"/>
      <c r="D132" s="1"/>
      <c r="E132" s="65"/>
      <c r="F132" s="85"/>
      <c r="G132" s="85"/>
      <c r="H132" s="85"/>
      <c r="I132" s="187" t="str">
        <f>"Total item "&amp;A129</f>
        <v>Total item 4.4</v>
      </c>
      <c r="J132" s="186">
        <f>SUM(J131:J131)</f>
        <v>0.66</v>
      </c>
      <c r="K132" s="59" t="s">
        <v>224</v>
      </c>
    </row>
    <row r="133" spans="1:11" x14ac:dyDescent="0.2">
      <c r="A133" s="3"/>
      <c r="B133" s="3"/>
      <c r="C133" s="67"/>
      <c r="D133" s="1"/>
      <c r="E133" s="65"/>
      <c r="F133" s="85"/>
      <c r="G133" s="85"/>
      <c r="H133" s="85"/>
      <c r="I133" s="83"/>
      <c r="J133" s="86"/>
    </row>
    <row r="134" spans="1:11" x14ac:dyDescent="0.2">
      <c r="A134" s="174" t="str">
        <f>'ORÇAMENTO SEM DESON'!A26</f>
        <v>5.0</v>
      </c>
      <c r="B134" s="167"/>
      <c r="C134" s="189"/>
      <c r="D134" s="169" t="str">
        <f>'ORÇAMENTO SEM DESON'!D26</f>
        <v>PAREDES E PAINÉIS</v>
      </c>
      <c r="E134" s="167"/>
      <c r="F134" s="181"/>
      <c r="G134" s="181"/>
      <c r="H134" s="181"/>
      <c r="I134" s="182"/>
      <c r="J134" s="181"/>
    </row>
    <row r="135" spans="1:11" x14ac:dyDescent="0.2">
      <c r="A135" s="3"/>
      <c r="B135" s="3"/>
      <c r="C135" s="67"/>
      <c r="D135" s="1"/>
      <c r="E135" s="65"/>
      <c r="F135" s="85"/>
      <c r="G135" s="85"/>
      <c r="H135" s="85"/>
      <c r="I135" s="83"/>
      <c r="J135" s="86"/>
    </row>
    <row r="136" spans="1:11" ht="30.6" x14ac:dyDescent="0.2">
      <c r="A136" s="183" t="str">
        <f>'ORÇAMENTO SEM DESON'!A27</f>
        <v>5.1</v>
      </c>
      <c r="B136" s="5" t="s">
        <v>112</v>
      </c>
      <c r="C136" s="6" t="s">
        <v>132</v>
      </c>
      <c r="D136" s="188" t="str">
        <f>'ORÇAMENTO SEM DESON'!D27</f>
        <v>ALVENARIA DE TIJOLOS DE 8 FUROS, ASSENTADOS E REJUNTADOS COM ARGAMASSA DE CIMENTO E AREIA NO TRACO 1:12 - 1/2 VEZ.</v>
      </c>
      <c r="E136" s="183" t="str">
        <f>'ORÇAMENTO SEM DESON'!E27</f>
        <v>m²</v>
      </c>
      <c r="F136" s="186"/>
      <c r="G136" s="186"/>
      <c r="H136" s="186"/>
      <c r="I136" s="187"/>
      <c r="J136" s="186"/>
    </row>
    <row r="137" spans="1:11" x14ac:dyDescent="0.2">
      <c r="A137" s="3"/>
      <c r="B137" s="3"/>
      <c r="C137" s="67"/>
      <c r="D137" s="1"/>
      <c r="E137" s="65"/>
      <c r="F137" s="62" t="s">
        <v>193</v>
      </c>
      <c r="G137" s="62" t="s">
        <v>164</v>
      </c>
      <c r="H137" s="62" t="s">
        <v>168</v>
      </c>
      <c r="I137" s="190" t="s">
        <v>207</v>
      </c>
      <c r="J137" s="85"/>
    </row>
    <row r="138" spans="1:11" x14ac:dyDescent="0.2">
      <c r="A138" s="3"/>
      <c r="B138" s="3"/>
      <c r="C138" s="67"/>
      <c r="D138" s="1" t="s">
        <v>217</v>
      </c>
      <c r="E138" s="65"/>
      <c r="F138" s="85"/>
      <c r="G138" s="85">
        <f>F121-(0.22*14)</f>
        <v>31.92</v>
      </c>
      <c r="H138" s="85">
        <v>0.2</v>
      </c>
      <c r="I138" s="83"/>
      <c r="J138" s="85">
        <f>ROUND(PRODUCT(F138:I138),2)</f>
        <v>6.38</v>
      </c>
    </row>
    <row r="139" spans="1:11" x14ac:dyDescent="0.2">
      <c r="A139" s="3"/>
      <c r="B139" s="3"/>
      <c r="C139" s="67"/>
      <c r="D139" s="1" t="s">
        <v>215</v>
      </c>
      <c r="E139" s="65"/>
      <c r="F139" s="85"/>
      <c r="G139" s="85">
        <f>G147</f>
        <v>29.220000000000002</v>
      </c>
      <c r="H139" s="85">
        <v>2.5</v>
      </c>
      <c r="I139" s="83"/>
      <c r="J139" s="85">
        <f>ROUND(PRODUCT(F139:I139),2)</f>
        <v>73.05</v>
      </c>
    </row>
    <row r="140" spans="1:11" x14ac:dyDescent="0.2">
      <c r="A140" s="3"/>
      <c r="B140" s="3"/>
      <c r="C140" s="67"/>
      <c r="D140" s="1" t="s">
        <v>278</v>
      </c>
      <c r="E140" s="65"/>
      <c r="F140" s="85"/>
      <c r="G140" s="85">
        <f>2.12+2.2</f>
        <v>4.32</v>
      </c>
      <c r="H140" s="85">
        <v>1</v>
      </c>
      <c r="I140" s="83"/>
      <c r="J140" s="85">
        <f>ROUND(PRODUCT(F140:I140),2)</f>
        <v>4.32</v>
      </c>
    </row>
    <row r="141" spans="1:11" x14ac:dyDescent="0.2">
      <c r="A141" s="3"/>
      <c r="B141" s="3"/>
      <c r="C141" s="67"/>
      <c r="D141" s="1" t="s">
        <v>194</v>
      </c>
      <c r="E141" s="65"/>
      <c r="F141" s="85"/>
      <c r="G141" s="85">
        <v>3</v>
      </c>
      <c r="H141" s="85">
        <v>1</v>
      </c>
      <c r="I141" s="83"/>
      <c r="J141" s="85">
        <f t="shared" ref="J141" si="10">ROUND(PRODUCT(F141:I141),2)</f>
        <v>3</v>
      </c>
    </row>
    <row r="142" spans="1:11" x14ac:dyDescent="0.2">
      <c r="A142" s="3"/>
      <c r="B142" s="3"/>
      <c r="C142" s="67"/>
      <c r="D142" s="1"/>
      <c r="E142" s="65"/>
      <c r="F142" s="85"/>
      <c r="G142" s="85"/>
      <c r="H142" s="85"/>
      <c r="I142" s="187" t="str">
        <f>"Total item "&amp;A136</f>
        <v>Total item 5.1</v>
      </c>
      <c r="J142" s="186">
        <f>SUM(J138:J141)</f>
        <v>86.75</v>
      </c>
    </row>
    <row r="143" spans="1:11" x14ac:dyDescent="0.2">
      <c r="A143" s="3"/>
      <c r="B143" s="3"/>
      <c r="C143" s="67"/>
      <c r="D143" s="1"/>
      <c r="E143" s="65"/>
      <c r="F143" s="85"/>
      <c r="G143" s="85"/>
      <c r="H143" s="85"/>
      <c r="I143" s="83"/>
      <c r="J143" s="86"/>
    </row>
    <row r="144" spans="1:11" ht="20.399999999999999" x14ac:dyDescent="0.2">
      <c r="A144" s="183" t="str">
        <f>'ORÇAMENTO SEM DESON'!A28</f>
        <v>5.2</v>
      </c>
      <c r="B144" s="5" t="s">
        <v>112</v>
      </c>
      <c r="C144" s="6" t="s">
        <v>132</v>
      </c>
      <c r="D144" s="188" t="str">
        <f>'ORÇAMENTO SEM DESON'!D28</f>
        <v>CHAPISCO COM ARGAMASSA DE CIMENTO E AREIA NO TRACO 1 3.</v>
      </c>
      <c r="E144" s="183" t="str">
        <f>'ORÇAMENTO SEM DESON'!E28</f>
        <v>m²</v>
      </c>
      <c r="F144" s="186"/>
      <c r="G144" s="186"/>
      <c r="H144" s="186"/>
      <c r="I144" s="187"/>
      <c r="J144" s="186"/>
    </row>
    <row r="145" spans="1:10" x14ac:dyDescent="0.2">
      <c r="A145" s="3"/>
      <c r="B145" s="3"/>
      <c r="C145" s="67"/>
      <c r="D145" s="1"/>
      <c r="E145" s="65"/>
      <c r="F145" s="62" t="s">
        <v>193</v>
      </c>
      <c r="G145" s="62" t="s">
        <v>164</v>
      </c>
      <c r="H145" s="62" t="s">
        <v>168</v>
      </c>
      <c r="I145" s="190" t="s">
        <v>207</v>
      </c>
      <c r="J145" s="85"/>
    </row>
    <row r="146" spans="1:10" x14ac:dyDescent="0.2">
      <c r="A146" s="3"/>
      <c r="B146" s="3"/>
      <c r="C146" s="67"/>
      <c r="D146" s="1" t="s">
        <v>217</v>
      </c>
      <c r="E146" s="65"/>
      <c r="F146" s="166"/>
      <c r="G146" s="62">
        <f>G138</f>
        <v>31.92</v>
      </c>
      <c r="H146" s="62">
        <f>H138</f>
        <v>0.2</v>
      </c>
      <c r="I146" s="190">
        <v>2</v>
      </c>
      <c r="J146" s="85">
        <f>ROUND(PRODUCT(F146:I146),2)</f>
        <v>12.77</v>
      </c>
    </row>
    <row r="147" spans="1:10" x14ac:dyDescent="0.2">
      <c r="A147" s="3"/>
      <c r="B147" s="3"/>
      <c r="C147" s="67"/>
      <c r="D147" s="1" t="s">
        <v>215</v>
      </c>
      <c r="E147" s="65"/>
      <c r="F147" s="166"/>
      <c r="G147" s="62">
        <v>29.220000000000002</v>
      </c>
      <c r="H147" s="62">
        <f>H139</f>
        <v>2.5</v>
      </c>
      <c r="I147" s="190">
        <v>2</v>
      </c>
      <c r="J147" s="85">
        <f t="shared" ref="J147:J149" si="11">ROUND(PRODUCT(F147:I147),2)</f>
        <v>146.1</v>
      </c>
    </row>
    <row r="148" spans="1:10" x14ac:dyDescent="0.2">
      <c r="A148" s="3"/>
      <c r="B148" s="3"/>
      <c r="C148" s="67"/>
      <c r="D148" s="1" t="s">
        <v>278</v>
      </c>
      <c r="E148" s="65"/>
      <c r="F148" s="166"/>
      <c r="G148" s="62">
        <f>G140</f>
        <v>4.32</v>
      </c>
      <c r="H148" s="62">
        <f>H140</f>
        <v>1</v>
      </c>
      <c r="I148" s="190">
        <v>2</v>
      </c>
      <c r="J148" s="85">
        <f>ROUND(PRODUCT(F148:I148),2)</f>
        <v>8.64</v>
      </c>
    </row>
    <row r="149" spans="1:10" x14ac:dyDescent="0.2">
      <c r="A149" s="3"/>
      <c r="B149" s="3"/>
      <c r="C149" s="67"/>
      <c r="D149" s="1" t="s">
        <v>194</v>
      </c>
      <c r="E149" s="65"/>
      <c r="F149" s="85"/>
      <c r="G149" s="85">
        <v>3</v>
      </c>
      <c r="H149" s="85">
        <v>1</v>
      </c>
      <c r="I149" s="190">
        <v>2</v>
      </c>
      <c r="J149" s="85">
        <f t="shared" si="11"/>
        <v>6</v>
      </c>
    </row>
    <row r="150" spans="1:10" x14ac:dyDescent="0.2">
      <c r="A150" s="3"/>
      <c r="B150" s="3"/>
      <c r="C150" s="67"/>
      <c r="D150" s="1"/>
      <c r="E150" s="65"/>
      <c r="F150" s="85"/>
      <c r="G150" s="85"/>
      <c r="H150" s="85"/>
      <c r="I150" s="187" t="str">
        <f>"Total item "&amp;A144</f>
        <v>Total item 5.2</v>
      </c>
      <c r="J150" s="186">
        <f>SUM(J146:J149)</f>
        <v>173.51</v>
      </c>
    </row>
    <row r="151" spans="1:10" x14ac:dyDescent="0.2">
      <c r="A151" s="3"/>
      <c r="B151" s="3"/>
      <c r="C151" s="67"/>
      <c r="D151" s="1"/>
      <c r="E151" s="65"/>
      <c r="F151" s="85"/>
      <c r="G151" s="85"/>
      <c r="H151" s="85"/>
      <c r="I151" s="83"/>
      <c r="J151" s="86"/>
    </row>
    <row r="152" spans="1:10" ht="20.399999999999999" x14ac:dyDescent="0.2">
      <c r="A152" s="183" t="str">
        <f>'ORÇAMENTO SEM DESON'!A29</f>
        <v>5.3</v>
      </c>
      <c r="B152" s="5" t="s">
        <v>112</v>
      </c>
      <c r="C152" s="6" t="s">
        <v>132</v>
      </c>
      <c r="D152" s="188" t="str">
        <f>'ORÇAMENTO SEM DESON'!D29</f>
        <v>REBOCO EM CIMENTADO, TIPO BARRA LISA , APLICADA SOBRE EMBOCO PRONTO COM 5,0 MM DE ESPESSURA.</v>
      </c>
      <c r="E152" s="183" t="str">
        <f>'ORÇAMENTO SEM DESON'!E29</f>
        <v>m²</v>
      </c>
      <c r="F152" s="186"/>
      <c r="G152" s="186"/>
      <c r="H152" s="186"/>
      <c r="I152" s="187"/>
      <c r="J152" s="186"/>
    </row>
    <row r="153" spans="1:10" x14ac:dyDescent="0.2">
      <c r="A153" s="3"/>
      <c r="B153" s="3"/>
      <c r="C153" s="67"/>
      <c r="D153" s="1"/>
      <c r="E153" s="65"/>
      <c r="F153" s="62" t="s">
        <v>193</v>
      </c>
      <c r="G153" s="62" t="s">
        <v>164</v>
      </c>
      <c r="H153" s="62" t="s">
        <v>168</v>
      </c>
      <c r="I153" s="190" t="s">
        <v>165</v>
      </c>
      <c r="J153" s="85"/>
    </row>
    <row r="154" spans="1:10" x14ac:dyDescent="0.2">
      <c r="A154" s="3"/>
      <c r="B154" s="3"/>
      <c r="C154" s="67"/>
      <c r="D154" s="1" t="s">
        <v>217</v>
      </c>
      <c r="E154" s="65"/>
      <c r="F154" s="166"/>
      <c r="G154" s="62">
        <f>G146</f>
        <v>31.92</v>
      </c>
      <c r="H154" s="62">
        <f>H146</f>
        <v>0.2</v>
      </c>
      <c r="I154" s="190">
        <f>I146</f>
        <v>2</v>
      </c>
      <c r="J154" s="85">
        <f>ROUND(PRODUCT(F154:I154),2)</f>
        <v>12.77</v>
      </c>
    </row>
    <row r="155" spans="1:10" x14ac:dyDescent="0.2">
      <c r="A155" s="3"/>
      <c r="B155" s="3"/>
      <c r="C155" s="67"/>
      <c r="D155" s="1" t="s">
        <v>215</v>
      </c>
      <c r="E155" s="65"/>
      <c r="F155" s="166"/>
      <c r="G155" s="62">
        <f>G147</f>
        <v>29.220000000000002</v>
      </c>
      <c r="H155" s="62">
        <f>H147</f>
        <v>2.5</v>
      </c>
      <c r="I155" s="190">
        <f t="shared" ref="I155" si="12">I147</f>
        <v>2</v>
      </c>
      <c r="J155" s="85">
        <f t="shared" ref="J155" si="13">ROUND(PRODUCT(F155:I155),2)</f>
        <v>146.1</v>
      </c>
    </row>
    <row r="156" spans="1:10" x14ac:dyDescent="0.2">
      <c r="A156" s="3"/>
      <c r="B156" s="3"/>
      <c r="C156" s="67"/>
      <c r="D156" s="1" t="s">
        <v>194</v>
      </c>
      <c r="E156" s="65"/>
      <c r="F156" s="85"/>
      <c r="G156" s="85">
        <v>3</v>
      </c>
      <c r="H156" s="85">
        <v>1</v>
      </c>
      <c r="I156" s="190">
        <v>2</v>
      </c>
      <c r="J156" s="85">
        <f>ROUND(PRODUCT(F156:I156),2)</f>
        <v>6</v>
      </c>
    </row>
    <row r="157" spans="1:10" x14ac:dyDescent="0.2">
      <c r="A157" s="3"/>
      <c r="B157" s="3"/>
      <c r="C157" s="67"/>
      <c r="D157" s="1"/>
      <c r="E157" s="65"/>
      <c r="F157" s="85"/>
      <c r="G157" s="85"/>
      <c r="H157" s="85"/>
      <c r="I157" s="187" t="str">
        <f>"Total item "&amp;A152</f>
        <v>Total item 5.3</v>
      </c>
      <c r="J157" s="186">
        <f>SUM(J154:J156)</f>
        <v>164.87</v>
      </c>
    </row>
    <row r="158" spans="1:10" x14ac:dyDescent="0.2">
      <c r="A158" s="3"/>
      <c r="B158" s="3"/>
      <c r="C158" s="67"/>
      <c r="D158" s="1"/>
      <c r="E158" s="65"/>
      <c r="F158" s="85"/>
      <c r="G158" s="85"/>
      <c r="H158" s="85"/>
      <c r="I158" s="83"/>
      <c r="J158" s="86"/>
    </row>
    <row r="159" spans="1:10" ht="20.399999999999999" x14ac:dyDescent="0.2">
      <c r="A159" s="183" t="str">
        <f>'ORÇAMENTO SEM DESON'!A30</f>
        <v>5.4</v>
      </c>
      <c r="B159" s="5" t="s">
        <v>112</v>
      </c>
      <c r="C159" s="6" t="s">
        <v>132</v>
      </c>
      <c r="D159" s="188" t="str">
        <f>'ORÇAMENTO SEM DESON'!D30</f>
        <v>EMASSAMENTO DE PAREDES EXTERNAS 2 DEMÃOS C/MASSA ACRÍLICA</v>
      </c>
      <c r="E159" s="183" t="str">
        <f>'ORÇAMENTO SEM DESON'!E30</f>
        <v>m²</v>
      </c>
      <c r="F159" s="186"/>
      <c r="G159" s="186"/>
      <c r="H159" s="186"/>
      <c r="I159" s="187"/>
      <c r="J159" s="186"/>
    </row>
    <row r="160" spans="1:10" x14ac:dyDescent="0.2">
      <c r="A160" s="3"/>
      <c r="B160" s="3"/>
      <c r="C160" s="67"/>
      <c r="D160" s="1"/>
      <c r="E160" s="65"/>
      <c r="F160" s="62" t="s">
        <v>193</v>
      </c>
      <c r="G160" s="62" t="s">
        <v>164</v>
      </c>
      <c r="H160" s="62" t="s">
        <v>168</v>
      </c>
      <c r="I160" s="190" t="s">
        <v>165</v>
      </c>
      <c r="J160" s="85"/>
    </row>
    <row r="161" spans="1:10" x14ac:dyDescent="0.2">
      <c r="A161" s="3"/>
      <c r="B161" s="3"/>
      <c r="C161" s="67"/>
      <c r="D161" s="93" t="str">
        <f>I157</f>
        <v>Total item 5.3</v>
      </c>
      <c r="E161" s="65"/>
      <c r="F161" s="59"/>
      <c r="G161" s="62"/>
      <c r="H161" s="62"/>
      <c r="I161" s="190"/>
      <c r="J161" s="85">
        <f>J157</f>
        <v>164.87</v>
      </c>
    </row>
    <row r="162" spans="1:10" x14ac:dyDescent="0.2">
      <c r="A162" s="3"/>
      <c r="B162" s="3"/>
      <c r="C162" s="67"/>
      <c r="D162" s="93"/>
      <c r="E162" s="65"/>
      <c r="F162" s="59"/>
      <c r="G162" s="62"/>
      <c r="H162" s="62"/>
      <c r="I162" s="187" t="str">
        <f>"Total item "&amp;A159</f>
        <v>Total item 5.4</v>
      </c>
      <c r="J162" s="186">
        <f>SUM(J161:J161)</f>
        <v>164.87</v>
      </c>
    </row>
    <row r="163" spans="1:10" ht="61.2" x14ac:dyDescent="0.2">
      <c r="A163" s="183" t="str">
        <f>'ORÇAMENTO SEM DESON'!A31</f>
        <v>5.5</v>
      </c>
      <c r="B163" s="5"/>
      <c r="C163" s="6"/>
      <c r="D163" s="188" t="str">
        <f>'ORÇAMENTO SEM DESON'!D31</f>
        <v>EMBOÇO, PARA RECEBIMENTO DE CERÂMICA, EM ARGAMASSA TRAÇO 1:2:8, PREPARO MECÂNICO COM BETONEIRA 400L, APLICADO MANUALMENTE EM FACES INTERNAS DE PAREDES, PARA AMBIENTE COM ÁREA MAIOR QUE 10M2, ESPESSURA DE 20MM, COM EXECUÇÃO DE TALISCAS. AF_06/2014</v>
      </c>
      <c r="E163" s="183" t="str">
        <f>'ORÇAMENTO SEM DESON'!E31</f>
        <v>m²</v>
      </c>
      <c r="F163" s="186"/>
      <c r="G163" s="186"/>
      <c r="H163" s="186"/>
      <c r="I163" s="187"/>
      <c r="J163" s="186"/>
    </row>
    <row r="164" spans="1:10" x14ac:dyDescent="0.2">
      <c r="A164" s="3"/>
      <c r="B164" s="3"/>
      <c r="C164" s="67"/>
      <c r="D164" s="1"/>
      <c r="E164" s="65"/>
      <c r="F164" s="62" t="s">
        <v>193</v>
      </c>
      <c r="G164" s="62" t="s">
        <v>164</v>
      </c>
      <c r="H164" s="62" t="s">
        <v>168</v>
      </c>
      <c r="I164" s="190" t="s">
        <v>165</v>
      </c>
      <c r="J164" s="85"/>
    </row>
    <row r="165" spans="1:10" x14ac:dyDescent="0.2">
      <c r="A165" s="3"/>
      <c r="B165" s="3"/>
      <c r="C165" s="67"/>
      <c r="D165" s="1" t="s">
        <v>278</v>
      </c>
      <c r="E165" s="65"/>
      <c r="F165" s="166"/>
      <c r="G165" s="62">
        <f>G148</f>
        <v>4.32</v>
      </c>
      <c r="H165" s="62">
        <f>H148</f>
        <v>1</v>
      </c>
      <c r="I165" s="190">
        <f>I148</f>
        <v>2</v>
      </c>
      <c r="J165" s="85">
        <f>ROUND(PRODUCT(F165:I165),2)</f>
        <v>8.64</v>
      </c>
    </row>
    <row r="166" spans="1:10" x14ac:dyDescent="0.2">
      <c r="A166" s="3"/>
      <c r="B166" s="3"/>
      <c r="C166" s="67"/>
      <c r="D166" s="1"/>
      <c r="E166" s="65"/>
      <c r="F166" s="85"/>
      <c r="G166" s="85"/>
      <c r="H166" s="85"/>
      <c r="I166" s="187" t="str">
        <f>"Total item "&amp;A163</f>
        <v>Total item 5.5</v>
      </c>
      <c r="J166" s="186">
        <f>SUM(J165)</f>
        <v>8.64</v>
      </c>
    </row>
    <row r="167" spans="1:10" x14ac:dyDescent="0.2">
      <c r="A167" s="3"/>
      <c r="B167" s="3"/>
      <c r="C167" s="67"/>
      <c r="D167" s="1"/>
      <c r="E167" s="65"/>
      <c r="F167" s="85"/>
      <c r="G167" s="85"/>
      <c r="H167" s="85"/>
      <c r="I167" s="59"/>
      <c r="J167" s="59"/>
    </row>
    <row r="168" spans="1:10" x14ac:dyDescent="0.2">
      <c r="A168" s="167" t="str">
        <f>'ORÇAMENTO SEM DESON'!A32</f>
        <v>6.0</v>
      </c>
      <c r="B168" s="167"/>
      <c r="C168" s="189"/>
      <c r="D168" s="169" t="str">
        <f>'ORÇAMENTO SEM DESON'!D32</f>
        <v>PINTURA E REVESTIMENTOS</v>
      </c>
      <c r="E168" s="167"/>
      <c r="F168" s="181"/>
      <c r="G168" s="181"/>
      <c r="H168" s="181"/>
      <c r="I168" s="182"/>
      <c r="J168" s="181"/>
    </row>
    <row r="169" spans="1:10" x14ac:dyDescent="0.2">
      <c r="A169" s="3"/>
      <c r="B169" s="3"/>
      <c r="C169" s="67"/>
      <c r="D169" s="1"/>
      <c r="E169" s="65"/>
      <c r="F169" s="85"/>
      <c r="G169" s="85"/>
      <c r="H169" s="85"/>
      <c r="I169" s="83"/>
      <c r="J169" s="86"/>
    </row>
    <row r="170" spans="1:10" x14ac:dyDescent="0.2">
      <c r="A170" s="183" t="str">
        <f>'ORÇAMENTO SEM DESON'!A33</f>
        <v>6.1</v>
      </c>
      <c r="B170" s="5" t="s">
        <v>112</v>
      </c>
      <c r="C170" s="6" t="s">
        <v>132</v>
      </c>
      <c r="D170" s="188" t="str">
        <f>'ORÇAMENTO SEM DESON'!D33</f>
        <v xml:space="preserve"> PINTURA ESMALTE SINTÉTICO EM PAREDES.</v>
      </c>
      <c r="E170" s="183" t="str">
        <f>'ORÇAMENTO SEM DESON'!E33</f>
        <v>m²</v>
      </c>
      <c r="F170" s="186"/>
      <c r="G170" s="186"/>
      <c r="H170" s="186"/>
      <c r="I170" s="187"/>
      <c r="J170" s="186"/>
    </row>
    <row r="171" spans="1:10" x14ac:dyDescent="0.2">
      <c r="A171" s="3"/>
      <c r="B171" s="3"/>
      <c r="C171" s="67"/>
      <c r="D171" s="1"/>
      <c r="E171" s="65"/>
      <c r="F171" s="62" t="s">
        <v>163</v>
      </c>
      <c r="G171" s="62" t="s">
        <v>166</v>
      </c>
      <c r="H171" s="62" t="s">
        <v>165</v>
      </c>
      <c r="I171" s="190"/>
      <c r="J171" s="85"/>
    </row>
    <row r="172" spans="1:10" x14ac:dyDescent="0.2">
      <c r="A172" s="3"/>
      <c r="B172" s="3"/>
      <c r="C172" s="67"/>
      <c r="D172" s="93" t="s">
        <v>216</v>
      </c>
      <c r="E172" s="65" t="s">
        <v>8</v>
      </c>
      <c r="F172" s="85">
        <v>1.1000000000000001</v>
      </c>
      <c r="G172" s="62">
        <v>31</v>
      </c>
      <c r="H172" s="62">
        <v>2</v>
      </c>
      <c r="I172" s="190"/>
      <c r="J172" s="85">
        <f t="shared" ref="J172:J174" si="14">ROUND(PRODUCT(F172:I172),2)</f>
        <v>68.2</v>
      </c>
    </row>
    <row r="173" spans="1:10" x14ac:dyDescent="0.2">
      <c r="A173" s="3"/>
      <c r="B173" s="3"/>
      <c r="C173" s="67"/>
      <c r="D173" s="1" t="s">
        <v>215</v>
      </c>
      <c r="E173" s="65"/>
      <c r="F173" s="85">
        <v>2.5</v>
      </c>
      <c r="G173" s="62">
        <v>34</v>
      </c>
      <c r="H173" s="62">
        <v>2</v>
      </c>
      <c r="I173" s="190"/>
      <c r="J173" s="85">
        <f t="shared" si="14"/>
        <v>170</v>
      </c>
    </row>
    <row r="174" spans="1:10" x14ac:dyDescent="0.2">
      <c r="A174" s="3"/>
      <c r="B174" s="3"/>
      <c r="C174" s="67"/>
      <c r="D174" s="93" t="s">
        <v>217</v>
      </c>
      <c r="E174" s="65"/>
      <c r="F174" s="85">
        <v>2.5</v>
      </c>
      <c r="G174" s="62">
        <v>35</v>
      </c>
      <c r="H174" s="62">
        <v>2</v>
      </c>
      <c r="I174" s="190"/>
      <c r="J174" s="85">
        <f t="shared" si="14"/>
        <v>175</v>
      </c>
    </row>
    <row r="175" spans="1:10" x14ac:dyDescent="0.2">
      <c r="A175" s="3"/>
      <c r="B175" s="3"/>
      <c r="C175" s="67"/>
      <c r="D175" s="93" t="s">
        <v>296</v>
      </c>
      <c r="E175" s="65"/>
      <c r="F175" s="85">
        <v>2.5</v>
      </c>
      <c r="G175" s="62">
        <v>1</v>
      </c>
      <c r="H175" s="62">
        <v>4</v>
      </c>
      <c r="I175" s="190"/>
      <c r="J175" s="85">
        <f>ROUND(PRODUCT(F175:I175),2)</f>
        <v>10</v>
      </c>
    </row>
    <row r="176" spans="1:10" x14ac:dyDescent="0.2">
      <c r="A176" s="3"/>
      <c r="B176" s="3"/>
      <c r="C176" s="67"/>
      <c r="D176" s="1"/>
      <c r="E176" s="65"/>
      <c r="F176" s="85"/>
      <c r="G176" s="85"/>
      <c r="H176" s="85"/>
      <c r="I176" s="187" t="str">
        <f>"Total item "&amp;A170</f>
        <v>Total item 6.1</v>
      </c>
      <c r="J176" s="186">
        <f>SUM(J172:J175)</f>
        <v>423.2</v>
      </c>
    </row>
    <row r="177" spans="1:10" ht="20.399999999999999" x14ac:dyDescent="0.2">
      <c r="A177" s="183" t="str">
        <f>'ORÇAMENTO SEM DESON'!A34</f>
        <v>6.2</v>
      </c>
      <c r="B177" s="5"/>
      <c r="C177" s="6"/>
      <c r="D177" s="188" t="str">
        <f>'ORÇAMENTO SEM DESON'!D34</f>
        <v>APLICAÇÃO DE FUNDO SELADOR ACRÍLICO EM TETO, UMA DEMÃO. AF_06/2014</v>
      </c>
      <c r="E177" s="183" t="str">
        <f>'ORÇAMENTO SEM DESON'!E34</f>
        <v>m²</v>
      </c>
      <c r="F177" s="186"/>
      <c r="G177" s="186"/>
      <c r="H177" s="186"/>
      <c r="I177" s="187"/>
      <c r="J177" s="186"/>
    </row>
    <row r="178" spans="1:10" x14ac:dyDescent="0.2">
      <c r="A178" s="3"/>
      <c r="B178" s="3"/>
      <c r="C178" s="67"/>
      <c r="D178" s="1"/>
      <c r="E178" s="65"/>
      <c r="F178" s="62" t="s">
        <v>163</v>
      </c>
      <c r="G178" s="62" t="s">
        <v>166</v>
      </c>
      <c r="H178" s="62" t="s">
        <v>165</v>
      </c>
      <c r="I178" s="190"/>
      <c r="J178" s="85"/>
    </row>
    <row r="179" spans="1:10" x14ac:dyDescent="0.2">
      <c r="A179" s="3"/>
      <c r="B179" s="3"/>
      <c r="C179" s="67"/>
      <c r="D179" s="93" t="s">
        <v>194</v>
      </c>
      <c r="E179" s="65"/>
      <c r="F179" s="85">
        <v>1</v>
      </c>
      <c r="G179" s="62">
        <v>3</v>
      </c>
      <c r="H179" s="62">
        <v>2</v>
      </c>
      <c r="I179" s="190"/>
      <c r="J179" s="85">
        <f>ROUND(PRODUCT(F179:I179),2)</f>
        <v>6</v>
      </c>
    </row>
    <row r="180" spans="1:10" x14ac:dyDescent="0.2">
      <c r="A180" s="3"/>
      <c r="B180" s="3"/>
      <c r="C180" s="67"/>
      <c r="D180" s="1"/>
      <c r="E180" s="65"/>
      <c r="F180" s="85"/>
      <c r="G180" s="85"/>
      <c r="H180" s="85"/>
      <c r="I180" s="187" t="str">
        <f>"Total item "&amp;A177</f>
        <v>Total item 6.2</v>
      </c>
      <c r="J180" s="186">
        <f>SUM(J179:J179)</f>
        <v>6</v>
      </c>
    </row>
    <row r="181" spans="1:10" ht="20.399999999999999" x14ac:dyDescent="0.2">
      <c r="A181" s="183" t="str">
        <f>'ORÇAMENTO SEM DESON'!A35</f>
        <v>6.3</v>
      </c>
      <c r="B181" s="5"/>
      <c r="C181" s="6"/>
      <c r="D181" s="188" t="str">
        <f>'ORÇAMENTO SEM DESON'!D35</f>
        <v>APLICAÇÃO MANUAL DE PINTURA COM TINTA LÁTEX ACRÍLICA EM TETO, DUAS DEMÃOS. AF_06/2014</v>
      </c>
      <c r="E181" s="183" t="str">
        <f>'ORÇAMENTO SEM DESON'!E35</f>
        <v>m²</v>
      </c>
      <c r="F181" s="186"/>
      <c r="G181" s="186"/>
      <c r="H181" s="186"/>
      <c r="I181" s="187"/>
      <c r="J181" s="186"/>
    </row>
    <row r="182" spans="1:10" x14ac:dyDescent="0.2">
      <c r="A182" s="3"/>
      <c r="B182" s="3"/>
      <c r="C182" s="67"/>
      <c r="D182" s="1"/>
      <c r="E182" s="65"/>
      <c r="F182" s="62" t="s">
        <v>163</v>
      </c>
      <c r="G182" s="62" t="s">
        <v>166</v>
      </c>
      <c r="H182" s="62" t="s">
        <v>165</v>
      </c>
      <c r="I182" s="190"/>
      <c r="J182" s="85"/>
    </row>
    <row r="183" spans="1:10" x14ac:dyDescent="0.2">
      <c r="A183" s="3"/>
      <c r="B183" s="3"/>
      <c r="C183" s="67"/>
      <c r="D183" s="93" t="str">
        <f>I180</f>
        <v>Total item 6.2</v>
      </c>
      <c r="E183" s="65"/>
      <c r="F183" s="85"/>
      <c r="G183" s="62"/>
      <c r="H183" s="62"/>
      <c r="I183" s="190"/>
      <c r="J183" s="85">
        <f>J180</f>
        <v>6</v>
      </c>
    </row>
    <row r="184" spans="1:10" x14ac:dyDescent="0.2">
      <c r="A184" s="3"/>
      <c r="B184" s="3"/>
      <c r="C184" s="67"/>
      <c r="D184" s="1"/>
      <c r="E184" s="65"/>
      <c r="F184" s="85"/>
      <c r="G184" s="85"/>
      <c r="H184" s="85"/>
      <c r="I184" s="187" t="str">
        <f>"Total item "&amp;A181</f>
        <v>Total item 6.3</v>
      </c>
      <c r="J184" s="186">
        <f>SUM(J183:J183)</f>
        <v>6</v>
      </c>
    </row>
    <row r="185" spans="1:10" x14ac:dyDescent="0.2">
      <c r="A185" s="3"/>
      <c r="B185" s="3"/>
      <c r="C185" s="67"/>
      <c r="D185" s="1"/>
      <c r="E185" s="65"/>
      <c r="F185" s="85"/>
      <c r="G185" s="85"/>
      <c r="H185" s="85"/>
      <c r="I185" s="187"/>
      <c r="J185" s="186"/>
    </row>
    <row r="186" spans="1:10" ht="20.399999999999999" x14ac:dyDescent="0.2">
      <c r="A186" s="183" t="str">
        <f>'ORÇAMENTO SEM DESON'!A36</f>
        <v>6.4</v>
      </c>
      <c r="B186" s="5"/>
      <c r="C186" s="6"/>
      <c r="D186" s="188" t="str">
        <f>'ORÇAMENTO SEM DESON'!D36</f>
        <v>APLICAÇÃO MANUAL DE PINTURA COM TINTA LÁTEX ACRÍLICA EM PAREDES, DUAS DEMÃOS. AF_06/2014</v>
      </c>
      <c r="E186" s="183" t="str">
        <f>'ORÇAMENTO SEM DESON'!E36</f>
        <v>m²</v>
      </c>
      <c r="F186" s="186"/>
      <c r="G186" s="186"/>
      <c r="H186" s="186"/>
      <c r="I186" s="187"/>
      <c r="J186" s="186"/>
    </row>
    <row r="187" spans="1:10" x14ac:dyDescent="0.2">
      <c r="A187" s="3"/>
      <c r="B187" s="3"/>
      <c r="C187" s="67"/>
      <c r="D187" s="1"/>
      <c r="E187" s="65"/>
      <c r="F187" s="62" t="s">
        <v>193</v>
      </c>
      <c r="G187" s="62" t="s">
        <v>164</v>
      </c>
      <c r="H187" s="62" t="s">
        <v>168</v>
      </c>
      <c r="I187" s="190" t="s">
        <v>207</v>
      </c>
      <c r="J187" s="85"/>
    </row>
    <row r="188" spans="1:10" ht="20.399999999999999" x14ac:dyDescent="0.2">
      <c r="A188" s="3"/>
      <c r="B188" s="3"/>
      <c r="C188" s="67"/>
      <c r="D188" s="1" t="s">
        <v>292</v>
      </c>
      <c r="E188" s="65"/>
      <c r="F188" s="85"/>
      <c r="G188" s="62">
        <f>G165</f>
        <v>4.32</v>
      </c>
      <c r="H188" s="62">
        <f>H165</f>
        <v>1</v>
      </c>
      <c r="I188" s="190"/>
      <c r="J188" s="85">
        <f>ROUND(PRODUCT(F188:I188),2)</f>
        <v>4.32</v>
      </c>
    </row>
    <row r="189" spans="1:10" x14ac:dyDescent="0.2">
      <c r="A189" s="3"/>
      <c r="B189" s="3"/>
      <c r="C189" s="67"/>
      <c r="D189" s="1"/>
      <c r="E189" s="65"/>
      <c r="F189" s="85"/>
      <c r="G189" s="85"/>
      <c r="H189" s="85"/>
      <c r="I189" s="187" t="str">
        <f>"Total item "&amp;A186</f>
        <v>Total item 6.4</v>
      </c>
      <c r="J189" s="186">
        <f>SUM(J188:J188)</f>
        <v>4.32</v>
      </c>
    </row>
    <row r="190" spans="1:10" x14ac:dyDescent="0.2">
      <c r="A190" s="3"/>
      <c r="B190" s="3"/>
      <c r="C190" s="67"/>
      <c r="D190" s="1"/>
      <c r="E190" s="65"/>
      <c r="F190" s="85"/>
      <c r="G190" s="85"/>
      <c r="H190" s="85"/>
      <c r="I190" s="83"/>
      <c r="J190" s="86"/>
    </row>
    <row r="191" spans="1:10" s="63" customFormat="1" ht="40.799999999999997" x14ac:dyDescent="0.2">
      <c r="A191" s="183" t="str">
        <f>'ORÇAMENTO SEM DESON'!A37</f>
        <v>6.5</v>
      </c>
      <c r="B191" s="5" t="s">
        <v>112</v>
      </c>
      <c r="C191" s="6" t="s">
        <v>132</v>
      </c>
      <c r="D191" s="188" t="str">
        <f>'ORÇAMENTO SEM DESON'!D37</f>
        <v>PINTURA COM TINTA ALQUÍDICA DE ACABAMENTO (ESMALTE SINTÉTICO ACETINADO ) APLICADA A ROLO OU PINCEL SOBRE PERFIL METÁLICO EXECUTADO EM FÁBRICA (POR DEMÃO). AF_01/2020</v>
      </c>
      <c r="E191" s="183" t="str">
        <f>'ORÇAMENTO SEM DESON'!E37</f>
        <v>m²</v>
      </c>
      <c r="F191" s="186"/>
      <c r="G191" s="186"/>
      <c r="H191" s="186"/>
      <c r="I191" s="187"/>
      <c r="J191" s="186"/>
    </row>
    <row r="192" spans="1:10" x14ac:dyDescent="0.2">
      <c r="A192" s="3"/>
      <c r="B192" s="3"/>
      <c r="C192" s="67"/>
      <c r="D192" s="1"/>
      <c r="E192" s="65"/>
      <c r="F192" s="62" t="s">
        <v>163</v>
      </c>
      <c r="G192" s="62" t="s">
        <v>166</v>
      </c>
      <c r="H192" s="62" t="s">
        <v>165</v>
      </c>
      <c r="I192" s="190"/>
      <c r="J192" s="85"/>
    </row>
    <row r="193" spans="1:10" x14ac:dyDescent="0.2">
      <c r="A193" s="3"/>
      <c r="B193" s="3"/>
      <c r="C193" s="67"/>
      <c r="D193" s="1" t="s">
        <v>218</v>
      </c>
      <c r="E193" s="65"/>
      <c r="F193" s="62">
        <f>2.5-1.1</f>
        <v>1.4</v>
      </c>
      <c r="G193" s="62">
        <f>31-3</f>
        <v>28</v>
      </c>
      <c r="H193" s="62"/>
      <c r="I193" s="190"/>
      <c r="J193" s="85">
        <f t="shared" ref="J193" si="15">ROUND(PRODUCT(F193:I193),2)</f>
        <v>39.200000000000003</v>
      </c>
    </row>
    <row r="194" spans="1:10" s="63" customFormat="1" x14ac:dyDescent="0.2">
      <c r="A194" s="3"/>
      <c r="B194" s="3"/>
      <c r="C194" s="67"/>
      <c r="D194" s="1"/>
      <c r="E194" s="65"/>
      <c r="F194" s="85"/>
      <c r="G194" s="85"/>
      <c r="H194" s="85"/>
      <c r="I194" s="187" t="str">
        <f>"Total item "&amp;A191</f>
        <v>Total item 6.5</v>
      </c>
      <c r="J194" s="186">
        <f>SUM(J193:J193)</f>
        <v>39.200000000000003</v>
      </c>
    </row>
    <row r="195" spans="1:10" s="63" customFormat="1" ht="61.2" x14ac:dyDescent="0.2">
      <c r="A195" s="183" t="str">
        <f>'ORÇAMENTO SEM DESON'!A38</f>
        <v>6.6</v>
      </c>
      <c r="B195" s="5" t="s">
        <v>112</v>
      </c>
      <c r="C195" s="6" t="s">
        <v>132</v>
      </c>
      <c r="D195" s="188" t="str">
        <f>'ORÇAMENTO SEM DESON'!D38</f>
        <v>REVESTIMENTO EM PAREDE COM CERAMICA ESMALTADA 
45X45CM, TIPO A, PEI5, ELIANE,PORTO RICO, SA MARSA, ELIZABETH OU SIMILAR, ASSENTADO COM AR 
GAMASSA PRE FABRICADA E REJUNTE DA QUARTZOLIT 
OU SIMILAR (ESPESSURA DA JUNTA DE 6MM) SOBRE 
EMBOCO PRONTO.</v>
      </c>
      <c r="E195" s="183" t="str">
        <f>'ORÇAMENTO SEM DESON'!E38</f>
        <v>m²</v>
      </c>
      <c r="F195" s="186"/>
      <c r="G195" s="186"/>
      <c r="H195" s="186"/>
      <c r="I195" s="187"/>
      <c r="J195" s="186"/>
    </row>
    <row r="196" spans="1:10" s="63" customFormat="1" x14ac:dyDescent="0.2">
      <c r="A196" s="3"/>
      <c r="B196" s="3"/>
      <c r="C196" s="67"/>
      <c r="D196" s="1"/>
      <c r="E196" s="65"/>
      <c r="F196" s="62" t="s">
        <v>163</v>
      </c>
      <c r="G196" s="62" t="s">
        <v>166</v>
      </c>
      <c r="H196" s="62" t="s">
        <v>165</v>
      </c>
      <c r="I196" s="190"/>
      <c r="J196" s="85"/>
    </row>
    <row r="197" spans="1:10" x14ac:dyDescent="0.2">
      <c r="A197" s="3"/>
      <c r="B197" s="3"/>
      <c r="C197" s="67"/>
      <c r="D197" s="1" t="s">
        <v>278</v>
      </c>
      <c r="E197" s="65"/>
      <c r="F197" s="62">
        <f>H188</f>
        <v>1</v>
      </c>
      <c r="G197" s="62">
        <f>G188</f>
        <v>4.32</v>
      </c>
      <c r="H197" s="62"/>
      <c r="I197" s="190"/>
      <c r="J197" s="85">
        <f t="shared" ref="J197" si="16">ROUND(PRODUCT(F197:I197),2)</f>
        <v>4.32</v>
      </c>
    </row>
    <row r="198" spans="1:10" x14ac:dyDescent="0.2">
      <c r="A198" s="3"/>
      <c r="B198" s="3"/>
      <c r="C198" s="67"/>
      <c r="D198" s="1"/>
      <c r="E198" s="65"/>
      <c r="F198" s="85"/>
      <c r="G198" s="85"/>
      <c r="H198" s="85"/>
      <c r="I198" s="187" t="str">
        <f>"Total item "&amp;A195</f>
        <v>Total item 6.6</v>
      </c>
      <c r="J198" s="186">
        <f>SUM(J197:J197)</f>
        <v>4.32</v>
      </c>
    </row>
    <row r="199" spans="1:10" x14ac:dyDescent="0.2">
      <c r="A199" s="3"/>
      <c r="B199" s="3"/>
      <c r="C199" s="67"/>
      <c r="D199" s="1"/>
      <c r="E199" s="65"/>
      <c r="F199" s="85"/>
      <c r="G199" s="85"/>
      <c r="H199" s="85"/>
      <c r="I199" s="83"/>
      <c r="J199" s="86"/>
    </row>
    <row r="200" spans="1:10" s="63" customFormat="1" x14ac:dyDescent="0.2">
      <c r="A200" s="174" t="str">
        <f>'ORÇAMENTO SEM DESON'!A39</f>
        <v>7.0</v>
      </c>
      <c r="B200" s="167"/>
      <c r="C200" s="168"/>
      <c r="D200" s="173" t="str">
        <f>'ORÇAMENTO SEM DESON'!D39</f>
        <v>ESQUADRIAS</v>
      </c>
      <c r="E200" s="167"/>
      <c r="F200" s="181"/>
      <c r="G200" s="181"/>
      <c r="H200" s="181"/>
      <c r="I200" s="182"/>
      <c r="J200" s="181"/>
    </row>
    <row r="201" spans="1:10" s="63" customFormat="1" x14ac:dyDescent="0.2">
      <c r="A201" s="3"/>
      <c r="B201" s="3"/>
      <c r="C201" s="67"/>
      <c r="D201" s="1"/>
      <c r="E201" s="65"/>
      <c r="F201" s="85"/>
      <c r="G201" s="85"/>
      <c r="H201" s="85"/>
      <c r="I201" s="83"/>
      <c r="J201" s="86"/>
    </row>
    <row r="202" spans="1:10" s="64" customFormat="1" ht="20.399999999999999" x14ac:dyDescent="0.2">
      <c r="A202" s="226" t="str">
        <f>'ORÇAMENTO SEM DESON'!A40</f>
        <v>7.1</v>
      </c>
      <c r="B202" s="5" t="s">
        <v>112</v>
      </c>
      <c r="C202" s="6" t="s">
        <v>132</v>
      </c>
      <c r="D202" s="188" t="str">
        <f>'ORÇAMENTO SEM DESON'!D40</f>
        <v>GRADE DE FERRO TUBULAR C/MOLDURA EM BARRA CHATA DE FERRO</v>
      </c>
      <c r="E202" s="183" t="str">
        <f>'ORÇAMENTO SEM DESON'!E40</f>
        <v>m²</v>
      </c>
      <c r="F202" s="186"/>
      <c r="G202" s="186"/>
      <c r="H202" s="186"/>
      <c r="I202" s="187"/>
      <c r="J202" s="186"/>
    </row>
    <row r="203" spans="1:10" x14ac:dyDescent="0.2">
      <c r="A203" s="3"/>
      <c r="B203" s="3"/>
      <c r="C203" s="67"/>
      <c r="D203" s="1"/>
      <c r="E203" s="65"/>
      <c r="F203" s="62" t="s">
        <v>164</v>
      </c>
      <c r="G203" s="62" t="s">
        <v>168</v>
      </c>
      <c r="H203" s="85"/>
      <c r="I203" s="84"/>
      <c r="J203" s="85"/>
    </row>
    <row r="204" spans="1:10" s="63" customFormat="1" x14ac:dyDescent="0.2">
      <c r="A204" s="3"/>
      <c r="B204" s="3"/>
      <c r="C204" s="67"/>
      <c r="D204" s="1" t="s">
        <v>216</v>
      </c>
      <c r="E204" s="65"/>
      <c r="F204" s="62">
        <f>G193</f>
        <v>28</v>
      </c>
      <c r="G204" s="62">
        <v>1.4</v>
      </c>
      <c r="H204" s="62"/>
      <c r="I204" s="191"/>
      <c r="J204" s="85">
        <f t="shared" ref="J204" si="17">ROUND(PRODUCT(F204:I204),2)</f>
        <v>39.200000000000003</v>
      </c>
    </row>
    <row r="205" spans="1:10" s="63" customFormat="1" x14ac:dyDescent="0.2">
      <c r="A205" s="3"/>
      <c r="B205" s="3"/>
      <c r="C205" s="4"/>
      <c r="D205" s="58"/>
      <c r="E205" s="3"/>
      <c r="F205" s="86"/>
      <c r="G205" s="86"/>
      <c r="H205" s="86"/>
      <c r="I205" s="227" t="str">
        <f>"Total item "&amp;A202</f>
        <v>Total item 7.1</v>
      </c>
      <c r="J205" s="186">
        <f>SUM(J204)</f>
        <v>39.200000000000003</v>
      </c>
    </row>
    <row r="206" spans="1:10" s="63" customFormat="1" x14ac:dyDescent="0.2">
      <c r="A206" s="3"/>
      <c r="B206" s="3"/>
      <c r="C206" s="4"/>
      <c r="D206" s="58"/>
      <c r="E206" s="3"/>
      <c r="F206" s="86"/>
      <c r="G206" s="86"/>
      <c r="H206" s="86"/>
      <c r="I206" s="83"/>
      <c r="J206" s="86"/>
    </row>
    <row r="207" spans="1:10" s="63" customFormat="1" ht="20.399999999999999" x14ac:dyDescent="0.2">
      <c r="A207" s="226" t="str">
        <f>'ORÇAMENTO SEM DESON'!A41</f>
        <v>7.2</v>
      </c>
      <c r="B207" s="5" t="s">
        <v>112</v>
      </c>
      <c r="C207" s="6" t="s">
        <v>132</v>
      </c>
      <c r="D207" s="188" t="str">
        <f>'ORÇAMENTO SEM DESON'!D41</f>
        <v>PORTÃO DE ALUMÍNIO EM TUBOS DE 20 mm (FORNECIMENTO E MONTAGEM)</v>
      </c>
      <c r="E207" s="183" t="str">
        <f>'ORÇAMENTO SEM DESON'!E41</f>
        <v>m²</v>
      </c>
      <c r="F207" s="186"/>
      <c r="G207" s="186"/>
      <c r="H207" s="186"/>
      <c r="I207" s="187"/>
      <c r="J207" s="186"/>
    </row>
    <row r="208" spans="1:10" s="63" customFormat="1" x14ac:dyDescent="0.2">
      <c r="A208" s="3"/>
      <c r="B208" s="3"/>
      <c r="C208" s="67"/>
      <c r="D208" s="1"/>
      <c r="E208" s="65"/>
      <c r="F208" s="62" t="s">
        <v>164</v>
      </c>
      <c r="G208" s="62" t="s">
        <v>168</v>
      </c>
      <c r="H208" s="62"/>
      <c r="I208" s="84"/>
      <c r="J208" s="85"/>
    </row>
    <row r="209" spans="1:10" s="63" customFormat="1" x14ac:dyDescent="0.2">
      <c r="A209" s="3"/>
      <c r="B209" s="3"/>
      <c r="C209" s="67"/>
      <c r="D209" s="1" t="s">
        <v>204</v>
      </c>
      <c r="E209" s="65" t="s">
        <v>8</v>
      </c>
      <c r="F209" s="62">
        <v>3</v>
      </c>
      <c r="G209" s="62">
        <v>2.5</v>
      </c>
      <c r="H209" s="62"/>
      <c r="I209" s="84"/>
      <c r="J209" s="85">
        <f t="shared" ref="J209:J210" si="18">ROUND(PRODUCT(F209:I209),2)</f>
        <v>7.5</v>
      </c>
    </row>
    <row r="210" spans="1:10" s="63" customFormat="1" x14ac:dyDescent="0.2">
      <c r="A210" s="3"/>
      <c r="B210" s="3"/>
      <c r="C210" s="67"/>
      <c r="D210" s="1" t="s">
        <v>219</v>
      </c>
      <c r="E210" s="65" t="s">
        <v>8</v>
      </c>
      <c r="F210" s="62">
        <v>1.7</v>
      </c>
      <c r="G210" s="62">
        <v>2.5</v>
      </c>
      <c r="H210" s="62"/>
      <c r="I210" s="191"/>
      <c r="J210" s="85">
        <f t="shared" si="18"/>
        <v>4.25</v>
      </c>
    </row>
    <row r="211" spans="1:10" s="63" customFormat="1" x14ac:dyDescent="0.2">
      <c r="A211" s="3"/>
      <c r="B211" s="3"/>
      <c r="C211" s="4"/>
      <c r="D211" s="58"/>
      <c r="E211" s="3"/>
      <c r="F211" s="86"/>
      <c r="G211" s="86"/>
      <c r="H211" s="86"/>
      <c r="I211" s="227" t="str">
        <f>"Total item "&amp;A207</f>
        <v>Total item 7.2</v>
      </c>
      <c r="J211" s="186">
        <f>SUM(J209:J210)</f>
        <v>11.75</v>
      </c>
    </row>
    <row r="212" spans="1:10" s="63" customFormat="1" ht="51" x14ac:dyDescent="0.2">
      <c r="A212" s="226" t="str">
        <f>'ORÇAMENTO SEM DESON'!A42</f>
        <v>7.3</v>
      </c>
      <c r="B212" s="5"/>
      <c r="C212" s="6"/>
      <c r="D212" s="188" t="str">
        <f>'ORÇAMENTO SEM DESON'!D42</f>
        <v>JANELA DE ALUMÍNIO DE CORRER COM 2 FOLHAS PARA VIDROS, COM VIDROS, BATENTE, ACABAMENTO COM ACETATO OU BRILHANTE E FERRAGENS. EXCLUSIVE ALIZAR E CONTRAMARCO. FORNECIMENTO E INSTALAÇÃO. AF_12/2019</v>
      </c>
      <c r="E212" s="183" t="str">
        <f>'ORÇAMENTO SEM DESON'!E42</f>
        <v>m²</v>
      </c>
      <c r="F212" s="186"/>
      <c r="G212" s="186"/>
      <c r="H212" s="186"/>
      <c r="I212" s="187"/>
      <c r="J212" s="186"/>
    </row>
    <row r="213" spans="1:10" s="63" customFormat="1" x14ac:dyDescent="0.2">
      <c r="A213" s="3"/>
      <c r="B213" s="3"/>
      <c r="C213" s="67"/>
      <c r="D213" s="1"/>
      <c r="E213" s="65"/>
      <c r="F213" s="62" t="s">
        <v>164</v>
      </c>
      <c r="G213" s="62" t="s">
        <v>168</v>
      </c>
      <c r="H213" s="62"/>
      <c r="I213" s="84"/>
      <c r="J213" s="85"/>
    </row>
    <row r="214" spans="1:10" s="63" customFormat="1" x14ac:dyDescent="0.2">
      <c r="A214" s="3"/>
      <c r="B214" s="3"/>
      <c r="C214" s="67"/>
      <c r="D214" s="1" t="s">
        <v>278</v>
      </c>
      <c r="E214" s="65" t="s">
        <v>8</v>
      </c>
      <c r="F214" s="62">
        <v>1.67</v>
      </c>
      <c r="G214" s="62">
        <v>1.23</v>
      </c>
      <c r="H214" s="62"/>
      <c r="I214" s="84"/>
      <c r="J214" s="85">
        <f>ROUND(PRODUCT(F214:I214),2)</f>
        <v>2.0499999999999998</v>
      </c>
    </row>
    <row r="215" spans="1:10" s="63" customFormat="1" x14ac:dyDescent="0.2">
      <c r="A215" s="3"/>
      <c r="B215" s="3"/>
      <c r="C215" s="67"/>
      <c r="D215" s="1"/>
      <c r="E215" s="65"/>
      <c r="F215" s="62">
        <v>2.12</v>
      </c>
      <c r="G215" s="62">
        <v>1.23</v>
      </c>
      <c r="H215" s="62"/>
      <c r="I215" s="84"/>
      <c r="J215" s="85">
        <f t="shared" ref="J215:J216" si="19">ROUND(PRODUCT(F215:I215),2)</f>
        <v>2.61</v>
      </c>
    </row>
    <row r="216" spans="1:10" s="63" customFormat="1" x14ac:dyDescent="0.2">
      <c r="A216" s="3"/>
      <c r="B216" s="3"/>
      <c r="C216" s="67"/>
      <c r="D216" s="1"/>
      <c r="E216" s="65"/>
      <c r="F216" s="62">
        <v>2.2000000000000002</v>
      </c>
      <c r="G216" s="62">
        <v>1.23</v>
      </c>
      <c r="H216" s="62"/>
      <c r="I216" s="84"/>
      <c r="J216" s="85">
        <f t="shared" si="19"/>
        <v>2.71</v>
      </c>
    </row>
    <row r="217" spans="1:10" x14ac:dyDescent="0.2">
      <c r="A217" s="3"/>
      <c r="B217" s="3"/>
      <c r="C217" s="4"/>
      <c r="D217" s="58"/>
      <c r="E217" s="3"/>
      <c r="F217" s="86"/>
      <c r="G217" s="86"/>
      <c r="H217" s="86"/>
      <c r="I217" s="227" t="str">
        <f>"Total item "&amp;A212</f>
        <v>Total item 7.3</v>
      </c>
      <c r="J217" s="186">
        <f>SUM(J214:J216)</f>
        <v>7.37</v>
      </c>
    </row>
    <row r="218" spans="1:10" x14ac:dyDescent="0.2">
      <c r="A218" s="226" t="str">
        <f>'ORÇAMENTO SEM DESON'!A43</f>
        <v>7.4</v>
      </c>
      <c r="B218" s="5"/>
      <c r="C218" s="6"/>
      <c r="D218" s="188" t="str">
        <f>'ORÇAMENTO SEM DESON'!D43</f>
        <v>PEITORIL DE GRANITO L= 15 cm</v>
      </c>
      <c r="E218" s="183" t="str">
        <f>'ORÇAMENTO SEM DESON'!E43</f>
        <v>m</v>
      </c>
      <c r="F218" s="186"/>
      <c r="G218" s="186"/>
      <c r="H218" s="186"/>
      <c r="I218" s="187"/>
      <c r="J218" s="186"/>
    </row>
    <row r="219" spans="1:10" x14ac:dyDescent="0.2">
      <c r="A219" s="3"/>
      <c r="B219" s="3"/>
      <c r="C219" s="67"/>
      <c r="D219" s="1"/>
      <c r="E219" s="65"/>
      <c r="F219" s="62" t="s">
        <v>164</v>
      </c>
      <c r="G219" s="62"/>
      <c r="H219" s="62"/>
      <c r="I219" s="84"/>
      <c r="J219" s="85"/>
    </row>
    <row r="220" spans="1:10" x14ac:dyDescent="0.2">
      <c r="A220" s="3"/>
      <c r="B220" s="3"/>
      <c r="C220" s="67"/>
      <c r="D220" s="1" t="s">
        <v>303</v>
      </c>
      <c r="E220" s="65"/>
      <c r="F220" s="62">
        <f>1.67+0.05+0.05</f>
        <v>1.77</v>
      </c>
      <c r="G220" s="62"/>
      <c r="H220" s="62"/>
      <c r="I220" s="84"/>
      <c r="J220" s="85">
        <f>ROUND(PRODUCT(F220:I220),2)</f>
        <v>1.77</v>
      </c>
    </row>
    <row r="221" spans="1:10" x14ac:dyDescent="0.2">
      <c r="A221" s="3"/>
      <c r="B221" s="3"/>
      <c r="C221" s="67"/>
      <c r="D221" s="1" t="s">
        <v>303</v>
      </c>
      <c r="E221" s="65"/>
      <c r="F221" s="62">
        <f>2.12+0.05+0.05</f>
        <v>2.2199999999999998</v>
      </c>
      <c r="G221" s="62"/>
      <c r="H221" s="62"/>
      <c r="I221" s="84"/>
      <c r="J221" s="85">
        <f t="shared" ref="J221:J222" si="20">ROUND(PRODUCT(F221:I221),2)</f>
        <v>2.2200000000000002</v>
      </c>
    </row>
    <row r="222" spans="1:10" x14ac:dyDescent="0.2">
      <c r="A222" s="3"/>
      <c r="B222" s="3"/>
      <c r="C222" s="67"/>
      <c r="D222" s="1" t="s">
        <v>303</v>
      </c>
      <c r="E222" s="65"/>
      <c r="F222" s="62">
        <f>2.2+0.05+0.05</f>
        <v>2.2999999999999998</v>
      </c>
      <c r="G222" s="62"/>
      <c r="H222" s="62"/>
      <c r="I222" s="84"/>
      <c r="J222" s="85">
        <f t="shared" si="20"/>
        <v>2.2999999999999998</v>
      </c>
    </row>
    <row r="223" spans="1:10" x14ac:dyDescent="0.2">
      <c r="A223" s="3"/>
      <c r="B223" s="3"/>
      <c r="C223" s="4"/>
      <c r="D223" s="58"/>
      <c r="E223" s="3"/>
      <c r="F223" s="86"/>
      <c r="G223" s="86"/>
      <c r="H223" s="86"/>
      <c r="I223" s="227" t="str">
        <f>"Total item "&amp;A218</f>
        <v>Total item 7.4</v>
      </c>
      <c r="J223" s="186">
        <f>SUM(J220:J222)</f>
        <v>6.29</v>
      </c>
    </row>
    <row r="224" spans="1:10" x14ac:dyDescent="0.2">
      <c r="A224" s="3"/>
      <c r="B224" s="3"/>
      <c r="C224" s="4"/>
      <c r="D224" s="58"/>
      <c r="E224" s="3"/>
      <c r="F224" s="86"/>
      <c r="G224" s="86"/>
      <c r="H224" s="86"/>
      <c r="I224" s="83"/>
      <c r="J224" s="86"/>
    </row>
    <row r="225" spans="1:10" x14ac:dyDescent="0.2">
      <c r="A225" s="174" t="str">
        <f>'ORÇAMENTO SEM DESON'!A44</f>
        <v>8.0</v>
      </c>
      <c r="B225" s="217"/>
      <c r="C225" s="168"/>
      <c r="D225" s="173" t="str">
        <f>'ORÇAMENTO SEM DESON'!D44</f>
        <v>COBERTA</v>
      </c>
      <c r="E225" s="217"/>
      <c r="F225" s="181"/>
      <c r="G225" s="181"/>
      <c r="H225" s="181"/>
      <c r="I225" s="182"/>
      <c r="J225" s="181"/>
    </row>
    <row r="226" spans="1:10" x14ac:dyDescent="0.2">
      <c r="A226" s="3"/>
      <c r="B226" s="3"/>
      <c r="C226" s="67"/>
      <c r="D226" s="57"/>
      <c r="E226" s="65"/>
      <c r="F226" s="85"/>
      <c r="G226" s="85"/>
      <c r="H226" s="85"/>
      <c r="I226" s="83"/>
      <c r="J226" s="86"/>
    </row>
    <row r="227" spans="1:10" s="63" customFormat="1" ht="20.399999999999999" x14ac:dyDescent="0.2">
      <c r="A227" s="183" t="str">
        <f>'ORÇAMENTO SEM DESON'!A45</f>
        <v>8.1</v>
      </c>
      <c r="B227" s="5" t="s">
        <v>112</v>
      </c>
      <c r="C227" s="6" t="s">
        <v>132</v>
      </c>
      <c r="D227" s="188" t="str">
        <f>'ORÇAMENTO SEM DESON'!D45</f>
        <v>CALHA DE CHAPA GALVANIZADA 26 DESENVOLVIMENTO 33cm</v>
      </c>
      <c r="E227" s="183" t="str">
        <f>'ORÇAMENTO SEM DESON'!E45</f>
        <v>m</v>
      </c>
      <c r="F227" s="186"/>
      <c r="G227" s="186"/>
      <c r="H227" s="186"/>
      <c r="I227" s="187"/>
      <c r="J227" s="186"/>
    </row>
    <row r="228" spans="1:10" s="63" customFormat="1" x14ac:dyDescent="0.2">
      <c r="A228" s="3"/>
      <c r="B228" s="3"/>
      <c r="C228" s="67"/>
      <c r="D228" s="1"/>
      <c r="E228" s="65"/>
      <c r="F228" s="62" t="s">
        <v>164</v>
      </c>
      <c r="G228" s="85" t="s">
        <v>165</v>
      </c>
      <c r="H228" s="85"/>
      <c r="I228" s="84"/>
      <c r="J228" s="85"/>
    </row>
    <row r="229" spans="1:10" s="63" customFormat="1" x14ac:dyDescent="0.2">
      <c r="A229" s="3"/>
      <c r="B229" s="3"/>
      <c r="C229" s="67"/>
      <c r="D229" s="1" t="s">
        <v>153</v>
      </c>
      <c r="E229" s="65"/>
      <c r="F229" s="62">
        <v>5.9</v>
      </c>
      <c r="G229" s="85">
        <v>4</v>
      </c>
      <c r="H229" s="85"/>
      <c r="I229" s="84"/>
      <c r="J229" s="85">
        <f>ROUND(PRODUCT(F229:I229),2)</f>
        <v>23.6</v>
      </c>
    </row>
    <row r="230" spans="1:10" x14ac:dyDescent="0.2">
      <c r="A230" s="3"/>
      <c r="B230" s="3"/>
      <c r="C230" s="4"/>
      <c r="D230" s="1"/>
      <c r="E230" s="3"/>
      <c r="F230" s="86"/>
      <c r="G230" s="86"/>
      <c r="H230" s="86"/>
      <c r="I230" s="187" t="str">
        <f>"Total item "&amp;A227</f>
        <v>Total item 8.1</v>
      </c>
      <c r="J230" s="186">
        <f>SUM(J229)</f>
        <v>23.6</v>
      </c>
    </row>
    <row r="231" spans="1:10" ht="20.399999999999999" x14ac:dyDescent="0.2">
      <c r="A231" s="183" t="str">
        <f>'ORÇAMENTO SEM DESON'!A46</f>
        <v>8.2</v>
      </c>
      <c r="B231" s="5" t="s">
        <v>112</v>
      </c>
      <c r="C231" s="6" t="s">
        <v>132</v>
      </c>
      <c r="D231" s="188" t="str">
        <f>'ORÇAMENTO SEM DESON'!D46</f>
        <v>RUFO EM CHAPA DE ALUMÍNIO LISA 22, ESP.=0,71MM, INCLUSO TRANSPORTE VERTICAL</v>
      </c>
      <c r="E231" s="183" t="str">
        <f>'ORÇAMENTO SEM DESON'!E46</f>
        <v>m²</v>
      </c>
      <c r="F231" s="186"/>
      <c r="G231" s="186"/>
      <c r="H231" s="186"/>
      <c r="I231" s="187"/>
      <c r="J231" s="186"/>
    </row>
    <row r="232" spans="1:10" x14ac:dyDescent="0.2">
      <c r="A232" s="3"/>
      <c r="B232" s="3"/>
      <c r="C232" s="67"/>
      <c r="D232" s="1"/>
      <c r="E232" s="65"/>
      <c r="F232" s="85" t="s">
        <v>167</v>
      </c>
      <c r="G232" s="85" t="s">
        <v>164</v>
      </c>
      <c r="H232" s="85"/>
      <c r="I232" s="84"/>
      <c r="J232" s="85"/>
    </row>
    <row r="233" spans="1:10" x14ac:dyDescent="0.2">
      <c r="A233" s="3"/>
      <c r="B233" s="3"/>
      <c r="C233" s="67"/>
      <c r="D233" s="1" t="s">
        <v>263</v>
      </c>
      <c r="E233" s="65"/>
      <c r="F233" s="62">
        <f>0.3+0.15</f>
        <v>0.44999999999999996</v>
      </c>
      <c r="G233" s="62">
        <v>3.4</v>
      </c>
      <c r="H233" s="85"/>
      <c r="I233" s="84"/>
      <c r="J233" s="85">
        <f>ROUND(PRODUCT(F233:I233),2)</f>
        <v>1.53</v>
      </c>
    </row>
    <row r="234" spans="1:10" x14ac:dyDescent="0.2">
      <c r="A234" s="3"/>
      <c r="B234" s="3"/>
      <c r="C234" s="4"/>
      <c r="D234" s="1"/>
      <c r="E234" s="3"/>
      <c r="F234" s="86"/>
      <c r="G234" s="86"/>
      <c r="H234" s="86"/>
      <c r="I234" s="187" t="str">
        <f>"Total item "&amp;A231</f>
        <v>Total item 8.2</v>
      </c>
      <c r="J234" s="186">
        <f>SUM(J233:J233)</f>
        <v>1.53</v>
      </c>
    </row>
    <row r="235" spans="1:10" ht="20.399999999999999" x14ac:dyDescent="0.2">
      <c r="A235" s="183" t="str">
        <f>'ORÇAMENTO SEM DESON'!A47</f>
        <v>8.3</v>
      </c>
      <c r="B235" s="5"/>
      <c r="C235" s="6"/>
      <c r="D235" s="188" t="str">
        <f>'ORÇAMENTO SEM DESON'!D47</f>
        <v>JOELHO PVC BRANCO P/ESGOTO D=100mm (4") - JUNTA C/ANÉIS</v>
      </c>
      <c r="E235" s="183" t="str">
        <f>'ORÇAMENTO SEM DESON'!E47</f>
        <v>un</v>
      </c>
      <c r="F235" s="186"/>
      <c r="G235" s="186"/>
      <c r="H235" s="186"/>
      <c r="I235" s="187"/>
      <c r="J235" s="186"/>
    </row>
    <row r="236" spans="1:10" x14ac:dyDescent="0.2">
      <c r="A236" s="3"/>
      <c r="B236" s="3"/>
      <c r="C236" s="67"/>
      <c r="D236" s="1" t="s">
        <v>259</v>
      </c>
      <c r="E236" s="65"/>
      <c r="F236" s="62"/>
      <c r="G236" s="85" t="s">
        <v>165</v>
      </c>
      <c r="H236" s="85"/>
      <c r="I236" s="84"/>
      <c r="J236" s="85"/>
    </row>
    <row r="237" spans="1:10" x14ac:dyDescent="0.2">
      <c r="A237" s="3"/>
      <c r="B237" s="3"/>
      <c r="C237" s="67"/>
      <c r="D237" s="1"/>
      <c r="E237" s="65"/>
      <c r="F237" s="62"/>
      <c r="G237" s="85">
        <f>3*4</f>
        <v>12</v>
      </c>
      <c r="H237" s="85"/>
      <c r="I237" s="84"/>
      <c r="J237" s="85">
        <f>ROUND(PRODUCT(F237:I237),2)</f>
        <v>12</v>
      </c>
    </row>
    <row r="238" spans="1:10" x14ac:dyDescent="0.2">
      <c r="A238" s="3"/>
      <c r="B238" s="3"/>
      <c r="C238" s="4"/>
      <c r="D238" s="1"/>
      <c r="E238" s="3"/>
      <c r="F238" s="86"/>
      <c r="G238" s="86"/>
      <c r="H238" s="86"/>
      <c r="I238" s="187" t="str">
        <f>"Total item "&amp;A235</f>
        <v>Total item 8.3</v>
      </c>
      <c r="J238" s="186">
        <f>SUM(J237)</f>
        <v>12</v>
      </c>
    </row>
    <row r="239" spans="1:10" ht="20.399999999999999" x14ac:dyDescent="0.2">
      <c r="A239" s="183" t="str">
        <f>'ORÇAMENTO SEM DESON'!A48</f>
        <v>8.4</v>
      </c>
      <c r="B239" s="5" t="s">
        <v>112</v>
      </c>
      <c r="C239" s="6" t="s">
        <v>132</v>
      </c>
      <c r="D239" s="188" t="str">
        <f>'ORÇAMENTO SEM DESON'!D48</f>
        <v>TUBO PVC BRANCO P/ESGOTO D=100mm (4") - JUNTA C/ANÉIS</v>
      </c>
      <c r="E239" s="183" t="str">
        <f>'ORÇAMENTO SEM DESON'!E48</f>
        <v>m</v>
      </c>
      <c r="F239" s="186"/>
      <c r="G239" s="186"/>
      <c r="H239" s="186"/>
      <c r="I239" s="187"/>
      <c r="J239" s="186"/>
    </row>
    <row r="240" spans="1:10" x14ac:dyDescent="0.2">
      <c r="A240" s="3"/>
      <c r="B240" s="3"/>
      <c r="C240" s="67"/>
      <c r="D240" s="1"/>
      <c r="E240" s="65"/>
      <c r="F240" s="62" t="s">
        <v>164</v>
      </c>
      <c r="G240" s="85" t="s">
        <v>165</v>
      </c>
      <c r="H240" s="85"/>
      <c r="I240" s="84"/>
      <c r="J240" s="85"/>
    </row>
    <row r="241" spans="1:10" x14ac:dyDescent="0.2">
      <c r="A241" s="3"/>
      <c r="B241" s="3"/>
      <c r="C241" s="67"/>
      <c r="D241" s="1" t="s">
        <v>259</v>
      </c>
      <c r="E241" s="65"/>
      <c r="F241" s="62">
        <v>15</v>
      </c>
      <c r="G241" s="85">
        <v>2</v>
      </c>
      <c r="H241" s="85"/>
      <c r="I241" s="84"/>
      <c r="J241" s="85">
        <f>ROUND(PRODUCT(F241:I241),2)</f>
        <v>30</v>
      </c>
    </row>
    <row r="242" spans="1:10" x14ac:dyDescent="0.2">
      <c r="A242" s="3"/>
      <c r="B242" s="3"/>
      <c r="C242" s="67"/>
      <c r="D242" s="1" t="s">
        <v>259</v>
      </c>
      <c r="E242" s="65"/>
      <c r="F242" s="62">
        <v>12</v>
      </c>
      <c r="G242" s="85">
        <v>2</v>
      </c>
      <c r="H242" s="85"/>
      <c r="I242" s="84"/>
      <c r="J242" s="85">
        <f>ROUND(PRODUCT(F242:I242),2)</f>
        <v>24</v>
      </c>
    </row>
    <row r="243" spans="1:10" x14ac:dyDescent="0.2">
      <c r="A243" s="3"/>
      <c r="B243" s="3"/>
      <c r="C243" s="4"/>
      <c r="D243" s="1"/>
      <c r="E243" s="3"/>
      <c r="F243" s="86"/>
      <c r="G243" s="86"/>
      <c r="H243" s="86"/>
      <c r="I243" s="187" t="str">
        <f>"Total item "&amp;A239</f>
        <v>Total item 8.4</v>
      </c>
      <c r="J243" s="186">
        <f>SUM(J241:J242)</f>
        <v>54</v>
      </c>
    </row>
    <row r="244" spans="1:10" x14ac:dyDescent="0.2">
      <c r="A244" s="3"/>
      <c r="B244" s="3"/>
      <c r="C244" s="4"/>
      <c r="D244" s="1"/>
      <c r="E244" s="3"/>
      <c r="F244" s="86"/>
      <c r="G244" s="86"/>
      <c r="H244" s="86"/>
      <c r="I244" s="83"/>
      <c r="J244" s="86"/>
    </row>
    <row r="245" spans="1:10" x14ac:dyDescent="0.2">
      <c r="A245" s="174" t="str">
        <f>'ORÇAMENTO SEM DESON'!A49</f>
        <v>9.0</v>
      </c>
      <c r="B245" s="217"/>
      <c r="C245" s="168"/>
      <c r="D245" s="173" t="str">
        <f>'ORÇAMENTO SEM DESON'!D49</f>
        <v>INSTALAÇÕES ELÉTRICAS</v>
      </c>
      <c r="E245" s="217"/>
      <c r="F245" s="181"/>
      <c r="G245" s="181"/>
      <c r="H245" s="181"/>
      <c r="I245" s="182"/>
      <c r="J245" s="181"/>
    </row>
    <row r="246" spans="1:10" x14ac:dyDescent="0.2">
      <c r="A246" s="3"/>
      <c r="B246" s="3"/>
      <c r="C246" s="67"/>
      <c r="D246" s="57"/>
      <c r="E246" s="65"/>
      <c r="F246" s="85"/>
      <c r="G246" s="85"/>
      <c r="H246" s="85"/>
      <c r="I246" s="83"/>
      <c r="J246" s="86"/>
    </row>
    <row r="247" spans="1:10" ht="30.6" x14ac:dyDescent="0.2">
      <c r="A247" s="183" t="str">
        <f>'ORÇAMENTO SEM DESON'!A50</f>
        <v>9.1</v>
      </c>
      <c r="B247" s="5"/>
      <c r="C247" s="6"/>
      <c r="D247" s="188" t="str">
        <f>'ORÇAMENTO SEM DESON'!D50</f>
        <v>PONTO DE LUZ EM TETO OU PAREDE, INCLUINDO CAIXA 4 X 4 POL. TIGREFLEX OU SIMILAR, TUBULACAO PVC RIGIDO E FIACAO, ATE O QUADRO DE DISTRIBUICAO.</v>
      </c>
      <c r="E247" s="183" t="str">
        <f>'ORÇAMENTO SEM DESON'!E50</f>
        <v>pt</v>
      </c>
      <c r="F247" s="186"/>
      <c r="G247" s="186"/>
      <c r="H247" s="186"/>
      <c r="I247" s="187"/>
      <c r="J247" s="186"/>
    </row>
    <row r="248" spans="1:10" x14ac:dyDescent="0.2">
      <c r="A248" s="3"/>
      <c r="B248" s="3"/>
      <c r="C248" s="67"/>
      <c r="D248" s="1"/>
      <c r="E248" s="65"/>
      <c r="F248" s="62" t="s">
        <v>169</v>
      </c>
      <c r="G248" s="85"/>
      <c r="H248" s="85"/>
      <c r="I248" s="84"/>
      <c r="J248" s="85"/>
    </row>
    <row r="249" spans="1:10" x14ac:dyDescent="0.2">
      <c r="A249" s="3"/>
      <c r="B249" s="3"/>
      <c r="C249" s="67"/>
      <c r="D249" s="1" t="s">
        <v>296</v>
      </c>
      <c r="E249" s="65"/>
      <c r="F249" s="62">
        <v>3</v>
      </c>
      <c r="G249" s="85"/>
      <c r="H249" s="85"/>
      <c r="I249" s="84"/>
      <c r="J249" s="85">
        <f>ROUND(PRODUCT(F249:I249),2)</f>
        <v>3</v>
      </c>
    </row>
    <row r="250" spans="1:10" x14ac:dyDescent="0.2">
      <c r="A250" s="3"/>
      <c r="B250" s="3"/>
      <c r="C250" s="4"/>
      <c r="D250" s="1"/>
      <c r="E250" s="3"/>
      <c r="F250" s="86"/>
      <c r="G250" s="86"/>
      <c r="H250" s="86"/>
      <c r="I250" s="187" t="str">
        <f>"Total item "&amp;A247</f>
        <v>Total item 9.1</v>
      </c>
      <c r="J250" s="186">
        <f>SUM(J249)</f>
        <v>3</v>
      </c>
    </row>
    <row r="251" spans="1:10" x14ac:dyDescent="0.2">
      <c r="A251" s="3"/>
      <c r="B251" s="3"/>
      <c r="C251" s="4"/>
      <c r="D251" s="1"/>
      <c r="E251" s="3"/>
      <c r="F251" s="86"/>
      <c r="G251" s="86"/>
      <c r="H251" s="86"/>
      <c r="I251" s="83"/>
      <c r="J251" s="86"/>
    </row>
    <row r="252" spans="1:10" ht="20.399999999999999" x14ac:dyDescent="0.2">
      <c r="A252" s="183" t="str">
        <f>'ORÇAMENTO SEM DESON'!A51</f>
        <v>9.2</v>
      </c>
      <c r="B252" s="5"/>
      <c r="C252" s="6"/>
      <c r="D252" s="188" t="str">
        <f>'ORÇAMENTO SEM DESON'!D51</f>
        <v>LUMINÁRIA TIPO PLAFON CIRCULAR, DE SOBREPOR, COM LED DE 12/13 W - FORNECIMENTO E INSTALAÇÃO. AF_03/2022</v>
      </c>
      <c r="E252" s="183" t="str">
        <f>'ORÇAMENTO SEM DESON'!E51</f>
        <v>un</v>
      </c>
      <c r="F252" s="186"/>
      <c r="G252" s="186"/>
      <c r="H252" s="186"/>
      <c r="I252" s="187"/>
      <c r="J252" s="186"/>
    </row>
    <row r="253" spans="1:10" x14ac:dyDescent="0.2">
      <c r="A253" s="3"/>
      <c r="B253" s="3"/>
      <c r="C253" s="67"/>
      <c r="D253" s="1"/>
      <c r="E253" s="65"/>
      <c r="F253" s="62" t="s">
        <v>169</v>
      </c>
      <c r="G253" s="85"/>
      <c r="H253" s="96"/>
      <c r="I253" s="84"/>
      <c r="J253" s="85"/>
    </row>
    <row r="254" spans="1:10" x14ac:dyDescent="0.2">
      <c r="A254" s="3"/>
      <c r="B254" s="3"/>
      <c r="C254" s="67"/>
      <c r="D254" s="1" t="s">
        <v>296</v>
      </c>
      <c r="E254" s="65"/>
      <c r="F254" s="62">
        <v>1</v>
      </c>
      <c r="G254" s="85"/>
      <c r="H254" s="85"/>
      <c r="I254" s="84"/>
      <c r="J254" s="85">
        <f>ROUND(PRODUCT(F254:I254),2)</f>
        <v>1</v>
      </c>
    </row>
    <row r="255" spans="1:10" x14ac:dyDescent="0.2">
      <c r="A255" s="3"/>
      <c r="B255" s="3"/>
      <c r="C255" s="4"/>
      <c r="D255" s="1"/>
      <c r="E255" s="3"/>
      <c r="F255" s="59"/>
      <c r="G255" s="59"/>
      <c r="H255" s="86"/>
      <c r="I255" s="187" t="str">
        <f>"Total item "&amp;A252</f>
        <v>Total item 9.2</v>
      </c>
      <c r="J255" s="186">
        <f>SUM(J254:J254)</f>
        <v>1</v>
      </c>
    </row>
    <row r="256" spans="1:10" ht="20.399999999999999" x14ac:dyDescent="0.2">
      <c r="A256" s="183" t="str">
        <f>'ORÇAMENTO SEM DESON'!A52</f>
        <v>9.3</v>
      </c>
      <c r="B256" s="5"/>
      <c r="C256" s="6"/>
      <c r="D256" s="188" t="str">
        <f>'ORÇAMENTO SEM DESON'!D52</f>
        <v>LUMINARIA LED REFLETOR RETANGULAR BIVOLT, LUZ BRANCA, 10 W</v>
      </c>
      <c r="E256" s="183" t="str">
        <f>'ORÇAMENTO SEM DESON'!E52</f>
        <v>un</v>
      </c>
      <c r="F256" s="186"/>
      <c r="G256" s="186"/>
      <c r="H256" s="186"/>
      <c r="I256" s="187"/>
      <c r="J256" s="186"/>
    </row>
    <row r="257" spans="1:10" x14ac:dyDescent="0.2">
      <c r="A257" s="3"/>
      <c r="B257" s="3"/>
      <c r="C257" s="67"/>
      <c r="D257" s="1"/>
      <c r="E257" s="65"/>
      <c r="F257" s="62" t="s">
        <v>169</v>
      </c>
      <c r="G257" s="85"/>
      <c r="H257" s="96"/>
      <c r="I257" s="84"/>
      <c r="J257" s="85"/>
    </row>
    <row r="258" spans="1:10" x14ac:dyDescent="0.2">
      <c r="A258" s="3"/>
      <c r="B258" s="3"/>
      <c r="C258" s="67"/>
      <c r="D258" s="1" t="s">
        <v>309</v>
      </c>
      <c r="E258" s="65"/>
      <c r="F258" s="62">
        <v>2</v>
      </c>
      <c r="G258" s="62"/>
      <c r="H258" s="85"/>
      <c r="I258" s="84"/>
      <c r="J258" s="85">
        <f>ROUND(PRODUCT(F258:I258),2)</f>
        <v>2</v>
      </c>
    </row>
    <row r="259" spans="1:10" x14ac:dyDescent="0.2">
      <c r="A259" s="3"/>
      <c r="B259" s="3"/>
      <c r="C259" s="4"/>
      <c r="D259" s="1"/>
      <c r="E259" s="3"/>
      <c r="F259" s="59"/>
      <c r="G259" s="59"/>
      <c r="H259" s="86"/>
      <c r="I259" s="187" t="str">
        <f>"Total item "&amp;A256</f>
        <v>Total item 9.3</v>
      </c>
      <c r="J259" s="186">
        <f>SUM(J258:J258)</f>
        <v>2</v>
      </c>
    </row>
    <row r="260" spans="1:10" ht="30.6" x14ac:dyDescent="0.2">
      <c r="A260" s="183" t="str">
        <f>'ORÇAMENTO SEM DESON'!A53</f>
        <v>9.4</v>
      </c>
      <c r="B260" s="5"/>
      <c r="C260" s="6"/>
      <c r="D260" s="188" t="str">
        <f>'ORÇAMENTO SEM DESON'!D53</f>
        <v>RELÉ FOTOELÉTRICO PARA COMANDO DE ILUMINAÇÃO EXTERNA 1000 W - FORNECIMENTO E INSTALAÇÃO. AF_08/2020</v>
      </c>
      <c r="E260" s="183" t="str">
        <f>'ORÇAMENTO SEM DESON'!E53</f>
        <v>un</v>
      </c>
      <c r="F260" s="186"/>
      <c r="G260" s="186"/>
      <c r="H260" s="186"/>
      <c r="I260" s="187"/>
      <c r="J260" s="186"/>
    </row>
    <row r="261" spans="1:10" x14ac:dyDescent="0.2">
      <c r="A261" s="3"/>
      <c r="B261" s="3"/>
      <c r="C261" s="67"/>
      <c r="D261" s="1"/>
      <c r="E261" s="65"/>
      <c r="F261" s="62" t="s">
        <v>169</v>
      </c>
      <c r="G261" s="85"/>
      <c r="H261" s="96"/>
      <c r="I261" s="84"/>
      <c r="J261" s="85"/>
    </row>
    <row r="262" spans="1:10" x14ac:dyDescent="0.2">
      <c r="A262" s="3"/>
      <c r="B262" s="3"/>
      <c r="C262" s="67"/>
      <c r="D262" s="1" t="s">
        <v>309</v>
      </c>
      <c r="E262" s="65"/>
      <c r="F262" s="62">
        <v>2</v>
      </c>
      <c r="G262" s="62"/>
      <c r="H262" s="85"/>
      <c r="I262" s="84"/>
      <c r="J262" s="85">
        <f>ROUND(PRODUCT(F262:I262),2)</f>
        <v>2</v>
      </c>
    </row>
    <row r="263" spans="1:10" x14ac:dyDescent="0.2">
      <c r="A263" s="3"/>
      <c r="B263" s="3"/>
      <c r="C263" s="4"/>
      <c r="D263" s="1"/>
      <c r="E263" s="3"/>
      <c r="F263" s="59"/>
      <c r="G263" s="59"/>
      <c r="H263" s="86"/>
      <c r="I263" s="187" t="str">
        <f>"Total item "&amp;A260</f>
        <v>Total item 9.4</v>
      </c>
      <c r="J263" s="186">
        <f>SUM(J262:J262)</f>
        <v>2</v>
      </c>
    </row>
    <row r="264" spans="1:10" x14ac:dyDescent="0.2">
      <c r="A264" s="3"/>
      <c r="B264" s="3"/>
      <c r="C264" s="4"/>
      <c r="D264" s="1"/>
      <c r="E264" s="3"/>
      <c r="F264" s="86"/>
      <c r="G264" s="86"/>
      <c r="H264" s="86"/>
      <c r="I264" s="83"/>
      <c r="J264" s="86"/>
    </row>
    <row r="265" spans="1:10" x14ac:dyDescent="0.2">
      <c r="A265" s="174" t="str">
        <f>'ORÇAMENTO SEM DESON'!A54</f>
        <v>10.0</v>
      </c>
      <c r="B265" s="217"/>
      <c r="C265" s="168"/>
      <c r="D265" s="173" t="str">
        <f>'ORÇAMENTO SEM DESON'!D54</f>
        <v>SERVIÇOS COMPLEMENTARES</v>
      </c>
      <c r="E265" s="217"/>
      <c r="F265" s="181"/>
      <c r="G265" s="181"/>
      <c r="H265" s="181"/>
      <c r="I265" s="182"/>
      <c r="J265" s="181"/>
    </row>
    <row r="266" spans="1:10" x14ac:dyDescent="0.2">
      <c r="A266" s="3"/>
      <c r="B266" s="3"/>
      <c r="C266" s="67"/>
      <c r="D266" s="57"/>
      <c r="E266" s="65"/>
      <c r="F266" s="85"/>
      <c r="G266" s="85"/>
      <c r="H266" s="85"/>
      <c r="I266" s="83"/>
      <c r="J266" s="86"/>
    </row>
    <row r="267" spans="1:10" x14ac:dyDescent="0.2">
      <c r="A267" s="183" t="str">
        <f>'ORÇAMENTO SEM DESON'!A55</f>
        <v>10.1</v>
      </c>
      <c r="B267" s="5" t="s">
        <v>112</v>
      </c>
      <c r="C267" s="6" t="s">
        <v>132</v>
      </c>
      <c r="D267" s="188" t="str">
        <f>'ORÇAMENTO SEM DESON'!D55</f>
        <v>LETREIRO - LETRA EM CAIXA DE ZINCO, H= 20CM</v>
      </c>
      <c r="E267" s="183" t="str">
        <f>'ORÇAMENTO SEM DESON'!E55</f>
        <v>un</v>
      </c>
      <c r="F267" s="186" t="s">
        <v>287</v>
      </c>
      <c r="G267" s="186"/>
      <c r="H267" s="186"/>
      <c r="I267" s="187"/>
      <c r="J267" s="186"/>
    </row>
    <row r="268" spans="1:10" x14ac:dyDescent="0.2">
      <c r="A268" s="3"/>
      <c r="B268" s="3"/>
      <c r="C268" s="67"/>
      <c r="D268" s="1" t="s">
        <v>286</v>
      </c>
      <c r="E268" s="65"/>
      <c r="F268" s="62">
        <v>27</v>
      </c>
      <c r="G268" s="85"/>
      <c r="H268" s="85"/>
      <c r="I268" s="84"/>
      <c r="J268" s="85">
        <f>ROUND(PRODUCT(F268:I268),2)</f>
        <v>27</v>
      </c>
    </row>
    <row r="269" spans="1:10" x14ac:dyDescent="0.2">
      <c r="A269" s="3"/>
      <c r="B269" s="3"/>
      <c r="C269" s="67"/>
      <c r="D269" s="1" t="s">
        <v>288</v>
      </c>
      <c r="E269" s="65"/>
      <c r="F269" s="62"/>
      <c r="G269" s="85"/>
      <c r="H269" s="85"/>
      <c r="I269" s="84"/>
      <c r="J269" s="85"/>
    </row>
    <row r="270" spans="1:10" x14ac:dyDescent="0.2">
      <c r="A270" s="3"/>
      <c r="B270" s="3"/>
      <c r="C270" s="4"/>
      <c r="D270" s="1"/>
      <c r="E270" s="3"/>
      <c r="F270" s="86"/>
      <c r="G270" s="86"/>
      <c r="H270" s="86"/>
      <c r="I270" s="187" t="str">
        <f>"Total item "&amp;A267</f>
        <v>Total item 10.1</v>
      </c>
      <c r="J270" s="186">
        <f>SUM(J268)</f>
        <v>27</v>
      </c>
    </row>
    <row r="271" spans="1:10" x14ac:dyDescent="0.2">
      <c r="A271" s="3"/>
      <c r="B271" s="3"/>
      <c r="C271" s="4"/>
      <c r="D271" s="1"/>
      <c r="E271" s="3"/>
      <c r="F271" s="86"/>
      <c r="G271" s="86"/>
      <c r="H271" s="86"/>
      <c r="I271" s="83"/>
      <c r="J271" s="86"/>
    </row>
    <row r="272" spans="1:10" x14ac:dyDescent="0.2">
      <c r="A272" s="183" t="str">
        <f>'ORÇAMENTO SEM DESON'!A56</f>
        <v>10.2</v>
      </c>
      <c r="B272" s="5" t="s">
        <v>112</v>
      </c>
      <c r="C272" s="6" t="s">
        <v>132</v>
      </c>
      <c r="D272" s="188" t="str">
        <f>'ORÇAMENTO SEM DESON'!D56</f>
        <v xml:space="preserve">TAMPA EM CONCRETO ARMADO, ESPESSURA 0,08M </v>
      </c>
      <c r="E272" s="183" t="str">
        <f>'ORÇAMENTO SEM DESON'!E56</f>
        <v>m²</v>
      </c>
      <c r="F272" s="186"/>
      <c r="G272" s="186"/>
      <c r="H272" s="186"/>
      <c r="I272" s="187"/>
      <c r="J272" s="186"/>
    </row>
    <row r="273" spans="1:10" x14ac:dyDescent="0.2">
      <c r="A273" s="3"/>
      <c r="B273" s="3"/>
      <c r="C273" s="67"/>
      <c r="D273" s="1"/>
      <c r="E273" s="65"/>
      <c r="F273" s="85" t="s">
        <v>167</v>
      </c>
      <c r="G273" s="85" t="s">
        <v>164</v>
      </c>
      <c r="H273" s="96"/>
      <c r="I273" s="84"/>
      <c r="J273" s="85"/>
    </row>
    <row r="274" spans="1:10" x14ac:dyDescent="0.2">
      <c r="A274" s="3"/>
      <c r="B274" s="3"/>
      <c r="C274" s="67"/>
      <c r="D274" s="1" t="s">
        <v>254</v>
      </c>
      <c r="E274" s="65"/>
      <c r="F274" s="62">
        <v>0.7</v>
      </c>
      <c r="G274" s="85">
        <v>0.61</v>
      </c>
      <c r="H274" s="85"/>
      <c r="I274" s="84"/>
      <c r="J274" s="85">
        <f>ROUND(PRODUCT(F274:I274),2)</f>
        <v>0.43</v>
      </c>
    </row>
    <row r="275" spans="1:10" x14ac:dyDescent="0.2">
      <c r="A275" s="3"/>
      <c r="B275" s="3"/>
      <c r="C275" s="67"/>
      <c r="D275" s="1" t="s">
        <v>258</v>
      </c>
      <c r="E275" s="65"/>
      <c r="F275" s="62">
        <v>0.9</v>
      </c>
      <c r="G275" s="85">
        <v>1.49</v>
      </c>
      <c r="H275" s="85"/>
      <c r="I275" s="84"/>
      <c r="J275" s="85">
        <f>ROUND(PRODUCT(F275:I275),2)</f>
        <v>1.34</v>
      </c>
    </row>
    <row r="276" spans="1:10" x14ac:dyDescent="0.2">
      <c r="A276" s="3"/>
      <c r="B276" s="3"/>
      <c r="C276" s="4"/>
      <c r="D276" s="1"/>
      <c r="E276" s="3"/>
      <c r="F276" s="59"/>
      <c r="G276" s="59"/>
      <c r="H276" s="86"/>
      <c r="I276" s="187" t="str">
        <f>"Total item "&amp;A272</f>
        <v>Total item 10.2</v>
      </c>
      <c r="J276" s="186">
        <f>SUM(J274:J275)</f>
        <v>1.77</v>
      </c>
    </row>
    <row r="277" spans="1:10" ht="20.399999999999999" x14ac:dyDescent="0.2">
      <c r="A277" s="183" t="str">
        <f>'ORÇAMENTO SEM DESON'!A57</f>
        <v>10.3</v>
      </c>
      <c r="B277" s="5" t="s">
        <v>112</v>
      </c>
      <c r="C277" s="6" t="s">
        <v>132</v>
      </c>
      <c r="D277" s="188" t="str">
        <f>'ORÇAMENTO SEM DESON'!D57</f>
        <v>PISO INTERTRAVADO TIPO TIJOLINHO (20X10X6)CM 35MPA, COLORIDO - COMPACTAÇÃO MECANIZADA</v>
      </c>
      <c r="E277" s="183" t="str">
        <f>'ORÇAMENTO SEM DESON'!E57</f>
        <v>m²</v>
      </c>
      <c r="F277" s="186"/>
      <c r="G277" s="186"/>
      <c r="H277" s="186"/>
      <c r="I277" s="187"/>
      <c r="J277" s="186"/>
    </row>
    <row r="278" spans="1:10" x14ac:dyDescent="0.2">
      <c r="A278" s="3"/>
      <c r="B278" s="3"/>
      <c r="C278" s="67"/>
      <c r="D278" s="1"/>
      <c r="E278" s="65"/>
      <c r="F278" s="85" t="s">
        <v>167</v>
      </c>
      <c r="G278" s="85" t="s">
        <v>164</v>
      </c>
      <c r="H278" s="96"/>
      <c r="I278" s="84"/>
      <c r="J278" s="85"/>
    </row>
    <row r="279" spans="1:10" x14ac:dyDescent="0.2">
      <c r="A279" s="3"/>
      <c r="B279" s="3"/>
      <c r="C279" s="67"/>
      <c r="D279" s="1" t="s">
        <v>270</v>
      </c>
      <c r="E279" s="65"/>
      <c r="F279" s="62">
        <v>1.4</v>
      </c>
      <c r="G279" s="62">
        <v>29.45</v>
      </c>
      <c r="H279" s="85"/>
      <c r="I279" s="84"/>
      <c r="J279" s="85">
        <f>ROUND(PRODUCT(F279:I279),2)</f>
        <v>41.23</v>
      </c>
    </row>
    <row r="280" spans="1:10" x14ac:dyDescent="0.2">
      <c r="A280" s="3"/>
      <c r="B280" s="3"/>
      <c r="C280" s="67"/>
      <c r="D280" s="1" t="s">
        <v>271</v>
      </c>
      <c r="E280" s="65"/>
      <c r="F280" s="62">
        <v>2.6</v>
      </c>
      <c r="G280" s="62">
        <f>34+1.4</f>
        <v>35.4</v>
      </c>
      <c r="H280" s="85"/>
      <c r="I280" s="84"/>
      <c r="J280" s="85">
        <f>ROUND(PRODUCT(F280:I280),2)</f>
        <v>92.04</v>
      </c>
    </row>
    <row r="281" spans="1:10" x14ac:dyDescent="0.2">
      <c r="A281" s="3"/>
      <c r="B281" s="3"/>
      <c r="C281" s="67"/>
      <c r="D281" s="1" t="s">
        <v>326</v>
      </c>
      <c r="E281" s="65"/>
      <c r="F281" s="62">
        <v>9</v>
      </c>
      <c r="G281" s="62">
        <v>7.6</v>
      </c>
      <c r="H281" s="62"/>
      <c r="I281" s="84"/>
      <c r="J281" s="85">
        <f>ROUND(PRODUCT(F281:I281),2)</f>
        <v>68.400000000000006</v>
      </c>
    </row>
    <row r="282" spans="1:10" x14ac:dyDescent="0.2">
      <c r="A282" s="3"/>
      <c r="B282" s="3"/>
      <c r="C282" s="4"/>
      <c r="D282" s="1"/>
      <c r="E282" s="3"/>
      <c r="F282" s="59"/>
      <c r="G282" s="59"/>
      <c r="H282" s="86"/>
      <c r="I282" s="187" t="str">
        <f>"Total item "&amp;A277</f>
        <v>Total item 10.3</v>
      </c>
      <c r="J282" s="186">
        <f>SUM(J279:J281)</f>
        <v>201.67000000000002</v>
      </c>
    </row>
    <row r="283" spans="1:10" ht="40.799999999999997" x14ac:dyDescent="0.2">
      <c r="A283" s="183" t="str">
        <f>'ORÇAMENTO SEM DESON'!A58</f>
        <v>10.4</v>
      </c>
      <c r="B283" s="5" t="s">
        <v>112</v>
      </c>
      <c r="C283" s="6" t="s">
        <v>132</v>
      </c>
      <c r="D283" s="188" t="str">
        <f>'ORÇAMENTO SEM DESON'!D58</f>
        <v xml:space="preserve">CONCRETO ARMADO PRONTO, FCK 25 MPA,CONDICAO A
(NBR 12655),LANCADO EM QUALQUER TIPO DE ESTRUTURA
E ADENSADO, INCLUSIVE FORMA, ESCORAMENTO
E FERRAGEM. </v>
      </c>
      <c r="E283" s="183" t="str">
        <f>'ORÇAMENTO SEM DESON'!E58</f>
        <v>m³</v>
      </c>
      <c r="F283" s="186"/>
      <c r="G283" s="186"/>
      <c r="H283" s="186"/>
      <c r="I283" s="187"/>
      <c r="J283" s="186"/>
    </row>
    <row r="284" spans="1:10" x14ac:dyDescent="0.2">
      <c r="A284" s="3"/>
      <c r="B284" s="3"/>
      <c r="C284" s="67"/>
      <c r="D284" s="1"/>
      <c r="E284" s="65"/>
      <c r="F284" s="62" t="s">
        <v>164</v>
      </c>
      <c r="G284" s="62" t="s">
        <v>167</v>
      </c>
      <c r="H284" s="259" t="s">
        <v>168</v>
      </c>
      <c r="I284" s="84" t="s">
        <v>193</v>
      </c>
      <c r="J284" s="85"/>
    </row>
    <row r="285" spans="1:10" x14ac:dyDescent="0.2">
      <c r="A285" s="3"/>
      <c r="B285" s="3"/>
      <c r="C285" s="67"/>
      <c r="D285" s="1" t="s">
        <v>285</v>
      </c>
      <c r="E285" s="65"/>
      <c r="F285" s="62">
        <v>1</v>
      </c>
      <c r="G285" s="62">
        <v>1.75</v>
      </c>
      <c r="H285" s="62">
        <v>0.2</v>
      </c>
      <c r="I285" s="84">
        <v>0.5</v>
      </c>
      <c r="J285" s="85">
        <f>ROUND(PRODUCT(F285:I285),2)</f>
        <v>0.18</v>
      </c>
    </row>
    <row r="286" spans="1:10" x14ac:dyDescent="0.2">
      <c r="A286" s="3"/>
      <c r="B286" s="3"/>
      <c r="C286" s="4"/>
      <c r="D286" s="1"/>
      <c r="E286" s="3"/>
      <c r="F286" s="59"/>
      <c r="G286" s="59"/>
      <c r="H286" s="86"/>
      <c r="I286" s="187" t="str">
        <f>"Total item "&amp;A283</f>
        <v>Total item 10.4</v>
      </c>
      <c r="J286" s="186">
        <f>SUM(J285:J285)</f>
        <v>0.18</v>
      </c>
    </row>
    <row r="287" spans="1:10" ht="30.6" x14ac:dyDescent="0.2">
      <c r="A287" s="183" t="str">
        <f>'ORÇAMENTO SEM DESON'!A59</f>
        <v>10.5</v>
      </c>
      <c r="B287" s="5"/>
      <c r="C287" s="6"/>
      <c r="D287" s="188" t="str">
        <f>'ORÇAMENTO SEM DESON'!D59</f>
        <v>PLAYGROUND EM EUCALIPTO, CONTENDO 1 GANGORRA DUPLA, 1 ESCORREGADOR, 1 BALANÇO DUPLO, 1 CASINHA SUSPENSA E 1 LIXEIRA.</v>
      </c>
      <c r="E287" s="183" t="str">
        <f>'ORÇAMENTO SEM DESON'!E59</f>
        <v>un</v>
      </c>
      <c r="F287" s="186"/>
      <c r="G287" s="186"/>
      <c r="H287" s="186"/>
      <c r="I287" s="187"/>
      <c r="J287" s="186"/>
    </row>
    <row r="288" spans="1:10" x14ac:dyDescent="0.2">
      <c r="A288" s="3"/>
      <c r="B288" s="3"/>
      <c r="C288" s="67"/>
      <c r="D288" s="1"/>
      <c r="E288" s="65"/>
      <c r="F288" s="62" t="s">
        <v>169</v>
      </c>
      <c r="G288" s="62"/>
      <c r="H288" s="259"/>
      <c r="I288" s="84"/>
      <c r="J288" s="85"/>
    </row>
    <row r="289" spans="1:10" x14ac:dyDescent="0.2">
      <c r="A289" s="3"/>
      <c r="B289" s="3"/>
      <c r="C289" s="67"/>
      <c r="D289" s="1" t="s">
        <v>153</v>
      </c>
      <c r="E289" s="65"/>
      <c r="F289" s="62">
        <v>1</v>
      </c>
      <c r="G289" s="62"/>
      <c r="H289" s="62"/>
      <c r="I289" s="84"/>
      <c r="J289" s="85">
        <f>ROUND(PRODUCT(F289:I289),2)</f>
        <v>1</v>
      </c>
    </row>
    <row r="290" spans="1:10" x14ac:dyDescent="0.2">
      <c r="A290" s="3"/>
      <c r="B290" s="3"/>
      <c r="C290" s="4"/>
      <c r="D290" s="1"/>
      <c r="E290" s="3"/>
      <c r="F290" s="59"/>
      <c r="G290" s="59"/>
      <c r="H290" s="86"/>
      <c r="I290" s="187" t="str">
        <f>"Total item "&amp;A287</f>
        <v>Total item 10.5</v>
      </c>
      <c r="J290" s="186">
        <f>SUM(J289:J289)</f>
        <v>1</v>
      </c>
    </row>
  </sheetData>
  <mergeCells count="2">
    <mergeCell ref="A3:J3"/>
    <mergeCell ref="A1:J1"/>
  </mergeCells>
  <phoneticPr fontId="8" type="noConversion"/>
  <printOptions horizontalCentered="1"/>
  <pageMargins left="0.59055118110236227" right="0.39370078740157483" top="1.5354330708661419" bottom="1.3385826771653544" header="0.39370078740157483" footer="0.39370078740157483"/>
  <pageSetup paperSize="9" scale="85" fitToHeight="0" orientation="portrait" horizontalDpi="360" verticalDpi="360" r:id="rId1"/>
  <headerFooter>
    <oddHeader>&amp;C&amp;G</oddHead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14D3C-3371-493B-9D9E-F393C38F0AF9}">
  <sheetPr>
    <tabColor theme="5" tint="-0.249977111117893"/>
  </sheetPr>
  <dimension ref="A1:L337"/>
  <sheetViews>
    <sheetView view="pageBreakPreview" topLeftCell="A7" zoomScale="111" zoomScaleNormal="100" zoomScaleSheetLayoutView="111" workbookViewId="0">
      <selection activeCell="C17" sqref="C17"/>
    </sheetView>
  </sheetViews>
  <sheetFormatPr defaultRowHeight="10.199999999999999" x14ac:dyDescent="0.2"/>
  <cols>
    <col min="1" max="1" width="12.44140625" style="60" customWidth="1"/>
    <col min="2" max="2" width="10.88671875" style="60" customWidth="1"/>
    <col min="3" max="3" width="50.44140625" style="60" customWidth="1"/>
    <col min="4" max="4" width="8.88671875" style="60"/>
    <col min="5" max="5" width="9" style="60" customWidth="1"/>
    <col min="6" max="6" width="9.5546875" style="60" customWidth="1"/>
    <col min="7" max="7" width="12.88671875" style="60" bestFit="1" customWidth="1"/>
    <col min="8" max="257" width="8.88671875" style="60"/>
    <col min="258" max="258" width="17.5546875" style="60" customWidth="1"/>
    <col min="259" max="259" width="47.5546875" style="60" customWidth="1"/>
    <col min="260" max="260" width="8.88671875" style="60"/>
    <col min="261" max="261" width="10.33203125" style="60" customWidth="1"/>
    <col min="262" max="262" width="11.6640625" style="60" customWidth="1"/>
    <col min="263" max="263" width="15.88671875" style="60" customWidth="1"/>
    <col min="264" max="513" width="8.88671875" style="60"/>
    <col min="514" max="514" width="17.5546875" style="60" customWidth="1"/>
    <col min="515" max="515" width="47.5546875" style="60" customWidth="1"/>
    <col min="516" max="516" width="8.88671875" style="60"/>
    <col min="517" max="517" width="10.33203125" style="60" customWidth="1"/>
    <col min="518" max="518" width="11.6640625" style="60" customWidth="1"/>
    <col min="519" max="519" width="15.88671875" style="60" customWidth="1"/>
    <col min="520" max="769" width="8.88671875" style="60"/>
    <col min="770" max="770" width="17.5546875" style="60" customWidth="1"/>
    <col min="771" max="771" width="47.5546875" style="60" customWidth="1"/>
    <col min="772" max="772" width="8.88671875" style="60"/>
    <col min="773" max="773" width="10.33203125" style="60" customWidth="1"/>
    <col min="774" max="774" width="11.6640625" style="60" customWidth="1"/>
    <col min="775" max="775" width="15.88671875" style="60" customWidth="1"/>
    <col min="776" max="1025" width="8.88671875" style="60"/>
    <col min="1026" max="1026" width="17.5546875" style="60" customWidth="1"/>
    <col min="1027" max="1027" width="47.5546875" style="60" customWidth="1"/>
    <col min="1028" max="1028" width="8.88671875" style="60"/>
    <col min="1029" max="1029" width="10.33203125" style="60" customWidth="1"/>
    <col min="1030" max="1030" width="11.6640625" style="60" customWidth="1"/>
    <col min="1031" max="1031" width="15.88671875" style="60" customWidth="1"/>
    <col min="1032" max="1281" width="8.88671875" style="60"/>
    <col min="1282" max="1282" width="17.5546875" style="60" customWidth="1"/>
    <col min="1283" max="1283" width="47.5546875" style="60" customWidth="1"/>
    <col min="1284" max="1284" width="8.88671875" style="60"/>
    <col min="1285" max="1285" width="10.33203125" style="60" customWidth="1"/>
    <col min="1286" max="1286" width="11.6640625" style="60" customWidth="1"/>
    <col min="1287" max="1287" width="15.88671875" style="60" customWidth="1"/>
    <col min="1288" max="1537" width="8.88671875" style="60"/>
    <col min="1538" max="1538" width="17.5546875" style="60" customWidth="1"/>
    <col min="1539" max="1539" width="47.5546875" style="60" customWidth="1"/>
    <col min="1540" max="1540" width="8.88671875" style="60"/>
    <col min="1541" max="1541" width="10.33203125" style="60" customWidth="1"/>
    <col min="1542" max="1542" width="11.6640625" style="60" customWidth="1"/>
    <col min="1543" max="1543" width="15.88671875" style="60" customWidth="1"/>
    <col min="1544" max="1793" width="8.88671875" style="60"/>
    <col min="1794" max="1794" width="17.5546875" style="60" customWidth="1"/>
    <col min="1795" max="1795" width="47.5546875" style="60" customWidth="1"/>
    <col min="1796" max="1796" width="8.88671875" style="60"/>
    <col min="1797" max="1797" width="10.33203125" style="60" customWidth="1"/>
    <col min="1798" max="1798" width="11.6640625" style="60" customWidth="1"/>
    <col min="1799" max="1799" width="15.88671875" style="60" customWidth="1"/>
    <col min="1800" max="2049" width="8.88671875" style="60"/>
    <col min="2050" max="2050" width="17.5546875" style="60" customWidth="1"/>
    <col min="2051" max="2051" width="47.5546875" style="60" customWidth="1"/>
    <col min="2052" max="2052" width="8.88671875" style="60"/>
    <col min="2053" max="2053" width="10.33203125" style="60" customWidth="1"/>
    <col min="2054" max="2054" width="11.6640625" style="60" customWidth="1"/>
    <col min="2055" max="2055" width="15.88671875" style="60" customWidth="1"/>
    <col min="2056" max="2305" width="8.88671875" style="60"/>
    <col min="2306" max="2306" width="17.5546875" style="60" customWidth="1"/>
    <col min="2307" max="2307" width="47.5546875" style="60" customWidth="1"/>
    <col min="2308" max="2308" width="8.88671875" style="60"/>
    <col min="2309" max="2309" width="10.33203125" style="60" customWidth="1"/>
    <col min="2310" max="2310" width="11.6640625" style="60" customWidth="1"/>
    <col min="2311" max="2311" width="15.88671875" style="60" customWidth="1"/>
    <col min="2312" max="2561" width="8.88671875" style="60"/>
    <col min="2562" max="2562" width="17.5546875" style="60" customWidth="1"/>
    <col min="2563" max="2563" width="47.5546875" style="60" customWidth="1"/>
    <col min="2564" max="2564" width="8.88671875" style="60"/>
    <col min="2565" max="2565" width="10.33203125" style="60" customWidth="1"/>
    <col min="2566" max="2566" width="11.6640625" style="60" customWidth="1"/>
    <col min="2567" max="2567" width="15.88671875" style="60" customWidth="1"/>
    <col min="2568" max="2817" width="8.88671875" style="60"/>
    <col min="2818" max="2818" width="17.5546875" style="60" customWidth="1"/>
    <col min="2819" max="2819" width="47.5546875" style="60" customWidth="1"/>
    <col min="2820" max="2820" width="8.88671875" style="60"/>
    <col min="2821" max="2821" width="10.33203125" style="60" customWidth="1"/>
    <col min="2822" max="2822" width="11.6640625" style="60" customWidth="1"/>
    <col min="2823" max="2823" width="15.88671875" style="60" customWidth="1"/>
    <col min="2824" max="3073" width="8.88671875" style="60"/>
    <col min="3074" max="3074" width="17.5546875" style="60" customWidth="1"/>
    <col min="3075" max="3075" width="47.5546875" style="60" customWidth="1"/>
    <col min="3076" max="3076" width="8.88671875" style="60"/>
    <col min="3077" max="3077" width="10.33203125" style="60" customWidth="1"/>
    <col min="3078" max="3078" width="11.6640625" style="60" customWidth="1"/>
    <col min="3079" max="3079" width="15.88671875" style="60" customWidth="1"/>
    <col min="3080" max="3329" width="8.88671875" style="60"/>
    <col min="3330" max="3330" width="17.5546875" style="60" customWidth="1"/>
    <col min="3331" max="3331" width="47.5546875" style="60" customWidth="1"/>
    <col min="3332" max="3332" width="8.88671875" style="60"/>
    <col min="3333" max="3333" width="10.33203125" style="60" customWidth="1"/>
    <col min="3334" max="3334" width="11.6640625" style="60" customWidth="1"/>
    <col min="3335" max="3335" width="15.88671875" style="60" customWidth="1"/>
    <col min="3336" max="3585" width="8.88671875" style="60"/>
    <col min="3586" max="3586" width="17.5546875" style="60" customWidth="1"/>
    <col min="3587" max="3587" width="47.5546875" style="60" customWidth="1"/>
    <col min="3588" max="3588" width="8.88671875" style="60"/>
    <col min="3589" max="3589" width="10.33203125" style="60" customWidth="1"/>
    <col min="3590" max="3590" width="11.6640625" style="60" customWidth="1"/>
    <col min="3591" max="3591" width="15.88671875" style="60" customWidth="1"/>
    <col min="3592" max="3841" width="8.88671875" style="60"/>
    <col min="3842" max="3842" width="17.5546875" style="60" customWidth="1"/>
    <col min="3843" max="3843" width="47.5546875" style="60" customWidth="1"/>
    <col min="3844" max="3844" width="8.88671875" style="60"/>
    <col min="3845" max="3845" width="10.33203125" style="60" customWidth="1"/>
    <col min="3846" max="3846" width="11.6640625" style="60" customWidth="1"/>
    <col min="3847" max="3847" width="15.88671875" style="60" customWidth="1"/>
    <col min="3848" max="4097" width="8.88671875" style="60"/>
    <col min="4098" max="4098" width="17.5546875" style="60" customWidth="1"/>
    <col min="4099" max="4099" width="47.5546875" style="60" customWidth="1"/>
    <col min="4100" max="4100" width="8.88671875" style="60"/>
    <col min="4101" max="4101" width="10.33203125" style="60" customWidth="1"/>
    <col min="4102" max="4102" width="11.6640625" style="60" customWidth="1"/>
    <col min="4103" max="4103" width="15.88671875" style="60" customWidth="1"/>
    <col min="4104" max="4353" width="8.88671875" style="60"/>
    <col min="4354" max="4354" width="17.5546875" style="60" customWidth="1"/>
    <col min="4355" max="4355" width="47.5546875" style="60" customWidth="1"/>
    <col min="4356" max="4356" width="8.88671875" style="60"/>
    <col min="4357" max="4357" width="10.33203125" style="60" customWidth="1"/>
    <col min="4358" max="4358" width="11.6640625" style="60" customWidth="1"/>
    <col min="4359" max="4359" width="15.88671875" style="60" customWidth="1"/>
    <col min="4360" max="4609" width="8.88671875" style="60"/>
    <col min="4610" max="4610" width="17.5546875" style="60" customWidth="1"/>
    <col min="4611" max="4611" width="47.5546875" style="60" customWidth="1"/>
    <col min="4612" max="4612" width="8.88671875" style="60"/>
    <col min="4613" max="4613" width="10.33203125" style="60" customWidth="1"/>
    <col min="4614" max="4614" width="11.6640625" style="60" customWidth="1"/>
    <col min="4615" max="4615" width="15.88671875" style="60" customWidth="1"/>
    <col min="4616" max="4865" width="8.88671875" style="60"/>
    <col min="4866" max="4866" width="17.5546875" style="60" customWidth="1"/>
    <col min="4867" max="4867" width="47.5546875" style="60" customWidth="1"/>
    <col min="4868" max="4868" width="8.88671875" style="60"/>
    <col min="4869" max="4869" width="10.33203125" style="60" customWidth="1"/>
    <col min="4870" max="4870" width="11.6640625" style="60" customWidth="1"/>
    <col min="4871" max="4871" width="15.88671875" style="60" customWidth="1"/>
    <col min="4872" max="5121" width="8.88671875" style="60"/>
    <col min="5122" max="5122" width="17.5546875" style="60" customWidth="1"/>
    <col min="5123" max="5123" width="47.5546875" style="60" customWidth="1"/>
    <col min="5124" max="5124" width="8.88671875" style="60"/>
    <col min="5125" max="5125" width="10.33203125" style="60" customWidth="1"/>
    <col min="5126" max="5126" width="11.6640625" style="60" customWidth="1"/>
    <col min="5127" max="5127" width="15.88671875" style="60" customWidth="1"/>
    <col min="5128" max="5377" width="8.88671875" style="60"/>
    <col min="5378" max="5378" width="17.5546875" style="60" customWidth="1"/>
    <col min="5379" max="5379" width="47.5546875" style="60" customWidth="1"/>
    <col min="5380" max="5380" width="8.88671875" style="60"/>
    <col min="5381" max="5381" width="10.33203125" style="60" customWidth="1"/>
    <col min="5382" max="5382" width="11.6640625" style="60" customWidth="1"/>
    <col min="5383" max="5383" width="15.88671875" style="60" customWidth="1"/>
    <col min="5384" max="5633" width="8.88671875" style="60"/>
    <col min="5634" max="5634" width="17.5546875" style="60" customWidth="1"/>
    <col min="5635" max="5635" width="47.5546875" style="60" customWidth="1"/>
    <col min="5636" max="5636" width="8.88671875" style="60"/>
    <col min="5637" max="5637" width="10.33203125" style="60" customWidth="1"/>
    <col min="5638" max="5638" width="11.6640625" style="60" customWidth="1"/>
    <col min="5639" max="5639" width="15.88671875" style="60" customWidth="1"/>
    <col min="5640" max="5889" width="8.88671875" style="60"/>
    <col min="5890" max="5890" width="17.5546875" style="60" customWidth="1"/>
    <col min="5891" max="5891" width="47.5546875" style="60" customWidth="1"/>
    <col min="5892" max="5892" width="8.88671875" style="60"/>
    <col min="5893" max="5893" width="10.33203125" style="60" customWidth="1"/>
    <col min="5894" max="5894" width="11.6640625" style="60" customWidth="1"/>
    <col min="5895" max="5895" width="15.88671875" style="60" customWidth="1"/>
    <col min="5896" max="6145" width="8.88671875" style="60"/>
    <col min="6146" max="6146" width="17.5546875" style="60" customWidth="1"/>
    <col min="6147" max="6147" width="47.5546875" style="60" customWidth="1"/>
    <col min="6148" max="6148" width="8.88671875" style="60"/>
    <col min="6149" max="6149" width="10.33203125" style="60" customWidth="1"/>
    <col min="6150" max="6150" width="11.6640625" style="60" customWidth="1"/>
    <col min="6151" max="6151" width="15.88671875" style="60" customWidth="1"/>
    <col min="6152" max="6401" width="8.88671875" style="60"/>
    <col min="6402" max="6402" width="17.5546875" style="60" customWidth="1"/>
    <col min="6403" max="6403" width="47.5546875" style="60" customWidth="1"/>
    <col min="6404" max="6404" width="8.88671875" style="60"/>
    <col min="6405" max="6405" width="10.33203125" style="60" customWidth="1"/>
    <col min="6406" max="6406" width="11.6640625" style="60" customWidth="1"/>
    <col min="6407" max="6407" width="15.88671875" style="60" customWidth="1"/>
    <col min="6408" max="6657" width="8.88671875" style="60"/>
    <col min="6658" max="6658" width="17.5546875" style="60" customWidth="1"/>
    <col min="6659" max="6659" width="47.5546875" style="60" customWidth="1"/>
    <col min="6660" max="6660" width="8.88671875" style="60"/>
    <col min="6661" max="6661" width="10.33203125" style="60" customWidth="1"/>
    <col min="6662" max="6662" width="11.6640625" style="60" customWidth="1"/>
    <col min="6663" max="6663" width="15.88671875" style="60" customWidth="1"/>
    <col min="6664" max="6913" width="8.88671875" style="60"/>
    <col min="6914" max="6914" width="17.5546875" style="60" customWidth="1"/>
    <col min="6915" max="6915" width="47.5546875" style="60" customWidth="1"/>
    <col min="6916" max="6916" width="8.88671875" style="60"/>
    <col min="6917" max="6917" width="10.33203125" style="60" customWidth="1"/>
    <col min="6918" max="6918" width="11.6640625" style="60" customWidth="1"/>
    <col min="6919" max="6919" width="15.88671875" style="60" customWidth="1"/>
    <col min="6920" max="7169" width="8.88671875" style="60"/>
    <col min="7170" max="7170" width="17.5546875" style="60" customWidth="1"/>
    <col min="7171" max="7171" width="47.5546875" style="60" customWidth="1"/>
    <col min="7172" max="7172" width="8.88671875" style="60"/>
    <col min="7173" max="7173" width="10.33203125" style="60" customWidth="1"/>
    <col min="7174" max="7174" width="11.6640625" style="60" customWidth="1"/>
    <col min="7175" max="7175" width="15.88671875" style="60" customWidth="1"/>
    <col min="7176" max="7425" width="8.88671875" style="60"/>
    <col min="7426" max="7426" width="17.5546875" style="60" customWidth="1"/>
    <col min="7427" max="7427" width="47.5546875" style="60" customWidth="1"/>
    <col min="7428" max="7428" width="8.88671875" style="60"/>
    <col min="7429" max="7429" width="10.33203125" style="60" customWidth="1"/>
    <col min="7430" max="7430" width="11.6640625" style="60" customWidth="1"/>
    <col min="7431" max="7431" width="15.88671875" style="60" customWidth="1"/>
    <col min="7432" max="7681" width="8.88671875" style="60"/>
    <col min="7682" max="7682" width="17.5546875" style="60" customWidth="1"/>
    <col min="7683" max="7683" width="47.5546875" style="60" customWidth="1"/>
    <col min="7684" max="7684" width="8.88671875" style="60"/>
    <col min="7685" max="7685" width="10.33203125" style="60" customWidth="1"/>
    <col min="7686" max="7686" width="11.6640625" style="60" customWidth="1"/>
    <col min="7687" max="7687" width="15.88671875" style="60" customWidth="1"/>
    <col min="7688" max="7937" width="8.88671875" style="60"/>
    <col min="7938" max="7938" width="17.5546875" style="60" customWidth="1"/>
    <col min="7939" max="7939" width="47.5546875" style="60" customWidth="1"/>
    <col min="7940" max="7940" width="8.88671875" style="60"/>
    <col min="7941" max="7941" width="10.33203125" style="60" customWidth="1"/>
    <col min="7942" max="7942" width="11.6640625" style="60" customWidth="1"/>
    <col min="7943" max="7943" width="15.88671875" style="60" customWidth="1"/>
    <col min="7944" max="8193" width="8.88671875" style="60"/>
    <col min="8194" max="8194" width="17.5546875" style="60" customWidth="1"/>
    <col min="8195" max="8195" width="47.5546875" style="60" customWidth="1"/>
    <col min="8196" max="8196" width="8.88671875" style="60"/>
    <col min="8197" max="8197" width="10.33203125" style="60" customWidth="1"/>
    <col min="8198" max="8198" width="11.6640625" style="60" customWidth="1"/>
    <col min="8199" max="8199" width="15.88671875" style="60" customWidth="1"/>
    <col min="8200" max="8449" width="8.88671875" style="60"/>
    <col min="8450" max="8450" width="17.5546875" style="60" customWidth="1"/>
    <col min="8451" max="8451" width="47.5546875" style="60" customWidth="1"/>
    <col min="8452" max="8452" width="8.88671875" style="60"/>
    <col min="8453" max="8453" width="10.33203125" style="60" customWidth="1"/>
    <col min="8454" max="8454" width="11.6640625" style="60" customWidth="1"/>
    <col min="8455" max="8455" width="15.88671875" style="60" customWidth="1"/>
    <col min="8456" max="8705" width="8.88671875" style="60"/>
    <col min="8706" max="8706" width="17.5546875" style="60" customWidth="1"/>
    <col min="8707" max="8707" width="47.5546875" style="60" customWidth="1"/>
    <col min="8708" max="8708" width="8.88671875" style="60"/>
    <col min="8709" max="8709" width="10.33203125" style="60" customWidth="1"/>
    <col min="8710" max="8710" width="11.6640625" style="60" customWidth="1"/>
    <col min="8711" max="8711" width="15.88671875" style="60" customWidth="1"/>
    <col min="8712" max="8961" width="8.88671875" style="60"/>
    <col min="8962" max="8962" width="17.5546875" style="60" customWidth="1"/>
    <col min="8963" max="8963" width="47.5546875" style="60" customWidth="1"/>
    <col min="8964" max="8964" width="8.88671875" style="60"/>
    <col min="8965" max="8965" width="10.33203125" style="60" customWidth="1"/>
    <col min="8966" max="8966" width="11.6640625" style="60" customWidth="1"/>
    <col min="8967" max="8967" width="15.88671875" style="60" customWidth="1"/>
    <col min="8968" max="9217" width="8.88671875" style="60"/>
    <col min="9218" max="9218" width="17.5546875" style="60" customWidth="1"/>
    <col min="9219" max="9219" width="47.5546875" style="60" customWidth="1"/>
    <col min="9220" max="9220" width="8.88671875" style="60"/>
    <col min="9221" max="9221" width="10.33203125" style="60" customWidth="1"/>
    <col min="9222" max="9222" width="11.6640625" style="60" customWidth="1"/>
    <col min="9223" max="9223" width="15.88671875" style="60" customWidth="1"/>
    <col min="9224" max="9473" width="8.88671875" style="60"/>
    <col min="9474" max="9474" width="17.5546875" style="60" customWidth="1"/>
    <col min="9475" max="9475" width="47.5546875" style="60" customWidth="1"/>
    <col min="9476" max="9476" width="8.88671875" style="60"/>
    <col min="9477" max="9477" width="10.33203125" style="60" customWidth="1"/>
    <col min="9478" max="9478" width="11.6640625" style="60" customWidth="1"/>
    <col min="9479" max="9479" width="15.88671875" style="60" customWidth="1"/>
    <col min="9480" max="9729" width="8.88671875" style="60"/>
    <col min="9730" max="9730" width="17.5546875" style="60" customWidth="1"/>
    <col min="9731" max="9731" width="47.5546875" style="60" customWidth="1"/>
    <col min="9732" max="9732" width="8.88671875" style="60"/>
    <col min="9733" max="9733" width="10.33203125" style="60" customWidth="1"/>
    <col min="9734" max="9734" width="11.6640625" style="60" customWidth="1"/>
    <col min="9735" max="9735" width="15.88671875" style="60" customWidth="1"/>
    <col min="9736" max="9985" width="8.88671875" style="60"/>
    <col min="9986" max="9986" width="17.5546875" style="60" customWidth="1"/>
    <col min="9987" max="9987" width="47.5546875" style="60" customWidth="1"/>
    <col min="9988" max="9988" width="8.88671875" style="60"/>
    <col min="9989" max="9989" width="10.33203125" style="60" customWidth="1"/>
    <col min="9990" max="9990" width="11.6640625" style="60" customWidth="1"/>
    <col min="9991" max="9991" width="15.88671875" style="60" customWidth="1"/>
    <col min="9992" max="10241" width="8.88671875" style="60"/>
    <col min="10242" max="10242" width="17.5546875" style="60" customWidth="1"/>
    <col min="10243" max="10243" width="47.5546875" style="60" customWidth="1"/>
    <col min="10244" max="10244" width="8.88671875" style="60"/>
    <col min="10245" max="10245" width="10.33203125" style="60" customWidth="1"/>
    <col min="10246" max="10246" width="11.6640625" style="60" customWidth="1"/>
    <col min="10247" max="10247" width="15.88671875" style="60" customWidth="1"/>
    <col min="10248" max="10497" width="8.88671875" style="60"/>
    <col min="10498" max="10498" width="17.5546875" style="60" customWidth="1"/>
    <col min="10499" max="10499" width="47.5546875" style="60" customWidth="1"/>
    <col min="10500" max="10500" width="8.88671875" style="60"/>
    <col min="10501" max="10501" width="10.33203125" style="60" customWidth="1"/>
    <col min="10502" max="10502" width="11.6640625" style="60" customWidth="1"/>
    <col min="10503" max="10503" width="15.88671875" style="60" customWidth="1"/>
    <col min="10504" max="10753" width="8.88671875" style="60"/>
    <col min="10754" max="10754" width="17.5546875" style="60" customWidth="1"/>
    <col min="10755" max="10755" width="47.5546875" style="60" customWidth="1"/>
    <col min="10756" max="10756" width="8.88671875" style="60"/>
    <col min="10757" max="10757" width="10.33203125" style="60" customWidth="1"/>
    <col min="10758" max="10758" width="11.6640625" style="60" customWidth="1"/>
    <col min="10759" max="10759" width="15.88671875" style="60" customWidth="1"/>
    <col min="10760" max="11009" width="8.88671875" style="60"/>
    <col min="11010" max="11010" width="17.5546875" style="60" customWidth="1"/>
    <col min="11011" max="11011" width="47.5546875" style="60" customWidth="1"/>
    <col min="11012" max="11012" width="8.88671875" style="60"/>
    <col min="11013" max="11013" width="10.33203125" style="60" customWidth="1"/>
    <col min="11014" max="11014" width="11.6640625" style="60" customWidth="1"/>
    <col min="11015" max="11015" width="15.88671875" style="60" customWidth="1"/>
    <col min="11016" max="11265" width="8.88671875" style="60"/>
    <col min="11266" max="11266" width="17.5546875" style="60" customWidth="1"/>
    <col min="11267" max="11267" width="47.5546875" style="60" customWidth="1"/>
    <col min="11268" max="11268" width="8.88671875" style="60"/>
    <col min="11269" max="11269" width="10.33203125" style="60" customWidth="1"/>
    <col min="11270" max="11270" width="11.6640625" style="60" customWidth="1"/>
    <col min="11271" max="11271" width="15.88671875" style="60" customWidth="1"/>
    <col min="11272" max="11521" width="8.88671875" style="60"/>
    <col min="11522" max="11522" width="17.5546875" style="60" customWidth="1"/>
    <col min="11523" max="11523" width="47.5546875" style="60" customWidth="1"/>
    <col min="11524" max="11524" width="8.88671875" style="60"/>
    <col min="11525" max="11525" width="10.33203125" style="60" customWidth="1"/>
    <col min="11526" max="11526" width="11.6640625" style="60" customWidth="1"/>
    <col min="11527" max="11527" width="15.88671875" style="60" customWidth="1"/>
    <col min="11528" max="11777" width="8.88671875" style="60"/>
    <col min="11778" max="11778" width="17.5546875" style="60" customWidth="1"/>
    <col min="11779" max="11779" width="47.5546875" style="60" customWidth="1"/>
    <col min="11780" max="11780" width="8.88671875" style="60"/>
    <col min="11781" max="11781" width="10.33203125" style="60" customWidth="1"/>
    <col min="11782" max="11782" width="11.6640625" style="60" customWidth="1"/>
    <col min="11783" max="11783" width="15.88671875" style="60" customWidth="1"/>
    <col min="11784" max="12033" width="8.88671875" style="60"/>
    <col min="12034" max="12034" width="17.5546875" style="60" customWidth="1"/>
    <col min="12035" max="12035" width="47.5546875" style="60" customWidth="1"/>
    <col min="12036" max="12036" width="8.88671875" style="60"/>
    <col min="12037" max="12037" width="10.33203125" style="60" customWidth="1"/>
    <col min="12038" max="12038" width="11.6640625" style="60" customWidth="1"/>
    <col min="12039" max="12039" width="15.88671875" style="60" customWidth="1"/>
    <col min="12040" max="12289" width="8.88671875" style="60"/>
    <col min="12290" max="12290" width="17.5546875" style="60" customWidth="1"/>
    <col min="12291" max="12291" width="47.5546875" style="60" customWidth="1"/>
    <col min="12292" max="12292" width="8.88671875" style="60"/>
    <col min="12293" max="12293" width="10.33203125" style="60" customWidth="1"/>
    <col min="12294" max="12294" width="11.6640625" style="60" customWidth="1"/>
    <col min="12295" max="12295" width="15.88671875" style="60" customWidth="1"/>
    <col min="12296" max="12545" width="8.88671875" style="60"/>
    <col min="12546" max="12546" width="17.5546875" style="60" customWidth="1"/>
    <col min="12547" max="12547" width="47.5546875" style="60" customWidth="1"/>
    <col min="12548" max="12548" width="8.88671875" style="60"/>
    <col min="12549" max="12549" width="10.33203125" style="60" customWidth="1"/>
    <col min="12550" max="12550" width="11.6640625" style="60" customWidth="1"/>
    <col min="12551" max="12551" width="15.88671875" style="60" customWidth="1"/>
    <col min="12552" max="12801" width="8.88671875" style="60"/>
    <col min="12802" max="12802" width="17.5546875" style="60" customWidth="1"/>
    <col min="12803" max="12803" width="47.5546875" style="60" customWidth="1"/>
    <col min="12804" max="12804" width="8.88671875" style="60"/>
    <col min="12805" max="12805" width="10.33203125" style="60" customWidth="1"/>
    <col min="12806" max="12806" width="11.6640625" style="60" customWidth="1"/>
    <col min="12807" max="12807" width="15.88671875" style="60" customWidth="1"/>
    <col min="12808" max="13057" width="8.88671875" style="60"/>
    <col min="13058" max="13058" width="17.5546875" style="60" customWidth="1"/>
    <col min="13059" max="13059" width="47.5546875" style="60" customWidth="1"/>
    <col min="13060" max="13060" width="8.88671875" style="60"/>
    <col min="13061" max="13061" width="10.33203125" style="60" customWidth="1"/>
    <col min="13062" max="13062" width="11.6640625" style="60" customWidth="1"/>
    <col min="13063" max="13063" width="15.88671875" style="60" customWidth="1"/>
    <col min="13064" max="13313" width="8.88671875" style="60"/>
    <col min="13314" max="13314" width="17.5546875" style="60" customWidth="1"/>
    <col min="13315" max="13315" width="47.5546875" style="60" customWidth="1"/>
    <col min="13316" max="13316" width="8.88671875" style="60"/>
    <col min="13317" max="13317" width="10.33203125" style="60" customWidth="1"/>
    <col min="13318" max="13318" width="11.6640625" style="60" customWidth="1"/>
    <col min="13319" max="13319" width="15.88671875" style="60" customWidth="1"/>
    <col min="13320" max="13569" width="8.88671875" style="60"/>
    <col min="13570" max="13570" width="17.5546875" style="60" customWidth="1"/>
    <col min="13571" max="13571" width="47.5546875" style="60" customWidth="1"/>
    <col min="13572" max="13572" width="8.88671875" style="60"/>
    <col min="13573" max="13573" width="10.33203125" style="60" customWidth="1"/>
    <col min="13574" max="13574" width="11.6640625" style="60" customWidth="1"/>
    <col min="13575" max="13575" width="15.88671875" style="60" customWidth="1"/>
    <col min="13576" max="13825" width="8.88671875" style="60"/>
    <col min="13826" max="13826" width="17.5546875" style="60" customWidth="1"/>
    <col min="13827" max="13827" width="47.5546875" style="60" customWidth="1"/>
    <col min="13828" max="13828" width="8.88671875" style="60"/>
    <col min="13829" max="13829" width="10.33203125" style="60" customWidth="1"/>
    <col min="13830" max="13830" width="11.6640625" style="60" customWidth="1"/>
    <col min="13831" max="13831" width="15.88671875" style="60" customWidth="1"/>
    <col min="13832" max="14081" width="8.88671875" style="60"/>
    <col min="14082" max="14082" width="17.5546875" style="60" customWidth="1"/>
    <col min="14083" max="14083" width="47.5546875" style="60" customWidth="1"/>
    <col min="14084" max="14084" width="8.88671875" style="60"/>
    <col min="14085" max="14085" width="10.33203125" style="60" customWidth="1"/>
    <col min="14086" max="14086" width="11.6640625" style="60" customWidth="1"/>
    <col min="14087" max="14087" width="15.88671875" style="60" customWidth="1"/>
    <col min="14088" max="14337" width="8.88671875" style="60"/>
    <col min="14338" max="14338" width="17.5546875" style="60" customWidth="1"/>
    <col min="14339" max="14339" width="47.5546875" style="60" customWidth="1"/>
    <col min="14340" max="14340" width="8.88671875" style="60"/>
    <col min="14341" max="14341" width="10.33203125" style="60" customWidth="1"/>
    <col min="14342" max="14342" width="11.6640625" style="60" customWidth="1"/>
    <col min="14343" max="14343" width="15.88671875" style="60" customWidth="1"/>
    <col min="14344" max="14593" width="8.88671875" style="60"/>
    <col min="14594" max="14594" width="17.5546875" style="60" customWidth="1"/>
    <col min="14595" max="14595" width="47.5546875" style="60" customWidth="1"/>
    <col min="14596" max="14596" width="8.88671875" style="60"/>
    <col min="14597" max="14597" width="10.33203125" style="60" customWidth="1"/>
    <col min="14598" max="14598" width="11.6640625" style="60" customWidth="1"/>
    <col min="14599" max="14599" width="15.88671875" style="60" customWidth="1"/>
    <col min="14600" max="14849" width="8.88671875" style="60"/>
    <col min="14850" max="14850" width="17.5546875" style="60" customWidth="1"/>
    <col min="14851" max="14851" width="47.5546875" style="60" customWidth="1"/>
    <col min="14852" max="14852" width="8.88671875" style="60"/>
    <col min="14853" max="14853" width="10.33203125" style="60" customWidth="1"/>
    <col min="14854" max="14854" width="11.6640625" style="60" customWidth="1"/>
    <col min="14855" max="14855" width="15.88671875" style="60" customWidth="1"/>
    <col min="14856" max="15105" width="8.88671875" style="60"/>
    <col min="15106" max="15106" width="17.5546875" style="60" customWidth="1"/>
    <col min="15107" max="15107" width="47.5546875" style="60" customWidth="1"/>
    <col min="15108" max="15108" width="8.88671875" style="60"/>
    <col min="15109" max="15109" width="10.33203125" style="60" customWidth="1"/>
    <col min="15110" max="15110" width="11.6640625" style="60" customWidth="1"/>
    <col min="15111" max="15111" width="15.88671875" style="60" customWidth="1"/>
    <col min="15112" max="15361" width="8.88671875" style="60"/>
    <col min="15362" max="15362" width="17.5546875" style="60" customWidth="1"/>
    <col min="15363" max="15363" width="47.5546875" style="60" customWidth="1"/>
    <col min="15364" max="15364" width="8.88671875" style="60"/>
    <col min="15365" max="15365" width="10.33203125" style="60" customWidth="1"/>
    <col min="15366" max="15366" width="11.6640625" style="60" customWidth="1"/>
    <col min="15367" max="15367" width="15.88671875" style="60" customWidth="1"/>
    <col min="15368" max="15617" width="8.88671875" style="60"/>
    <col min="15618" max="15618" width="17.5546875" style="60" customWidth="1"/>
    <col min="15619" max="15619" width="47.5546875" style="60" customWidth="1"/>
    <col min="15620" max="15620" width="8.88671875" style="60"/>
    <col min="15621" max="15621" width="10.33203125" style="60" customWidth="1"/>
    <col min="15622" max="15622" width="11.6640625" style="60" customWidth="1"/>
    <col min="15623" max="15623" width="15.88671875" style="60" customWidth="1"/>
    <col min="15624" max="15873" width="8.88671875" style="60"/>
    <col min="15874" max="15874" width="17.5546875" style="60" customWidth="1"/>
    <col min="15875" max="15875" width="47.5546875" style="60" customWidth="1"/>
    <col min="15876" max="15876" width="8.88671875" style="60"/>
    <col min="15877" max="15877" width="10.33203125" style="60" customWidth="1"/>
    <col min="15878" max="15878" width="11.6640625" style="60" customWidth="1"/>
    <col min="15879" max="15879" width="15.88671875" style="60" customWidth="1"/>
    <col min="15880" max="16129" width="8.88671875" style="60"/>
    <col min="16130" max="16130" width="17.5546875" style="60" customWidth="1"/>
    <col min="16131" max="16131" width="47.5546875" style="60" customWidth="1"/>
    <col min="16132" max="16132" width="8.88671875" style="60"/>
    <col min="16133" max="16133" width="10.33203125" style="60" customWidth="1"/>
    <col min="16134" max="16134" width="11.6640625" style="60" customWidth="1"/>
    <col min="16135" max="16135" width="15.88671875" style="60" customWidth="1"/>
    <col min="16136" max="16384" width="8.88671875" style="60"/>
  </cols>
  <sheetData>
    <row r="1" spans="1:7" ht="10.8" thickBot="1" x14ac:dyDescent="0.25"/>
    <row r="2" spans="1:7" ht="20.399999999999999" thickBot="1" x14ac:dyDescent="0.45">
      <c r="A2" s="317" t="s">
        <v>54</v>
      </c>
      <c r="B2" s="318"/>
      <c r="C2" s="318"/>
      <c r="D2" s="318"/>
      <c r="E2" s="318"/>
      <c r="F2" s="318"/>
      <c r="G2" s="319"/>
    </row>
    <row r="3" spans="1:7" ht="15" thickBot="1" x14ac:dyDescent="0.35">
      <c r="A3" s="10"/>
      <c r="B3" s="10"/>
      <c r="C3" s="10"/>
      <c r="D3" s="10"/>
      <c r="E3" s="10"/>
      <c r="F3" s="10"/>
      <c r="G3" s="10"/>
    </row>
    <row r="4" spans="1:7" ht="15" thickBot="1" x14ac:dyDescent="0.25">
      <c r="A4" s="320" t="str">
        <f>'ORÇAMENTO SEM DESON'!A1:I1</f>
        <v>2ª ETAPA - AMPLIAÇÃO E REFORMA DA CRECHE JÚLIA GUIMARÃES NO MUNICÍPIO DE LIMOEIRO/PE</v>
      </c>
      <c r="B4" s="321" t="e">
        <f>'[3](GERAL - SINAPI COM DESON)'!B6</f>
        <v>#REF!</v>
      </c>
      <c r="C4" s="322"/>
      <c r="D4" s="322"/>
      <c r="E4" s="322"/>
      <c r="F4" s="322"/>
      <c r="G4" s="323"/>
    </row>
    <row r="5" spans="1:7" ht="14.4" x14ac:dyDescent="0.2">
      <c r="A5" s="320" t="str">
        <f>'ORÇAMENTO SEM DESON'!A4</f>
        <v>LOCALIZAÇÃO: LIMOEIRO - PE</v>
      </c>
      <c r="B5" s="321" t="e">
        <f>'[3](GERAL - SINAPI COM DESON)'!B7</f>
        <v>#REF!</v>
      </c>
      <c r="C5" s="322"/>
      <c r="D5" s="322"/>
      <c r="E5" s="322"/>
      <c r="F5" s="322"/>
      <c r="G5" s="323"/>
    </row>
    <row r="6" spans="1:7" ht="15" customHeight="1" x14ac:dyDescent="0.2">
      <c r="A6" s="324" t="str">
        <f>'ORÇAMENTO SEM DESON'!A5</f>
        <v>FONTES DE PREÇOS: EMLURB 2018 / SINAPI MARÇO-2022 / SEINFRA 027 MARÇO-2021 - SEM DESONERAÇÃO (BDI = 20,84%)</v>
      </c>
      <c r="B6" s="325"/>
      <c r="C6" s="325"/>
      <c r="D6" s="325"/>
      <c r="E6" s="325"/>
      <c r="F6" s="325"/>
      <c r="G6" s="326"/>
    </row>
    <row r="7" spans="1:7" ht="15" customHeight="1" x14ac:dyDescent="0.2">
      <c r="A7" s="324" t="str">
        <f>'ORÇAMENTO SEM DESON'!A6</f>
        <v>DATA: MAIO/2022</v>
      </c>
      <c r="B7" s="325"/>
      <c r="C7" s="325"/>
      <c r="D7" s="325"/>
      <c r="E7" s="325"/>
      <c r="F7" s="325"/>
      <c r="G7" s="326"/>
    </row>
    <row r="8" spans="1:7" ht="15.75" customHeight="1" thickBot="1" x14ac:dyDescent="0.25">
      <c r="A8" s="327"/>
      <c r="B8" s="328"/>
      <c r="C8" s="328"/>
      <c r="D8" s="328"/>
      <c r="E8" s="328"/>
      <c r="F8" s="328"/>
      <c r="G8" s="329"/>
    </row>
    <row r="10" spans="1:7" s="11" customFormat="1" ht="30.6" customHeight="1" x14ac:dyDescent="0.3">
      <c r="A10" s="316" t="str">
        <f>COTAÇÕES!A9</f>
        <v>PLAYGROUND EM EUCALIPTO, CONTENDO 1 GANGORRA DUPLA, 1 ESCORREGADOR, 1 BALANÇO DUPLO, 1 CASINHA SUSPENSA E 1 LIXEIRA.</v>
      </c>
      <c r="B10" s="316"/>
      <c r="C10" s="316"/>
      <c r="D10" s="316"/>
      <c r="E10" s="316"/>
      <c r="F10" s="316"/>
      <c r="G10" s="316"/>
    </row>
    <row r="11" spans="1:7" s="11" customFormat="1" ht="11.25" customHeight="1" x14ac:dyDescent="0.2">
      <c r="A11" s="302" t="s">
        <v>122</v>
      </c>
      <c r="B11" s="303"/>
      <c r="C11" s="230"/>
      <c r="D11" s="306"/>
      <c r="E11" s="307"/>
      <c r="F11" s="307"/>
      <c r="G11" s="308"/>
    </row>
    <row r="12" spans="1:7" s="11" customFormat="1" ht="51.6" customHeight="1" x14ac:dyDescent="0.2">
      <c r="A12" s="302"/>
      <c r="B12" s="303"/>
      <c r="C12" s="72" t="s">
        <v>50</v>
      </c>
      <c r="D12" s="309" t="str">
        <f>A10</f>
        <v>PLAYGROUND EM EUCALIPTO, CONTENDO 1 GANGORRA DUPLA, 1 ESCORREGADOR, 1 BALANÇO DUPLO, 1 CASINHA SUSPENSA E 1 LIXEIRA.</v>
      </c>
      <c r="E12" s="309"/>
      <c r="F12" s="309"/>
      <c r="G12" s="309"/>
    </row>
    <row r="13" spans="1:7" s="11" customFormat="1" ht="11.25" customHeight="1" x14ac:dyDescent="0.2">
      <c r="A13" s="302"/>
      <c r="B13" s="303"/>
      <c r="C13" s="72" t="s">
        <v>51</v>
      </c>
      <c r="D13" s="73" t="s">
        <v>30</v>
      </c>
      <c r="E13" s="310" t="s">
        <v>52</v>
      </c>
      <c r="F13" s="311"/>
      <c r="G13" s="314">
        <f>G19</f>
        <v>21170.54</v>
      </c>
    </row>
    <row r="14" spans="1:7" s="11" customFormat="1" x14ac:dyDescent="0.2">
      <c r="A14" s="304"/>
      <c r="B14" s="305"/>
      <c r="C14" s="72" t="s">
        <v>49</v>
      </c>
      <c r="D14" s="73">
        <v>1</v>
      </c>
      <c r="E14" s="312"/>
      <c r="F14" s="313"/>
      <c r="G14" s="315"/>
    </row>
    <row r="15" spans="1:7" s="11" customFormat="1" x14ac:dyDescent="0.2">
      <c r="A15" s="74"/>
      <c r="B15" s="74"/>
      <c r="C15" s="252"/>
      <c r="D15" s="252"/>
      <c r="E15" s="300"/>
      <c r="F15" s="300"/>
      <c r="G15" s="75"/>
    </row>
    <row r="16" spans="1:7" s="11" customFormat="1" ht="21.75" customHeight="1" x14ac:dyDescent="0.2">
      <c r="A16" s="231" t="s">
        <v>136</v>
      </c>
      <c r="B16" s="231" t="s">
        <v>137</v>
      </c>
      <c r="C16" s="232" t="s">
        <v>53</v>
      </c>
      <c r="D16" s="232" t="s">
        <v>51</v>
      </c>
      <c r="E16" s="233" t="s">
        <v>138</v>
      </c>
      <c r="F16" s="233" t="s">
        <v>139</v>
      </c>
      <c r="G16" s="233" t="s">
        <v>140</v>
      </c>
    </row>
    <row r="17" spans="1:8" s="11" customFormat="1" ht="40.799999999999997" x14ac:dyDescent="0.2">
      <c r="A17" s="77" t="s">
        <v>112</v>
      </c>
      <c r="B17" s="77" t="s">
        <v>283</v>
      </c>
      <c r="C17" s="78" t="s">
        <v>284</v>
      </c>
      <c r="D17" s="228" t="s">
        <v>35</v>
      </c>
      <c r="E17" s="76">
        <v>0.3</v>
      </c>
      <c r="F17" s="13">
        <v>2585.15</v>
      </c>
      <c r="G17" s="75">
        <f t="shared" ref="G17" si="0">E17*F17</f>
        <v>775.54499999999996</v>
      </c>
    </row>
    <row r="18" spans="1:8" s="11" customFormat="1" ht="30.6" x14ac:dyDescent="0.2">
      <c r="A18" s="77" t="s">
        <v>200</v>
      </c>
      <c r="B18" s="77" t="s">
        <v>244</v>
      </c>
      <c r="C18" s="78" t="str">
        <f>COTAÇÕES!C11</f>
        <v>PLAYGROUND EM EUCALIPTO, CONTENDO 1 GANGORRA DUPLA, 1 ESCORREGADOR, 1 BALANÇO DUPLO, 1 CASINHA SUSPENSA E 1 LIXEIRA.</v>
      </c>
      <c r="D18" s="228" t="s">
        <v>30</v>
      </c>
      <c r="E18" s="76">
        <v>1</v>
      </c>
      <c r="F18" s="13">
        <f>COTAÇÕES!F19</f>
        <v>20395</v>
      </c>
      <c r="G18" s="75">
        <f>E18*F18</f>
        <v>20395</v>
      </c>
    </row>
    <row r="19" spans="1:8" s="11" customFormat="1" x14ac:dyDescent="0.2">
      <c r="A19" s="12"/>
      <c r="B19" s="12"/>
      <c r="C19" s="79"/>
      <c r="D19" s="12"/>
      <c r="E19" s="12"/>
      <c r="F19" s="234" t="s">
        <v>31</v>
      </c>
      <c r="G19" s="232">
        <f>TRUNC(SUM(G17:G18),2)</f>
        <v>21170.54</v>
      </c>
      <c r="H19" s="11" t="s">
        <v>141</v>
      </c>
    </row>
    <row r="20" spans="1:8" s="11" customFormat="1" x14ac:dyDescent="0.2"/>
    <row r="21" spans="1:8" ht="15.6" hidden="1" x14ac:dyDescent="0.3">
      <c r="A21" s="301"/>
      <c r="B21" s="301"/>
      <c r="C21" s="301"/>
      <c r="D21" s="301"/>
      <c r="E21" s="301"/>
      <c r="F21" s="301"/>
      <c r="G21" s="301"/>
    </row>
    <row r="22" spans="1:8" hidden="1" x14ac:dyDescent="0.2">
      <c r="A22" s="302" t="s">
        <v>142</v>
      </c>
      <c r="B22" s="303"/>
      <c r="C22" s="230"/>
      <c r="D22" s="306"/>
      <c r="E22" s="307"/>
      <c r="F22" s="307"/>
      <c r="G22" s="308"/>
    </row>
    <row r="23" spans="1:8" hidden="1" x14ac:dyDescent="0.2">
      <c r="A23" s="302"/>
      <c r="B23" s="303"/>
      <c r="C23" s="72" t="s">
        <v>50</v>
      </c>
      <c r="D23" s="309" t="str">
        <f>COTAÇÕES!C22</f>
        <v>JANELA DE CORRER, DE ALUMÍNIO, COM VIDRO TEMPERADO 1,60M X 0,85M</v>
      </c>
      <c r="E23" s="309"/>
      <c r="F23" s="309"/>
      <c r="G23" s="309"/>
    </row>
    <row r="24" spans="1:8" hidden="1" x14ac:dyDescent="0.2">
      <c r="A24" s="302"/>
      <c r="B24" s="303"/>
      <c r="C24" s="72" t="s">
        <v>51</v>
      </c>
      <c r="D24" s="73" t="s">
        <v>30</v>
      </c>
      <c r="E24" s="310" t="s">
        <v>52</v>
      </c>
      <c r="F24" s="311"/>
      <c r="G24" s="314">
        <f>G33</f>
        <v>840.57</v>
      </c>
    </row>
    <row r="25" spans="1:8" hidden="1" x14ac:dyDescent="0.2">
      <c r="A25" s="304"/>
      <c r="B25" s="305"/>
      <c r="C25" s="72" t="s">
        <v>49</v>
      </c>
      <c r="D25" s="73">
        <v>1</v>
      </c>
      <c r="E25" s="312"/>
      <c r="F25" s="313"/>
      <c r="G25" s="315"/>
    </row>
    <row r="26" spans="1:8" hidden="1" x14ac:dyDescent="0.2">
      <c r="A26" s="74"/>
      <c r="B26" s="74"/>
      <c r="C26" s="216"/>
      <c r="D26" s="216"/>
      <c r="E26" s="300"/>
      <c r="F26" s="300"/>
      <c r="G26" s="75"/>
    </row>
    <row r="27" spans="1:8" ht="20.399999999999999" hidden="1" x14ac:dyDescent="0.2">
      <c r="A27" s="231" t="s">
        <v>136</v>
      </c>
      <c r="B27" s="231" t="s">
        <v>137</v>
      </c>
      <c r="C27" s="232" t="s">
        <v>53</v>
      </c>
      <c r="D27" s="232" t="s">
        <v>51</v>
      </c>
      <c r="E27" s="233" t="s">
        <v>138</v>
      </c>
      <c r="F27" s="233" t="s">
        <v>139</v>
      </c>
      <c r="G27" s="233" t="s">
        <v>140</v>
      </c>
    </row>
    <row r="28" spans="1:8" ht="20.399999999999999" hidden="1" x14ac:dyDescent="0.2">
      <c r="A28" s="77" t="s">
        <v>200</v>
      </c>
      <c r="B28" s="77" t="s">
        <v>244</v>
      </c>
      <c r="C28" s="78" t="str">
        <f>COTAÇÕES!C22</f>
        <v>JANELA DE CORRER, DE ALUMÍNIO, COM VIDRO TEMPERADO 1,60M X 0,85M</v>
      </c>
      <c r="D28" s="228" t="s">
        <v>133</v>
      </c>
      <c r="E28" s="76">
        <v>1</v>
      </c>
      <c r="F28" s="13">
        <f>COTAÇÕES!F30</f>
        <v>792.1875</v>
      </c>
      <c r="G28" s="75">
        <f t="shared" ref="G28:G32" si="1">E28*F28</f>
        <v>792.1875</v>
      </c>
    </row>
    <row r="29" spans="1:8" ht="30.6" hidden="1" x14ac:dyDescent="0.2">
      <c r="A29" s="77" t="s">
        <v>134</v>
      </c>
      <c r="B29" s="77" t="s">
        <v>245</v>
      </c>
      <c r="C29" s="78" t="s">
        <v>246</v>
      </c>
      <c r="D29" s="228" t="s">
        <v>133</v>
      </c>
      <c r="E29" s="76">
        <f>(1.6*0.85)*9.2</f>
        <v>12.512</v>
      </c>
      <c r="F29" s="13">
        <v>0.22</v>
      </c>
      <c r="G29" s="75">
        <f t="shared" ref="G29" si="2">E29*F29</f>
        <v>2.75264</v>
      </c>
    </row>
    <row r="30" spans="1:8" hidden="1" x14ac:dyDescent="0.2">
      <c r="A30" s="77" t="s">
        <v>134</v>
      </c>
      <c r="B30" s="77" t="s">
        <v>247</v>
      </c>
      <c r="C30" s="78" t="s">
        <v>248</v>
      </c>
      <c r="D30" s="228" t="s">
        <v>133</v>
      </c>
      <c r="E30" s="76">
        <f>(1.6*0.85)*0.6233</f>
        <v>0.847688</v>
      </c>
      <c r="F30" s="13">
        <v>27.5</v>
      </c>
      <c r="G30" s="75">
        <f t="shared" si="1"/>
        <v>23.311419999999998</v>
      </c>
    </row>
    <row r="31" spans="1:8" hidden="1" x14ac:dyDescent="0.2">
      <c r="A31" s="77" t="s">
        <v>59</v>
      </c>
      <c r="B31" s="77" t="s">
        <v>249</v>
      </c>
      <c r="C31" s="78" t="s">
        <v>250</v>
      </c>
      <c r="D31" s="228" t="s">
        <v>133</v>
      </c>
      <c r="E31" s="76">
        <f>(1.6*0.85)*0.519</f>
        <v>0.70584000000000002</v>
      </c>
      <c r="F31" s="13">
        <v>22.55</v>
      </c>
      <c r="G31" s="75">
        <f t="shared" si="1"/>
        <v>15.916692000000001</v>
      </c>
    </row>
    <row r="32" spans="1:8" hidden="1" x14ac:dyDescent="0.2">
      <c r="A32" s="77" t="s">
        <v>59</v>
      </c>
      <c r="B32" s="77" t="s">
        <v>199</v>
      </c>
      <c r="C32" s="78" t="s">
        <v>251</v>
      </c>
      <c r="D32" s="228" t="s">
        <v>133</v>
      </c>
      <c r="E32" s="76">
        <f>(1.6*0.85)*0.259</f>
        <v>0.35224000000000005</v>
      </c>
      <c r="F32" s="13">
        <v>18.190000000000001</v>
      </c>
      <c r="G32" s="75">
        <f t="shared" si="1"/>
        <v>6.4072456000000013</v>
      </c>
    </row>
    <row r="33" spans="1:7" hidden="1" x14ac:dyDescent="0.2">
      <c r="A33" s="12"/>
      <c r="B33" s="12"/>
      <c r="C33" s="79"/>
      <c r="D33" s="12"/>
      <c r="E33" s="12"/>
      <c r="F33" s="234" t="s">
        <v>31</v>
      </c>
      <c r="G33" s="232">
        <f>TRUNC(SUM(G28:G32),2)</f>
        <v>840.57</v>
      </c>
    </row>
    <row r="34" spans="1:7" hidden="1" x14ac:dyDescent="0.2">
      <c r="A34" s="11"/>
      <c r="B34" s="11"/>
      <c r="C34" s="11"/>
      <c r="D34" s="11"/>
      <c r="E34" s="11"/>
      <c r="F34" s="11"/>
      <c r="G34" s="11"/>
    </row>
    <row r="337" spans="12:12" x14ac:dyDescent="0.2">
      <c r="L337" s="80" t="e">
        <f>COMPOSICOES!#REF!</f>
        <v>#REF!</v>
      </c>
    </row>
  </sheetData>
  <autoFilter ref="A9:G34" xr:uid="{00000000-0009-0000-0000-00000B000000}"/>
  <mergeCells count="20">
    <mergeCell ref="A10:G10"/>
    <mergeCell ref="A11:B14"/>
    <mergeCell ref="D11:G11"/>
    <mergeCell ref="A2:G2"/>
    <mergeCell ref="A4:G4"/>
    <mergeCell ref="A6:G6"/>
    <mergeCell ref="A7:G7"/>
    <mergeCell ref="A8:G8"/>
    <mergeCell ref="A5:G5"/>
    <mergeCell ref="D12:G12"/>
    <mergeCell ref="E13:F14"/>
    <mergeCell ref="G13:G14"/>
    <mergeCell ref="E15:F15"/>
    <mergeCell ref="E26:F26"/>
    <mergeCell ref="A21:G21"/>
    <mergeCell ref="A22:B25"/>
    <mergeCell ref="D22:G22"/>
    <mergeCell ref="D23:G23"/>
    <mergeCell ref="E24:F25"/>
    <mergeCell ref="G24:G25"/>
  </mergeCells>
  <printOptions horizontalCentered="1"/>
  <pageMargins left="0.51181102362204722" right="0.51181102362204722" top="1.1811023622047245" bottom="1.5748031496062993" header="0.31496062992125984" footer="0.31496062992125984"/>
  <pageSetup paperSize="9" scale="75" orientation="portrait" horizontalDpi="360" verticalDpi="360" r:id="rId1"/>
  <headerFooter>
    <oddHeader>&amp;C&amp;G</oddHead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 tint="-0.249977111117893"/>
  </sheetPr>
  <dimension ref="A1:O42"/>
  <sheetViews>
    <sheetView view="pageBreakPreview" topLeftCell="A10" zoomScaleNormal="100" zoomScaleSheetLayoutView="100" workbookViewId="0">
      <selection activeCell="E15" sqref="E15"/>
    </sheetView>
  </sheetViews>
  <sheetFormatPr defaultColWidth="9.109375" defaultRowHeight="10.199999999999999" x14ac:dyDescent="0.2"/>
  <cols>
    <col min="1" max="1" width="6.88671875" style="116" customWidth="1"/>
    <col min="2" max="2" width="43.6640625" style="116" customWidth="1"/>
    <col min="3" max="3" width="12" style="116" customWidth="1"/>
    <col min="4" max="4" width="10.109375" style="116" customWidth="1"/>
    <col min="5" max="5" width="14.21875" style="116" bestFit="1" customWidth="1"/>
    <col min="6" max="6" width="10.109375" style="116" hidden="1" customWidth="1"/>
    <col min="7" max="7" width="11.33203125" style="116" hidden="1" customWidth="1"/>
    <col min="8" max="8" width="10.109375" style="116" hidden="1" customWidth="1"/>
    <col min="9" max="9" width="11.33203125" style="116" hidden="1" customWidth="1"/>
    <col min="10" max="10" width="10.109375" style="116" hidden="1" customWidth="1"/>
    <col min="11" max="12" width="10.5546875" style="116" hidden="1" customWidth="1"/>
    <col min="13" max="13" width="11.33203125" style="116" hidden="1" customWidth="1"/>
    <col min="14" max="14" width="10.109375" style="116" hidden="1" customWidth="1"/>
    <col min="15" max="15" width="14.21875" style="116" hidden="1" customWidth="1"/>
    <col min="16" max="16384" width="9.109375" style="116"/>
  </cols>
  <sheetData>
    <row r="1" spans="1:15" s="114" customFormat="1" ht="43.2" customHeight="1" x14ac:dyDescent="0.3">
      <c r="A1" s="274" t="str">
        <f>'ORÇAMENTO SEM DESON'!A1:I1</f>
        <v>2ª ETAPA - AMPLIAÇÃO E REFORMA DA CRECHE JÚLIA GUIMARÃES NO MUNICÍPIO DE LIMOEIRO/PE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19"/>
      <c r="M1" s="219"/>
      <c r="N1" s="219"/>
      <c r="O1" s="219"/>
    </row>
    <row r="2" spans="1:15" s="114" customFormat="1" ht="15.6" customHeight="1" x14ac:dyDescent="0.2">
      <c r="A2" s="337" t="s">
        <v>62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220"/>
      <c r="M2" s="220"/>
      <c r="N2" s="220"/>
      <c r="O2" s="220"/>
    </row>
    <row r="3" spans="1:15" ht="14.4" customHeight="1" x14ac:dyDescent="0.2">
      <c r="A3" s="339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221"/>
      <c r="M3" s="221"/>
      <c r="N3" s="221"/>
      <c r="O3" s="221"/>
    </row>
    <row r="4" spans="1:15" ht="25.5" customHeight="1" x14ac:dyDescent="0.25">
      <c r="A4" s="336" t="str">
        <f>'ORÇAMENTO SEM DESON'!A4</f>
        <v>LOCALIZAÇÃO: LIMOEIRO - PE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218"/>
      <c r="M4" s="218"/>
      <c r="N4" s="218"/>
      <c r="O4" s="218"/>
    </row>
    <row r="5" spans="1:15" ht="22.8" customHeight="1" x14ac:dyDescent="0.2">
      <c r="A5" s="342" t="str">
        <f>'ORÇAMENTO SEM DESON'!A5</f>
        <v>FONTES DE PREÇOS: EMLURB 2018 / SINAPI MARÇO-2022 / SEINFRA 027 MARÇO-2021 - SEM DESONERAÇÃO (BDI = 20,84%)</v>
      </c>
      <c r="B5" s="343"/>
      <c r="C5" s="343"/>
      <c r="D5" s="343"/>
      <c r="E5" s="343"/>
      <c r="F5" s="343"/>
      <c r="G5" s="343"/>
      <c r="H5" s="343"/>
      <c r="I5" s="343"/>
      <c r="J5" s="343"/>
      <c r="K5" s="344"/>
      <c r="L5" s="222"/>
      <c r="M5" s="222"/>
      <c r="N5" s="222"/>
      <c r="O5" s="222"/>
    </row>
    <row r="6" spans="1:15" ht="13.2" x14ac:dyDescent="0.25">
      <c r="A6" s="142" t="str">
        <f>'ORÇAMENTO SEM DESON'!A6</f>
        <v>DATA: MAIO/2022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15" x14ac:dyDescent="0.2">
      <c r="A7" s="111"/>
      <c r="B7" s="111"/>
      <c r="C7" s="107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</row>
    <row r="8" spans="1:15" s="110" customFormat="1" ht="12.75" customHeight="1" x14ac:dyDescent="0.2">
      <c r="A8" s="347" t="s">
        <v>63</v>
      </c>
      <c r="B8" s="347" t="s">
        <v>64</v>
      </c>
      <c r="C8" s="348" t="s">
        <v>65</v>
      </c>
      <c r="D8" s="345" t="s">
        <v>209</v>
      </c>
      <c r="E8" s="346"/>
      <c r="F8" s="345" t="s">
        <v>210</v>
      </c>
      <c r="G8" s="346"/>
      <c r="H8" s="345" t="s">
        <v>211</v>
      </c>
      <c r="I8" s="346"/>
      <c r="J8" s="345" t="s">
        <v>212</v>
      </c>
      <c r="K8" s="346"/>
      <c r="L8" s="345" t="s">
        <v>213</v>
      </c>
      <c r="M8" s="346"/>
      <c r="N8" s="345" t="s">
        <v>214</v>
      </c>
      <c r="O8" s="346"/>
    </row>
    <row r="9" spans="1:15" s="110" customFormat="1" ht="14.4" customHeight="1" x14ac:dyDescent="0.2">
      <c r="A9" s="347"/>
      <c r="B9" s="347"/>
      <c r="C9" s="348"/>
      <c r="D9" s="204" t="s">
        <v>170</v>
      </c>
      <c r="E9" s="205" t="s">
        <v>171</v>
      </c>
      <c r="F9" s="204" t="s">
        <v>170</v>
      </c>
      <c r="G9" s="205" t="s">
        <v>171</v>
      </c>
      <c r="H9" s="204" t="s">
        <v>170</v>
      </c>
      <c r="I9" s="205" t="s">
        <v>171</v>
      </c>
      <c r="J9" s="204" t="s">
        <v>170</v>
      </c>
      <c r="K9" s="205" t="s">
        <v>171</v>
      </c>
      <c r="L9" s="204" t="s">
        <v>170</v>
      </c>
      <c r="M9" s="205" t="s">
        <v>171</v>
      </c>
      <c r="N9" s="204" t="s">
        <v>170</v>
      </c>
      <c r="O9" s="205" t="s">
        <v>171</v>
      </c>
    </row>
    <row r="10" spans="1:15" s="113" customFormat="1" x14ac:dyDescent="0.2">
      <c r="A10" s="111"/>
      <c r="B10" s="111"/>
      <c r="C10" s="101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</row>
    <row r="11" spans="1:15" s="114" customFormat="1" x14ac:dyDescent="0.2">
      <c r="A11" s="194" t="str">
        <f>'RESUMO SEM DESON'!A10</f>
        <v>1.0</v>
      </c>
      <c r="B11" s="195" t="str">
        <f>'RESUMO SEM DESON'!B10</f>
        <v>SERVIÇOS PRELIMINARES</v>
      </c>
      <c r="C11" s="193">
        <f>'ORÇAMENTO SEM DESON'!I9</f>
        <v>6458.1399999999994</v>
      </c>
      <c r="D11" s="237">
        <v>1</v>
      </c>
      <c r="E11" s="193">
        <f>D11*C11</f>
        <v>6458.1399999999994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</row>
    <row r="12" spans="1:15" s="113" customFormat="1" x14ac:dyDescent="0.2">
      <c r="A12" s="111"/>
      <c r="B12" s="111"/>
      <c r="C12" s="101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</row>
    <row r="13" spans="1:15" s="114" customFormat="1" x14ac:dyDescent="0.2">
      <c r="A13" s="196" t="str">
        <f>'RESUMO SEM DESON'!A12</f>
        <v>2.0</v>
      </c>
      <c r="B13" s="195" t="str">
        <f>'RESUMO SEM DESON'!B12</f>
        <v>MOVIMENTO DE TERRA</v>
      </c>
      <c r="C13" s="193">
        <f>'ORÇAMENTO SEM DESON'!I13</f>
        <v>2272.25</v>
      </c>
      <c r="D13" s="237">
        <v>1</v>
      </c>
      <c r="E13" s="193">
        <f>C13*D13</f>
        <v>2272.25</v>
      </c>
      <c r="F13" s="237"/>
      <c r="G13" s="193"/>
      <c r="H13" s="193"/>
      <c r="I13" s="193"/>
      <c r="J13" s="193"/>
      <c r="K13" s="193"/>
      <c r="L13" s="193"/>
      <c r="M13" s="193"/>
      <c r="N13" s="193"/>
      <c r="O13" s="193"/>
    </row>
    <row r="14" spans="1:15" s="113" customFormat="1" x14ac:dyDescent="0.2">
      <c r="A14" s="111"/>
      <c r="B14" s="111"/>
      <c r="C14" s="101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</row>
    <row r="15" spans="1:15" s="114" customFormat="1" x14ac:dyDescent="0.2">
      <c r="A15" s="196" t="str">
        <f>'RESUMO SEM DESON'!A14</f>
        <v>3.0</v>
      </c>
      <c r="B15" s="195" t="str">
        <f>'RESUMO SEM DESON'!B14</f>
        <v>FUNDAÇÃO</v>
      </c>
      <c r="C15" s="193">
        <f>'ORÇAMENTO SEM DESON'!I16</f>
        <v>18548.579999999998</v>
      </c>
      <c r="D15" s="237">
        <v>1</v>
      </c>
      <c r="E15" s="193">
        <f>C15*D15</f>
        <v>18548.579999999998</v>
      </c>
      <c r="F15" s="237"/>
      <c r="G15" s="193"/>
      <c r="H15" s="193"/>
      <c r="I15" s="193"/>
      <c r="J15" s="193"/>
      <c r="K15" s="193"/>
      <c r="L15" s="193"/>
      <c r="M15" s="193"/>
      <c r="N15" s="193"/>
      <c r="O15" s="193"/>
    </row>
    <row r="16" spans="1:15" s="113" customFormat="1" x14ac:dyDescent="0.2">
      <c r="A16" s="111"/>
      <c r="B16" s="111"/>
      <c r="C16" s="101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</row>
    <row r="17" spans="1:15" s="114" customFormat="1" x14ac:dyDescent="0.2">
      <c r="A17" s="196" t="str">
        <f>'RESUMO SEM DESON'!A16</f>
        <v>4.0</v>
      </c>
      <c r="B17" s="195" t="str">
        <f>'RESUMO SEM DESON'!B16</f>
        <v>ESTRUTURA</v>
      </c>
      <c r="C17" s="193">
        <f>'ORÇAMENTO SEM DESON'!I21</f>
        <v>18749.68</v>
      </c>
      <c r="D17" s="237">
        <v>1</v>
      </c>
      <c r="E17" s="193">
        <f>C17*D17</f>
        <v>18749.68</v>
      </c>
      <c r="F17" s="237"/>
      <c r="G17" s="193"/>
      <c r="H17" s="237"/>
      <c r="I17" s="193"/>
      <c r="J17" s="193"/>
      <c r="K17" s="193"/>
      <c r="L17" s="193"/>
      <c r="M17" s="193"/>
      <c r="N17" s="193"/>
      <c r="O17" s="193"/>
    </row>
    <row r="18" spans="1:15" s="113" customFormat="1" x14ac:dyDescent="0.2">
      <c r="A18" s="111"/>
      <c r="B18" s="111"/>
      <c r="C18" s="101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</row>
    <row r="19" spans="1:15" s="114" customFormat="1" x14ac:dyDescent="0.2">
      <c r="A19" s="196" t="str">
        <f>'RESUMO SEM DESON'!A18</f>
        <v>5.0</v>
      </c>
      <c r="B19" s="195" t="str">
        <f>'RESUMO SEM DESON'!B18</f>
        <v>PAREDES E PAINÉIS</v>
      </c>
      <c r="C19" s="193">
        <f>'ORÇAMENTO SEM DESON'!I26</f>
        <v>15781.480000000001</v>
      </c>
      <c r="D19" s="237">
        <v>1</v>
      </c>
      <c r="E19" s="193">
        <f>C19*D19</f>
        <v>15781.480000000001</v>
      </c>
      <c r="F19" s="237"/>
      <c r="G19" s="193"/>
      <c r="H19" s="237"/>
      <c r="I19" s="193"/>
      <c r="J19" s="237"/>
      <c r="K19" s="193"/>
      <c r="L19" s="193"/>
      <c r="M19" s="193"/>
      <c r="N19" s="237"/>
      <c r="O19" s="193"/>
    </row>
    <row r="20" spans="1:15" s="113" customFormat="1" x14ac:dyDescent="0.2">
      <c r="A20" s="111"/>
      <c r="B20" s="111"/>
      <c r="C20" s="101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</row>
    <row r="21" spans="1:15" s="114" customFormat="1" x14ac:dyDescent="0.2">
      <c r="A21" s="196" t="str">
        <f>'RESUMO SEM DESON'!A20</f>
        <v>6.0</v>
      </c>
      <c r="B21" s="195" t="str">
        <f>'RESUMO SEM DESON'!B20</f>
        <v>PINTURA E REVESTIMENTOS</v>
      </c>
      <c r="C21" s="193">
        <f>'ORÇAMENTO SEM DESON'!I32</f>
        <v>12293.800000000001</v>
      </c>
      <c r="D21" s="237">
        <v>1</v>
      </c>
      <c r="E21" s="193">
        <f>C21*D21</f>
        <v>12293.800000000001</v>
      </c>
      <c r="F21" s="193"/>
      <c r="G21" s="193"/>
      <c r="H21" s="193"/>
      <c r="I21" s="193"/>
      <c r="J21" s="237"/>
      <c r="K21" s="193"/>
      <c r="L21" s="193"/>
      <c r="M21" s="193"/>
      <c r="N21" s="237"/>
      <c r="O21" s="193"/>
    </row>
    <row r="22" spans="1:15" s="113" customFormat="1" x14ac:dyDescent="0.2">
      <c r="A22" s="111"/>
      <c r="B22" s="111"/>
      <c r="C22" s="101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</row>
    <row r="23" spans="1:15" s="114" customFormat="1" x14ac:dyDescent="0.2">
      <c r="A23" s="196" t="str">
        <f>'RESUMO SEM DESON'!A22</f>
        <v>7.0</v>
      </c>
      <c r="B23" s="195" t="str">
        <f>'RESUMO SEM DESON'!B22</f>
        <v>ESQUADRIAS</v>
      </c>
      <c r="C23" s="193">
        <f>'ORÇAMENTO SEM DESON'!I39</f>
        <v>26064.41</v>
      </c>
      <c r="D23" s="237">
        <v>1</v>
      </c>
      <c r="E23" s="193">
        <f>C23*D23</f>
        <v>26064.41</v>
      </c>
      <c r="F23" s="193"/>
      <c r="G23" s="193"/>
      <c r="H23" s="193"/>
      <c r="I23" s="193"/>
      <c r="J23" s="237"/>
      <c r="K23" s="193"/>
      <c r="L23" s="237"/>
      <c r="M23" s="193"/>
      <c r="N23" s="193"/>
      <c r="O23" s="193"/>
    </row>
    <row r="24" spans="1:15" s="113" customFormat="1" x14ac:dyDescent="0.2">
      <c r="A24" s="111"/>
      <c r="B24" s="111"/>
      <c r="C24" s="101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</row>
    <row r="25" spans="1:15" s="114" customFormat="1" x14ac:dyDescent="0.2">
      <c r="A25" s="196" t="str">
        <f>'ORÇAMENTO SEM DESON'!A44</f>
        <v>8.0</v>
      </c>
      <c r="B25" s="195" t="str">
        <f>'ORÇAMENTO SEM DESON'!D44</f>
        <v>COBERTA</v>
      </c>
      <c r="C25" s="193">
        <f>'ORÇAMENTO SEM DESON'!I44</f>
        <v>4683.25</v>
      </c>
      <c r="D25" s="237">
        <v>1</v>
      </c>
      <c r="E25" s="193">
        <f>C25*D25</f>
        <v>4683.25</v>
      </c>
      <c r="F25" s="193"/>
      <c r="G25" s="193"/>
      <c r="H25" s="193"/>
      <c r="I25" s="193"/>
      <c r="J25" s="237"/>
      <c r="K25" s="193"/>
      <c r="L25" s="193"/>
      <c r="M25" s="193"/>
      <c r="N25" s="237"/>
      <c r="O25" s="193"/>
    </row>
    <row r="26" spans="1:15" s="113" customFormat="1" x14ac:dyDescent="0.2">
      <c r="A26" s="111"/>
      <c r="B26" s="111"/>
      <c r="C26" s="101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</row>
    <row r="27" spans="1:15" s="113" customFormat="1" x14ac:dyDescent="0.2">
      <c r="A27" s="196" t="str">
        <f>'ORÇAMENTO SEM DESON'!A49</f>
        <v>9.0</v>
      </c>
      <c r="B27" s="195" t="str">
        <f>'RESUMO SEM DESON'!B26</f>
        <v>INSTALAÇÕES ELÉTRICAS</v>
      </c>
      <c r="C27" s="193">
        <f>'ORÇAMENTO SEM DESON'!I49</f>
        <v>542.97</v>
      </c>
      <c r="D27" s="237">
        <v>1</v>
      </c>
      <c r="E27" s="193">
        <f>C27*D27</f>
        <v>542.97</v>
      </c>
      <c r="F27" s="112"/>
      <c r="G27" s="112"/>
      <c r="H27" s="112"/>
      <c r="I27" s="112"/>
      <c r="J27" s="112"/>
      <c r="K27" s="112"/>
      <c r="L27" s="112"/>
      <c r="M27" s="112"/>
      <c r="N27" s="112"/>
      <c r="O27" s="112"/>
    </row>
    <row r="28" spans="1:15" s="113" customFormat="1" x14ac:dyDescent="0.2">
      <c r="A28" s="111"/>
      <c r="B28" s="111"/>
      <c r="C28" s="101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</row>
    <row r="29" spans="1:15" s="144" customFormat="1" x14ac:dyDescent="0.2">
      <c r="A29" s="196" t="str">
        <f>'RESUMO SEM DESON'!A28</f>
        <v>10.0</v>
      </c>
      <c r="B29" s="195" t="str">
        <f>'RESUMO SEM DESON'!B28</f>
        <v>SERVIÇOS COMPLEMENTARES</v>
      </c>
      <c r="C29" s="193">
        <f>'ORÇAMENTO SEM DESON'!I54</f>
        <v>42334.239999999998</v>
      </c>
      <c r="D29" s="237">
        <v>1</v>
      </c>
      <c r="E29" s="193">
        <f>C29*D29</f>
        <v>42334.239999999998</v>
      </c>
      <c r="F29" s="193"/>
      <c r="G29" s="193"/>
      <c r="H29" s="193"/>
      <c r="I29" s="193"/>
      <c r="J29" s="237"/>
      <c r="K29" s="193"/>
      <c r="L29" s="193"/>
      <c r="M29" s="193"/>
      <c r="N29" s="237"/>
      <c r="O29" s="193"/>
    </row>
    <row r="30" spans="1:15" s="145" customFormat="1" x14ac:dyDescent="0.2">
      <c r="A30" s="111"/>
      <c r="B30" s="111"/>
      <c r="C30" s="101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</row>
    <row r="31" spans="1:15" s="145" customFormat="1" x14ac:dyDescent="0.2">
      <c r="A31" s="341" t="s">
        <v>66</v>
      </c>
      <c r="B31" s="341"/>
      <c r="C31" s="341"/>
      <c r="D31" s="198">
        <f>E31/O$37</f>
        <v>1</v>
      </c>
      <c r="E31" s="197">
        <f>E11+E13+E15+E17+E19+E21+E23+E25+E27+E29</f>
        <v>147728.79999999999</v>
      </c>
      <c r="F31" s="197">
        <f>F11+F13+F15+F17+F19+F21+F23+F29</f>
        <v>0</v>
      </c>
      <c r="G31" s="197">
        <f>G11+G13+G15+G17+G19+G21+G23+G29</f>
        <v>0</v>
      </c>
      <c r="H31" s="197">
        <f>H11+H13+H15+H17+H19+H21+H23+H29</f>
        <v>0</v>
      </c>
      <c r="I31" s="197">
        <f>I11+I13+I15+I17+I19+I21+I23+I29</f>
        <v>0</v>
      </c>
      <c r="J31" s="197">
        <f>J11+J13+J15+J17+J19+J21+J23+J29</f>
        <v>0</v>
      </c>
      <c r="K31" s="197">
        <f>K11+K13+K15+K17+K19+K21+K23+K25+K29</f>
        <v>0</v>
      </c>
      <c r="L31" s="197">
        <f>L11+L13+L15+L17+L19+L21+L23+L29</f>
        <v>0</v>
      </c>
      <c r="M31" s="197">
        <f>M11+M13+M15+M17+M19+M21+M23+M29</f>
        <v>0</v>
      </c>
      <c r="N31" s="197">
        <f>N11+N13+N15+N17+N19+N21+N23+N29</f>
        <v>0</v>
      </c>
      <c r="O31" s="197">
        <f>O11+O13+O15+O17+O19+O21+O23+O29</f>
        <v>0</v>
      </c>
    </row>
    <row r="32" spans="1:15" s="144" customFormat="1" x14ac:dyDescent="0.2">
      <c r="A32" s="111"/>
      <c r="B32" s="111"/>
      <c r="C32" s="111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</row>
    <row r="33" spans="1:15" s="145" customFormat="1" x14ac:dyDescent="0.2">
      <c r="A33" s="111"/>
      <c r="B33" s="111"/>
      <c r="C33" s="111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</row>
    <row r="34" spans="1:15" s="145" customFormat="1" x14ac:dyDescent="0.2">
      <c r="A34" s="341" t="s">
        <v>67</v>
      </c>
      <c r="B34" s="341"/>
      <c r="C34" s="341"/>
      <c r="D34" s="193"/>
      <c r="E34" s="193">
        <f>E31</f>
        <v>147728.79999999999</v>
      </c>
      <c r="F34" s="193"/>
      <c r="G34" s="193">
        <f>G31+E34</f>
        <v>147728.79999999999</v>
      </c>
      <c r="H34" s="193"/>
      <c r="I34" s="193">
        <f>G34+I31</f>
        <v>147728.79999999999</v>
      </c>
      <c r="J34" s="193"/>
      <c r="K34" s="193">
        <f>I34+K31</f>
        <v>147728.79999999999</v>
      </c>
      <c r="L34" s="193"/>
      <c r="M34" s="193">
        <f>K34+M31</f>
        <v>147728.79999999999</v>
      </c>
      <c r="N34" s="193"/>
      <c r="O34" s="193">
        <f>M34+O31</f>
        <v>147728.79999999999</v>
      </c>
    </row>
    <row r="35" spans="1:15" s="146" customFormat="1" ht="14.4" customHeight="1" x14ac:dyDescent="0.2">
      <c r="A35" s="111"/>
      <c r="B35" s="111"/>
      <c r="C35" s="111"/>
      <c r="D35" s="198"/>
      <c r="E35" s="198">
        <f>E34/O37</f>
        <v>1</v>
      </c>
      <c r="F35" s="198"/>
      <c r="G35" s="198">
        <f>G34/O37</f>
        <v>1</v>
      </c>
      <c r="H35" s="198"/>
      <c r="I35" s="198">
        <f>I34/O37</f>
        <v>1</v>
      </c>
      <c r="J35" s="198"/>
      <c r="K35" s="198">
        <f>K34/O37</f>
        <v>1</v>
      </c>
      <c r="L35" s="198"/>
      <c r="M35" s="198">
        <f>M34/O37</f>
        <v>1</v>
      </c>
      <c r="N35" s="198"/>
      <c r="O35" s="198">
        <f>O34/O37</f>
        <v>1</v>
      </c>
    </row>
    <row r="36" spans="1:15" x14ac:dyDescent="0.2">
      <c r="A36" s="111"/>
      <c r="B36" s="111"/>
      <c r="C36" s="111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</row>
    <row r="37" spans="1:15" ht="14.4" customHeight="1" x14ac:dyDescent="0.2">
      <c r="A37" s="334" t="s">
        <v>60</v>
      </c>
      <c r="B37" s="335"/>
      <c r="C37" s="335"/>
      <c r="D37" s="335"/>
      <c r="E37" s="238">
        <f>C11+C13+C15+C17+C19+C21+C23+C25+C27+C29</f>
        <v>147728.79999999999</v>
      </c>
      <c r="F37" s="255"/>
      <c r="G37" s="255"/>
      <c r="H37" s="255"/>
      <c r="I37" s="255"/>
      <c r="J37" s="255"/>
      <c r="K37" s="255"/>
      <c r="L37" s="255"/>
      <c r="M37" s="255"/>
      <c r="N37" s="256"/>
      <c r="O37" s="238">
        <f>C11+C13+C15+C17+C19+C21+C23+C25+C27+C29</f>
        <v>147728.79999999999</v>
      </c>
    </row>
    <row r="38" spans="1:15" x14ac:dyDescent="0.2"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</row>
    <row r="39" spans="1:15" x14ac:dyDescent="0.2"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</row>
    <row r="40" spans="1:15" x14ac:dyDescent="0.2">
      <c r="B40" s="147"/>
      <c r="C40" s="148"/>
      <c r="D40" s="115"/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15"/>
    </row>
    <row r="41" spans="1:15" x14ac:dyDescent="0.2">
      <c r="C41" s="115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</row>
    <row r="42" spans="1:15" x14ac:dyDescent="0.2"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</row>
  </sheetData>
  <mergeCells count="16">
    <mergeCell ref="N8:O8"/>
    <mergeCell ref="L8:M8"/>
    <mergeCell ref="A34:C34"/>
    <mergeCell ref="A8:A9"/>
    <mergeCell ref="B8:B9"/>
    <mergeCell ref="C8:C9"/>
    <mergeCell ref="A37:D37"/>
    <mergeCell ref="A4:K4"/>
    <mergeCell ref="A1:K1"/>
    <mergeCell ref="A2:K3"/>
    <mergeCell ref="A31:C31"/>
    <mergeCell ref="A5:K5"/>
    <mergeCell ref="J8:K8"/>
    <mergeCell ref="H8:I8"/>
    <mergeCell ref="F8:G8"/>
    <mergeCell ref="D8:E8"/>
  </mergeCells>
  <printOptions horizontalCentered="1"/>
  <pageMargins left="0.51181102362204722" right="0.51181102362204722" top="1.2598425196850394" bottom="1.2598425196850394" header="0.31496062992125984" footer="0.31496062992125984"/>
  <pageSetup paperSize="9" fitToHeight="3" orientation="portrait" r:id="rId1"/>
  <headerFooter>
    <oddHeader>&amp;C&amp;G</oddHead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 tint="-0.249977111117893"/>
  </sheetPr>
  <dimension ref="A1:F61"/>
  <sheetViews>
    <sheetView view="pageBreakPreview" topLeftCell="B22" zoomScaleNormal="100" zoomScaleSheetLayoutView="100" workbookViewId="0">
      <selection activeCell="B15" sqref="B15"/>
    </sheetView>
  </sheetViews>
  <sheetFormatPr defaultColWidth="9.109375" defaultRowHeight="13.8" x14ac:dyDescent="0.25"/>
  <cols>
    <col min="1" max="1" width="1.109375" style="46" hidden="1" customWidth="1"/>
    <col min="2" max="2" width="75.6640625" style="46" customWidth="1"/>
    <col min="3" max="3" width="10.109375" style="56" bestFit="1" customWidth="1"/>
    <col min="4" max="4" width="16.88671875" style="56" customWidth="1"/>
    <col min="5" max="5" width="11.44140625" style="46" customWidth="1"/>
    <col min="6" max="6" width="62.5546875" style="46" customWidth="1"/>
    <col min="7" max="16384" width="9.109375" style="46"/>
  </cols>
  <sheetData>
    <row r="1" spans="1:6" s="14" customFormat="1" ht="6.75" customHeight="1" x14ac:dyDescent="0.25">
      <c r="C1" s="15"/>
      <c r="D1" s="15"/>
    </row>
    <row r="2" spans="1:6" s="14" customFormat="1" ht="17.399999999999999" x14ac:dyDescent="0.3">
      <c r="B2" s="268" t="s">
        <v>94</v>
      </c>
      <c r="C2" s="268"/>
      <c r="D2" s="268"/>
    </row>
    <row r="3" spans="1:6" s="16" customFormat="1" ht="10.199999999999999" x14ac:dyDescent="0.2">
      <c r="B3" s="17"/>
      <c r="C3" s="17"/>
      <c r="D3" s="17"/>
    </row>
    <row r="4" spans="1:6" s="14" customFormat="1" ht="13.2" x14ac:dyDescent="0.25">
      <c r="B4" s="269" t="s">
        <v>150</v>
      </c>
      <c r="C4" s="269"/>
      <c r="D4" s="269"/>
    </row>
    <row r="5" spans="1:6" s="14" customFormat="1" ht="13.2" x14ac:dyDescent="0.25">
      <c r="B5" s="18"/>
      <c r="C5" s="18"/>
      <c r="D5" s="18"/>
    </row>
    <row r="6" spans="1:6" s="14" customFormat="1" ht="20.399999999999999" customHeight="1" x14ac:dyDescent="0.25">
      <c r="B6" s="349" t="str">
        <f>COMPOSICOES!A4</f>
        <v>2ª ETAPA - AMPLIAÇÃO E REFORMA DA CRECHE JÚLIA GUIMARÃES NO MUNICÍPIO DE LIMOEIRO/PE</v>
      </c>
      <c r="C6" s="349"/>
      <c r="D6" s="349"/>
    </row>
    <row r="7" spans="1:6" s="9" customFormat="1" ht="16.2" customHeight="1" x14ac:dyDescent="0.25">
      <c r="B7" s="270" t="str">
        <f>'ORÇAMENTO SEM DESON'!A4</f>
        <v>LOCALIZAÇÃO: LIMOEIRO - PE</v>
      </c>
      <c r="C7" s="270"/>
      <c r="D7" s="270"/>
    </row>
    <row r="8" spans="1:6" s="9" customFormat="1" ht="31.2" customHeight="1" x14ac:dyDescent="0.25">
      <c r="B8" s="270" t="str">
        <f>'ORÇAMENTO SEM DESON'!A5</f>
        <v>FONTES DE PREÇOS: EMLURB 2018 / SINAPI MARÇO-2022 / SEINFRA 027 MARÇO-2021 - SEM DESONERAÇÃO (BDI = 20,84%)</v>
      </c>
      <c r="C8" s="270"/>
      <c r="D8" s="270"/>
    </row>
    <row r="9" spans="1:6" s="14" customFormat="1" ht="18.75" customHeight="1" x14ac:dyDescent="0.25">
      <c r="B9" s="271" t="str">
        <f>'ORÇAMENTO SEM DESON'!A6</f>
        <v>DATA: MAIO/2022</v>
      </c>
      <c r="C9" s="271"/>
      <c r="D9" s="271"/>
    </row>
    <row r="10" spans="1:6" s="14" customFormat="1" ht="13.2" x14ac:dyDescent="0.25">
      <c r="B10" s="19"/>
      <c r="C10" s="20"/>
      <c r="D10" s="20"/>
    </row>
    <row r="11" spans="1:6" s="14" customFormat="1" ht="22.5" customHeight="1" x14ac:dyDescent="0.25">
      <c r="B11" s="215" t="s">
        <v>68</v>
      </c>
      <c r="C11" s="215" t="s">
        <v>69</v>
      </c>
      <c r="D11" s="215" t="s">
        <v>70</v>
      </c>
      <c r="F11" s="21" t="s">
        <v>71</v>
      </c>
    </row>
    <row r="12" spans="1:6" s="25" customFormat="1" x14ac:dyDescent="0.25">
      <c r="A12" s="22"/>
      <c r="B12" s="23"/>
      <c r="C12" s="24"/>
      <c r="D12" s="24"/>
    </row>
    <row r="13" spans="1:6" s="14" customFormat="1" x14ac:dyDescent="0.25">
      <c r="B13" s="26" t="s">
        <v>72</v>
      </c>
      <c r="C13" s="27" t="s">
        <v>73</v>
      </c>
      <c r="D13" s="28">
        <v>0.04</v>
      </c>
      <c r="E13" s="14" t="s">
        <v>95</v>
      </c>
      <c r="F13" s="29" t="s">
        <v>96</v>
      </c>
    </row>
    <row r="14" spans="1:6" s="14" customFormat="1" x14ac:dyDescent="0.25">
      <c r="B14" s="26"/>
      <c r="C14" s="27"/>
      <c r="D14" s="30"/>
    </row>
    <row r="15" spans="1:6" s="14" customFormat="1" x14ac:dyDescent="0.25">
      <c r="B15" s="26" t="s">
        <v>74</v>
      </c>
      <c r="C15" s="27" t="s">
        <v>75</v>
      </c>
      <c r="D15" s="28">
        <v>1.23E-2</v>
      </c>
      <c r="E15" s="14" t="s">
        <v>95</v>
      </c>
      <c r="F15" s="29" t="s">
        <v>97</v>
      </c>
    </row>
    <row r="16" spans="1:6" s="14" customFormat="1" x14ac:dyDescent="0.25">
      <c r="B16" s="26"/>
      <c r="C16" s="27"/>
      <c r="D16" s="31"/>
    </row>
    <row r="17" spans="2:6" s="14" customFormat="1" x14ac:dyDescent="0.25">
      <c r="B17" s="26" t="s">
        <v>76</v>
      </c>
      <c r="C17" s="27" t="s">
        <v>77</v>
      </c>
      <c r="D17" s="28">
        <v>1.2699999999999999E-2</v>
      </c>
      <c r="E17" s="14" t="s">
        <v>95</v>
      </c>
      <c r="F17" s="29" t="s">
        <v>98</v>
      </c>
    </row>
    <row r="18" spans="2:6" s="14" customFormat="1" x14ac:dyDescent="0.25">
      <c r="B18" s="26"/>
      <c r="C18" s="27"/>
      <c r="D18" s="31"/>
    </row>
    <row r="19" spans="2:6" s="14" customFormat="1" x14ac:dyDescent="0.25">
      <c r="B19" s="32" t="s">
        <v>99</v>
      </c>
      <c r="C19" s="33" t="s">
        <v>100</v>
      </c>
      <c r="D19" s="34">
        <v>8.0000000000000002E-3</v>
      </c>
      <c r="E19" s="14" t="s">
        <v>101</v>
      </c>
      <c r="F19" s="261" t="s">
        <v>102</v>
      </c>
    </row>
    <row r="20" spans="2:6" s="14" customFormat="1" x14ac:dyDescent="0.25">
      <c r="B20" s="26"/>
      <c r="C20" s="27"/>
      <c r="D20" s="35"/>
      <c r="F20" s="262"/>
    </row>
    <row r="21" spans="2:6" s="14" customFormat="1" x14ac:dyDescent="0.25">
      <c r="B21" s="26" t="s">
        <v>78</v>
      </c>
      <c r="C21" s="27" t="s">
        <v>78</v>
      </c>
      <c r="D21" s="35">
        <v>0.03</v>
      </c>
    </row>
    <row r="22" spans="2:6" s="14" customFormat="1" x14ac:dyDescent="0.25">
      <c r="B22" s="26" t="s">
        <v>79</v>
      </c>
      <c r="C22" s="27" t="s">
        <v>80</v>
      </c>
      <c r="D22" s="35">
        <v>0.02</v>
      </c>
      <c r="E22" s="36">
        <f>0.05*0.4</f>
        <v>2.0000000000000004E-2</v>
      </c>
    </row>
    <row r="23" spans="2:6" s="14" customFormat="1" x14ac:dyDescent="0.25">
      <c r="B23" s="26" t="s">
        <v>81</v>
      </c>
      <c r="C23" s="27" t="s">
        <v>81</v>
      </c>
      <c r="D23" s="35">
        <v>6.4999999999999997E-3</v>
      </c>
    </row>
    <row r="24" spans="2:6" s="90" customFormat="1" hidden="1" x14ac:dyDescent="0.25">
      <c r="B24" s="87" t="s">
        <v>82</v>
      </c>
      <c r="C24" s="88" t="s">
        <v>83</v>
      </c>
      <c r="D24" s="89"/>
      <c r="E24" s="90" t="s">
        <v>84</v>
      </c>
    </row>
    <row r="25" spans="2:6" s="14" customFormat="1" x14ac:dyDescent="0.25">
      <c r="B25" s="26" t="s">
        <v>103</v>
      </c>
      <c r="C25" s="27" t="s">
        <v>85</v>
      </c>
      <c r="D25" s="28">
        <f>SUM(D21:D24)</f>
        <v>5.6500000000000002E-2</v>
      </c>
    </row>
    <row r="26" spans="2:6" s="14" customFormat="1" x14ac:dyDescent="0.25">
      <c r="B26" s="26"/>
      <c r="C26" s="27"/>
      <c r="D26" s="35"/>
    </row>
    <row r="27" spans="2:6" s="14" customFormat="1" x14ac:dyDescent="0.25">
      <c r="B27" s="26" t="s">
        <v>86</v>
      </c>
      <c r="C27" s="27" t="s">
        <v>87</v>
      </c>
      <c r="D27" s="28">
        <v>6.1800000000000001E-2</v>
      </c>
      <c r="E27" s="14" t="s">
        <v>104</v>
      </c>
      <c r="F27" s="29" t="s">
        <v>105</v>
      </c>
    </row>
    <row r="28" spans="2:6" s="22" customFormat="1" x14ac:dyDescent="0.25">
      <c r="B28" s="23"/>
      <c r="C28" s="24"/>
      <c r="D28" s="37"/>
    </row>
    <row r="29" spans="2:6" s="14" customFormat="1" x14ac:dyDescent="0.25">
      <c r="B29" s="38" t="s">
        <v>88</v>
      </c>
      <c r="C29" s="39"/>
      <c r="D29" s="28">
        <f>ROUND((((1+D13+D19+D17)*(1+D15)*(1+D27))/(1-D25))-1,4)</f>
        <v>0.2084</v>
      </c>
      <c r="E29" s="40" t="s">
        <v>149</v>
      </c>
    </row>
    <row r="30" spans="2:6" s="14" customFormat="1" ht="13.2" x14ac:dyDescent="0.25">
      <c r="C30" s="15"/>
      <c r="D30" s="41"/>
      <c r="F30" s="29" t="s">
        <v>106</v>
      </c>
    </row>
    <row r="31" spans="2:6" s="14" customFormat="1" ht="13.2" x14ac:dyDescent="0.25">
      <c r="C31" s="15"/>
      <c r="D31" s="15"/>
    </row>
    <row r="32" spans="2:6" s="14" customFormat="1" ht="13.2" x14ac:dyDescent="0.25">
      <c r="C32" s="15"/>
      <c r="D32" s="15"/>
    </row>
    <row r="33" spans="2:4" s="14" customFormat="1" ht="15" x14ac:dyDescent="0.25">
      <c r="B33" s="42" t="s">
        <v>89</v>
      </c>
      <c r="C33" s="15"/>
      <c r="D33" s="15"/>
    </row>
    <row r="34" spans="2:4" x14ac:dyDescent="0.25">
      <c r="B34" s="43"/>
      <c r="C34" s="44"/>
      <c r="D34" s="45"/>
    </row>
    <row r="35" spans="2:4" x14ac:dyDescent="0.25">
      <c r="B35" s="47"/>
      <c r="C35" s="48"/>
      <c r="D35" s="49"/>
    </row>
    <row r="36" spans="2:4" x14ac:dyDescent="0.25">
      <c r="B36" s="47"/>
      <c r="C36" s="48"/>
      <c r="D36" s="49"/>
    </row>
    <row r="37" spans="2:4" x14ac:dyDescent="0.25">
      <c r="B37" s="47"/>
      <c r="C37" s="48"/>
      <c r="D37" s="49"/>
    </row>
    <row r="38" spans="2:4" x14ac:dyDescent="0.25">
      <c r="B38" s="47"/>
      <c r="C38" s="48"/>
      <c r="D38" s="49"/>
    </row>
    <row r="39" spans="2:4" x14ac:dyDescent="0.25">
      <c r="B39" s="50"/>
      <c r="C39" s="51"/>
      <c r="D39" s="52"/>
    </row>
    <row r="40" spans="2:4" x14ac:dyDescent="0.25">
      <c r="B40" s="53"/>
      <c r="C40" s="48"/>
      <c r="D40" s="48"/>
    </row>
    <row r="41" spans="2:4" x14ac:dyDescent="0.25">
      <c r="B41" s="53" t="s">
        <v>90</v>
      </c>
      <c r="C41" s="48"/>
      <c r="D41" s="48"/>
    </row>
    <row r="42" spans="2:4" s="54" customFormat="1" x14ac:dyDescent="0.25">
      <c r="B42" s="263" t="s">
        <v>91</v>
      </c>
      <c r="C42" s="263"/>
      <c r="D42" s="263"/>
    </row>
    <row r="43" spans="2:4" s="54" customFormat="1" ht="48" customHeight="1" x14ac:dyDescent="0.25">
      <c r="B43" s="264" t="s">
        <v>108</v>
      </c>
      <c r="C43" s="264"/>
      <c r="D43" s="264"/>
    </row>
    <row r="44" spans="2:4" x14ac:dyDescent="0.25">
      <c r="B44" s="55"/>
      <c r="C44" s="48"/>
      <c r="D44" s="48"/>
    </row>
    <row r="46" spans="2:4" x14ac:dyDescent="0.25">
      <c r="B46" s="46" t="s">
        <v>92</v>
      </c>
    </row>
    <row r="47" spans="2:4" ht="135" customHeight="1" x14ac:dyDescent="0.25">
      <c r="B47" s="265" t="s">
        <v>107</v>
      </c>
      <c r="C47" s="266"/>
      <c r="D47" s="267"/>
    </row>
    <row r="59" spans="2:4" s="14" customFormat="1" ht="13.2" x14ac:dyDescent="0.25">
      <c r="C59" s="15"/>
      <c r="D59" s="15"/>
    </row>
    <row r="60" spans="2:4" s="14" customFormat="1" ht="13.2" x14ac:dyDescent="0.25">
      <c r="C60" s="15"/>
      <c r="D60" s="15"/>
    </row>
    <row r="61" spans="2:4" x14ac:dyDescent="0.25">
      <c r="B61" s="46" t="s">
        <v>93</v>
      </c>
    </row>
  </sheetData>
  <mergeCells count="10">
    <mergeCell ref="F19:F20"/>
    <mergeCell ref="B42:D42"/>
    <mergeCell ref="B43:D43"/>
    <mergeCell ref="B47:D47"/>
    <mergeCell ref="B2:D2"/>
    <mergeCell ref="B4:D4"/>
    <mergeCell ref="B7:D7"/>
    <mergeCell ref="B8:D8"/>
    <mergeCell ref="B9:D9"/>
    <mergeCell ref="B6:D6"/>
  </mergeCells>
  <printOptions horizontalCentered="1"/>
  <pageMargins left="0.59055118110236227" right="0.59055118110236227" top="1.5748031496062993" bottom="0.9055118110236221" header="0.39370078740157483" footer="0.39370078740157483"/>
  <pageSetup paperSize="9" scale="87" orientation="portrait" horizontalDpi="300" verticalDpi="300" r:id="rId1"/>
  <headerFooter>
    <oddHeader>&amp;C&amp;G</oddHeader>
    <oddFooter>&amp;C
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Equation.3" shapeId="3073" r:id="rId5">
          <objectPr defaultSize="0" autoPict="0" r:id="rId6">
            <anchor moveWithCells="1" sizeWithCells="1">
              <from>
                <xdr:col>1</xdr:col>
                <xdr:colOff>38100</xdr:colOff>
                <xdr:row>34</xdr:row>
                <xdr:rowOff>0</xdr:rowOff>
              </from>
              <to>
                <xdr:col>1</xdr:col>
                <xdr:colOff>4671060</xdr:colOff>
                <xdr:row>38</xdr:row>
                <xdr:rowOff>7620</xdr:rowOff>
              </to>
            </anchor>
          </objectPr>
        </oleObject>
      </mc:Choice>
      <mc:Fallback>
        <oleObject progId="Equation.3" shapeId="307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B90FF-C4B4-4F20-B4B0-DE62AC742C26}">
  <sheetPr>
    <tabColor rgb="FFFF0000"/>
  </sheetPr>
  <dimension ref="A1:K317"/>
  <sheetViews>
    <sheetView view="pageBreakPreview" zoomScale="111" zoomScaleNormal="100" zoomScaleSheetLayoutView="111" workbookViewId="0">
      <selection activeCell="F31" sqref="F31"/>
    </sheetView>
  </sheetViews>
  <sheetFormatPr defaultRowHeight="10.199999999999999" x14ac:dyDescent="0.2"/>
  <cols>
    <col min="1" max="1" width="19.6640625" style="60" customWidth="1"/>
    <col min="2" max="2" width="20.6640625" style="60" customWidth="1"/>
    <col min="3" max="3" width="8.88671875" style="60"/>
    <col min="4" max="4" width="9" style="60" customWidth="1"/>
    <col min="5" max="5" width="9.5546875" style="60" customWidth="1"/>
    <col min="6" max="6" width="12.109375" style="60" customWidth="1"/>
    <col min="7" max="256" width="8.88671875" style="60"/>
    <col min="257" max="257" width="17.5546875" style="60" customWidth="1"/>
    <col min="258" max="258" width="47.5546875" style="60" customWidth="1"/>
    <col min="259" max="259" width="8.88671875" style="60"/>
    <col min="260" max="260" width="10.33203125" style="60" customWidth="1"/>
    <col min="261" max="261" width="11.6640625" style="60" customWidth="1"/>
    <col min="262" max="262" width="15.88671875" style="60" customWidth="1"/>
    <col min="263" max="512" width="8.88671875" style="60"/>
    <col min="513" max="513" width="17.5546875" style="60" customWidth="1"/>
    <col min="514" max="514" width="47.5546875" style="60" customWidth="1"/>
    <col min="515" max="515" width="8.88671875" style="60"/>
    <col min="516" max="516" width="10.33203125" style="60" customWidth="1"/>
    <col min="517" max="517" width="11.6640625" style="60" customWidth="1"/>
    <col min="518" max="518" width="15.88671875" style="60" customWidth="1"/>
    <col min="519" max="768" width="8.88671875" style="60"/>
    <col min="769" max="769" width="17.5546875" style="60" customWidth="1"/>
    <col min="770" max="770" width="47.5546875" style="60" customWidth="1"/>
    <col min="771" max="771" width="8.88671875" style="60"/>
    <col min="772" max="772" width="10.33203125" style="60" customWidth="1"/>
    <col min="773" max="773" width="11.6640625" style="60" customWidth="1"/>
    <col min="774" max="774" width="15.88671875" style="60" customWidth="1"/>
    <col min="775" max="1024" width="8.88671875" style="60"/>
    <col min="1025" max="1025" width="17.5546875" style="60" customWidth="1"/>
    <col min="1026" max="1026" width="47.5546875" style="60" customWidth="1"/>
    <col min="1027" max="1027" width="8.88671875" style="60"/>
    <col min="1028" max="1028" width="10.33203125" style="60" customWidth="1"/>
    <col min="1029" max="1029" width="11.6640625" style="60" customWidth="1"/>
    <col min="1030" max="1030" width="15.88671875" style="60" customWidth="1"/>
    <col min="1031" max="1280" width="8.88671875" style="60"/>
    <col min="1281" max="1281" width="17.5546875" style="60" customWidth="1"/>
    <col min="1282" max="1282" width="47.5546875" style="60" customWidth="1"/>
    <col min="1283" max="1283" width="8.88671875" style="60"/>
    <col min="1284" max="1284" width="10.33203125" style="60" customWidth="1"/>
    <col min="1285" max="1285" width="11.6640625" style="60" customWidth="1"/>
    <col min="1286" max="1286" width="15.88671875" style="60" customWidth="1"/>
    <col min="1287" max="1536" width="8.88671875" style="60"/>
    <col min="1537" max="1537" width="17.5546875" style="60" customWidth="1"/>
    <col min="1538" max="1538" width="47.5546875" style="60" customWidth="1"/>
    <col min="1539" max="1539" width="8.88671875" style="60"/>
    <col min="1540" max="1540" width="10.33203125" style="60" customWidth="1"/>
    <col min="1541" max="1541" width="11.6640625" style="60" customWidth="1"/>
    <col min="1542" max="1542" width="15.88671875" style="60" customWidth="1"/>
    <col min="1543" max="1792" width="8.88671875" style="60"/>
    <col min="1793" max="1793" width="17.5546875" style="60" customWidth="1"/>
    <col min="1794" max="1794" width="47.5546875" style="60" customWidth="1"/>
    <col min="1795" max="1795" width="8.88671875" style="60"/>
    <col min="1796" max="1796" width="10.33203125" style="60" customWidth="1"/>
    <col min="1797" max="1797" width="11.6640625" style="60" customWidth="1"/>
    <col min="1798" max="1798" width="15.88671875" style="60" customWidth="1"/>
    <col min="1799" max="2048" width="8.88671875" style="60"/>
    <col min="2049" max="2049" width="17.5546875" style="60" customWidth="1"/>
    <col min="2050" max="2050" width="47.5546875" style="60" customWidth="1"/>
    <col min="2051" max="2051" width="8.88671875" style="60"/>
    <col min="2052" max="2052" width="10.33203125" style="60" customWidth="1"/>
    <col min="2053" max="2053" width="11.6640625" style="60" customWidth="1"/>
    <col min="2054" max="2054" width="15.88671875" style="60" customWidth="1"/>
    <col min="2055" max="2304" width="8.88671875" style="60"/>
    <col min="2305" max="2305" width="17.5546875" style="60" customWidth="1"/>
    <col min="2306" max="2306" width="47.5546875" style="60" customWidth="1"/>
    <col min="2307" max="2307" width="8.88671875" style="60"/>
    <col min="2308" max="2308" width="10.33203125" style="60" customWidth="1"/>
    <col min="2309" max="2309" width="11.6640625" style="60" customWidth="1"/>
    <col min="2310" max="2310" width="15.88671875" style="60" customWidth="1"/>
    <col min="2311" max="2560" width="8.88671875" style="60"/>
    <col min="2561" max="2561" width="17.5546875" style="60" customWidth="1"/>
    <col min="2562" max="2562" width="47.5546875" style="60" customWidth="1"/>
    <col min="2563" max="2563" width="8.88671875" style="60"/>
    <col min="2564" max="2564" width="10.33203125" style="60" customWidth="1"/>
    <col min="2565" max="2565" width="11.6640625" style="60" customWidth="1"/>
    <col min="2566" max="2566" width="15.88671875" style="60" customWidth="1"/>
    <col min="2567" max="2816" width="8.88671875" style="60"/>
    <col min="2817" max="2817" width="17.5546875" style="60" customWidth="1"/>
    <col min="2818" max="2818" width="47.5546875" style="60" customWidth="1"/>
    <col min="2819" max="2819" width="8.88671875" style="60"/>
    <col min="2820" max="2820" width="10.33203125" style="60" customWidth="1"/>
    <col min="2821" max="2821" width="11.6640625" style="60" customWidth="1"/>
    <col min="2822" max="2822" width="15.88671875" style="60" customWidth="1"/>
    <col min="2823" max="3072" width="8.88671875" style="60"/>
    <col min="3073" max="3073" width="17.5546875" style="60" customWidth="1"/>
    <col min="3074" max="3074" width="47.5546875" style="60" customWidth="1"/>
    <col min="3075" max="3075" width="8.88671875" style="60"/>
    <col min="3076" max="3076" width="10.33203125" style="60" customWidth="1"/>
    <col min="3077" max="3077" width="11.6640625" style="60" customWidth="1"/>
    <col min="3078" max="3078" width="15.88671875" style="60" customWidth="1"/>
    <col min="3079" max="3328" width="8.88671875" style="60"/>
    <col min="3329" max="3329" width="17.5546875" style="60" customWidth="1"/>
    <col min="3330" max="3330" width="47.5546875" style="60" customWidth="1"/>
    <col min="3331" max="3331" width="8.88671875" style="60"/>
    <col min="3332" max="3332" width="10.33203125" style="60" customWidth="1"/>
    <col min="3333" max="3333" width="11.6640625" style="60" customWidth="1"/>
    <col min="3334" max="3334" width="15.88671875" style="60" customWidth="1"/>
    <col min="3335" max="3584" width="8.88671875" style="60"/>
    <col min="3585" max="3585" width="17.5546875" style="60" customWidth="1"/>
    <col min="3586" max="3586" width="47.5546875" style="60" customWidth="1"/>
    <col min="3587" max="3587" width="8.88671875" style="60"/>
    <col min="3588" max="3588" width="10.33203125" style="60" customWidth="1"/>
    <col min="3589" max="3589" width="11.6640625" style="60" customWidth="1"/>
    <col min="3590" max="3590" width="15.88671875" style="60" customWidth="1"/>
    <col min="3591" max="3840" width="8.88671875" style="60"/>
    <col min="3841" max="3841" width="17.5546875" style="60" customWidth="1"/>
    <col min="3842" max="3842" width="47.5546875" style="60" customWidth="1"/>
    <col min="3843" max="3843" width="8.88671875" style="60"/>
    <col min="3844" max="3844" width="10.33203125" style="60" customWidth="1"/>
    <col min="3845" max="3845" width="11.6640625" style="60" customWidth="1"/>
    <col min="3846" max="3846" width="15.88671875" style="60" customWidth="1"/>
    <col min="3847" max="4096" width="8.88671875" style="60"/>
    <col min="4097" max="4097" width="17.5546875" style="60" customWidth="1"/>
    <col min="4098" max="4098" width="47.5546875" style="60" customWidth="1"/>
    <col min="4099" max="4099" width="8.88671875" style="60"/>
    <col min="4100" max="4100" width="10.33203125" style="60" customWidth="1"/>
    <col min="4101" max="4101" width="11.6640625" style="60" customWidth="1"/>
    <col min="4102" max="4102" width="15.88671875" style="60" customWidth="1"/>
    <col min="4103" max="4352" width="8.88671875" style="60"/>
    <col min="4353" max="4353" width="17.5546875" style="60" customWidth="1"/>
    <col min="4354" max="4354" width="47.5546875" style="60" customWidth="1"/>
    <col min="4355" max="4355" width="8.88671875" style="60"/>
    <col min="4356" max="4356" width="10.33203125" style="60" customWidth="1"/>
    <col min="4357" max="4357" width="11.6640625" style="60" customWidth="1"/>
    <col min="4358" max="4358" width="15.88671875" style="60" customWidth="1"/>
    <col min="4359" max="4608" width="8.88671875" style="60"/>
    <col min="4609" max="4609" width="17.5546875" style="60" customWidth="1"/>
    <col min="4610" max="4610" width="47.5546875" style="60" customWidth="1"/>
    <col min="4611" max="4611" width="8.88671875" style="60"/>
    <col min="4612" max="4612" width="10.33203125" style="60" customWidth="1"/>
    <col min="4613" max="4613" width="11.6640625" style="60" customWidth="1"/>
    <col min="4614" max="4614" width="15.88671875" style="60" customWidth="1"/>
    <col min="4615" max="4864" width="8.88671875" style="60"/>
    <col min="4865" max="4865" width="17.5546875" style="60" customWidth="1"/>
    <col min="4866" max="4866" width="47.5546875" style="60" customWidth="1"/>
    <col min="4867" max="4867" width="8.88671875" style="60"/>
    <col min="4868" max="4868" width="10.33203125" style="60" customWidth="1"/>
    <col min="4869" max="4869" width="11.6640625" style="60" customWidth="1"/>
    <col min="4870" max="4870" width="15.88671875" style="60" customWidth="1"/>
    <col min="4871" max="5120" width="8.88671875" style="60"/>
    <col min="5121" max="5121" width="17.5546875" style="60" customWidth="1"/>
    <col min="5122" max="5122" width="47.5546875" style="60" customWidth="1"/>
    <col min="5123" max="5123" width="8.88671875" style="60"/>
    <col min="5124" max="5124" width="10.33203125" style="60" customWidth="1"/>
    <col min="5125" max="5125" width="11.6640625" style="60" customWidth="1"/>
    <col min="5126" max="5126" width="15.88671875" style="60" customWidth="1"/>
    <col min="5127" max="5376" width="8.88671875" style="60"/>
    <col min="5377" max="5377" width="17.5546875" style="60" customWidth="1"/>
    <col min="5378" max="5378" width="47.5546875" style="60" customWidth="1"/>
    <col min="5379" max="5379" width="8.88671875" style="60"/>
    <col min="5380" max="5380" width="10.33203125" style="60" customWidth="1"/>
    <col min="5381" max="5381" width="11.6640625" style="60" customWidth="1"/>
    <col min="5382" max="5382" width="15.88671875" style="60" customWidth="1"/>
    <col min="5383" max="5632" width="8.88671875" style="60"/>
    <col min="5633" max="5633" width="17.5546875" style="60" customWidth="1"/>
    <col min="5634" max="5634" width="47.5546875" style="60" customWidth="1"/>
    <col min="5635" max="5635" width="8.88671875" style="60"/>
    <col min="5636" max="5636" width="10.33203125" style="60" customWidth="1"/>
    <col min="5637" max="5637" width="11.6640625" style="60" customWidth="1"/>
    <col min="5638" max="5638" width="15.88671875" style="60" customWidth="1"/>
    <col min="5639" max="5888" width="8.88671875" style="60"/>
    <col min="5889" max="5889" width="17.5546875" style="60" customWidth="1"/>
    <col min="5890" max="5890" width="47.5546875" style="60" customWidth="1"/>
    <col min="5891" max="5891" width="8.88671875" style="60"/>
    <col min="5892" max="5892" width="10.33203125" style="60" customWidth="1"/>
    <col min="5893" max="5893" width="11.6640625" style="60" customWidth="1"/>
    <col min="5894" max="5894" width="15.88671875" style="60" customWidth="1"/>
    <col min="5895" max="6144" width="8.88671875" style="60"/>
    <col min="6145" max="6145" width="17.5546875" style="60" customWidth="1"/>
    <col min="6146" max="6146" width="47.5546875" style="60" customWidth="1"/>
    <col min="6147" max="6147" width="8.88671875" style="60"/>
    <col min="6148" max="6148" width="10.33203125" style="60" customWidth="1"/>
    <col min="6149" max="6149" width="11.6640625" style="60" customWidth="1"/>
    <col min="6150" max="6150" width="15.88671875" style="60" customWidth="1"/>
    <col min="6151" max="6400" width="8.88671875" style="60"/>
    <col min="6401" max="6401" width="17.5546875" style="60" customWidth="1"/>
    <col min="6402" max="6402" width="47.5546875" style="60" customWidth="1"/>
    <col min="6403" max="6403" width="8.88671875" style="60"/>
    <col min="6404" max="6404" width="10.33203125" style="60" customWidth="1"/>
    <col min="6405" max="6405" width="11.6640625" style="60" customWidth="1"/>
    <col min="6406" max="6406" width="15.88671875" style="60" customWidth="1"/>
    <col min="6407" max="6656" width="8.88671875" style="60"/>
    <col min="6657" max="6657" width="17.5546875" style="60" customWidth="1"/>
    <col min="6658" max="6658" width="47.5546875" style="60" customWidth="1"/>
    <col min="6659" max="6659" width="8.88671875" style="60"/>
    <col min="6660" max="6660" width="10.33203125" style="60" customWidth="1"/>
    <col min="6661" max="6661" width="11.6640625" style="60" customWidth="1"/>
    <col min="6662" max="6662" width="15.88671875" style="60" customWidth="1"/>
    <col min="6663" max="6912" width="8.88671875" style="60"/>
    <col min="6913" max="6913" width="17.5546875" style="60" customWidth="1"/>
    <col min="6914" max="6914" width="47.5546875" style="60" customWidth="1"/>
    <col min="6915" max="6915" width="8.88671875" style="60"/>
    <col min="6916" max="6916" width="10.33203125" style="60" customWidth="1"/>
    <col min="6917" max="6917" width="11.6640625" style="60" customWidth="1"/>
    <col min="6918" max="6918" width="15.88671875" style="60" customWidth="1"/>
    <col min="6919" max="7168" width="8.88671875" style="60"/>
    <col min="7169" max="7169" width="17.5546875" style="60" customWidth="1"/>
    <col min="7170" max="7170" width="47.5546875" style="60" customWidth="1"/>
    <col min="7171" max="7171" width="8.88671875" style="60"/>
    <col min="7172" max="7172" width="10.33203125" style="60" customWidth="1"/>
    <col min="7173" max="7173" width="11.6640625" style="60" customWidth="1"/>
    <col min="7174" max="7174" width="15.88671875" style="60" customWidth="1"/>
    <col min="7175" max="7424" width="8.88671875" style="60"/>
    <col min="7425" max="7425" width="17.5546875" style="60" customWidth="1"/>
    <col min="7426" max="7426" width="47.5546875" style="60" customWidth="1"/>
    <col min="7427" max="7427" width="8.88671875" style="60"/>
    <col min="7428" max="7428" width="10.33203125" style="60" customWidth="1"/>
    <col min="7429" max="7429" width="11.6640625" style="60" customWidth="1"/>
    <col min="7430" max="7430" width="15.88671875" style="60" customWidth="1"/>
    <col min="7431" max="7680" width="8.88671875" style="60"/>
    <col min="7681" max="7681" width="17.5546875" style="60" customWidth="1"/>
    <col min="7682" max="7682" width="47.5546875" style="60" customWidth="1"/>
    <col min="7683" max="7683" width="8.88671875" style="60"/>
    <col min="7684" max="7684" width="10.33203125" style="60" customWidth="1"/>
    <col min="7685" max="7685" width="11.6640625" style="60" customWidth="1"/>
    <col min="7686" max="7686" width="15.88671875" style="60" customWidth="1"/>
    <col min="7687" max="7936" width="8.88671875" style="60"/>
    <col min="7937" max="7937" width="17.5546875" style="60" customWidth="1"/>
    <col min="7938" max="7938" width="47.5546875" style="60" customWidth="1"/>
    <col min="7939" max="7939" width="8.88671875" style="60"/>
    <col min="7940" max="7940" width="10.33203125" style="60" customWidth="1"/>
    <col min="7941" max="7941" width="11.6640625" style="60" customWidth="1"/>
    <col min="7942" max="7942" width="15.88671875" style="60" customWidth="1"/>
    <col min="7943" max="8192" width="8.88671875" style="60"/>
    <col min="8193" max="8193" width="17.5546875" style="60" customWidth="1"/>
    <col min="8194" max="8194" width="47.5546875" style="60" customWidth="1"/>
    <col min="8195" max="8195" width="8.88671875" style="60"/>
    <col min="8196" max="8196" width="10.33203125" style="60" customWidth="1"/>
    <col min="8197" max="8197" width="11.6640625" style="60" customWidth="1"/>
    <col min="8198" max="8198" width="15.88671875" style="60" customWidth="1"/>
    <col min="8199" max="8448" width="8.88671875" style="60"/>
    <col min="8449" max="8449" width="17.5546875" style="60" customWidth="1"/>
    <col min="8450" max="8450" width="47.5546875" style="60" customWidth="1"/>
    <col min="8451" max="8451" width="8.88671875" style="60"/>
    <col min="8452" max="8452" width="10.33203125" style="60" customWidth="1"/>
    <col min="8453" max="8453" width="11.6640625" style="60" customWidth="1"/>
    <col min="8454" max="8454" width="15.88671875" style="60" customWidth="1"/>
    <col min="8455" max="8704" width="8.88671875" style="60"/>
    <col min="8705" max="8705" width="17.5546875" style="60" customWidth="1"/>
    <col min="8706" max="8706" width="47.5546875" style="60" customWidth="1"/>
    <col min="8707" max="8707" width="8.88671875" style="60"/>
    <col min="8708" max="8708" width="10.33203125" style="60" customWidth="1"/>
    <col min="8709" max="8709" width="11.6640625" style="60" customWidth="1"/>
    <col min="8710" max="8710" width="15.88671875" style="60" customWidth="1"/>
    <col min="8711" max="8960" width="8.88671875" style="60"/>
    <col min="8961" max="8961" width="17.5546875" style="60" customWidth="1"/>
    <col min="8962" max="8962" width="47.5546875" style="60" customWidth="1"/>
    <col min="8963" max="8963" width="8.88671875" style="60"/>
    <col min="8964" max="8964" width="10.33203125" style="60" customWidth="1"/>
    <col min="8965" max="8965" width="11.6640625" style="60" customWidth="1"/>
    <col min="8966" max="8966" width="15.88671875" style="60" customWidth="1"/>
    <col min="8967" max="9216" width="8.88671875" style="60"/>
    <col min="9217" max="9217" width="17.5546875" style="60" customWidth="1"/>
    <col min="9218" max="9218" width="47.5546875" style="60" customWidth="1"/>
    <col min="9219" max="9219" width="8.88671875" style="60"/>
    <col min="9220" max="9220" width="10.33203125" style="60" customWidth="1"/>
    <col min="9221" max="9221" width="11.6640625" style="60" customWidth="1"/>
    <col min="9222" max="9222" width="15.88671875" style="60" customWidth="1"/>
    <col min="9223" max="9472" width="8.88671875" style="60"/>
    <col min="9473" max="9473" width="17.5546875" style="60" customWidth="1"/>
    <col min="9474" max="9474" width="47.5546875" style="60" customWidth="1"/>
    <col min="9475" max="9475" width="8.88671875" style="60"/>
    <col min="9476" max="9476" width="10.33203125" style="60" customWidth="1"/>
    <col min="9477" max="9477" width="11.6640625" style="60" customWidth="1"/>
    <col min="9478" max="9478" width="15.88671875" style="60" customWidth="1"/>
    <col min="9479" max="9728" width="8.88671875" style="60"/>
    <col min="9729" max="9729" width="17.5546875" style="60" customWidth="1"/>
    <col min="9730" max="9730" width="47.5546875" style="60" customWidth="1"/>
    <col min="9731" max="9731" width="8.88671875" style="60"/>
    <col min="9732" max="9732" width="10.33203125" style="60" customWidth="1"/>
    <col min="9733" max="9733" width="11.6640625" style="60" customWidth="1"/>
    <col min="9734" max="9734" width="15.88671875" style="60" customWidth="1"/>
    <col min="9735" max="9984" width="8.88671875" style="60"/>
    <col min="9985" max="9985" width="17.5546875" style="60" customWidth="1"/>
    <col min="9986" max="9986" width="47.5546875" style="60" customWidth="1"/>
    <col min="9987" max="9987" width="8.88671875" style="60"/>
    <col min="9988" max="9988" width="10.33203125" style="60" customWidth="1"/>
    <col min="9989" max="9989" width="11.6640625" style="60" customWidth="1"/>
    <col min="9990" max="9990" width="15.88671875" style="60" customWidth="1"/>
    <col min="9991" max="10240" width="8.88671875" style="60"/>
    <col min="10241" max="10241" width="17.5546875" style="60" customWidth="1"/>
    <col min="10242" max="10242" width="47.5546875" style="60" customWidth="1"/>
    <col min="10243" max="10243" width="8.88671875" style="60"/>
    <col min="10244" max="10244" width="10.33203125" style="60" customWidth="1"/>
    <col min="10245" max="10245" width="11.6640625" style="60" customWidth="1"/>
    <col min="10246" max="10246" width="15.88671875" style="60" customWidth="1"/>
    <col min="10247" max="10496" width="8.88671875" style="60"/>
    <col min="10497" max="10497" width="17.5546875" style="60" customWidth="1"/>
    <col min="10498" max="10498" width="47.5546875" style="60" customWidth="1"/>
    <col min="10499" max="10499" width="8.88671875" style="60"/>
    <col min="10500" max="10500" width="10.33203125" style="60" customWidth="1"/>
    <col min="10501" max="10501" width="11.6640625" style="60" customWidth="1"/>
    <col min="10502" max="10502" width="15.88671875" style="60" customWidth="1"/>
    <col min="10503" max="10752" width="8.88671875" style="60"/>
    <col min="10753" max="10753" width="17.5546875" style="60" customWidth="1"/>
    <col min="10754" max="10754" width="47.5546875" style="60" customWidth="1"/>
    <col min="10755" max="10755" width="8.88671875" style="60"/>
    <col min="10756" max="10756" width="10.33203125" style="60" customWidth="1"/>
    <col min="10757" max="10757" width="11.6640625" style="60" customWidth="1"/>
    <col min="10758" max="10758" width="15.88671875" style="60" customWidth="1"/>
    <col min="10759" max="11008" width="8.88671875" style="60"/>
    <col min="11009" max="11009" width="17.5546875" style="60" customWidth="1"/>
    <col min="11010" max="11010" width="47.5546875" style="60" customWidth="1"/>
    <col min="11011" max="11011" width="8.88671875" style="60"/>
    <col min="11012" max="11012" width="10.33203125" style="60" customWidth="1"/>
    <col min="11013" max="11013" width="11.6640625" style="60" customWidth="1"/>
    <col min="11014" max="11014" width="15.88671875" style="60" customWidth="1"/>
    <col min="11015" max="11264" width="8.88671875" style="60"/>
    <col min="11265" max="11265" width="17.5546875" style="60" customWidth="1"/>
    <col min="11266" max="11266" width="47.5546875" style="60" customWidth="1"/>
    <col min="11267" max="11267" width="8.88671875" style="60"/>
    <col min="11268" max="11268" width="10.33203125" style="60" customWidth="1"/>
    <col min="11269" max="11269" width="11.6640625" style="60" customWidth="1"/>
    <col min="11270" max="11270" width="15.88671875" style="60" customWidth="1"/>
    <col min="11271" max="11520" width="8.88671875" style="60"/>
    <col min="11521" max="11521" width="17.5546875" style="60" customWidth="1"/>
    <col min="11522" max="11522" width="47.5546875" style="60" customWidth="1"/>
    <col min="11523" max="11523" width="8.88671875" style="60"/>
    <col min="11524" max="11524" width="10.33203125" style="60" customWidth="1"/>
    <col min="11525" max="11525" width="11.6640625" style="60" customWidth="1"/>
    <col min="11526" max="11526" width="15.88671875" style="60" customWidth="1"/>
    <col min="11527" max="11776" width="8.88671875" style="60"/>
    <col min="11777" max="11777" width="17.5546875" style="60" customWidth="1"/>
    <col min="11778" max="11778" width="47.5546875" style="60" customWidth="1"/>
    <col min="11779" max="11779" width="8.88671875" style="60"/>
    <col min="11780" max="11780" width="10.33203125" style="60" customWidth="1"/>
    <col min="11781" max="11781" width="11.6640625" style="60" customWidth="1"/>
    <col min="11782" max="11782" width="15.88671875" style="60" customWidth="1"/>
    <col min="11783" max="12032" width="8.88671875" style="60"/>
    <col min="12033" max="12033" width="17.5546875" style="60" customWidth="1"/>
    <col min="12034" max="12034" width="47.5546875" style="60" customWidth="1"/>
    <col min="12035" max="12035" width="8.88671875" style="60"/>
    <col min="12036" max="12036" width="10.33203125" style="60" customWidth="1"/>
    <col min="12037" max="12037" width="11.6640625" style="60" customWidth="1"/>
    <col min="12038" max="12038" width="15.88671875" style="60" customWidth="1"/>
    <col min="12039" max="12288" width="8.88671875" style="60"/>
    <col min="12289" max="12289" width="17.5546875" style="60" customWidth="1"/>
    <col min="12290" max="12290" width="47.5546875" style="60" customWidth="1"/>
    <col min="12291" max="12291" width="8.88671875" style="60"/>
    <col min="12292" max="12292" width="10.33203125" style="60" customWidth="1"/>
    <col min="12293" max="12293" width="11.6640625" style="60" customWidth="1"/>
    <col min="12294" max="12294" width="15.88671875" style="60" customWidth="1"/>
    <col min="12295" max="12544" width="8.88671875" style="60"/>
    <col min="12545" max="12545" width="17.5546875" style="60" customWidth="1"/>
    <col min="12546" max="12546" width="47.5546875" style="60" customWidth="1"/>
    <col min="12547" max="12547" width="8.88671875" style="60"/>
    <col min="12548" max="12548" width="10.33203125" style="60" customWidth="1"/>
    <col min="12549" max="12549" width="11.6640625" style="60" customWidth="1"/>
    <col min="12550" max="12550" width="15.88671875" style="60" customWidth="1"/>
    <col min="12551" max="12800" width="8.88671875" style="60"/>
    <col min="12801" max="12801" width="17.5546875" style="60" customWidth="1"/>
    <col min="12802" max="12802" width="47.5546875" style="60" customWidth="1"/>
    <col min="12803" max="12803" width="8.88671875" style="60"/>
    <col min="12804" max="12804" width="10.33203125" style="60" customWidth="1"/>
    <col min="12805" max="12805" width="11.6640625" style="60" customWidth="1"/>
    <col min="12806" max="12806" width="15.88671875" style="60" customWidth="1"/>
    <col min="12807" max="13056" width="8.88671875" style="60"/>
    <col min="13057" max="13057" width="17.5546875" style="60" customWidth="1"/>
    <col min="13058" max="13058" width="47.5546875" style="60" customWidth="1"/>
    <col min="13059" max="13059" width="8.88671875" style="60"/>
    <col min="13060" max="13060" width="10.33203125" style="60" customWidth="1"/>
    <col min="13061" max="13061" width="11.6640625" style="60" customWidth="1"/>
    <col min="13062" max="13062" width="15.88671875" style="60" customWidth="1"/>
    <col min="13063" max="13312" width="8.88671875" style="60"/>
    <col min="13313" max="13313" width="17.5546875" style="60" customWidth="1"/>
    <col min="13314" max="13314" width="47.5546875" style="60" customWidth="1"/>
    <col min="13315" max="13315" width="8.88671875" style="60"/>
    <col min="13316" max="13316" width="10.33203125" style="60" customWidth="1"/>
    <col min="13317" max="13317" width="11.6640625" style="60" customWidth="1"/>
    <col min="13318" max="13318" width="15.88671875" style="60" customWidth="1"/>
    <col min="13319" max="13568" width="8.88671875" style="60"/>
    <col min="13569" max="13569" width="17.5546875" style="60" customWidth="1"/>
    <col min="13570" max="13570" width="47.5546875" style="60" customWidth="1"/>
    <col min="13571" max="13571" width="8.88671875" style="60"/>
    <col min="13572" max="13572" width="10.33203125" style="60" customWidth="1"/>
    <col min="13573" max="13573" width="11.6640625" style="60" customWidth="1"/>
    <col min="13574" max="13574" width="15.88671875" style="60" customWidth="1"/>
    <col min="13575" max="13824" width="8.88671875" style="60"/>
    <col min="13825" max="13825" width="17.5546875" style="60" customWidth="1"/>
    <col min="13826" max="13826" width="47.5546875" style="60" customWidth="1"/>
    <col min="13827" max="13827" width="8.88671875" style="60"/>
    <col min="13828" max="13828" width="10.33203125" style="60" customWidth="1"/>
    <col min="13829" max="13829" width="11.6640625" style="60" customWidth="1"/>
    <col min="13830" max="13830" width="15.88671875" style="60" customWidth="1"/>
    <col min="13831" max="14080" width="8.88671875" style="60"/>
    <col min="14081" max="14081" width="17.5546875" style="60" customWidth="1"/>
    <col min="14082" max="14082" width="47.5546875" style="60" customWidth="1"/>
    <col min="14083" max="14083" width="8.88671875" style="60"/>
    <col min="14084" max="14084" width="10.33203125" style="60" customWidth="1"/>
    <col min="14085" max="14085" width="11.6640625" style="60" customWidth="1"/>
    <col min="14086" max="14086" width="15.88671875" style="60" customWidth="1"/>
    <col min="14087" max="14336" width="8.88671875" style="60"/>
    <col min="14337" max="14337" width="17.5546875" style="60" customWidth="1"/>
    <col min="14338" max="14338" width="47.5546875" style="60" customWidth="1"/>
    <col min="14339" max="14339" width="8.88671875" style="60"/>
    <col min="14340" max="14340" width="10.33203125" style="60" customWidth="1"/>
    <col min="14341" max="14341" width="11.6640625" style="60" customWidth="1"/>
    <col min="14342" max="14342" width="15.88671875" style="60" customWidth="1"/>
    <col min="14343" max="14592" width="8.88671875" style="60"/>
    <col min="14593" max="14593" width="17.5546875" style="60" customWidth="1"/>
    <col min="14594" max="14594" width="47.5546875" style="60" customWidth="1"/>
    <col min="14595" max="14595" width="8.88671875" style="60"/>
    <col min="14596" max="14596" width="10.33203125" style="60" customWidth="1"/>
    <col min="14597" max="14597" width="11.6640625" style="60" customWidth="1"/>
    <col min="14598" max="14598" width="15.88671875" style="60" customWidth="1"/>
    <col min="14599" max="14848" width="8.88671875" style="60"/>
    <col min="14849" max="14849" width="17.5546875" style="60" customWidth="1"/>
    <col min="14850" max="14850" width="47.5546875" style="60" customWidth="1"/>
    <col min="14851" max="14851" width="8.88671875" style="60"/>
    <col min="14852" max="14852" width="10.33203125" style="60" customWidth="1"/>
    <col min="14853" max="14853" width="11.6640625" style="60" customWidth="1"/>
    <col min="14854" max="14854" width="15.88671875" style="60" customWidth="1"/>
    <col min="14855" max="15104" width="8.88671875" style="60"/>
    <col min="15105" max="15105" width="17.5546875" style="60" customWidth="1"/>
    <col min="15106" max="15106" width="47.5546875" style="60" customWidth="1"/>
    <col min="15107" max="15107" width="8.88671875" style="60"/>
    <col min="15108" max="15108" width="10.33203125" style="60" customWidth="1"/>
    <col min="15109" max="15109" width="11.6640625" style="60" customWidth="1"/>
    <col min="15110" max="15110" width="15.88671875" style="60" customWidth="1"/>
    <col min="15111" max="15360" width="8.88671875" style="60"/>
    <col min="15361" max="15361" width="17.5546875" style="60" customWidth="1"/>
    <col min="15362" max="15362" width="47.5546875" style="60" customWidth="1"/>
    <col min="15363" max="15363" width="8.88671875" style="60"/>
    <col min="15364" max="15364" width="10.33203125" style="60" customWidth="1"/>
    <col min="15365" max="15365" width="11.6640625" style="60" customWidth="1"/>
    <col min="15366" max="15366" width="15.88671875" style="60" customWidth="1"/>
    <col min="15367" max="15616" width="8.88671875" style="60"/>
    <col min="15617" max="15617" width="17.5546875" style="60" customWidth="1"/>
    <col min="15618" max="15618" width="47.5546875" style="60" customWidth="1"/>
    <col min="15619" max="15619" width="8.88671875" style="60"/>
    <col min="15620" max="15620" width="10.33203125" style="60" customWidth="1"/>
    <col min="15621" max="15621" width="11.6640625" style="60" customWidth="1"/>
    <col min="15622" max="15622" width="15.88671875" style="60" customWidth="1"/>
    <col min="15623" max="15872" width="8.88671875" style="60"/>
    <col min="15873" max="15873" width="17.5546875" style="60" customWidth="1"/>
    <col min="15874" max="15874" width="47.5546875" style="60" customWidth="1"/>
    <col min="15875" max="15875" width="8.88671875" style="60"/>
    <col min="15876" max="15876" width="10.33203125" style="60" customWidth="1"/>
    <col min="15877" max="15877" width="11.6640625" style="60" customWidth="1"/>
    <col min="15878" max="15878" width="15.88671875" style="60" customWidth="1"/>
    <col min="15879" max="16128" width="8.88671875" style="60"/>
    <col min="16129" max="16129" width="17.5546875" style="60" customWidth="1"/>
    <col min="16130" max="16130" width="47.5546875" style="60" customWidth="1"/>
    <col min="16131" max="16131" width="8.88671875" style="60"/>
    <col min="16132" max="16132" width="10.33203125" style="60" customWidth="1"/>
    <col min="16133" max="16133" width="11.6640625" style="60" customWidth="1"/>
    <col min="16134" max="16134" width="15.88671875" style="60" customWidth="1"/>
    <col min="16135" max="16384" width="8.88671875" style="60"/>
  </cols>
  <sheetData>
    <row r="1" spans="1:6" ht="10.8" thickBot="1" x14ac:dyDescent="0.25"/>
    <row r="2" spans="1:6" ht="20.399999999999999" thickBot="1" x14ac:dyDescent="0.45">
      <c r="A2" s="331" t="s">
        <v>54</v>
      </c>
      <c r="B2" s="332"/>
      <c r="C2" s="332"/>
      <c r="D2" s="332"/>
      <c r="E2" s="332"/>
      <c r="F2" s="333"/>
    </row>
    <row r="3" spans="1:6" ht="15" thickBot="1" x14ac:dyDescent="0.35">
      <c r="A3" s="10"/>
      <c r="B3" s="10"/>
      <c r="C3" s="10"/>
      <c r="D3" s="10"/>
      <c r="E3" s="10"/>
      <c r="F3" s="10"/>
    </row>
    <row r="4" spans="1:6" ht="14.4" x14ac:dyDescent="0.2">
      <c r="A4" s="320" t="s">
        <v>158</v>
      </c>
      <c r="B4" s="321" t="e">
        <v>#REF!</v>
      </c>
      <c r="C4" s="322"/>
      <c r="D4" s="322"/>
      <c r="E4" s="322"/>
      <c r="F4" s="323"/>
    </row>
    <row r="5" spans="1:6" ht="28.2" customHeight="1" x14ac:dyDescent="0.2">
      <c r="A5" s="324" t="s">
        <v>234</v>
      </c>
      <c r="B5" s="325"/>
      <c r="C5" s="325"/>
      <c r="D5" s="325"/>
      <c r="E5" s="325"/>
      <c r="F5" s="326"/>
    </row>
    <row r="6" spans="1:6" ht="14.4" x14ac:dyDescent="0.2">
      <c r="A6" s="324" t="s">
        <v>235</v>
      </c>
      <c r="B6" s="325"/>
      <c r="C6" s="325"/>
      <c r="D6" s="325"/>
      <c r="E6" s="325"/>
      <c r="F6" s="326"/>
    </row>
    <row r="7" spans="1:6" ht="15" thickBot="1" x14ac:dyDescent="0.25">
      <c r="A7" s="327"/>
      <c r="B7" s="328"/>
      <c r="C7" s="328"/>
      <c r="D7" s="328"/>
      <c r="E7" s="328"/>
      <c r="F7" s="329"/>
    </row>
    <row r="9" spans="1:6" s="11" customFormat="1" ht="34.200000000000003" customHeight="1" x14ac:dyDescent="0.3">
      <c r="A9" s="350" t="s">
        <v>319</v>
      </c>
      <c r="B9" s="350"/>
      <c r="C9" s="350"/>
      <c r="D9" s="350"/>
      <c r="E9" s="350"/>
      <c r="F9" s="350"/>
    </row>
    <row r="10" spans="1:6" s="11" customFormat="1" ht="11.25" customHeight="1" x14ac:dyDescent="0.2">
      <c r="A10" s="351" t="s">
        <v>231</v>
      </c>
      <c r="B10" s="352"/>
      <c r="C10" s="357"/>
      <c r="D10" s="358"/>
      <c r="E10" s="358"/>
      <c r="F10" s="359"/>
    </row>
    <row r="11" spans="1:6" s="11" customFormat="1" ht="38.4" customHeight="1" x14ac:dyDescent="0.2">
      <c r="A11" s="353"/>
      <c r="B11" s="354"/>
      <c r="C11" s="360" t="str">
        <f>A9</f>
        <v>PLAYGROUND EM EUCALIPTO, CONTENDO 1 GANGORRA DUPLA, 1 ESCORREGADOR, 1 BALANÇO DUPLO, 1 CASINHA SUSPENSA E 1 LIXEIRA.</v>
      </c>
      <c r="D11" s="360"/>
      <c r="E11" s="360"/>
      <c r="F11" s="360"/>
    </row>
    <row r="12" spans="1:6" s="11" customFormat="1" ht="11.25" customHeight="1" x14ac:dyDescent="0.2">
      <c r="A12" s="353"/>
      <c r="B12" s="354"/>
      <c r="C12" s="239" t="s">
        <v>133</v>
      </c>
      <c r="D12" s="361" t="s">
        <v>52</v>
      </c>
      <c r="E12" s="362"/>
      <c r="F12" s="365">
        <f>F19</f>
        <v>20395</v>
      </c>
    </row>
    <row r="13" spans="1:6" s="11" customFormat="1" x14ac:dyDescent="0.2">
      <c r="A13" s="355"/>
      <c r="B13" s="356"/>
      <c r="C13" s="239">
        <v>1</v>
      </c>
      <c r="D13" s="363"/>
      <c r="E13" s="364"/>
      <c r="F13" s="366"/>
    </row>
    <row r="14" spans="1:6" s="11" customFormat="1" x14ac:dyDescent="0.2">
      <c r="A14" s="240"/>
      <c r="B14" s="240"/>
      <c r="C14" s="253"/>
      <c r="D14" s="367"/>
      <c r="E14" s="367"/>
      <c r="F14" s="242"/>
    </row>
    <row r="15" spans="1:6" s="11" customFormat="1" ht="21.75" customHeight="1" x14ac:dyDescent="0.2">
      <c r="A15" s="243" t="s">
        <v>232</v>
      </c>
      <c r="B15" s="243" t="s">
        <v>233</v>
      </c>
      <c r="C15" s="244" t="s">
        <v>51</v>
      </c>
      <c r="D15" s="245" t="s">
        <v>138</v>
      </c>
      <c r="E15" s="245" t="s">
        <v>139</v>
      </c>
      <c r="F15" s="245" t="s">
        <v>140</v>
      </c>
    </row>
    <row r="16" spans="1:6" s="11" customFormat="1" x14ac:dyDescent="0.2">
      <c r="A16" s="246" t="s">
        <v>320</v>
      </c>
      <c r="B16" s="247" t="s">
        <v>321</v>
      </c>
      <c r="C16" s="228" t="s">
        <v>133</v>
      </c>
      <c r="D16" s="248">
        <v>1</v>
      </c>
      <c r="E16" s="229">
        <v>19800</v>
      </c>
      <c r="F16" s="242">
        <f>E16</f>
        <v>19800</v>
      </c>
    </row>
    <row r="17" spans="1:7" s="11" customFormat="1" ht="20.399999999999999" x14ac:dyDescent="0.2">
      <c r="A17" s="246" t="s">
        <v>322</v>
      </c>
      <c r="B17" s="247" t="s">
        <v>323</v>
      </c>
      <c r="C17" s="228" t="s">
        <v>133</v>
      </c>
      <c r="D17" s="248">
        <v>1</v>
      </c>
      <c r="E17" s="249">
        <v>22350</v>
      </c>
      <c r="F17" s="242">
        <f>E17</f>
        <v>22350</v>
      </c>
    </row>
    <row r="18" spans="1:7" s="11" customFormat="1" x14ac:dyDescent="0.2">
      <c r="A18" s="246" t="s">
        <v>325</v>
      </c>
      <c r="B18" s="246" t="s">
        <v>324</v>
      </c>
      <c r="C18" s="228" t="s">
        <v>133</v>
      </c>
      <c r="D18" s="248">
        <v>1</v>
      </c>
      <c r="E18" s="249">
        <v>20990</v>
      </c>
      <c r="F18" s="242">
        <f>E18</f>
        <v>20990</v>
      </c>
    </row>
    <row r="19" spans="1:7" s="11" customFormat="1" x14ac:dyDescent="0.2">
      <c r="A19" s="12"/>
      <c r="B19" s="12"/>
      <c r="C19" s="12"/>
      <c r="D19" s="12"/>
      <c r="E19" s="250" t="s">
        <v>31</v>
      </c>
      <c r="F19" s="251">
        <f>MEDIAN(F16:F18,2)</f>
        <v>20395</v>
      </c>
      <c r="G19" s="11" t="s">
        <v>141</v>
      </c>
    </row>
    <row r="20" spans="1:7" s="11" customFormat="1" ht="15.6" hidden="1" x14ac:dyDescent="0.3">
      <c r="A20" s="330" t="s">
        <v>243</v>
      </c>
      <c r="B20" s="330"/>
      <c r="C20" s="330"/>
      <c r="D20" s="330"/>
      <c r="E20" s="330"/>
      <c r="F20" s="330"/>
    </row>
    <row r="21" spans="1:7" s="11" customFormat="1" ht="11.25" hidden="1" customHeight="1" x14ac:dyDescent="0.2">
      <c r="A21" s="351" t="s">
        <v>231</v>
      </c>
      <c r="B21" s="352"/>
      <c r="C21" s="357"/>
      <c r="D21" s="358"/>
      <c r="E21" s="358"/>
      <c r="F21" s="359"/>
    </row>
    <row r="22" spans="1:7" s="11" customFormat="1" hidden="1" x14ac:dyDescent="0.2">
      <c r="A22" s="353"/>
      <c r="B22" s="354"/>
      <c r="C22" s="360" t="s">
        <v>243</v>
      </c>
      <c r="D22" s="360"/>
      <c r="E22" s="360"/>
      <c r="F22" s="360"/>
    </row>
    <row r="23" spans="1:7" s="11" customFormat="1" ht="11.25" hidden="1" customHeight="1" x14ac:dyDescent="0.2">
      <c r="A23" s="353"/>
      <c r="B23" s="354"/>
      <c r="C23" s="239" t="s">
        <v>133</v>
      </c>
      <c r="D23" s="361" t="s">
        <v>52</v>
      </c>
      <c r="E23" s="362"/>
      <c r="F23" s="365">
        <f>F30</f>
        <v>792.1875</v>
      </c>
    </row>
    <row r="24" spans="1:7" s="11" customFormat="1" hidden="1" x14ac:dyDescent="0.2">
      <c r="A24" s="355"/>
      <c r="B24" s="356"/>
      <c r="C24" s="239">
        <v>1</v>
      </c>
      <c r="D24" s="363"/>
      <c r="E24" s="364"/>
      <c r="F24" s="366"/>
    </row>
    <row r="25" spans="1:7" s="11" customFormat="1" hidden="1" x14ac:dyDescent="0.2">
      <c r="A25" s="240"/>
      <c r="B25" s="240"/>
      <c r="C25" s="241"/>
      <c r="D25" s="367"/>
      <c r="E25" s="367"/>
      <c r="F25" s="242"/>
    </row>
    <row r="26" spans="1:7" s="11" customFormat="1" ht="21.75" hidden="1" customHeight="1" x14ac:dyDescent="0.2">
      <c r="A26" s="243" t="s">
        <v>232</v>
      </c>
      <c r="B26" s="243" t="s">
        <v>233</v>
      </c>
      <c r="C26" s="244" t="s">
        <v>51</v>
      </c>
      <c r="D26" s="245" t="s">
        <v>138</v>
      </c>
      <c r="E26" s="245" t="s">
        <v>139</v>
      </c>
      <c r="F26" s="245" t="s">
        <v>140</v>
      </c>
    </row>
    <row r="27" spans="1:7" s="11" customFormat="1" hidden="1" x14ac:dyDescent="0.2">
      <c r="A27" s="246" t="s">
        <v>237</v>
      </c>
      <c r="B27" s="247" t="s">
        <v>238</v>
      </c>
      <c r="C27" s="228" t="s">
        <v>133</v>
      </c>
      <c r="D27" s="248">
        <v>1</v>
      </c>
      <c r="E27" s="229">
        <f>13000/16</f>
        <v>812.5</v>
      </c>
      <c r="F27" s="242">
        <f>E27</f>
        <v>812.5</v>
      </c>
    </row>
    <row r="28" spans="1:7" s="11" customFormat="1" hidden="1" x14ac:dyDescent="0.2">
      <c r="A28" s="246" t="s">
        <v>240</v>
      </c>
      <c r="B28" s="247" t="s">
        <v>239</v>
      </c>
      <c r="C28" s="228" t="s">
        <v>133</v>
      </c>
      <c r="D28" s="248">
        <v>1</v>
      </c>
      <c r="E28" s="249">
        <f>12850/16</f>
        <v>803.125</v>
      </c>
      <c r="F28" s="242">
        <f>E28</f>
        <v>803.125</v>
      </c>
    </row>
    <row r="29" spans="1:7" s="11" customFormat="1" hidden="1" x14ac:dyDescent="0.2">
      <c r="A29" s="246" t="s">
        <v>242</v>
      </c>
      <c r="B29" s="246" t="s">
        <v>241</v>
      </c>
      <c r="C29" s="228" t="s">
        <v>133</v>
      </c>
      <c r="D29" s="248">
        <v>1</v>
      </c>
      <c r="E29" s="249">
        <f>12500/16</f>
        <v>781.25</v>
      </c>
      <c r="F29" s="242">
        <f>E29</f>
        <v>781.25</v>
      </c>
    </row>
    <row r="30" spans="1:7" s="11" customFormat="1" hidden="1" x14ac:dyDescent="0.2">
      <c r="A30" s="12"/>
      <c r="B30" s="12"/>
      <c r="C30" s="12"/>
      <c r="D30" s="12"/>
      <c r="E30" s="250" t="s">
        <v>31</v>
      </c>
      <c r="F30" s="251">
        <f>MEDIAN(F27:F29,2)</f>
        <v>792.1875</v>
      </c>
      <c r="G30" s="11" t="s">
        <v>141</v>
      </c>
    </row>
    <row r="317" spans="11:11" x14ac:dyDescent="0.2">
      <c r="K317" s="80" t="e">
        <f>COTAÇÕES!#REF!</f>
        <v>#REF!</v>
      </c>
    </row>
  </sheetData>
  <autoFilter ref="A8:F30" xr:uid="{00000000-0009-0000-0000-000005000000}"/>
  <mergeCells count="19">
    <mergeCell ref="D14:E14"/>
    <mergeCell ref="D25:E25"/>
    <mergeCell ref="A20:F20"/>
    <mergeCell ref="A21:B24"/>
    <mergeCell ref="C21:F21"/>
    <mergeCell ref="C22:F22"/>
    <mergeCell ref="D23:E24"/>
    <mergeCell ref="F23:F24"/>
    <mergeCell ref="A9:F9"/>
    <mergeCell ref="A10:B13"/>
    <mergeCell ref="C10:F10"/>
    <mergeCell ref="A2:F2"/>
    <mergeCell ref="A4:F4"/>
    <mergeCell ref="A5:F5"/>
    <mergeCell ref="A6:F6"/>
    <mergeCell ref="A7:F7"/>
    <mergeCell ref="C11:F11"/>
    <mergeCell ref="D12:E13"/>
    <mergeCell ref="F12:F13"/>
  </mergeCells>
  <printOptions horizontalCentered="1"/>
  <pageMargins left="0.51181102362204722" right="0.51181102362204722" top="1.1811023622047245" bottom="1.2598425196850394" header="0.31496062992125984" footer="0.31496062992125984"/>
  <pageSetup paperSize="9" scale="90" orientation="portrait" horizontalDpi="360" verticalDpi="36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13</vt:i4>
      </vt:variant>
    </vt:vector>
  </HeadingPairs>
  <TitlesOfParts>
    <vt:vector size="20" baseType="lpstr">
      <vt:lpstr>RESUMO SEM DESON</vt:lpstr>
      <vt:lpstr>ORÇAMENTO SEM DESON</vt:lpstr>
      <vt:lpstr>MEMORIA DE CALCULO</vt:lpstr>
      <vt:lpstr>COMPOSICOES</vt:lpstr>
      <vt:lpstr>CRONOGRAMA</vt:lpstr>
      <vt:lpstr>COMP_BDI_EDIFICACOES_20,84%_SEM</vt:lpstr>
      <vt:lpstr>COTAÇÕES</vt:lpstr>
      <vt:lpstr>'COMP_BDI_EDIFICACOES_20,84%_SEM'!Area_de_impressao</vt:lpstr>
      <vt:lpstr>COMPOSICOES!Area_de_impressao</vt:lpstr>
      <vt:lpstr>COTAÇÕES!Area_de_impressao</vt:lpstr>
      <vt:lpstr>CRONOGRAMA!Area_de_impressao</vt:lpstr>
      <vt:lpstr>'MEMORIA DE CALCULO'!Area_de_impressao</vt:lpstr>
      <vt:lpstr>'ORÇAMENTO SEM DESON'!Area_de_impressao</vt:lpstr>
      <vt:lpstr>'RESUMO SEM DESON'!Area_de_impressao</vt:lpstr>
      <vt:lpstr>COMPOSICOES!Titulos_de_impressao</vt:lpstr>
      <vt:lpstr>COTAÇÕES!Titulos_de_impressao</vt:lpstr>
      <vt:lpstr>CRONOGRAMA!Titulos_de_impressao</vt:lpstr>
      <vt:lpstr>'MEMORIA DE CALCULO'!Titulos_de_impressao</vt:lpstr>
      <vt:lpstr>'ORÇAMENTO SEM DESON'!Titulos_de_impressao</vt:lpstr>
      <vt:lpstr>'RESUMO SEM DESON'!Titulos_de_impressao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2022-05-12T21:31:46Z</dcterms:modified>
</cp:coreProperties>
</file>