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E40DA703-6A3F-4E6C-B030-2441754A78A7}" xr6:coauthVersionLast="47" xr6:coauthVersionMax="47" xr10:uidLastSave="{00000000-0000-0000-0000-000000000000}"/>
  <bookViews>
    <workbookView xWindow="-108" yWindow="-108" windowWidth="23256" windowHeight="12456" tabRatio="867" firstSheet="6" activeTab="8" xr2:uid="{00000000-000D-0000-FFFF-FFFF00000000}"/>
  </bookViews>
  <sheets>
    <sheet name="COMP_BDI_EDIFICACOES_26,53%_COM" sheetId="36" state="hidden" r:id="rId1"/>
    <sheet name="ORÇAMENTO PINTURA" sheetId="49" state="hidden" r:id="rId2"/>
    <sheet name="MEMÓRIA PINTURA" sheetId="48" state="hidden" r:id="rId3"/>
    <sheet name="_RESUMO COMPARATIVO_" sheetId="34" state="hidden" r:id="rId4"/>
    <sheet name="(PLANILHA GERAL COM DESON)" sheetId="17" state="hidden" r:id="rId5"/>
    <sheet name="ORÇAMENTO COM DESON" sheetId="43" state="hidden" r:id="rId6"/>
    <sheet name="RESUMO SEM DESON" sheetId="47" r:id="rId7"/>
    <sheet name="ORÇAMENTO SEM DESON" sheetId="45" r:id="rId8"/>
    <sheet name="MEMORIA DE CALCULO" sheetId="44" r:id="rId9"/>
    <sheet name="COMPOSICOES" sheetId="50" r:id="rId10"/>
    <sheet name="COMPOSICOES - SINAPI COM DESON" sheetId="41" state="hidden" r:id="rId11"/>
    <sheet name="CRONOGRAMA" sheetId="31" r:id="rId12"/>
    <sheet name="COMP_BDI_EDIFICACOES_20,84%_SEM" sheetId="37" r:id="rId13"/>
  </sheets>
  <externalReferences>
    <externalReference r:id="rId14"/>
    <externalReference r:id="rId15"/>
    <externalReference r:id="rId16"/>
  </externalReferences>
  <definedNames>
    <definedName name="_xlnm._FilterDatabase" localSheetId="9" hidden="1">COMPOSICOES!$A$9:$G$22</definedName>
    <definedName name="_xlnm._FilterDatabase" localSheetId="10" hidden="1">'COMPOSICOES - SINAPI COM DESON'!$A$8:$G$89</definedName>
    <definedName name="_xlnm._FilterDatabase" localSheetId="5" hidden="1">'ORÇAMENTO COM DESON'!$A$8:$I$477</definedName>
    <definedName name="_xlnm._FilterDatabase" localSheetId="1" hidden="1">'ORÇAMENTO PINTURA'!$A$8:$I$393</definedName>
    <definedName name="_xlnm._FilterDatabase" localSheetId="7" hidden="1">'ORÇAMENTO SEM DESON'!$A$8:$I$148</definedName>
    <definedName name="_xlnm._FilterDatabase" localSheetId="6" hidden="1">'RESUMO SEM DESON'!$A$8:$C$41</definedName>
    <definedName name="ADITIVO" localSheetId="9">#REF!</definedName>
    <definedName name="ADITIVO">#REF!</definedName>
    <definedName name="_xlnm.Print_Area" localSheetId="4">'(PLANILHA GERAL COM DESON)'!$A$1:$N$2057</definedName>
    <definedName name="_xlnm.Print_Area" localSheetId="3">'_RESUMO COMPARATIVO_'!$A$1:$D$20</definedName>
    <definedName name="_xlnm.Print_Area" localSheetId="12">'COMP_BDI_EDIFICACOES_20,84%_SEM'!$B$2:$D$44</definedName>
    <definedName name="_xlnm.Print_Area" localSheetId="0">'COMP_BDI_EDIFICACOES_26,53%_COM'!$B$2:$D$44</definedName>
    <definedName name="_xlnm.Print_Area" localSheetId="9">COMPOSICOES!$A$1:$G$66</definedName>
    <definedName name="_xlnm.Print_Area" localSheetId="10">'COMPOSICOES - SINAPI COM DESON'!$A$1:$G$89</definedName>
    <definedName name="_xlnm.Print_Area" localSheetId="11">CRONOGRAMA!$A$1:$O$47</definedName>
    <definedName name="_xlnm.Print_Area" localSheetId="8">'MEMORIA DE CALCULO'!$A$1:$J$1063</definedName>
    <definedName name="_xlnm.Print_Area" localSheetId="2">'MEMÓRIA PINTURA'!$A$1:$T$1660</definedName>
    <definedName name="_xlnm.Print_Area" localSheetId="5">'ORÇAMENTO COM DESON'!$A$1:$I$476</definedName>
    <definedName name="_xlnm.Print_Area" localSheetId="1">'ORÇAMENTO PINTURA'!$A$1:$I$392</definedName>
    <definedName name="_xlnm.Print_Area" localSheetId="7">'ORÇAMENTO SEM DESON'!$A$1:$I$149</definedName>
    <definedName name="_xlnm.Print_Area" localSheetId="6">'RESUMO SEM DESON'!$A$1:$D$40</definedName>
    <definedName name="AreaTeste" localSheetId="4">#REF!</definedName>
    <definedName name="AreaTeste" localSheetId="3">#REF!</definedName>
    <definedName name="AreaTeste" localSheetId="12">#REF!</definedName>
    <definedName name="AreaTeste" localSheetId="0">#REF!</definedName>
    <definedName name="AreaTeste" localSheetId="9">#REF!</definedName>
    <definedName name="AreaTeste" localSheetId="10">#REF!</definedName>
    <definedName name="AreaTeste" localSheetId="8">#REF!</definedName>
    <definedName name="AreaTeste" localSheetId="2">#REF!</definedName>
    <definedName name="AreaTeste" localSheetId="5">#REF!</definedName>
    <definedName name="AreaTeste" localSheetId="1">#REF!</definedName>
    <definedName name="AreaTeste" localSheetId="7">#REF!</definedName>
    <definedName name="AreaTeste" localSheetId="6">#REF!</definedName>
    <definedName name="AreaTeste">#REF!</definedName>
    <definedName name="AreaTeste2" localSheetId="4">#REF!</definedName>
    <definedName name="AreaTeste2" localSheetId="3">#REF!</definedName>
    <definedName name="AreaTeste2" localSheetId="12">#REF!</definedName>
    <definedName name="AreaTeste2" localSheetId="0">#REF!</definedName>
    <definedName name="AreaTeste2" localSheetId="9">#REF!</definedName>
    <definedName name="AreaTeste2" localSheetId="10">#REF!</definedName>
    <definedName name="AreaTeste2" localSheetId="8">#REF!</definedName>
    <definedName name="AreaTeste2" localSheetId="2">#REF!</definedName>
    <definedName name="AreaTeste2" localSheetId="5">#REF!</definedName>
    <definedName name="AreaTeste2" localSheetId="1">#REF!</definedName>
    <definedName name="AreaTeste2" localSheetId="7">#REF!</definedName>
    <definedName name="AreaTeste2" localSheetId="6">#REF!</definedName>
    <definedName name="AreaTeste2">#REF!</definedName>
    <definedName name="CélulaInicioPlanilha" localSheetId="4">#REF!</definedName>
    <definedName name="CélulaInicioPlanilha" localSheetId="3">#REF!</definedName>
    <definedName name="CélulaInicioPlanilha" localSheetId="12">#REF!</definedName>
    <definedName name="CélulaInicioPlanilha" localSheetId="0">#REF!</definedName>
    <definedName name="CélulaInicioPlanilha" localSheetId="9">#REF!</definedName>
    <definedName name="CélulaInicioPlanilha" localSheetId="10">#REF!</definedName>
    <definedName name="CélulaInicioPlanilha" localSheetId="8">#REF!</definedName>
    <definedName name="CélulaInicioPlanilha" localSheetId="2">#REF!</definedName>
    <definedName name="CélulaInicioPlanilha" localSheetId="5">#REF!</definedName>
    <definedName name="CélulaInicioPlanilha" localSheetId="1">#REF!</definedName>
    <definedName name="CélulaInicioPlanilha" localSheetId="7">#REF!</definedName>
    <definedName name="CélulaInicioPlanilha" localSheetId="6">#REF!</definedName>
    <definedName name="CélulaInicioPlanilha">#REF!</definedName>
    <definedName name="CélulaResumo" localSheetId="4">#REF!</definedName>
    <definedName name="CélulaResumo" localSheetId="3">#REF!</definedName>
    <definedName name="CélulaResumo" localSheetId="12">#REF!</definedName>
    <definedName name="CélulaResumo" localSheetId="0">#REF!</definedName>
    <definedName name="CélulaResumo" localSheetId="9">#REF!</definedName>
    <definedName name="CélulaResumo" localSheetId="10">#REF!</definedName>
    <definedName name="CélulaResumo" localSheetId="8">#REF!</definedName>
    <definedName name="CélulaResumo" localSheetId="2">#REF!</definedName>
    <definedName name="CélulaResumo" localSheetId="5">#REF!</definedName>
    <definedName name="CélulaResumo" localSheetId="1">#REF!</definedName>
    <definedName name="CélulaResumo" localSheetId="7">#REF!</definedName>
    <definedName name="CélulaResumo" localSheetId="6">#REF!</definedName>
    <definedName name="CélulaResumo">#REF!</definedName>
    <definedName name="fdfd" localSheetId="4">#REF!</definedName>
    <definedName name="fdfd" localSheetId="3">#REF!</definedName>
    <definedName name="fdfd" localSheetId="12">#REF!</definedName>
    <definedName name="fdfd" localSheetId="0">#REF!</definedName>
    <definedName name="fdfd" localSheetId="9">#REF!</definedName>
    <definedName name="fdfd" localSheetId="10">#REF!</definedName>
    <definedName name="fdfd" localSheetId="8">#REF!</definedName>
    <definedName name="fdfd" localSheetId="2">#REF!</definedName>
    <definedName name="fdfd" localSheetId="5">#REF!</definedName>
    <definedName name="fdfd" localSheetId="1">#REF!</definedName>
    <definedName name="fdfd" localSheetId="7">#REF!</definedName>
    <definedName name="fdfd" localSheetId="6">#REF!</definedName>
    <definedName name="fdfd">#REF!</definedName>
    <definedName name="jfhdskjg" localSheetId="4">#REF!</definedName>
    <definedName name="jfhdskjg" localSheetId="3">#REF!</definedName>
    <definedName name="jfhdskjg" localSheetId="12">#REF!</definedName>
    <definedName name="jfhdskjg" localSheetId="0">#REF!</definedName>
    <definedName name="jfhdskjg" localSheetId="9">#REF!</definedName>
    <definedName name="jfhdskjg" localSheetId="10">#REF!</definedName>
    <definedName name="jfhdskjg" localSheetId="8">#REF!</definedName>
    <definedName name="jfhdskjg" localSheetId="2">#REF!</definedName>
    <definedName name="jfhdskjg" localSheetId="5">#REF!</definedName>
    <definedName name="jfhdskjg" localSheetId="1">#REF!</definedName>
    <definedName name="jfhdskjg" localSheetId="7">#REF!</definedName>
    <definedName name="jfhdskjg" localSheetId="6">#REF!</definedName>
    <definedName name="jfhdskjg">#REF!</definedName>
    <definedName name="orçamento" localSheetId="3">#REF!</definedName>
    <definedName name="orçamento" localSheetId="12">#REF!</definedName>
    <definedName name="orçamento" localSheetId="0">#REF!</definedName>
    <definedName name="orçamento" localSheetId="9">#REF!</definedName>
    <definedName name="orçamento" localSheetId="10">#REF!</definedName>
    <definedName name="orçamento" localSheetId="8">#REF!</definedName>
    <definedName name="orçamento" localSheetId="2">#REF!</definedName>
    <definedName name="orçamento" localSheetId="5">#REF!</definedName>
    <definedName name="orçamento" localSheetId="1">#REF!</definedName>
    <definedName name="orçamento" localSheetId="7">#REF!</definedName>
    <definedName name="orçamento" localSheetId="6">#REF!</definedName>
    <definedName name="orçamento">#REF!</definedName>
    <definedName name="TABELA" localSheetId="3">'[1]PLANILHA FONTE'!$B$1:$G$290</definedName>
    <definedName name="TABELA" localSheetId="12">'[2]PLANILHA FONTE'!$B$1:$G$290</definedName>
    <definedName name="TABELA" localSheetId="0">'[2]PLANILHA FONTE'!$B$1:$G$290</definedName>
    <definedName name="TABELA" localSheetId="9">'[1]PLANILHA FONTE'!$B$1:$G$290</definedName>
    <definedName name="TABELA" localSheetId="10">'[1]PLANILHA FONTE'!$B$1:$G$290</definedName>
    <definedName name="TABELA">'[1]PLANILHA FONTE'!$B$1:$G$290</definedName>
    <definedName name="_xlnm.Print_Titles" localSheetId="4">'(PLANILHA GERAL COM DESON)'!$1:$12</definedName>
    <definedName name="_xlnm.Print_Titles" localSheetId="3">'_RESUMO COMPARATIVO_'!$1:$9</definedName>
    <definedName name="_xlnm.Print_Titles" localSheetId="9">COMPOSICOES!$1:$9</definedName>
    <definedName name="_xlnm.Print_Titles" localSheetId="10">'COMPOSICOES - SINAPI COM DESON'!$1:$8</definedName>
    <definedName name="_xlnm.Print_Titles" localSheetId="11">CRONOGRAMA!$1:$10</definedName>
    <definedName name="_xlnm.Print_Titles" localSheetId="8">'MEMORIA DE CALCULO'!$3:$9</definedName>
    <definedName name="_xlnm.Print_Titles" localSheetId="2">'MEMÓRIA PINTURA'!$1:$9</definedName>
    <definedName name="_xlnm.Print_Titles" localSheetId="5">'ORÇAMENTO COM DESON'!$1:$8</definedName>
    <definedName name="_xlnm.Print_Titles" localSheetId="1">'ORÇAMENTO PINTURA'!$1:$8</definedName>
    <definedName name="_xlnm.Print_Titles" localSheetId="7">'ORÇAMENTO SEM DESON'!$2:$8</definedName>
    <definedName name="_xlnm.Print_Titles" localSheetId="6">'RESUMO SEM DESON'!$1:$8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7" i="45" l="1"/>
  <c r="J1061" i="44"/>
  <c r="E1059" i="44"/>
  <c r="A1059" i="44"/>
  <c r="J1062" i="44"/>
  <c r="I1062" i="44"/>
  <c r="E64" i="50"/>
  <c r="E63" i="50"/>
  <c r="E62" i="50"/>
  <c r="E147" i="45"/>
  <c r="D147" i="45"/>
  <c r="D1059" i="44" s="1"/>
  <c r="G64" i="50"/>
  <c r="G63" i="50"/>
  <c r="G62" i="50"/>
  <c r="H10" i="45"/>
  <c r="D29" i="37"/>
  <c r="J1056" i="44"/>
  <c r="J1057" i="44" s="1"/>
  <c r="F146" i="45" s="1"/>
  <c r="E1054" i="44"/>
  <c r="D1054" i="44"/>
  <c r="A1054" i="44"/>
  <c r="I1057" i="44"/>
  <c r="G65" i="50" l="1"/>
  <c r="G58" i="50" s="1"/>
  <c r="G147" i="45" l="1"/>
  <c r="H147" i="45" s="1"/>
  <c r="I147" i="45" s="1"/>
  <c r="H146" i="45" l="1"/>
  <c r="A990" i="44"/>
  <c r="I993" i="44" s="1"/>
  <c r="D990" i="44"/>
  <c r="E990" i="44"/>
  <c r="E983" i="44"/>
  <c r="D983" i="44"/>
  <c r="A983" i="44"/>
  <c r="J992" i="44"/>
  <c r="J993" i="44" s="1"/>
  <c r="F133" i="45" s="1"/>
  <c r="I988" i="44"/>
  <c r="J987" i="44"/>
  <c r="J986" i="44"/>
  <c r="J985" i="44"/>
  <c r="H132" i="45"/>
  <c r="H133" i="45"/>
  <c r="E904" i="44"/>
  <c r="D904" i="44"/>
  <c r="A904" i="44"/>
  <c r="I907" i="44" s="1"/>
  <c r="J906" i="44"/>
  <c r="J907" i="44" s="1"/>
  <c r="F120" i="45" s="1"/>
  <c r="H120" i="45"/>
  <c r="E899" i="44"/>
  <c r="D899" i="44"/>
  <c r="A899" i="44"/>
  <c r="I902" i="44" s="1"/>
  <c r="E893" i="44"/>
  <c r="D893" i="44"/>
  <c r="A893" i="44"/>
  <c r="I897" i="44" s="1"/>
  <c r="J901" i="44"/>
  <c r="J895" i="44"/>
  <c r="J897" i="44" s="1"/>
  <c r="F118" i="45" s="1"/>
  <c r="H118" i="45"/>
  <c r="H119" i="45"/>
  <c r="I133" i="45" l="1"/>
  <c r="J988" i="44"/>
  <c r="F132" i="45" s="1"/>
  <c r="I146" i="45"/>
  <c r="I132" i="45"/>
  <c r="I120" i="45"/>
  <c r="J902" i="44"/>
  <c r="F119" i="45" s="1"/>
  <c r="I118" i="45"/>
  <c r="I119" i="45"/>
  <c r="B38" i="47"/>
  <c r="B39" i="31" s="1"/>
  <c r="A38" i="47"/>
  <c r="A39" i="31" s="1"/>
  <c r="B36" i="47"/>
  <c r="B37" i="31" s="1"/>
  <c r="A36" i="47"/>
  <c r="A37" i="31" s="1"/>
  <c r="B34" i="47"/>
  <c r="B35" i="31" s="1"/>
  <c r="A34" i="47"/>
  <c r="A35" i="31" s="1"/>
  <c r="B30" i="47"/>
  <c r="B31" i="31" s="1"/>
  <c r="A30" i="47"/>
  <c r="A31" i="31" s="1"/>
  <c r="B28" i="47"/>
  <c r="B29" i="31" s="1"/>
  <c r="A28" i="47"/>
  <c r="A29" i="31" s="1"/>
  <c r="B26" i="47"/>
  <c r="B27" i="31" s="1"/>
  <c r="A26" i="47"/>
  <c r="A27" i="31" s="1"/>
  <c r="B24" i="47"/>
  <c r="B25" i="31" s="1"/>
  <c r="A24" i="47"/>
  <c r="A25" i="31" s="1"/>
  <c r="B16" i="47"/>
  <c r="B17" i="31" s="1"/>
  <c r="A16" i="47"/>
  <c r="A17" i="31" s="1"/>
  <c r="B14" i="47"/>
  <c r="B15" i="31" s="1"/>
  <c r="A14" i="47"/>
  <c r="A15" i="31" s="1"/>
  <c r="B12" i="47"/>
  <c r="B13" i="31" s="1"/>
  <c r="A12" i="47"/>
  <c r="A13" i="31" s="1"/>
  <c r="J240" i="44"/>
  <c r="J219" i="44"/>
  <c r="J890" i="44"/>
  <c r="J889" i="44"/>
  <c r="J888" i="44"/>
  <c r="J887" i="44"/>
  <c r="J886" i="44"/>
  <c r="J885" i="44"/>
  <c r="J884" i="44"/>
  <c r="J883" i="44"/>
  <c r="J882" i="44"/>
  <c r="J881" i="44"/>
  <c r="J880" i="44"/>
  <c r="J879" i="44"/>
  <c r="J878" i="44"/>
  <c r="J877" i="44"/>
  <c r="J876" i="44"/>
  <c r="J875" i="44"/>
  <c r="J874" i="44"/>
  <c r="J873" i="44"/>
  <c r="A871" i="44"/>
  <c r="I891" i="44" s="1"/>
  <c r="E117" i="45"/>
  <c r="E871" i="44" s="1"/>
  <c r="D117" i="45"/>
  <c r="D871" i="44" s="1"/>
  <c r="F50" i="50"/>
  <c r="G52" i="50"/>
  <c r="G51" i="50"/>
  <c r="G50" i="50"/>
  <c r="G49" i="50"/>
  <c r="J688" i="44"/>
  <c r="J689" i="44"/>
  <c r="J690" i="44"/>
  <c r="J922" i="44"/>
  <c r="E701" i="44"/>
  <c r="D701" i="44"/>
  <c r="A701" i="44"/>
  <c r="I705" i="44" s="1"/>
  <c r="E695" i="44"/>
  <c r="D695" i="44"/>
  <c r="A695" i="44"/>
  <c r="I699" i="44" s="1"/>
  <c r="E686" i="44"/>
  <c r="D686" i="44"/>
  <c r="A686" i="44"/>
  <c r="I693" i="44" s="1"/>
  <c r="J703" i="44"/>
  <c r="J698" i="44"/>
  <c r="J697" i="44"/>
  <c r="J692" i="44"/>
  <c r="J691" i="44"/>
  <c r="H96" i="45"/>
  <c r="E978" i="44"/>
  <c r="D978" i="44"/>
  <c r="A978" i="44"/>
  <c r="I981" i="44" s="1"/>
  <c r="E971" i="44"/>
  <c r="D971" i="44"/>
  <c r="A971" i="44"/>
  <c r="I976" i="44" s="1"/>
  <c r="J980" i="44"/>
  <c r="J975" i="44"/>
  <c r="J974" i="44"/>
  <c r="J973" i="44"/>
  <c r="H131" i="45"/>
  <c r="H130" i="45"/>
  <c r="J967" i="44"/>
  <c r="J966" i="44"/>
  <c r="J965" i="44"/>
  <c r="J964" i="44"/>
  <c r="J959" i="44"/>
  <c r="J958" i="44"/>
  <c r="J957" i="44"/>
  <c r="J951" i="44"/>
  <c r="J952" i="44"/>
  <c r="J921" i="44"/>
  <c r="J919" i="44"/>
  <c r="J920" i="44"/>
  <c r="E962" i="44"/>
  <c r="D962" i="44"/>
  <c r="A962" i="44"/>
  <c r="I969" i="44" s="1"/>
  <c r="E955" i="44"/>
  <c r="D955" i="44"/>
  <c r="A955" i="44"/>
  <c r="I960" i="44" s="1"/>
  <c r="E949" i="44"/>
  <c r="D949" i="44"/>
  <c r="A949" i="44"/>
  <c r="I953" i="44" s="1"/>
  <c r="E941" i="44"/>
  <c r="D941" i="44"/>
  <c r="A941" i="44"/>
  <c r="I947" i="44" s="1"/>
  <c r="E931" i="44"/>
  <c r="D931" i="44"/>
  <c r="A931" i="44"/>
  <c r="I939" i="44" s="1"/>
  <c r="E926" i="44"/>
  <c r="D926" i="44"/>
  <c r="A926" i="44"/>
  <c r="I929" i="44" s="1"/>
  <c r="E917" i="44"/>
  <c r="D917" i="44"/>
  <c r="A917" i="44"/>
  <c r="I924" i="44" s="1"/>
  <c r="E911" i="44"/>
  <c r="D911" i="44"/>
  <c r="A911" i="44"/>
  <c r="I915" i="44" s="1"/>
  <c r="D909" i="44"/>
  <c r="A909" i="44"/>
  <c r="J968" i="44"/>
  <c r="J946" i="44"/>
  <c r="J945" i="44"/>
  <c r="J944" i="44"/>
  <c r="J943" i="44"/>
  <c r="J938" i="44"/>
  <c r="J937" i="44"/>
  <c r="J936" i="44"/>
  <c r="J935" i="44"/>
  <c r="J934" i="44"/>
  <c r="J933" i="44"/>
  <c r="J928" i="44"/>
  <c r="J923" i="44"/>
  <c r="J914" i="44"/>
  <c r="J913" i="44"/>
  <c r="H129" i="45"/>
  <c r="H128" i="45"/>
  <c r="H127" i="45"/>
  <c r="H126" i="45"/>
  <c r="H125" i="45"/>
  <c r="H95" i="45"/>
  <c r="H94" i="45"/>
  <c r="H124" i="45"/>
  <c r="F867" i="44"/>
  <c r="J867" i="44" s="1"/>
  <c r="J869" i="44" s="1"/>
  <c r="F116" i="45" s="1"/>
  <c r="E865" i="44"/>
  <c r="D865" i="44"/>
  <c r="A865" i="44"/>
  <c r="I869" i="44" s="1"/>
  <c r="H116" i="45"/>
  <c r="F850" i="44"/>
  <c r="E859" i="44"/>
  <c r="D859" i="44"/>
  <c r="A859" i="44"/>
  <c r="I863" i="44" s="1"/>
  <c r="E854" i="44"/>
  <c r="D854" i="44"/>
  <c r="A854" i="44"/>
  <c r="I857" i="44" s="1"/>
  <c r="J861" i="44"/>
  <c r="J863" i="44" s="1"/>
  <c r="F115" i="45" s="1"/>
  <c r="J856" i="44"/>
  <c r="J857" i="44" s="1"/>
  <c r="F114" i="45" s="1"/>
  <c r="J891" i="44" l="1"/>
  <c r="F117" i="45" s="1"/>
  <c r="J693" i="44"/>
  <c r="F94" i="45" s="1"/>
  <c r="I94" i="45" s="1"/>
  <c r="J699" i="44"/>
  <c r="F95" i="45" s="1"/>
  <c r="I95" i="45" s="1"/>
  <c r="G53" i="50"/>
  <c r="J705" i="44"/>
  <c r="F96" i="45" s="1"/>
  <c r="I96" i="45" s="1"/>
  <c r="J976" i="44"/>
  <c r="F130" i="45" s="1"/>
  <c r="I130" i="45" s="1"/>
  <c r="J969" i="44"/>
  <c r="F129" i="45" s="1"/>
  <c r="I129" i="45" s="1"/>
  <c r="J981" i="44"/>
  <c r="F131" i="45" s="1"/>
  <c r="I131" i="45" s="1"/>
  <c r="J960" i="44"/>
  <c r="F128" i="45" s="1"/>
  <c r="I128" i="45" s="1"/>
  <c r="J924" i="44"/>
  <c r="F123" i="45" s="1"/>
  <c r="J939" i="44"/>
  <c r="F125" i="45" s="1"/>
  <c r="I125" i="45" s="1"/>
  <c r="J953" i="44"/>
  <c r="F127" i="45" s="1"/>
  <c r="I127" i="45" s="1"/>
  <c r="J915" i="44"/>
  <c r="F122" i="45" s="1"/>
  <c r="J947" i="44"/>
  <c r="F126" i="45" s="1"/>
  <c r="I126" i="45" s="1"/>
  <c r="J929" i="44"/>
  <c r="F124" i="45" s="1"/>
  <c r="I124" i="45" s="1"/>
  <c r="I116" i="45"/>
  <c r="G45" i="50" l="1"/>
  <c r="G117" i="45"/>
  <c r="H117" i="45" s="1"/>
  <c r="I117" i="45" s="1"/>
  <c r="H115" i="45"/>
  <c r="I115" i="45" s="1"/>
  <c r="H114" i="45"/>
  <c r="I114" i="45" s="1"/>
  <c r="F845" i="44"/>
  <c r="J845" i="44" s="1"/>
  <c r="J846" i="44" s="1"/>
  <c r="F112" i="45" s="1"/>
  <c r="F840" i="44"/>
  <c r="J840" i="44" s="1"/>
  <c r="J841" i="44" s="1"/>
  <c r="F111" i="45" s="1"/>
  <c r="A848" i="44"/>
  <c r="I852" i="44" s="1"/>
  <c r="D848" i="44"/>
  <c r="E848" i="44"/>
  <c r="E843" i="44"/>
  <c r="D843" i="44"/>
  <c r="A843" i="44"/>
  <c r="I846" i="44" s="1"/>
  <c r="E838" i="44"/>
  <c r="D838" i="44"/>
  <c r="A838" i="44"/>
  <c r="I841" i="44" s="1"/>
  <c r="J850" i="44"/>
  <c r="J852" i="44" s="1"/>
  <c r="F113" i="45" s="1"/>
  <c r="H113" i="45"/>
  <c r="H112" i="45"/>
  <c r="H111" i="45"/>
  <c r="E832" i="44"/>
  <c r="D832" i="44"/>
  <c r="A832" i="44"/>
  <c r="I836" i="44" s="1"/>
  <c r="E827" i="44"/>
  <c r="D827" i="44"/>
  <c r="A827" i="44"/>
  <c r="I830" i="44" s="1"/>
  <c r="E822" i="44"/>
  <c r="D822" i="44"/>
  <c r="A822" i="44"/>
  <c r="I825" i="44" s="1"/>
  <c r="J835" i="44"/>
  <c r="J834" i="44"/>
  <c r="J829" i="44"/>
  <c r="J824" i="44"/>
  <c r="J825" i="44" s="1"/>
  <c r="F108" i="45" s="1"/>
  <c r="H110" i="45"/>
  <c r="H109" i="45"/>
  <c r="H108" i="45"/>
  <c r="J816" i="44"/>
  <c r="J817" i="44"/>
  <c r="J818" i="44"/>
  <c r="J815" i="44"/>
  <c r="E813" i="44"/>
  <c r="D813" i="44"/>
  <c r="A813" i="44"/>
  <c r="I820" i="44" s="1"/>
  <c r="J819" i="44"/>
  <c r="H107" i="45"/>
  <c r="J810" i="44"/>
  <c r="J809" i="44"/>
  <c r="J808" i="44"/>
  <c r="J807" i="44"/>
  <c r="J806" i="44"/>
  <c r="J805" i="44"/>
  <c r="J804" i="44"/>
  <c r="J803" i="44"/>
  <c r="J802" i="44"/>
  <c r="J801" i="44"/>
  <c r="J800" i="44"/>
  <c r="J799" i="44"/>
  <c r="J798" i="44"/>
  <c r="J797" i="44"/>
  <c r="J796" i="44"/>
  <c r="J795" i="44"/>
  <c r="J794" i="44"/>
  <c r="J793" i="44"/>
  <c r="J786" i="44"/>
  <c r="J787" i="44"/>
  <c r="J788" i="44"/>
  <c r="J777" i="44"/>
  <c r="J778" i="44"/>
  <c r="J779" i="44"/>
  <c r="J780" i="44"/>
  <c r="J781" i="44"/>
  <c r="J782" i="44"/>
  <c r="J783" i="44"/>
  <c r="J784" i="44"/>
  <c r="J770" i="44"/>
  <c r="J771" i="44"/>
  <c r="J772" i="44"/>
  <c r="J755" i="44"/>
  <c r="J756" i="44"/>
  <c r="J757" i="44"/>
  <c r="J758" i="44"/>
  <c r="J759" i="44"/>
  <c r="E101" i="44"/>
  <c r="D101" i="44"/>
  <c r="A101" i="44"/>
  <c r="I104" i="44" s="1"/>
  <c r="J103" i="44"/>
  <c r="J104" i="44" s="1"/>
  <c r="F19" i="45" s="1"/>
  <c r="H19" i="45"/>
  <c r="I112" i="45" l="1"/>
  <c r="I111" i="45"/>
  <c r="I113" i="45"/>
  <c r="J830" i="44"/>
  <c r="F109" i="45" s="1"/>
  <c r="I109" i="45" s="1"/>
  <c r="J836" i="44"/>
  <c r="F110" i="45" s="1"/>
  <c r="I110" i="45" s="1"/>
  <c r="I108" i="45"/>
  <c r="J820" i="44"/>
  <c r="F107" i="45" s="1"/>
  <c r="I107" i="45" s="1"/>
  <c r="J811" i="44"/>
  <c r="I19" i="45"/>
  <c r="E96" i="44" l="1"/>
  <c r="D96" i="44"/>
  <c r="A96" i="44"/>
  <c r="I99" i="44" s="1"/>
  <c r="J98" i="44"/>
  <c r="J99" i="44" s="1"/>
  <c r="F18" i="45" s="1"/>
  <c r="H18" i="45"/>
  <c r="F153" i="44"/>
  <c r="J153" i="44" s="1"/>
  <c r="E149" i="44"/>
  <c r="D149" i="44"/>
  <c r="A149" i="44"/>
  <c r="I154" i="44" s="1"/>
  <c r="J151" i="44"/>
  <c r="H27" i="45"/>
  <c r="F133" i="44"/>
  <c r="J133" i="44" s="1"/>
  <c r="G237" i="44"/>
  <c r="J237" i="44" s="1"/>
  <c r="G217" i="44"/>
  <c r="J217" i="44" s="1"/>
  <c r="G195" i="44"/>
  <c r="J195" i="44" s="1"/>
  <c r="G140" i="44"/>
  <c r="J140" i="44" s="1"/>
  <c r="G259" i="44"/>
  <c r="J259" i="44" s="1"/>
  <c r="F742" i="44"/>
  <c r="J742" i="44" s="1"/>
  <c r="F747" i="44"/>
  <c r="J747" i="44" s="1"/>
  <c r="J748" i="44" s="1"/>
  <c r="F100" i="45" s="1"/>
  <c r="E745" i="44"/>
  <c r="D745" i="44"/>
  <c r="A745" i="44"/>
  <c r="I748" i="44" s="1"/>
  <c r="H100" i="45"/>
  <c r="E726" i="44"/>
  <c r="D726" i="44"/>
  <c r="A726" i="44"/>
  <c r="I743" i="44" s="1"/>
  <c r="J741" i="44"/>
  <c r="J740" i="44"/>
  <c r="J739" i="44"/>
  <c r="J738" i="44"/>
  <c r="J737" i="44"/>
  <c r="J736" i="44"/>
  <c r="J735" i="44"/>
  <c r="J734" i="44"/>
  <c r="J733" i="44"/>
  <c r="J732" i="44"/>
  <c r="J731" i="44"/>
  <c r="J730" i="44"/>
  <c r="J729" i="44"/>
  <c r="J728" i="44"/>
  <c r="J93" i="44"/>
  <c r="J92" i="44"/>
  <c r="J91" i="44"/>
  <c r="J90" i="44"/>
  <c r="J89" i="44"/>
  <c r="J88" i="44"/>
  <c r="J87" i="44"/>
  <c r="J86" i="44"/>
  <c r="J85" i="44"/>
  <c r="J84" i="44"/>
  <c r="J83" i="44"/>
  <c r="J82" i="44"/>
  <c r="J81" i="44"/>
  <c r="J80" i="44"/>
  <c r="E78" i="44"/>
  <c r="D78" i="44"/>
  <c r="A78" i="44"/>
  <c r="I94" i="44" s="1"/>
  <c r="H17" i="45"/>
  <c r="J712" i="44"/>
  <c r="J713" i="44"/>
  <c r="J714" i="44"/>
  <c r="J715" i="44"/>
  <c r="J716" i="44"/>
  <c r="J717" i="44"/>
  <c r="J718" i="44"/>
  <c r="J719" i="44"/>
  <c r="J720" i="44"/>
  <c r="J721" i="44"/>
  <c r="J722" i="44"/>
  <c r="J723" i="44"/>
  <c r="J724" i="44"/>
  <c r="E709" i="44"/>
  <c r="D709" i="44"/>
  <c r="A709" i="44"/>
  <c r="I725" i="44" s="1"/>
  <c r="D707" i="44"/>
  <c r="A707" i="44"/>
  <c r="J711" i="44"/>
  <c r="E1049" i="44"/>
  <c r="D1049" i="44"/>
  <c r="A1049" i="44"/>
  <c r="I1052" i="44" s="1"/>
  <c r="J1051" i="44"/>
  <c r="J1052" i="44" s="1"/>
  <c r="F145" i="45" s="1"/>
  <c r="H145" i="45"/>
  <c r="A1044" i="44"/>
  <c r="I1047" i="44" s="1"/>
  <c r="J1046" i="44"/>
  <c r="J1047" i="44" s="1"/>
  <c r="F144" i="45" s="1"/>
  <c r="E144" i="45"/>
  <c r="E1044" i="44" s="1"/>
  <c r="D144" i="45"/>
  <c r="D1044" i="44" s="1"/>
  <c r="E38" i="50"/>
  <c r="G38" i="50" s="1"/>
  <c r="G34" i="50"/>
  <c r="G39" i="50"/>
  <c r="G37" i="50"/>
  <c r="G36" i="50"/>
  <c r="G35" i="50"/>
  <c r="G33" i="50"/>
  <c r="G32" i="50"/>
  <c r="G31" i="50"/>
  <c r="G30" i="50"/>
  <c r="J592" i="44"/>
  <c r="E590" i="44"/>
  <c r="D590" i="44"/>
  <c r="A590" i="44"/>
  <c r="I593" i="44" s="1"/>
  <c r="H78" i="45"/>
  <c r="E421" i="44"/>
  <c r="D421" i="44"/>
  <c r="A421" i="44"/>
  <c r="I424" i="44" s="1"/>
  <c r="H54" i="45"/>
  <c r="F1012" i="44"/>
  <c r="J1012" i="44" s="1"/>
  <c r="E1009" i="44"/>
  <c r="D1009" i="44"/>
  <c r="A1009" i="44"/>
  <c r="I1013" i="44" s="1"/>
  <c r="E1003" i="44"/>
  <c r="D1003" i="44"/>
  <c r="A1003" i="44"/>
  <c r="I1007" i="44" s="1"/>
  <c r="E997" i="44"/>
  <c r="D997" i="44"/>
  <c r="A997" i="44"/>
  <c r="I1001" i="44" s="1"/>
  <c r="D995" i="44"/>
  <c r="A995" i="44"/>
  <c r="J1011" i="44"/>
  <c r="J1005" i="44"/>
  <c r="J1007" i="44" s="1"/>
  <c r="F136" i="45" s="1"/>
  <c r="J999" i="44"/>
  <c r="J1001" i="44" s="1"/>
  <c r="F135" i="45" s="1"/>
  <c r="E1039" i="44"/>
  <c r="D1039" i="44"/>
  <c r="A1039" i="44"/>
  <c r="I1042" i="44" s="1"/>
  <c r="E1034" i="44"/>
  <c r="D1034" i="44"/>
  <c r="A1034" i="44"/>
  <c r="I1037" i="44" s="1"/>
  <c r="E1029" i="44"/>
  <c r="D1029" i="44"/>
  <c r="A1029" i="44"/>
  <c r="I1032" i="44" s="1"/>
  <c r="E1023" i="44"/>
  <c r="D1023" i="44"/>
  <c r="A1023" i="44"/>
  <c r="I1027" i="44" s="1"/>
  <c r="E1017" i="44"/>
  <c r="D1017" i="44"/>
  <c r="A1017" i="44"/>
  <c r="I1021" i="44" s="1"/>
  <c r="D1015" i="44"/>
  <c r="A1015" i="44"/>
  <c r="J1041" i="44"/>
  <c r="J1042" i="44" s="1"/>
  <c r="F143" i="45" s="1"/>
  <c r="J1036" i="44"/>
  <c r="J1037" i="44" s="1"/>
  <c r="F142" i="45" s="1"/>
  <c r="J1031" i="44"/>
  <c r="J1032" i="44" s="1"/>
  <c r="F141" i="45" s="1"/>
  <c r="J1025" i="44"/>
  <c r="J1027" i="44" s="1"/>
  <c r="F140" i="45" s="1"/>
  <c r="J1019" i="44"/>
  <c r="J1021" i="44" s="1"/>
  <c r="F139" i="45" s="1"/>
  <c r="H143" i="45"/>
  <c r="H142" i="45"/>
  <c r="E512" i="44"/>
  <c r="D512" i="44"/>
  <c r="A512" i="44"/>
  <c r="I516" i="44" s="1"/>
  <c r="J515" i="44"/>
  <c r="J514" i="44"/>
  <c r="H67" i="45"/>
  <c r="H141" i="45"/>
  <c r="H140" i="45"/>
  <c r="H139" i="45"/>
  <c r="H137" i="45"/>
  <c r="H136" i="45"/>
  <c r="H135" i="45"/>
  <c r="H123" i="45"/>
  <c r="I123" i="45" s="1"/>
  <c r="H122" i="45"/>
  <c r="I122" i="45" s="1"/>
  <c r="H99" i="45"/>
  <c r="H98" i="45"/>
  <c r="F566" i="44"/>
  <c r="J566" i="44" s="1"/>
  <c r="F572" i="44" s="1"/>
  <c r="E585" i="44"/>
  <c r="D585" i="44"/>
  <c r="A585" i="44"/>
  <c r="I588" i="44" s="1"/>
  <c r="H77" i="45"/>
  <c r="E580" i="44"/>
  <c r="D580" i="44"/>
  <c r="A580" i="44"/>
  <c r="I583" i="44" s="1"/>
  <c r="E575" i="44"/>
  <c r="D575" i="44"/>
  <c r="A575" i="44"/>
  <c r="I578" i="44" s="1"/>
  <c r="H76" i="45"/>
  <c r="H75" i="45"/>
  <c r="J571" i="44"/>
  <c r="E569" i="44"/>
  <c r="D569" i="44"/>
  <c r="A569" i="44"/>
  <c r="I573" i="44" s="1"/>
  <c r="H74" i="45"/>
  <c r="J563" i="44"/>
  <c r="F561" i="44"/>
  <c r="J561" i="44" s="1"/>
  <c r="H560" i="44"/>
  <c r="F560" i="44"/>
  <c r="F558" i="44"/>
  <c r="J558" i="44" s="1"/>
  <c r="F562" i="44"/>
  <c r="J562" i="44" s="1"/>
  <c r="F559" i="44"/>
  <c r="J559" i="44" s="1"/>
  <c r="I121" i="45" l="1"/>
  <c r="C34" i="47" s="1"/>
  <c r="C35" i="31" s="1"/>
  <c r="I18" i="45"/>
  <c r="J743" i="44"/>
  <c r="F99" i="45" s="1"/>
  <c r="I99" i="45" s="1"/>
  <c r="I100" i="45"/>
  <c r="J94" i="44"/>
  <c r="F17" i="45" s="1"/>
  <c r="I17" i="45" s="1"/>
  <c r="J725" i="44"/>
  <c r="F98" i="45" s="1"/>
  <c r="I98" i="45" s="1"/>
  <c r="I145" i="45"/>
  <c r="G40" i="50"/>
  <c r="G26" i="50" s="1"/>
  <c r="G144" i="45" s="1"/>
  <c r="H144" i="45" s="1"/>
  <c r="I144" i="45" s="1"/>
  <c r="J1013" i="44"/>
  <c r="F137" i="45" s="1"/>
  <c r="I137" i="45" s="1"/>
  <c r="I135" i="45"/>
  <c r="I136" i="45"/>
  <c r="I143" i="45"/>
  <c r="I142" i="45"/>
  <c r="I141" i="45"/>
  <c r="I140" i="45"/>
  <c r="I139" i="45"/>
  <c r="J516" i="44"/>
  <c r="F67" i="45" s="1"/>
  <c r="I67" i="45" s="1"/>
  <c r="F577" i="44"/>
  <c r="J577" i="44" s="1"/>
  <c r="J578" i="44" s="1"/>
  <c r="F587" i="44" s="1"/>
  <c r="J572" i="44"/>
  <c r="J573" i="44" s="1"/>
  <c r="F74" i="45" s="1"/>
  <c r="I74" i="45" s="1"/>
  <c r="J560" i="44"/>
  <c r="I138" i="45" l="1"/>
  <c r="M35" i="31"/>
  <c r="K35" i="31"/>
  <c r="I35" i="31"/>
  <c r="I97" i="45"/>
  <c r="C30" i="47" s="1"/>
  <c r="C31" i="31" s="1"/>
  <c r="C38" i="47"/>
  <c r="C39" i="31" s="1"/>
  <c r="O39" i="31" s="1"/>
  <c r="I134" i="45"/>
  <c r="C36" i="47" s="1"/>
  <c r="C37" i="31" s="1"/>
  <c r="O37" i="31" s="1"/>
  <c r="J587" i="44"/>
  <c r="J588" i="44" s="1"/>
  <c r="F75" i="45"/>
  <c r="I75" i="45" s="1"/>
  <c r="F582" i="44"/>
  <c r="J582" i="44" s="1"/>
  <c r="J583" i="44" s="1"/>
  <c r="E555" i="44"/>
  <c r="D555" i="44"/>
  <c r="A555" i="44"/>
  <c r="I567" i="44" s="1"/>
  <c r="J564" i="44"/>
  <c r="H73" i="45"/>
  <c r="I31" i="31" l="1"/>
  <c r="K31" i="31"/>
  <c r="F77" i="45"/>
  <c r="I77" i="45" s="1"/>
  <c r="F423" i="44"/>
  <c r="J423" i="44" s="1"/>
  <c r="J424" i="44" s="1"/>
  <c r="F54" i="45" s="1"/>
  <c r="I54" i="45" s="1"/>
  <c r="F76" i="45"/>
  <c r="I76" i="45" s="1"/>
  <c r="J593" i="44"/>
  <c r="F78" i="45" s="1"/>
  <c r="I78" i="45" s="1"/>
  <c r="J567" i="44"/>
  <c r="F73" i="45" s="1"/>
  <c r="I73" i="45" s="1"/>
  <c r="E550" i="44" l="1"/>
  <c r="D550" i="44"/>
  <c r="A550" i="44"/>
  <c r="I553" i="44" s="1"/>
  <c r="J552" i="44"/>
  <c r="H72" i="45"/>
  <c r="F546" i="44"/>
  <c r="J546" i="44" s="1"/>
  <c r="J545" i="44"/>
  <c r="J547" i="44"/>
  <c r="J542" i="44"/>
  <c r="F544" i="44"/>
  <c r="J544" i="44" s="1"/>
  <c r="F543" i="44"/>
  <c r="J543" i="44" s="1"/>
  <c r="E540" i="44"/>
  <c r="D540" i="44"/>
  <c r="A540" i="44"/>
  <c r="I548" i="44" s="1"/>
  <c r="D538" i="44"/>
  <c r="A538" i="44"/>
  <c r="H71" i="45"/>
  <c r="D93" i="45"/>
  <c r="D680" i="44" s="1"/>
  <c r="F18" i="50"/>
  <c r="G18" i="50" s="1"/>
  <c r="E20" i="50"/>
  <c r="G20" i="50" s="1"/>
  <c r="E19" i="50"/>
  <c r="G19" i="50" s="1"/>
  <c r="A4" i="50"/>
  <c r="B6" i="37" s="1"/>
  <c r="A5" i="50"/>
  <c r="B5" i="50"/>
  <c r="A6" i="50"/>
  <c r="A7" i="50"/>
  <c r="G17" i="50"/>
  <c r="B4" i="50"/>
  <c r="E680" i="44"/>
  <c r="A680" i="44"/>
  <c r="I684" i="44" s="1"/>
  <c r="J683" i="44"/>
  <c r="J682" i="44"/>
  <c r="E674" i="44"/>
  <c r="D674" i="44"/>
  <c r="A674" i="44"/>
  <c r="I678" i="44" s="1"/>
  <c r="J677" i="44"/>
  <c r="J676" i="44"/>
  <c r="H92" i="45"/>
  <c r="J481" i="44"/>
  <c r="E668" i="44"/>
  <c r="D668" i="44"/>
  <c r="A668" i="44"/>
  <c r="I672" i="44" s="1"/>
  <c r="J671" i="44"/>
  <c r="J670" i="44"/>
  <c r="H91" i="45"/>
  <c r="J665" i="44"/>
  <c r="E662" i="44"/>
  <c r="D662" i="44"/>
  <c r="A662" i="44"/>
  <c r="I666" i="44" s="1"/>
  <c r="J664" i="44"/>
  <c r="H90" i="45"/>
  <c r="E657" i="44"/>
  <c r="D657" i="44"/>
  <c r="A657" i="44"/>
  <c r="I660" i="44" s="1"/>
  <c r="J659" i="44"/>
  <c r="J660" i="44" s="1"/>
  <c r="F89" i="45" s="1"/>
  <c r="H89" i="45"/>
  <c r="J654" i="44"/>
  <c r="E651" i="44"/>
  <c r="D651" i="44"/>
  <c r="A651" i="44"/>
  <c r="I655" i="44" s="1"/>
  <c r="J653" i="44"/>
  <c r="H88" i="45"/>
  <c r="E646" i="44"/>
  <c r="D646" i="44"/>
  <c r="A646" i="44"/>
  <c r="I649" i="44" s="1"/>
  <c r="J648" i="44"/>
  <c r="J649" i="44" s="1"/>
  <c r="F87" i="45" s="1"/>
  <c r="H87" i="45"/>
  <c r="E641" i="44"/>
  <c r="D641" i="44"/>
  <c r="A641" i="44"/>
  <c r="I644" i="44" s="1"/>
  <c r="J643" i="44"/>
  <c r="J644" i="44" s="1"/>
  <c r="F86" i="45" s="1"/>
  <c r="H86" i="45"/>
  <c r="J638" i="44"/>
  <c r="E634" i="44"/>
  <c r="D634" i="44"/>
  <c r="A634" i="44"/>
  <c r="I639" i="44" s="1"/>
  <c r="J637" i="44"/>
  <c r="J636" i="44"/>
  <c r="H85" i="45"/>
  <c r="E628" i="44"/>
  <c r="D628" i="44"/>
  <c r="A628" i="44"/>
  <c r="I632" i="44" s="1"/>
  <c r="E622" i="44"/>
  <c r="D622" i="44"/>
  <c r="A622" i="44"/>
  <c r="I626" i="44" s="1"/>
  <c r="J631" i="44"/>
  <c r="J630" i="44"/>
  <c r="J625" i="44"/>
  <c r="J624" i="44"/>
  <c r="H84" i="45"/>
  <c r="H83" i="45"/>
  <c r="F617" i="44"/>
  <c r="J617" i="44" s="1"/>
  <c r="F616" i="44"/>
  <c r="J616" i="44" s="1"/>
  <c r="J619" i="44"/>
  <c r="J618" i="44"/>
  <c r="J610" i="44"/>
  <c r="J611" i="44"/>
  <c r="J609" i="44"/>
  <c r="F603" i="44"/>
  <c r="J603" i="44" s="1"/>
  <c r="F608" i="44"/>
  <c r="J608" i="44" s="1"/>
  <c r="J602" i="44"/>
  <c r="J600" i="44"/>
  <c r="J601" i="44"/>
  <c r="E614" i="44"/>
  <c r="D614" i="44"/>
  <c r="A614" i="44"/>
  <c r="I620" i="44" s="1"/>
  <c r="E606" i="44"/>
  <c r="D606" i="44"/>
  <c r="A606" i="44"/>
  <c r="I612" i="44" s="1"/>
  <c r="H82" i="45"/>
  <c r="H81" i="45"/>
  <c r="J391" i="44"/>
  <c r="J532" i="44"/>
  <c r="J534" i="44"/>
  <c r="F533" i="44"/>
  <c r="J533" i="44" s="1"/>
  <c r="F531" i="44"/>
  <c r="J531" i="44" s="1"/>
  <c r="F530" i="44"/>
  <c r="J530" i="44" s="1"/>
  <c r="F529" i="44"/>
  <c r="J529" i="44" s="1"/>
  <c r="F528" i="44"/>
  <c r="J528" i="44" s="1"/>
  <c r="F527" i="44"/>
  <c r="J527" i="44" s="1"/>
  <c r="F526" i="44"/>
  <c r="J526" i="44" s="1"/>
  <c r="F525" i="44"/>
  <c r="J525" i="44" s="1"/>
  <c r="F524" i="44"/>
  <c r="J524" i="44" s="1"/>
  <c r="F523" i="44"/>
  <c r="J523" i="44" s="1"/>
  <c r="F522" i="44"/>
  <c r="J522" i="44" s="1"/>
  <c r="E520" i="44"/>
  <c r="D520" i="44"/>
  <c r="A520" i="44"/>
  <c r="I535" i="44" s="1"/>
  <c r="D518" i="44"/>
  <c r="A518" i="44"/>
  <c r="H69" i="45"/>
  <c r="F418" i="44"/>
  <c r="J418" i="44" s="1"/>
  <c r="J417" i="44"/>
  <c r="J416" i="44"/>
  <c r="J413" i="44"/>
  <c r="J414" i="44"/>
  <c r="J415" i="44"/>
  <c r="J412" i="44"/>
  <c r="E410" i="44"/>
  <c r="D410" i="44"/>
  <c r="A410" i="44"/>
  <c r="I419" i="44" s="1"/>
  <c r="J406" i="44"/>
  <c r="J407" i="44"/>
  <c r="J400" i="44"/>
  <c r="J508" i="44"/>
  <c r="E506" i="44"/>
  <c r="D506" i="44"/>
  <c r="A506" i="44"/>
  <c r="I510" i="44" s="1"/>
  <c r="J509" i="44"/>
  <c r="H66" i="45"/>
  <c r="J336" i="44"/>
  <c r="J337" i="44"/>
  <c r="G335" i="44"/>
  <c r="G181" i="44"/>
  <c r="G182" i="44"/>
  <c r="J182" i="44" s="1"/>
  <c r="G202" i="44"/>
  <c r="G203" i="44"/>
  <c r="J203" i="44" s="1"/>
  <c r="G224" i="44"/>
  <c r="J224" i="44" s="1"/>
  <c r="G225" i="44"/>
  <c r="J225" i="44" s="1"/>
  <c r="G246" i="44"/>
  <c r="J246" i="44" s="1"/>
  <c r="G245" i="44"/>
  <c r="F503" i="44"/>
  <c r="J503" i="44" s="1"/>
  <c r="H245" i="44"/>
  <c r="J474" i="44"/>
  <c r="E501" i="44"/>
  <c r="D501" i="44"/>
  <c r="A501" i="44"/>
  <c r="I504" i="44" s="1"/>
  <c r="E493" i="44"/>
  <c r="D493" i="44"/>
  <c r="A493" i="44"/>
  <c r="I499" i="44" s="1"/>
  <c r="J498" i="44"/>
  <c r="J497" i="44"/>
  <c r="J496" i="44"/>
  <c r="J495" i="44"/>
  <c r="H64" i="45"/>
  <c r="H65" i="45"/>
  <c r="J472" i="44"/>
  <c r="J473" i="44"/>
  <c r="J475" i="44"/>
  <c r="J466" i="44"/>
  <c r="F460" i="44"/>
  <c r="J460" i="44" s="1"/>
  <c r="F459" i="44"/>
  <c r="J453" i="44"/>
  <c r="J487" i="44"/>
  <c r="J488" i="44"/>
  <c r="J489" i="44"/>
  <c r="J490" i="44"/>
  <c r="E484" i="44"/>
  <c r="D484" i="44"/>
  <c r="A484" i="44"/>
  <c r="I491" i="44" s="1"/>
  <c r="J486" i="44"/>
  <c r="H63" i="45"/>
  <c r="J454" i="44"/>
  <c r="J446" i="44"/>
  <c r="J445" i="44"/>
  <c r="J433" i="44"/>
  <c r="J438" i="44"/>
  <c r="J437" i="44"/>
  <c r="J436" i="44"/>
  <c r="J435" i="44"/>
  <c r="J434" i="44"/>
  <c r="J432" i="44"/>
  <c r="J431" i="44"/>
  <c r="J430" i="44"/>
  <c r="J393" i="44"/>
  <c r="F392" i="44"/>
  <c r="J392" i="44" s="1"/>
  <c r="F390" i="44"/>
  <c r="J390" i="44" s="1"/>
  <c r="F389" i="44"/>
  <c r="J389" i="44" s="1"/>
  <c r="F388" i="44"/>
  <c r="J388" i="44" s="1"/>
  <c r="F387" i="44"/>
  <c r="J387" i="44" s="1"/>
  <c r="F386" i="44"/>
  <c r="J386" i="44" s="1"/>
  <c r="F385" i="44"/>
  <c r="J385" i="44" s="1"/>
  <c r="F384" i="44"/>
  <c r="J384" i="44" s="1"/>
  <c r="F383" i="44"/>
  <c r="J383" i="44" s="1"/>
  <c r="F382" i="44"/>
  <c r="J382" i="44" s="1"/>
  <c r="F381" i="44"/>
  <c r="J381" i="44" s="1"/>
  <c r="J376" i="44"/>
  <c r="F375" i="44"/>
  <c r="J375" i="44" s="1"/>
  <c r="F374" i="44"/>
  <c r="J374" i="44" s="1"/>
  <c r="F373" i="44"/>
  <c r="J373" i="44" s="1"/>
  <c r="F372" i="44"/>
  <c r="J372" i="44" s="1"/>
  <c r="F371" i="44"/>
  <c r="J371" i="44" s="1"/>
  <c r="F370" i="44"/>
  <c r="J370" i="44" s="1"/>
  <c r="F369" i="44"/>
  <c r="J369" i="44" s="1"/>
  <c r="F368" i="44"/>
  <c r="J368" i="44" s="1"/>
  <c r="F367" i="44"/>
  <c r="J367" i="44" s="1"/>
  <c r="F366" i="44"/>
  <c r="J366" i="44" s="1"/>
  <c r="F365" i="44"/>
  <c r="J365" i="44" s="1"/>
  <c r="J360" i="44"/>
  <c r="J359" i="44"/>
  <c r="J358" i="44"/>
  <c r="J357" i="44"/>
  <c r="J356" i="44"/>
  <c r="J355" i="44"/>
  <c r="J354" i="44"/>
  <c r="J353" i="44"/>
  <c r="J352" i="44"/>
  <c r="J351" i="44"/>
  <c r="F338" i="44"/>
  <c r="F330" i="44"/>
  <c r="F329" i="44"/>
  <c r="F328" i="44"/>
  <c r="F327" i="44"/>
  <c r="F326" i="44"/>
  <c r="F325" i="44"/>
  <c r="F324" i="44"/>
  <c r="F323" i="44"/>
  <c r="F322" i="44"/>
  <c r="G339" i="44"/>
  <c r="J339" i="44" s="1"/>
  <c r="G338" i="44"/>
  <c r="H330" i="44"/>
  <c r="G330" i="44"/>
  <c r="H329" i="44"/>
  <c r="G329" i="44"/>
  <c r="G328" i="44"/>
  <c r="G327" i="44"/>
  <c r="G326" i="44"/>
  <c r="G325" i="44"/>
  <c r="G324" i="44"/>
  <c r="H321" i="44"/>
  <c r="H322" i="44"/>
  <c r="G322" i="44"/>
  <c r="G323" i="44"/>
  <c r="F321" i="44"/>
  <c r="G321" i="44"/>
  <c r="G313" i="44"/>
  <c r="J313" i="44" s="1"/>
  <c r="G312" i="44"/>
  <c r="J312" i="44" s="1"/>
  <c r="G311" i="44"/>
  <c r="J311" i="44" s="1"/>
  <c r="G306" i="44"/>
  <c r="J306" i="44" s="1"/>
  <c r="G305" i="44"/>
  <c r="J305" i="44" s="1"/>
  <c r="G304" i="44"/>
  <c r="J304" i="44" s="1"/>
  <c r="E309" i="44"/>
  <c r="D309" i="44"/>
  <c r="A309" i="44"/>
  <c r="I314" i="44" s="1"/>
  <c r="E302" i="44"/>
  <c r="D302" i="44"/>
  <c r="A302" i="44"/>
  <c r="I307" i="44" s="1"/>
  <c r="H43" i="45"/>
  <c r="H42" i="45"/>
  <c r="G299" i="44"/>
  <c r="J299" i="44" s="1"/>
  <c r="G298" i="44"/>
  <c r="J298" i="44" s="1"/>
  <c r="E296" i="44"/>
  <c r="D296" i="44"/>
  <c r="A296" i="44"/>
  <c r="I300" i="44" s="1"/>
  <c r="H41" i="45"/>
  <c r="G283" i="44"/>
  <c r="G282" i="44"/>
  <c r="G281" i="44"/>
  <c r="J281" i="44" s="1"/>
  <c r="G280" i="44"/>
  <c r="J280" i="44" s="1"/>
  <c r="G279" i="44"/>
  <c r="G293" i="44"/>
  <c r="J293" i="44" s="1"/>
  <c r="J294" i="44" s="1"/>
  <c r="F40" i="45" s="1"/>
  <c r="E291" i="44"/>
  <c r="D291" i="44"/>
  <c r="A291" i="44"/>
  <c r="I294" i="44" s="1"/>
  <c r="H40" i="45"/>
  <c r="G274" i="44"/>
  <c r="J274" i="44" s="1"/>
  <c r="F39" i="44"/>
  <c r="J39" i="44" s="1"/>
  <c r="G271" i="44"/>
  <c r="J271" i="44" s="1"/>
  <c r="G270" i="44"/>
  <c r="J270" i="44" s="1"/>
  <c r="G273" i="44"/>
  <c r="J273" i="44" s="1"/>
  <c r="G272" i="44"/>
  <c r="J272" i="44" s="1"/>
  <c r="G269" i="44"/>
  <c r="J269" i="44" s="1"/>
  <c r="G267" i="44"/>
  <c r="J267" i="44" s="1"/>
  <c r="F232" i="44"/>
  <c r="J232" i="44" s="1"/>
  <c r="H231" i="44"/>
  <c r="G266" i="44"/>
  <c r="J266" i="44" s="1"/>
  <c r="J268" i="44"/>
  <c r="G189" i="44"/>
  <c r="J189" i="44" s="1"/>
  <c r="J258" i="44"/>
  <c r="J257" i="44"/>
  <c r="J256" i="44"/>
  <c r="J255" i="44"/>
  <c r="J254" i="44"/>
  <c r="J253" i="44"/>
  <c r="J252" i="44"/>
  <c r="H251" i="44"/>
  <c r="J251" i="44" s="1"/>
  <c r="J250" i="44"/>
  <c r="J249" i="44"/>
  <c r="J247" i="44"/>
  <c r="J238" i="44"/>
  <c r="J236" i="44"/>
  <c r="J235" i="44"/>
  <c r="J234" i="44"/>
  <c r="J233" i="44"/>
  <c r="F231" i="44"/>
  <c r="J230" i="44"/>
  <c r="J229" i="44"/>
  <c r="J227" i="44"/>
  <c r="H226" i="44"/>
  <c r="J226" i="44" s="1"/>
  <c r="J207" i="44"/>
  <c r="J212" i="44"/>
  <c r="J214" i="44"/>
  <c r="J215" i="44"/>
  <c r="J216" i="44"/>
  <c r="H209" i="44"/>
  <c r="J205" i="44"/>
  <c r="H204" i="44"/>
  <c r="J204" i="44" s="1"/>
  <c r="J184" i="44"/>
  <c r="H183" i="44"/>
  <c r="G183" i="44"/>
  <c r="J213" i="44"/>
  <c r="J211" i="44"/>
  <c r="J210" i="44"/>
  <c r="F209" i="44"/>
  <c r="J208" i="44"/>
  <c r="G196" i="44"/>
  <c r="J196" i="44" s="1"/>
  <c r="G194" i="44"/>
  <c r="J194" i="44" s="1"/>
  <c r="G193" i="44"/>
  <c r="J193" i="44" s="1"/>
  <c r="J192" i="44"/>
  <c r="G191" i="44"/>
  <c r="J191" i="44" s="1"/>
  <c r="H188" i="44"/>
  <c r="G188" i="44"/>
  <c r="F188" i="44"/>
  <c r="G186" i="44"/>
  <c r="J186" i="44" s="1"/>
  <c r="J187" i="44"/>
  <c r="J190" i="44"/>
  <c r="E171" i="44"/>
  <c r="D171" i="44"/>
  <c r="A171" i="44"/>
  <c r="I175" i="44" s="1"/>
  <c r="J163" i="44"/>
  <c r="G146" i="44"/>
  <c r="H31" i="45"/>
  <c r="J132" i="44"/>
  <c r="J131" i="44"/>
  <c r="J120" i="44"/>
  <c r="J112" i="44"/>
  <c r="J121" i="44"/>
  <c r="J113" i="44"/>
  <c r="E166" i="44"/>
  <c r="D166" i="44"/>
  <c r="A166" i="44"/>
  <c r="I169" i="44" s="1"/>
  <c r="H30" i="45"/>
  <c r="J161" i="44"/>
  <c r="J162" i="44"/>
  <c r="I160" i="44"/>
  <c r="E158" i="44"/>
  <c r="D158" i="44"/>
  <c r="A158" i="44"/>
  <c r="I164" i="44" s="1"/>
  <c r="D156" i="44"/>
  <c r="A156" i="44"/>
  <c r="H29" i="45"/>
  <c r="G145" i="44"/>
  <c r="G138" i="44"/>
  <c r="J130" i="44"/>
  <c r="E143" i="44"/>
  <c r="D143" i="44"/>
  <c r="A143" i="44"/>
  <c r="I147" i="44" s="1"/>
  <c r="E136" i="44"/>
  <c r="D136" i="44"/>
  <c r="A136" i="44"/>
  <c r="I141" i="44" s="1"/>
  <c r="J168" i="44" s="1"/>
  <c r="J169" i="44" s="1"/>
  <c r="F30" i="45" s="1"/>
  <c r="E126" i="44"/>
  <c r="D126" i="44"/>
  <c r="A126" i="44"/>
  <c r="I134" i="44" s="1"/>
  <c r="D124" i="44"/>
  <c r="A124" i="44"/>
  <c r="J129" i="44"/>
  <c r="H26" i="45"/>
  <c r="H25" i="45"/>
  <c r="H24" i="45"/>
  <c r="J119" i="44"/>
  <c r="J111" i="44"/>
  <c r="E116" i="44"/>
  <c r="D116" i="44"/>
  <c r="A116" i="44"/>
  <c r="I122" i="44" s="1"/>
  <c r="H22" i="45"/>
  <c r="J553" i="44" l="1"/>
  <c r="F72" i="45" s="1"/>
  <c r="I72" i="45" s="1"/>
  <c r="J684" i="44"/>
  <c r="F93" i="45" s="1"/>
  <c r="J548" i="44"/>
  <c r="F71" i="45" s="1"/>
  <c r="I71" i="45" s="1"/>
  <c r="G21" i="50"/>
  <c r="G13" i="50" s="1"/>
  <c r="G93" i="45" s="1"/>
  <c r="H93" i="45" s="1"/>
  <c r="L383" i="50"/>
  <c r="J678" i="44"/>
  <c r="F92" i="45" s="1"/>
  <c r="I92" i="45" s="1"/>
  <c r="J672" i="44"/>
  <c r="F91" i="45" s="1"/>
  <c r="I91" i="45" s="1"/>
  <c r="J666" i="44"/>
  <c r="F90" i="45" s="1"/>
  <c r="I90" i="45" s="1"/>
  <c r="I89" i="45"/>
  <c r="J655" i="44"/>
  <c r="F88" i="45" s="1"/>
  <c r="I88" i="45" s="1"/>
  <c r="J639" i="44"/>
  <c r="F85" i="45" s="1"/>
  <c r="I85" i="45" s="1"/>
  <c r="I87" i="45"/>
  <c r="I86" i="45"/>
  <c r="J632" i="44"/>
  <c r="F84" i="45" s="1"/>
  <c r="I84" i="45" s="1"/>
  <c r="J626" i="44"/>
  <c r="F83" i="45" s="1"/>
  <c r="I83" i="45" s="1"/>
  <c r="J620" i="44"/>
  <c r="F82" i="45" s="1"/>
  <c r="I82" i="45" s="1"/>
  <c r="J612" i="44"/>
  <c r="F81" i="45" s="1"/>
  <c r="I81" i="45" s="1"/>
  <c r="J535" i="44"/>
  <c r="F69" i="45" s="1"/>
  <c r="I69" i="45" s="1"/>
  <c r="I68" i="45" s="1"/>
  <c r="C24" i="47" s="1"/>
  <c r="C25" i="31" s="1"/>
  <c r="K25" i="31" s="1"/>
  <c r="J419" i="44"/>
  <c r="F53" i="45" s="1"/>
  <c r="J510" i="44"/>
  <c r="F66" i="45" s="1"/>
  <c r="I66" i="45" s="1"/>
  <c r="J245" i="44"/>
  <c r="J260" i="44" s="1"/>
  <c r="J499" i="44"/>
  <c r="F64" i="45" s="1"/>
  <c r="I64" i="45" s="1"/>
  <c r="J504" i="44"/>
  <c r="F65" i="45" s="1"/>
  <c r="I65" i="45" s="1"/>
  <c r="J491" i="44"/>
  <c r="F63" i="45" s="1"/>
  <c r="I63" i="45" s="1"/>
  <c r="J394" i="44"/>
  <c r="J325" i="44"/>
  <c r="J324" i="44"/>
  <c r="J338" i="44"/>
  <c r="J326" i="44"/>
  <c r="J328" i="44"/>
  <c r="J327" i="44"/>
  <c r="J323" i="44"/>
  <c r="J322" i="44"/>
  <c r="J329" i="44"/>
  <c r="J321" i="44"/>
  <c r="J314" i="44"/>
  <c r="F43" i="45" s="1"/>
  <c r="I43" i="45" s="1"/>
  <c r="J307" i="44"/>
  <c r="F42" i="45" s="1"/>
  <c r="I42" i="45" s="1"/>
  <c r="J300" i="44"/>
  <c r="F41" i="45" s="1"/>
  <c r="I41" i="45" s="1"/>
  <c r="I40" i="45"/>
  <c r="J231" i="44"/>
  <c r="J183" i="44"/>
  <c r="J209" i="44"/>
  <c r="J188" i="44"/>
  <c r="F146" i="44"/>
  <c r="F173" i="44" s="1"/>
  <c r="J173" i="44" s="1"/>
  <c r="I30" i="45"/>
  <c r="J160" i="44"/>
  <c r="I70" i="45" l="1"/>
  <c r="C26" i="47" s="1"/>
  <c r="C27" i="31" s="1"/>
  <c r="I93" i="45"/>
  <c r="J377" i="44"/>
  <c r="J164" i="44"/>
  <c r="F29" i="45" s="1"/>
  <c r="I29" i="45" s="1"/>
  <c r="O27" i="31" l="1"/>
  <c r="M27" i="31"/>
  <c r="E108" i="44"/>
  <c r="D108" i="44"/>
  <c r="A108" i="44"/>
  <c r="I114" i="44" s="1"/>
  <c r="D106" i="44"/>
  <c r="A106" i="44"/>
  <c r="F30" i="44"/>
  <c r="J335" i="44" s="1"/>
  <c r="J340" i="44" s="1"/>
  <c r="J70" i="44"/>
  <c r="H22" i="44"/>
  <c r="J22" i="44" s="1"/>
  <c r="J64" i="44"/>
  <c r="J65" i="44"/>
  <c r="J66" i="44"/>
  <c r="J67" i="44"/>
  <c r="J68" i="44"/>
  <c r="J69" i="44"/>
  <c r="F56" i="44"/>
  <c r="J56" i="44" s="1"/>
  <c r="J50" i="44"/>
  <c r="F47" i="44"/>
  <c r="J48" i="44"/>
  <c r="J49" i="44"/>
  <c r="J51" i="44"/>
  <c r="F46" i="44"/>
  <c r="F45" i="44"/>
  <c r="J45" i="44" s="1"/>
  <c r="F44" i="44"/>
  <c r="J44" i="44" s="1"/>
  <c r="E73" i="44"/>
  <c r="D73" i="44"/>
  <c r="A73" i="44"/>
  <c r="I76" i="44" s="1"/>
  <c r="E61" i="44"/>
  <c r="D61" i="44"/>
  <c r="A61" i="44"/>
  <c r="I71" i="44" s="1"/>
  <c r="J75" i="44"/>
  <c r="J63" i="44"/>
  <c r="H16" i="45"/>
  <c r="H15" i="45"/>
  <c r="E54" i="44"/>
  <c r="D54" i="44"/>
  <c r="A54" i="44"/>
  <c r="I59" i="44" s="1"/>
  <c r="E42" i="44"/>
  <c r="D42" i="44"/>
  <c r="A42" i="44"/>
  <c r="I52" i="44" s="1"/>
  <c r="J58" i="44"/>
  <c r="J57" i="44"/>
  <c r="H13" i="45"/>
  <c r="H14" i="45"/>
  <c r="J38" i="44"/>
  <c r="F37" i="44"/>
  <c r="F36" i="44"/>
  <c r="F35" i="44"/>
  <c r="J20" i="44"/>
  <c r="J21" i="44"/>
  <c r="J23" i="44"/>
  <c r="J24" i="44"/>
  <c r="J25" i="44"/>
  <c r="J27" i="44"/>
  <c r="J28" i="44"/>
  <c r="J29" i="44"/>
  <c r="F26" i="44"/>
  <c r="J26" i="44" s="1"/>
  <c r="F19" i="44"/>
  <c r="J19" i="44" s="1"/>
  <c r="H21" i="45"/>
  <c r="E791" i="44"/>
  <c r="D791" i="44"/>
  <c r="A791" i="44"/>
  <c r="I811" i="44" s="1"/>
  <c r="E775" i="44"/>
  <c r="D775" i="44"/>
  <c r="A775" i="44"/>
  <c r="I789" i="44" s="1"/>
  <c r="E767" i="44"/>
  <c r="D767" i="44"/>
  <c r="A767" i="44"/>
  <c r="I773" i="44" s="1"/>
  <c r="J785" i="44"/>
  <c r="J789" i="44" s="1"/>
  <c r="J769" i="44"/>
  <c r="J773" i="44" s="1"/>
  <c r="H104" i="45"/>
  <c r="H105" i="45"/>
  <c r="H106" i="45"/>
  <c r="E478" i="44"/>
  <c r="D478" i="44"/>
  <c r="A478" i="44"/>
  <c r="I482" i="44" s="1"/>
  <c r="J480" i="44"/>
  <c r="H62" i="45"/>
  <c r="H53" i="45"/>
  <c r="B32" i="47"/>
  <c r="B33" i="31" s="1"/>
  <c r="A32" i="47"/>
  <c r="A33" i="31" s="1"/>
  <c r="B22" i="47"/>
  <c r="B23" i="31" s="1"/>
  <c r="A22" i="47"/>
  <c r="A23" i="31" s="1"/>
  <c r="B20" i="47"/>
  <c r="B21" i="31" s="1"/>
  <c r="A20" i="47"/>
  <c r="A21" i="31" s="1"/>
  <c r="B18" i="47"/>
  <c r="B19" i="31" s="1"/>
  <c r="A18" i="47"/>
  <c r="A19" i="31" s="1"/>
  <c r="B10" i="47"/>
  <c r="B11" i="31" s="1"/>
  <c r="A10" i="47"/>
  <c r="A11" i="31" s="1"/>
  <c r="A1" i="31"/>
  <c r="A1" i="47" s="1"/>
  <c r="A1" i="44"/>
  <c r="J399" i="44"/>
  <c r="J440" i="44"/>
  <c r="E450" i="44"/>
  <c r="D450" i="44"/>
  <c r="A450" i="44"/>
  <c r="I455" i="44" s="1"/>
  <c r="J452" i="44"/>
  <c r="H58" i="45"/>
  <c r="E463" i="44"/>
  <c r="D463" i="44"/>
  <c r="A463" i="44"/>
  <c r="I467" i="44" s="1"/>
  <c r="E469" i="44"/>
  <c r="D469" i="44"/>
  <c r="A469" i="44"/>
  <c r="I476" i="44" s="1"/>
  <c r="J471" i="44"/>
  <c r="J476" i="44" s="1"/>
  <c r="H60" i="45"/>
  <c r="J465" i="44"/>
  <c r="H61" i="45"/>
  <c r="E403" i="44"/>
  <c r="D403" i="44"/>
  <c r="A403" i="44"/>
  <c r="I408" i="44" s="1"/>
  <c r="J405" i="44"/>
  <c r="J279" i="44"/>
  <c r="E33" i="44"/>
  <c r="D33" i="44"/>
  <c r="A33" i="44"/>
  <c r="I40" i="44" s="1"/>
  <c r="H12" i="45"/>
  <c r="J764" i="44"/>
  <c r="J754" i="44"/>
  <c r="J760" i="44" s="1"/>
  <c r="J599" i="44"/>
  <c r="J604" i="44" s="1"/>
  <c r="E286" i="44"/>
  <c r="D286" i="44"/>
  <c r="A286" i="44"/>
  <c r="I289" i="44" s="1"/>
  <c r="H39" i="45"/>
  <c r="E277" i="44"/>
  <c r="D277" i="44"/>
  <c r="A277" i="44"/>
  <c r="I284" i="44" s="1"/>
  <c r="H38" i="45"/>
  <c r="J459" i="44"/>
  <c r="J461" i="44" s="1"/>
  <c r="J447" i="44"/>
  <c r="J439" i="44"/>
  <c r="H52" i="45"/>
  <c r="E762" i="44"/>
  <c r="D762" i="44"/>
  <c r="A762" i="44"/>
  <c r="I765" i="44" s="1"/>
  <c r="E752" i="44"/>
  <c r="D752" i="44"/>
  <c r="A752" i="44"/>
  <c r="I760" i="44" s="1"/>
  <c r="D750" i="44"/>
  <c r="A750" i="44"/>
  <c r="E597" i="44"/>
  <c r="D597" i="44"/>
  <c r="A597" i="44"/>
  <c r="I604" i="44" s="1"/>
  <c r="D595" i="44"/>
  <c r="A595" i="44"/>
  <c r="E457" i="44"/>
  <c r="D457" i="44"/>
  <c r="A457" i="44"/>
  <c r="I461" i="44" s="1"/>
  <c r="E443" i="44"/>
  <c r="D443" i="44"/>
  <c r="A443" i="44"/>
  <c r="I448" i="44" s="1"/>
  <c r="E428" i="44"/>
  <c r="D428" i="44"/>
  <c r="A428" i="44"/>
  <c r="I441" i="44" s="1"/>
  <c r="E396" i="44"/>
  <c r="D396" i="44"/>
  <c r="A396" i="44"/>
  <c r="I401" i="44" s="1"/>
  <c r="E379" i="44"/>
  <c r="D379" i="44"/>
  <c r="A379" i="44"/>
  <c r="I394" i="44" s="1"/>
  <c r="E363" i="44"/>
  <c r="D363" i="44"/>
  <c r="A363" i="44"/>
  <c r="I377" i="44" s="1"/>
  <c r="E348" i="44"/>
  <c r="D348" i="44"/>
  <c r="A348" i="44"/>
  <c r="I361" i="44" s="1"/>
  <c r="E342" i="44"/>
  <c r="D342" i="44"/>
  <c r="A342" i="44"/>
  <c r="I346" i="44" s="1"/>
  <c r="E333" i="44"/>
  <c r="D333" i="44"/>
  <c r="A333" i="44"/>
  <c r="I340" i="44" s="1"/>
  <c r="J398" i="44"/>
  <c r="E318" i="44"/>
  <c r="D318" i="44"/>
  <c r="A318" i="44"/>
  <c r="I331" i="44" s="1"/>
  <c r="E262" i="44"/>
  <c r="D262" i="44"/>
  <c r="A262" i="44"/>
  <c r="I275" i="44" s="1"/>
  <c r="E243" i="44"/>
  <c r="D243" i="44"/>
  <c r="A243" i="44"/>
  <c r="I260" i="44" s="1"/>
  <c r="E222" i="44"/>
  <c r="D222" i="44"/>
  <c r="A222" i="44"/>
  <c r="I241" i="44" s="1"/>
  <c r="E200" i="44"/>
  <c r="D200" i="44"/>
  <c r="A200" i="44"/>
  <c r="I220" i="44" s="1"/>
  <c r="E179" i="44"/>
  <c r="D179" i="44"/>
  <c r="A179" i="44"/>
  <c r="I198" i="44" s="1"/>
  <c r="D177" i="44"/>
  <c r="A177" i="44"/>
  <c r="E17" i="44"/>
  <c r="D17" i="44"/>
  <c r="A17" i="44"/>
  <c r="I31" i="44" s="1"/>
  <c r="E12" i="44"/>
  <c r="D12" i="44"/>
  <c r="A12" i="44"/>
  <c r="I15" i="44" s="1"/>
  <c r="D10" i="44"/>
  <c r="A10" i="44"/>
  <c r="H103" i="45"/>
  <c r="H102" i="45"/>
  <c r="H80" i="45"/>
  <c r="H51" i="45"/>
  <c r="H50" i="45"/>
  <c r="H49" i="45"/>
  <c r="H48" i="45"/>
  <c r="H47" i="45"/>
  <c r="H46" i="45"/>
  <c r="H11" i="45"/>
  <c r="J482" i="44" l="1"/>
  <c r="F62" i="45" s="1"/>
  <c r="I62" i="45" s="1"/>
  <c r="J401" i="44"/>
  <c r="J441" i="44"/>
  <c r="J467" i="44"/>
  <c r="F60" i="45" s="1"/>
  <c r="I60" i="45" s="1"/>
  <c r="J455" i="44"/>
  <c r="F58" i="45" s="1"/>
  <c r="I58" i="45" s="1"/>
  <c r="J448" i="44"/>
  <c r="F57" i="45" s="1"/>
  <c r="J35" i="44"/>
  <c r="G265" i="44"/>
  <c r="J265" i="44" s="1"/>
  <c r="J275" i="44" s="1"/>
  <c r="J47" i="44"/>
  <c r="J202" i="44"/>
  <c r="J30" i="44"/>
  <c r="J31" i="44" s="1"/>
  <c r="F11" i="45" s="1"/>
  <c r="I11" i="45" s="1"/>
  <c r="J181" i="44"/>
  <c r="J46" i="44"/>
  <c r="J37" i="44"/>
  <c r="J36" i="44"/>
  <c r="F110" i="44"/>
  <c r="F118" i="44" s="1"/>
  <c r="J71" i="44"/>
  <c r="F15" i="45" s="1"/>
  <c r="I15" i="45" s="1"/>
  <c r="J76" i="44"/>
  <c r="F16" i="45" s="1"/>
  <c r="I16" i="45" s="1"/>
  <c r="J59" i="44"/>
  <c r="F14" i="45" s="1"/>
  <c r="I14" i="45" s="1"/>
  <c r="F106" i="45"/>
  <c r="I106" i="45" s="1"/>
  <c r="F105" i="45"/>
  <c r="I105" i="45" s="1"/>
  <c r="F104" i="45"/>
  <c r="I104" i="45" s="1"/>
  <c r="I53" i="45"/>
  <c r="J408" i="44"/>
  <c r="F52" i="45" s="1"/>
  <c r="I52" i="45" s="1"/>
  <c r="F51" i="45"/>
  <c r="I51" i="45" s="1"/>
  <c r="F50" i="45"/>
  <c r="I50" i="45" s="1"/>
  <c r="F49" i="45"/>
  <c r="I49" i="45" s="1"/>
  <c r="J345" i="44"/>
  <c r="F46" i="45"/>
  <c r="I46" i="45" s="1"/>
  <c r="J344" i="44"/>
  <c r="J330" i="44"/>
  <c r="J331" i="44" s="1"/>
  <c r="G288" i="44" s="1"/>
  <c r="G197" i="44" s="1"/>
  <c r="J765" i="44"/>
  <c r="F103" i="45" s="1"/>
  <c r="I103" i="45" s="1"/>
  <c r="F102" i="45"/>
  <c r="I102" i="45" s="1"/>
  <c r="F80" i="45"/>
  <c r="I80" i="45" s="1"/>
  <c r="I79" i="45" s="1"/>
  <c r="C28" i="47" s="1"/>
  <c r="C29" i="31" s="1"/>
  <c r="J284" i="44"/>
  <c r="F38" i="45" s="1"/>
  <c r="I38" i="45" s="1"/>
  <c r="F59" i="45"/>
  <c r="I101" i="45" l="1"/>
  <c r="K29" i="31"/>
  <c r="O29" i="31"/>
  <c r="J361" i="44"/>
  <c r="F48" i="45" s="1"/>
  <c r="I48" i="45" s="1"/>
  <c r="J197" i="44"/>
  <c r="J198" i="44" s="1"/>
  <c r="G218" i="44"/>
  <c r="J118" i="44"/>
  <c r="J122" i="44" s="1"/>
  <c r="F22" i="45" s="1"/>
  <c r="I22" i="45" s="1"/>
  <c r="J40" i="44"/>
  <c r="F12" i="45" s="1"/>
  <c r="I12" i="45" s="1"/>
  <c r="F37" i="45"/>
  <c r="J52" i="44"/>
  <c r="F13" i="45" s="1"/>
  <c r="I13" i="45" s="1"/>
  <c r="J110" i="44"/>
  <c r="F128" i="44"/>
  <c r="F152" i="44" s="1"/>
  <c r="F36" i="45"/>
  <c r="J346" i="44"/>
  <c r="F47" i="45" s="1"/>
  <c r="I47" i="45" s="1"/>
  <c r="J218" i="44" l="1"/>
  <c r="J220" i="44" s="1"/>
  <c r="G239" i="44"/>
  <c r="J239" i="44" s="1"/>
  <c r="J241" i="44" s="1"/>
  <c r="J128" i="44"/>
  <c r="F145" i="44"/>
  <c r="J152" i="44" s="1"/>
  <c r="F138" i="44"/>
  <c r="F174" i="44" s="1"/>
  <c r="J174" i="44" s="1"/>
  <c r="J175" i="44" s="1"/>
  <c r="F31" i="45" s="1"/>
  <c r="I31" i="45" s="1"/>
  <c r="I28" i="45" s="1"/>
  <c r="C16" i="47" s="1"/>
  <c r="C17" i="31" s="1"/>
  <c r="I17" i="31" s="1"/>
  <c r="C32" i="47"/>
  <c r="F45" i="45"/>
  <c r="J288" i="44"/>
  <c r="J289" i="44" s="1"/>
  <c r="J114" i="44" s="1"/>
  <c r="F21" i="45" s="1"/>
  <c r="I21" i="45" s="1"/>
  <c r="I20" i="45" s="1"/>
  <c r="C12" i="47" s="1"/>
  <c r="C13" i="31" s="1"/>
  <c r="G13" i="31" s="1"/>
  <c r="C33" i="31" l="1"/>
  <c r="J154" i="44"/>
  <c r="F27" i="45" s="1"/>
  <c r="I27" i="45" s="1"/>
  <c r="J145" i="44"/>
  <c r="J146" i="44"/>
  <c r="J138" i="44"/>
  <c r="J139" i="44"/>
  <c r="J134" i="44"/>
  <c r="F24" i="45" s="1"/>
  <c r="I24" i="45" s="1"/>
  <c r="F39" i="45"/>
  <c r="I39" i="45" s="1"/>
  <c r="F35" i="45"/>
  <c r="F34" i="45"/>
  <c r="F33" i="45"/>
  <c r="A6" i="47"/>
  <c r="A5" i="47"/>
  <c r="A4" i="47"/>
  <c r="I33" i="31" l="1"/>
  <c r="M33" i="31"/>
  <c r="K33" i="31"/>
  <c r="K41" i="31" s="1"/>
  <c r="J141" i="44"/>
  <c r="F25" i="45" s="1"/>
  <c r="I25" i="45" s="1"/>
  <c r="J147" i="44"/>
  <c r="F26" i="45" s="1"/>
  <c r="I26" i="45" s="1"/>
  <c r="B9" i="37"/>
  <c r="B8" i="37"/>
  <c r="B7" i="37"/>
  <c r="A6" i="31"/>
  <c r="A5" i="31"/>
  <c r="A4" i="31"/>
  <c r="A4" i="44"/>
  <c r="A6" i="44"/>
  <c r="A5" i="44"/>
  <c r="I23" i="45" l="1"/>
  <c r="C14" i="47" s="1"/>
  <c r="C15" i="31" s="1"/>
  <c r="G15" i="31" s="1"/>
  <c r="H37" i="45"/>
  <c r="H36" i="45"/>
  <c r="H57" i="45"/>
  <c r="D426" i="44" l="1"/>
  <c r="A426" i="44"/>
  <c r="D316" i="44"/>
  <c r="A316" i="44"/>
  <c r="H59" i="45" l="1"/>
  <c r="H56" i="45"/>
  <c r="F56" i="45"/>
  <c r="I677" i="48"/>
  <c r="J676" i="48"/>
  <c r="J675" i="48"/>
  <c r="J674" i="48"/>
  <c r="J673" i="48"/>
  <c r="J672" i="48"/>
  <c r="J671" i="48"/>
  <c r="J677" i="48" s="1"/>
  <c r="F61" i="49" s="1"/>
  <c r="D670" i="48"/>
  <c r="I669" i="48"/>
  <c r="J657" i="48"/>
  <c r="J658" i="48"/>
  <c r="J659" i="48"/>
  <c r="J660" i="48"/>
  <c r="J661" i="48"/>
  <c r="J662" i="48"/>
  <c r="J663" i="48"/>
  <c r="J664" i="48"/>
  <c r="J665" i="48"/>
  <c r="J666" i="48"/>
  <c r="J667" i="48"/>
  <c r="J668" i="48"/>
  <c r="J656" i="48"/>
  <c r="D654" i="48"/>
  <c r="I653" i="48"/>
  <c r="J652" i="48"/>
  <c r="J651" i="48"/>
  <c r="J650" i="48"/>
  <c r="J649" i="48"/>
  <c r="J648" i="48"/>
  <c r="J647" i="48"/>
  <c r="J646" i="48"/>
  <c r="J645" i="48"/>
  <c r="J644" i="48"/>
  <c r="J643" i="48"/>
  <c r="J642" i="48"/>
  <c r="J641" i="48"/>
  <c r="J640" i="48"/>
  <c r="J639" i="48"/>
  <c r="J638" i="48"/>
  <c r="J637" i="48"/>
  <c r="J636" i="48"/>
  <c r="J635" i="48"/>
  <c r="J633" i="48"/>
  <c r="J632" i="48"/>
  <c r="J631" i="48"/>
  <c r="J630" i="48"/>
  <c r="J629" i="48"/>
  <c r="J628" i="48"/>
  <c r="J626" i="48"/>
  <c r="J625" i="48"/>
  <c r="J624" i="48"/>
  <c r="J623" i="48"/>
  <c r="J622" i="48"/>
  <c r="J621" i="48"/>
  <c r="J620" i="48"/>
  <c r="J619" i="48"/>
  <c r="J618" i="48"/>
  <c r="J617" i="48"/>
  <c r="D615" i="48"/>
  <c r="I614" i="48"/>
  <c r="J613" i="48"/>
  <c r="J612" i="48"/>
  <c r="J611" i="48"/>
  <c r="J610" i="48"/>
  <c r="J609" i="48"/>
  <c r="J608" i="48"/>
  <c r="J607" i="48"/>
  <c r="D606" i="48"/>
  <c r="I604" i="48"/>
  <c r="J603" i="48"/>
  <c r="J602" i="48"/>
  <c r="J601" i="48"/>
  <c r="J600" i="48"/>
  <c r="J599" i="48"/>
  <c r="J598" i="48"/>
  <c r="J597" i="48"/>
  <c r="J596" i="48"/>
  <c r="J595" i="48"/>
  <c r="J594" i="48"/>
  <c r="J593" i="48"/>
  <c r="J588" i="48"/>
  <c r="J589" i="48"/>
  <c r="J590" i="48"/>
  <c r="J591" i="48"/>
  <c r="J592" i="48"/>
  <c r="J587" i="48"/>
  <c r="J586" i="48"/>
  <c r="J584" i="48"/>
  <c r="J583" i="48"/>
  <c r="J579" i="48"/>
  <c r="J580" i="48"/>
  <c r="J581" i="48"/>
  <c r="J582" i="48"/>
  <c r="J577" i="48"/>
  <c r="J576" i="48"/>
  <c r="J575" i="48"/>
  <c r="J574" i="48"/>
  <c r="J573" i="48"/>
  <c r="J572" i="48"/>
  <c r="J569" i="48"/>
  <c r="J570" i="48"/>
  <c r="J571" i="48"/>
  <c r="J568" i="48"/>
  <c r="D566" i="48"/>
  <c r="H61" i="49"/>
  <c r="H60" i="49"/>
  <c r="H59" i="49"/>
  <c r="H58" i="49"/>
  <c r="H57" i="49"/>
  <c r="I563" i="48"/>
  <c r="J562" i="48"/>
  <c r="J561" i="48"/>
  <c r="D560" i="48"/>
  <c r="I559" i="48"/>
  <c r="J557" i="48"/>
  <c r="J558" i="48"/>
  <c r="J556" i="48"/>
  <c r="J555" i="48"/>
  <c r="D553" i="48"/>
  <c r="I552" i="48"/>
  <c r="J551" i="48"/>
  <c r="J550" i="48"/>
  <c r="J549" i="48"/>
  <c r="J548" i="48"/>
  <c r="J546" i="48"/>
  <c r="J545" i="48"/>
  <c r="J544" i="48"/>
  <c r="J543" i="48"/>
  <c r="J542" i="48"/>
  <c r="J541" i="48"/>
  <c r="J539" i="48"/>
  <c r="J538" i="48"/>
  <c r="J537" i="48"/>
  <c r="J536" i="48"/>
  <c r="J535" i="48"/>
  <c r="J534" i="48"/>
  <c r="J533" i="48"/>
  <c r="J532" i="48"/>
  <c r="J531" i="48"/>
  <c r="J530" i="48"/>
  <c r="I529" i="48"/>
  <c r="J529" i="48" s="1"/>
  <c r="J527" i="48"/>
  <c r="J526" i="48"/>
  <c r="D524" i="48"/>
  <c r="I523" i="48"/>
  <c r="J518" i="48"/>
  <c r="J519" i="48"/>
  <c r="J520" i="48"/>
  <c r="J521" i="48"/>
  <c r="J522" i="48"/>
  <c r="J516" i="48"/>
  <c r="J517" i="48"/>
  <c r="J515" i="48"/>
  <c r="J513" i="48"/>
  <c r="J512" i="48"/>
  <c r="D511" i="48"/>
  <c r="I510" i="48"/>
  <c r="J507" i="48"/>
  <c r="J509" i="48"/>
  <c r="J508" i="48"/>
  <c r="J506" i="48"/>
  <c r="J504" i="48"/>
  <c r="J503" i="48"/>
  <c r="J502" i="48"/>
  <c r="J500" i="48"/>
  <c r="J501" i="48"/>
  <c r="J499" i="48"/>
  <c r="J488" i="48"/>
  <c r="J489" i="48"/>
  <c r="J490" i="48"/>
  <c r="J491" i="48"/>
  <c r="J492" i="48"/>
  <c r="J493" i="48"/>
  <c r="J494" i="48"/>
  <c r="J495" i="48"/>
  <c r="J496" i="48"/>
  <c r="J497" i="48"/>
  <c r="J485" i="48"/>
  <c r="J484" i="48"/>
  <c r="I487" i="48"/>
  <c r="J487" i="48" s="1"/>
  <c r="D482" i="48"/>
  <c r="J420" i="48"/>
  <c r="H54" i="49"/>
  <c r="H53" i="49"/>
  <c r="H52" i="49"/>
  <c r="H51" i="49"/>
  <c r="H50" i="49"/>
  <c r="I479" i="48"/>
  <c r="J478" i="48"/>
  <c r="J477" i="48"/>
  <c r="D476" i="48"/>
  <c r="I475" i="48"/>
  <c r="J463" i="48"/>
  <c r="J464" i="48"/>
  <c r="J465" i="48"/>
  <c r="J466" i="48"/>
  <c r="J467" i="48"/>
  <c r="J468" i="48"/>
  <c r="J469" i="48"/>
  <c r="J470" i="48"/>
  <c r="J471" i="48"/>
  <c r="J472" i="48"/>
  <c r="J473" i="48"/>
  <c r="J474" i="48"/>
  <c r="J462" i="48"/>
  <c r="D460" i="48"/>
  <c r="I458" i="48"/>
  <c r="J457" i="48"/>
  <c r="J456" i="48"/>
  <c r="J455" i="48"/>
  <c r="J454" i="48"/>
  <c r="J453" i="48"/>
  <c r="J452" i="48"/>
  <c r="J451" i="48"/>
  <c r="J449" i="48"/>
  <c r="J448" i="48"/>
  <c r="J447" i="48"/>
  <c r="J446" i="48"/>
  <c r="J445" i="48"/>
  <c r="J444" i="48"/>
  <c r="J443" i="48"/>
  <c r="J442" i="48"/>
  <c r="J441" i="48"/>
  <c r="J440" i="48"/>
  <c r="J439" i="48"/>
  <c r="J438" i="48"/>
  <c r="J437" i="48"/>
  <c r="J436" i="48"/>
  <c r="J435" i="48"/>
  <c r="J434" i="48"/>
  <c r="J433" i="48"/>
  <c r="J432" i="48"/>
  <c r="J431" i="48"/>
  <c r="J430" i="48"/>
  <c r="J429" i="48"/>
  <c r="J428" i="48"/>
  <c r="J427" i="48"/>
  <c r="J426" i="48"/>
  <c r="J425" i="48"/>
  <c r="J424" i="48"/>
  <c r="J422" i="48"/>
  <c r="J421" i="48"/>
  <c r="J419" i="48"/>
  <c r="J418" i="48"/>
  <c r="D416" i="48"/>
  <c r="I415" i="48"/>
  <c r="J414" i="48"/>
  <c r="J412" i="48"/>
  <c r="J413" i="48"/>
  <c r="J411" i="48"/>
  <c r="D410" i="48"/>
  <c r="I409" i="48"/>
  <c r="J403" i="48"/>
  <c r="J405" i="48"/>
  <c r="J406" i="48"/>
  <c r="J407" i="48"/>
  <c r="J408" i="48"/>
  <c r="J404" i="48"/>
  <c r="J402" i="48"/>
  <c r="J400" i="48"/>
  <c r="J395" i="48"/>
  <c r="J396" i="48"/>
  <c r="J397" i="48"/>
  <c r="J398" i="48"/>
  <c r="J399" i="48"/>
  <c r="J390" i="48"/>
  <c r="J391" i="48"/>
  <c r="J392" i="48"/>
  <c r="J393" i="48"/>
  <c r="J394" i="48"/>
  <c r="J389" i="48"/>
  <c r="J388" i="48"/>
  <c r="J386" i="48"/>
  <c r="J387" i="48"/>
  <c r="J376" i="48"/>
  <c r="J377" i="48"/>
  <c r="J378" i="48"/>
  <c r="J379" i="48"/>
  <c r="J380" i="48"/>
  <c r="J381" i="48"/>
  <c r="J382" i="48"/>
  <c r="J383" i="48"/>
  <c r="J384" i="48"/>
  <c r="J385" i="48"/>
  <c r="J375" i="48"/>
  <c r="J372" i="48"/>
  <c r="J373" i="48"/>
  <c r="J371" i="48"/>
  <c r="J370" i="48"/>
  <c r="D368" i="48"/>
  <c r="J669" i="48" l="1"/>
  <c r="F60" i="49" s="1"/>
  <c r="I60" i="49" s="1"/>
  <c r="I56" i="45"/>
  <c r="J653" i="48"/>
  <c r="F59" i="49" s="1"/>
  <c r="J614" i="48"/>
  <c r="F58" i="49" s="1"/>
  <c r="I58" i="49" s="1"/>
  <c r="J559" i="48"/>
  <c r="F53" i="49" s="1"/>
  <c r="I53" i="49" s="1"/>
  <c r="J563" i="48"/>
  <c r="F54" i="49" s="1"/>
  <c r="I54" i="49" s="1"/>
  <c r="J604" i="48"/>
  <c r="F57" i="49" s="1"/>
  <c r="I57" i="49" s="1"/>
  <c r="I61" i="49"/>
  <c r="J552" i="48"/>
  <c r="F52" i="49" s="1"/>
  <c r="I52" i="49" s="1"/>
  <c r="J523" i="48"/>
  <c r="F51" i="49" s="1"/>
  <c r="I51" i="49" s="1"/>
  <c r="J510" i="48"/>
  <c r="F50" i="49" s="1"/>
  <c r="I50" i="49" s="1"/>
  <c r="J415" i="48"/>
  <c r="F44" i="49" s="1"/>
  <c r="J479" i="48"/>
  <c r="F47" i="49" s="1"/>
  <c r="J475" i="48"/>
  <c r="F46" i="49" s="1"/>
  <c r="J458" i="48"/>
  <c r="F45" i="49" s="1"/>
  <c r="J409" i="48"/>
  <c r="F43" i="49" s="1"/>
  <c r="F37" i="49"/>
  <c r="H47" i="49"/>
  <c r="H46" i="49"/>
  <c r="H45" i="49"/>
  <c r="H44" i="49"/>
  <c r="H43" i="49"/>
  <c r="I365" i="48"/>
  <c r="J364" i="48"/>
  <c r="J363" i="48"/>
  <c r="J362" i="48"/>
  <c r="I360" i="48"/>
  <c r="D361" i="48"/>
  <c r="J346" i="48"/>
  <c r="J347" i="48"/>
  <c r="J348" i="48"/>
  <c r="J349" i="48"/>
  <c r="J350" i="48"/>
  <c r="J351" i="48"/>
  <c r="J352" i="48"/>
  <c r="J353" i="48"/>
  <c r="J354" i="48"/>
  <c r="J355" i="48"/>
  <c r="J356" i="48"/>
  <c r="J357" i="48"/>
  <c r="J358" i="48"/>
  <c r="J359" i="48"/>
  <c r="J345" i="48"/>
  <c r="J344" i="48"/>
  <c r="J343" i="48"/>
  <c r="D341" i="48"/>
  <c r="I338" i="48"/>
  <c r="J337" i="48"/>
  <c r="J336" i="48"/>
  <c r="J335" i="48"/>
  <c r="J334" i="48"/>
  <c r="K332" i="48" s="1"/>
  <c r="J333" i="48"/>
  <c r="J331" i="48"/>
  <c r="J330" i="48"/>
  <c r="K328" i="48" s="1"/>
  <c r="J329" i="48"/>
  <c r="J328" i="48"/>
  <c r="J327" i="48"/>
  <c r="J326" i="48"/>
  <c r="J325" i="48"/>
  <c r="J324" i="48"/>
  <c r="K322" i="48" s="1"/>
  <c r="J323" i="48"/>
  <c r="J322" i="48"/>
  <c r="J321" i="48"/>
  <c r="J320" i="48"/>
  <c r="K314" i="48" s="1"/>
  <c r="J319" i="48"/>
  <c r="J318" i="48"/>
  <c r="J317" i="48"/>
  <c r="J316" i="48"/>
  <c r="J315" i="48"/>
  <c r="J314" i="48"/>
  <c r="J313" i="48"/>
  <c r="J312" i="48"/>
  <c r="J311" i="48"/>
  <c r="J310" i="48"/>
  <c r="K307" i="48" s="1"/>
  <c r="J309" i="48"/>
  <c r="J308" i="48"/>
  <c r="J307" i="48"/>
  <c r="J306" i="48"/>
  <c r="J305" i="48"/>
  <c r="K302" i="48" s="1"/>
  <c r="J304" i="48"/>
  <c r="J303" i="48"/>
  <c r="J302" i="48"/>
  <c r="J301" i="48"/>
  <c r="J300" i="48"/>
  <c r="K297" i="48" s="1"/>
  <c r="J299" i="48"/>
  <c r="D297" i="48"/>
  <c r="I294" i="48"/>
  <c r="J289" i="48"/>
  <c r="K287" i="48" s="1"/>
  <c r="J290" i="48"/>
  <c r="J291" i="48"/>
  <c r="J292" i="48"/>
  <c r="J293" i="48"/>
  <c r="K291" i="48" s="1"/>
  <c r="J288" i="48"/>
  <c r="D287" i="48"/>
  <c r="I285" i="48"/>
  <c r="J284" i="48"/>
  <c r="J283" i="48"/>
  <c r="J282" i="48"/>
  <c r="K272" i="48" s="1"/>
  <c r="J281" i="48"/>
  <c r="J280" i="48"/>
  <c r="J278" i="48"/>
  <c r="J277" i="48"/>
  <c r="J276" i="48"/>
  <c r="J246" i="48"/>
  <c r="J247" i="48"/>
  <c r="J248" i="48"/>
  <c r="J249" i="48"/>
  <c r="J250" i="48"/>
  <c r="J251" i="48"/>
  <c r="K244" i="48" s="1"/>
  <c r="J252" i="48"/>
  <c r="J253" i="48"/>
  <c r="J254" i="48"/>
  <c r="J255" i="48"/>
  <c r="J256" i="48"/>
  <c r="J257" i="48"/>
  <c r="J258" i="48"/>
  <c r="J260" i="48"/>
  <c r="J261" i="48"/>
  <c r="J262" i="48"/>
  <c r="J263" i="48"/>
  <c r="J264" i="48"/>
  <c r="K260" i="48" s="1"/>
  <c r="J265" i="48"/>
  <c r="J266" i="48"/>
  <c r="J267" i="48"/>
  <c r="J268" i="48"/>
  <c r="J269" i="48"/>
  <c r="J270" i="48"/>
  <c r="K266" i="48" s="1"/>
  <c r="J271" i="48"/>
  <c r="J272" i="48"/>
  <c r="J273" i="48"/>
  <c r="J274" i="48"/>
  <c r="J275" i="48"/>
  <c r="J259" i="48"/>
  <c r="D244" i="48"/>
  <c r="H40" i="49"/>
  <c r="H39" i="49"/>
  <c r="H38" i="49"/>
  <c r="H37" i="49"/>
  <c r="H36" i="49"/>
  <c r="H30" i="49"/>
  <c r="H31" i="49"/>
  <c r="H32" i="49"/>
  <c r="I241" i="48"/>
  <c r="J240" i="48"/>
  <c r="J239" i="48"/>
  <c r="J238" i="48"/>
  <c r="J237" i="48"/>
  <c r="D236" i="48"/>
  <c r="I234" i="48"/>
  <c r="J233" i="48"/>
  <c r="J234" i="48" s="1"/>
  <c r="F31" i="49" s="1"/>
  <c r="D232" i="48"/>
  <c r="I230" i="48"/>
  <c r="J229" i="48"/>
  <c r="J228" i="48"/>
  <c r="J227" i="48"/>
  <c r="J226" i="48"/>
  <c r="J225" i="48"/>
  <c r="J224" i="48"/>
  <c r="J223" i="48"/>
  <c r="J222" i="48"/>
  <c r="J221" i="48"/>
  <c r="J220" i="48"/>
  <c r="D218" i="48"/>
  <c r="I216" i="48"/>
  <c r="J215" i="48"/>
  <c r="J216" i="48" s="1"/>
  <c r="F29" i="49" s="1"/>
  <c r="D214" i="48"/>
  <c r="I213" i="48"/>
  <c r="J212" i="48"/>
  <c r="J211" i="48"/>
  <c r="J210" i="48"/>
  <c r="J209" i="48"/>
  <c r="J208" i="48"/>
  <c r="J207" i="48"/>
  <c r="J206" i="48"/>
  <c r="J205" i="48"/>
  <c r="J204" i="48"/>
  <c r="J203" i="48"/>
  <c r="D201" i="48"/>
  <c r="I195" i="48"/>
  <c r="J194" i="48"/>
  <c r="J193" i="48"/>
  <c r="J192" i="48"/>
  <c r="J191" i="48"/>
  <c r="D190" i="48"/>
  <c r="I188" i="48"/>
  <c r="J187" i="48"/>
  <c r="J184" i="48"/>
  <c r="J185" i="48"/>
  <c r="J186" i="48"/>
  <c r="J183" i="48"/>
  <c r="J177" i="48"/>
  <c r="J178" i="48"/>
  <c r="J179" i="48"/>
  <c r="J180" i="48"/>
  <c r="J181" i="48"/>
  <c r="J172" i="48"/>
  <c r="J173" i="48"/>
  <c r="J174" i="48"/>
  <c r="J175" i="48"/>
  <c r="J176" i="48"/>
  <c r="J171" i="48"/>
  <c r="D170" i="48"/>
  <c r="I168" i="48"/>
  <c r="J167" i="48"/>
  <c r="J166" i="48"/>
  <c r="J165" i="48"/>
  <c r="J164" i="48"/>
  <c r="J163" i="48"/>
  <c r="J162" i="48"/>
  <c r="J161" i="48"/>
  <c r="J160" i="48"/>
  <c r="J159" i="48"/>
  <c r="J158" i="48"/>
  <c r="J157" i="48"/>
  <c r="J154" i="48"/>
  <c r="J153" i="48"/>
  <c r="J152" i="48"/>
  <c r="J151" i="48"/>
  <c r="J150" i="48"/>
  <c r="J149" i="48"/>
  <c r="J148" i="48"/>
  <c r="J147" i="48"/>
  <c r="J145" i="48"/>
  <c r="J144" i="48"/>
  <c r="J143" i="48"/>
  <c r="J142" i="48"/>
  <c r="J141" i="48"/>
  <c r="J140" i="48"/>
  <c r="J139" i="48"/>
  <c r="J138" i="48"/>
  <c r="J137" i="48"/>
  <c r="J136" i="48"/>
  <c r="J135" i="48"/>
  <c r="J134" i="48"/>
  <c r="J132" i="48"/>
  <c r="J131" i="48"/>
  <c r="J130" i="48"/>
  <c r="J129" i="48"/>
  <c r="D128" i="48"/>
  <c r="I126" i="48"/>
  <c r="J125" i="48"/>
  <c r="J124" i="48"/>
  <c r="J123" i="48"/>
  <c r="J122" i="48"/>
  <c r="J121" i="48"/>
  <c r="J120" i="48"/>
  <c r="J119" i="48"/>
  <c r="J118" i="48"/>
  <c r="D117" i="48"/>
  <c r="I116" i="48"/>
  <c r="J115" i="48"/>
  <c r="J114" i="48"/>
  <c r="J113" i="48"/>
  <c r="J112" i="48"/>
  <c r="J111" i="48"/>
  <c r="J110" i="48"/>
  <c r="J109" i="48"/>
  <c r="J108" i="48"/>
  <c r="J107" i="48"/>
  <c r="J106" i="48"/>
  <c r="J105" i="48"/>
  <c r="J101" i="48"/>
  <c r="J102" i="48"/>
  <c r="J100" i="48"/>
  <c r="J99" i="48"/>
  <c r="J98" i="48"/>
  <c r="J97" i="48"/>
  <c r="J96" i="48"/>
  <c r="J95" i="48"/>
  <c r="J93" i="48"/>
  <c r="J92" i="48"/>
  <c r="J91" i="48"/>
  <c r="J90" i="48"/>
  <c r="J89" i="48"/>
  <c r="J88" i="48"/>
  <c r="J87" i="48"/>
  <c r="J86" i="48"/>
  <c r="J85" i="48"/>
  <c r="J84" i="48"/>
  <c r="J83" i="48"/>
  <c r="J82" i="48"/>
  <c r="J80" i="48"/>
  <c r="J78" i="48"/>
  <c r="J79" i="48"/>
  <c r="J77" i="48"/>
  <c r="D76" i="48"/>
  <c r="H25" i="49"/>
  <c r="H24" i="49"/>
  <c r="H23" i="49"/>
  <c r="H22" i="49"/>
  <c r="H21" i="49"/>
  <c r="I72" i="48"/>
  <c r="J71" i="48"/>
  <c r="J70" i="48"/>
  <c r="D69" i="48"/>
  <c r="I68" i="48"/>
  <c r="J67" i="48"/>
  <c r="J66" i="48"/>
  <c r="J65" i="48"/>
  <c r="J64" i="48"/>
  <c r="J63" i="48"/>
  <c r="D61" i="48"/>
  <c r="I60" i="48"/>
  <c r="J59" i="48"/>
  <c r="J58" i="48"/>
  <c r="J57" i="48"/>
  <c r="J56" i="48"/>
  <c r="J55" i="48"/>
  <c r="J54" i="48"/>
  <c r="J53" i="48"/>
  <c r="J52" i="48"/>
  <c r="J51" i="48"/>
  <c r="J50" i="48"/>
  <c r="J49" i="48"/>
  <c r="J48" i="48"/>
  <c r="J46" i="48"/>
  <c r="J45" i="48"/>
  <c r="J42" i="48"/>
  <c r="J41" i="48"/>
  <c r="J40" i="48"/>
  <c r="D44" i="48"/>
  <c r="D39" i="48"/>
  <c r="D21" i="48"/>
  <c r="I37" i="48"/>
  <c r="J36" i="48"/>
  <c r="J35" i="48"/>
  <c r="J33" i="48"/>
  <c r="J34" i="48"/>
  <c r="J32" i="48"/>
  <c r="J31" i="48"/>
  <c r="J30" i="48"/>
  <c r="J29" i="48"/>
  <c r="J28" i="48"/>
  <c r="J27" i="48"/>
  <c r="J26" i="48"/>
  <c r="J25" i="48"/>
  <c r="J23" i="48"/>
  <c r="J22" i="48"/>
  <c r="H14" i="49"/>
  <c r="H17" i="49"/>
  <c r="H18" i="49"/>
  <c r="H29" i="49"/>
  <c r="H28" i="49"/>
  <c r="J392" i="49"/>
  <c r="J372" i="49"/>
  <c r="J349" i="49"/>
  <c r="J326" i="49"/>
  <c r="J316" i="49"/>
  <c r="J284" i="49"/>
  <c r="J270" i="49"/>
  <c r="J250" i="49"/>
  <c r="J228" i="49"/>
  <c r="J192" i="49"/>
  <c r="J175" i="49"/>
  <c r="J151" i="49"/>
  <c r="J134" i="49"/>
  <c r="J108" i="49"/>
  <c r="J96" i="49"/>
  <c r="J76" i="49"/>
  <c r="J34" i="49"/>
  <c r="H16" i="49"/>
  <c r="H15" i="49"/>
  <c r="H11" i="49"/>
  <c r="I11" i="49" s="1"/>
  <c r="I10" i="49" s="1"/>
  <c r="I9" i="49" s="1"/>
  <c r="M1669" i="48"/>
  <c r="K1669" i="48"/>
  <c r="M1653" i="48"/>
  <c r="K1653" i="48"/>
  <c r="M1647" i="48"/>
  <c r="K1647" i="48"/>
  <c r="M1643" i="48"/>
  <c r="K1643" i="48"/>
  <c r="M1639" i="48"/>
  <c r="K1639" i="48"/>
  <c r="M1633" i="48"/>
  <c r="K1633" i="48"/>
  <c r="M1628" i="48"/>
  <c r="K1628" i="48"/>
  <c r="M1622" i="48"/>
  <c r="K1622" i="48"/>
  <c r="M1617" i="48"/>
  <c r="K1617" i="48"/>
  <c r="M1601" i="48"/>
  <c r="K1601" i="48"/>
  <c r="K1596" i="48"/>
  <c r="M1590" i="48"/>
  <c r="K1590" i="48"/>
  <c r="M1586" i="48"/>
  <c r="K1586" i="48"/>
  <c r="K1576" i="48"/>
  <c r="M1567" i="48"/>
  <c r="K1567" i="48"/>
  <c r="M1559" i="48"/>
  <c r="K1559" i="48"/>
  <c r="M1555" i="48"/>
  <c r="K1555" i="48"/>
  <c r="M1548" i="48"/>
  <c r="K1548" i="48"/>
  <c r="M1542" i="48"/>
  <c r="K1542" i="48"/>
  <c r="M1538" i="48"/>
  <c r="K1538" i="48"/>
  <c r="M1534" i="48"/>
  <c r="K1534" i="48"/>
  <c r="M1526" i="48"/>
  <c r="K1526" i="48"/>
  <c r="M1522" i="48"/>
  <c r="K1522" i="48"/>
  <c r="M1516" i="48"/>
  <c r="K1516" i="48"/>
  <c r="M1512" i="48"/>
  <c r="K1512" i="48"/>
  <c r="M1506" i="48"/>
  <c r="K1506" i="48"/>
  <c r="M1502" i="48"/>
  <c r="K1502" i="48"/>
  <c r="K1490" i="48"/>
  <c r="M1482" i="48"/>
  <c r="K1482" i="48"/>
  <c r="K1474" i="48"/>
  <c r="M1465" i="48"/>
  <c r="K1465" i="48"/>
  <c r="M1456" i="48"/>
  <c r="K1456" i="48"/>
  <c r="M1449" i="48"/>
  <c r="K1449" i="48"/>
  <c r="M1445" i="48"/>
  <c r="K1445" i="48"/>
  <c r="M1441" i="48"/>
  <c r="K1441" i="48"/>
  <c r="M1436" i="48"/>
  <c r="K1436" i="48"/>
  <c r="M1430" i="48"/>
  <c r="K1430" i="48"/>
  <c r="M1426" i="48"/>
  <c r="K1426" i="48"/>
  <c r="M1420" i="48"/>
  <c r="K1420" i="48"/>
  <c r="M1412" i="48"/>
  <c r="K1412" i="48"/>
  <c r="M1406" i="48"/>
  <c r="K1406" i="48"/>
  <c r="M1402" i="48"/>
  <c r="K1402" i="48"/>
  <c r="M1398" i="48"/>
  <c r="K1398" i="48"/>
  <c r="M1394" i="48"/>
  <c r="K1394" i="48"/>
  <c r="K1390" i="48"/>
  <c r="M1386" i="48"/>
  <c r="K1386" i="48"/>
  <c r="M1378" i="48"/>
  <c r="K1378" i="48"/>
  <c r="M1372" i="48"/>
  <c r="K1372" i="48"/>
  <c r="M1366" i="48"/>
  <c r="K1366" i="48"/>
  <c r="M1361" i="48"/>
  <c r="K1361" i="48"/>
  <c r="M1356" i="48"/>
  <c r="K1356" i="48"/>
  <c r="M1348" i="48"/>
  <c r="K1348" i="48"/>
  <c r="M1341" i="48"/>
  <c r="K1341" i="48"/>
  <c r="M1336" i="48"/>
  <c r="K1336" i="48"/>
  <c r="M1332" i="48"/>
  <c r="K1332" i="48"/>
  <c r="M1327" i="48"/>
  <c r="K1327" i="48"/>
  <c r="M1323" i="48"/>
  <c r="K1323" i="48"/>
  <c r="M1317" i="48"/>
  <c r="K1317" i="48"/>
  <c r="M1313" i="48"/>
  <c r="K1313" i="48"/>
  <c r="M1304" i="48"/>
  <c r="K1304" i="48"/>
  <c r="M1294" i="48"/>
  <c r="K1294" i="48"/>
  <c r="M1284" i="48"/>
  <c r="K1284" i="48"/>
  <c r="M1275" i="48"/>
  <c r="K1275" i="48"/>
  <c r="M1269" i="48"/>
  <c r="K1269" i="48"/>
  <c r="M1265" i="48"/>
  <c r="K1265" i="48"/>
  <c r="M1261" i="48"/>
  <c r="K1261" i="48"/>
  <c r="M1255" i="48"/>
  <c r="K1255" i="48"/>
  <c r="M1251" i="48"/>
  <c r="K1251" i="48"/>
  <c r="M1247" i="48"/>
  <c r="K1247" i="48"/>
  <c r="M1243" i="48"/>
  <c r="K1243" i="48"/>
  <c r="K1239" i="48"/>
  <c r="M1228" i="48"/>
  <c r="K1228" i="48"/>
  <c r="K1217" i="48"/>
  <c r="K1209" i="48"/>
  <c r="M1202" i="48"/>
  <c r="K1202" i="48"/>
  <c r="M1196" i="48"/>
  <c r="K1196" i="48"/>
  <c r="M1192" i="48"/>
  <c r="K1192" i="48"/>
  <c r="M1188" i="48"/>
  <c r="K1188" i="48"/>
  <c r="K1183" i="48"/>
  <c r="M1173" i="48"/>
  <c r="K1173" i="48"/>
  <c r="M1163" i="48"/>
  <c r="K1163" i="48"/>
  <c r="K1154" i="48"/>
  <c r="M1145" i="48"/>
  <c r="K1145" i="48"/>
  <c r="K1137" i="48"/>
  <c r="M1130" i="48"/>
  <c r="K1130" i="48"/>
  <c r="M1124" i="48"/>
  <c r="K1124" i="48"/>
  <c r="M1120" i="48"/>
  <c r="K1120" i="48"/>
  <c r="M1116" i="48"/>
  <c r="K1116" i="48"/>
  <c r="M1112" i="48"/>
  <c r="K1112" i="48"/>
  <c r="M1106" i="48"/>
  <c r="K1106" i="48"/>
  <c r="M1102" i="48"/>
  <c r="K1102" i="48"/>
  <c r="M1098" i="48"/>
  <c r="K1098" i="48"/>
  <c r="M1094" i="48"/>
  <c r="K1094" i="48"/>
  <c r="K1086" i="48"/>
  <c r="K1079" i="48"/>
  <c r="M1074" i="48"/>
  <c r="K1074" i="48"/>
  <c r="M1064" i="48"/>
  <c r="K1064" i="48"/>
  <c r="K1055" i="48"/>
  <c r="M1041" i="48"/>
  <c r="K1041" i="48"/>
  <c r="M1034" i="48"/>
  <c r="K1034" i="48"/>
  <c r="M1027" i="48"/>
  <c r="K1027" i="48"/>
  <c r="M1023" i="48"/>
  <c r="K1023" i="48"/>
  <c r="M1017" i="48"/>
  <c r="K1017" i="48"/>
  <c r="M1013" i="48"/>
  <c r="K1013" i="48"/>
  <c r="M1009" i="48"/>
  <c r="K1009" i="48"/>
  <c r="M1003" i="48"/>
  <c r="K1003" i="48"/>
  <c r="M999" i="48"/>
  <c r="K999" i="48"/>
  <c r="K992" i="48"/>
  <c r="M979" i="48"/>
  <c r="K979" i="48"/>
  <c r="K966" i="48"/>
  <c r="M956" i="48"/>
  <c r="K956" i="48"/>
  <c r="M950" i="48"/>
  <c r="K950" i="48"/>
  <c r="M944" i="48"/>
  <c r="K944" i="48"/>
  <c r="M939" i="48"/>
  <c r="K939" i="48"/>
  <c r="M935" i="48"/>
  <c r="K935" i="48"/>
  <c r="M929" i="48"/>
  <c r="K929" i="48"/>
  <c r="M925" i="48"/>
  <c r="K925" i="48"/>
  <c r="M915" i="48"/>
  <c r="K915" i="48"/>
  <c r="M909" i="48"/>
  <c r="K909" i="48"/>
  <c r="M903" i="48"/>
  <c r="K903" i="48"/>
  <c r="M897" i="48"/>
  <c r="K897" i="48"/>
  <c r="M893" i="48"/>
  <c r="K893" i="48"/>
  <c r="K889" i="48"/>
  <c r="M882" i="48"/>
  <c r="K882" i="48"/>
  <c r="M872" i="48"/>
  <c r="K872" i="48"/>
  <c r="M863" i="48"/>
  <c r="K863" i="48"/>
  <c r="M857" i="48"/>
  <c r="K857" i="48"/>
  <c r="M851" i="48"/>
  <c r="K851" i="48"/>
  <c r="M847" i="48"/>
  <c r="K847" i="48"/>
  <c r="K842" i="48"/>
  <c r="M837" i="48"/>
  <c r="K837" i="48"/>
  <c r="M832" i="48"/>
  <c r="K832" i="48"/>
  <c r="M822" i="48"/>
  <c r="K822" i="48"/>
  <c r="M812" i="48"/>
  <c r="K812" i="48"/>
  <c r="K804" i="48"/>
  <c r="K796" i="48"/>
  <c r="M788" i="48"/>
  <c r="K788" i="48"/>
  <c r="M781" i="48"/>
  <c r="K781" i="48"/>
  <c r="M774" i="48"/>
  <c r="K774" i="48"/>
  <c r="M769" i="48"/>
  <c r="K769" i="48"/>
  <c r="M763" i="48"/>
  <c r="K763" i="48"/>
  <c r="M759" i="48"/>
  <c r="K759" i="48"/>
  <c r="K753" i="48"/>
  <c r="K746" i="48"/>
  <c r="M739" i="48"/>
  <c r="K739" i="48"/>
  <c r="M727" i="48"/>
  <c r="K727" i="48"/>
  <c r="M722" i="48"/>
  <c r="K722" i="48"/>
  <c r="M715" i="48"/>
  <c r="K715" i="48"/>
  <c r="M709" i="48"/>
  <c r="K709" i="48"/>
  <c r="M705" i="48"/>
  <c r="K705" i="48"/>
  <c r="M701" i="48"/>
  <c r="K701" i="48"/>
  <c r="M695" i="48"/>
  <c r="K695" i="48"/>
  <c r="M691" i="48"/>
  <c r="K691" i="48"/>
  <c r="M687" i="48"/>
  <c r="K687" i="48"/>
  <c r="M681" i="48"/>
  <c r="K681" i="48"/>
  <c r="M677" i="48"/>
  <c r="K677" i="48"/>
  <c r="M668" i="48"/>
  <c r="K668" i="48"/>
  <c r="M659" i="48"/>
  <c r="K659" i="48"/>
  <c r="K654" i="48"/>
  <c r="M649" i="48"/>
  <c r="K649" i="48"/>
  <c r="K641" i="48"/>
  <c r="M635" i="48"/>
  <c r="K635" i="48"/>
  <c r="M622" i="48"/>
  <c r="K622" i="48"/>
  <c r="K618" i="48"/>
  <c r="M611" i="48"/>
  <c r="K611" i="48"/>
  <c r="M606" i="48"/>
  <c r="K606" i="48"/>
  <c r="M601" i="48"/>
  <c r="K601" i="48"/>
  <c r="M595" i="48"/>
  <c r="K595" i="48"/>
  <c r="M591" i="48"/>
  <c r="K591" i="48"/>
  <c r="M586" i="48"/>
  <c r="K586" i="48"/>
  <c r="K582" i="48"/>
  <c r="M577" i="48"/>
  <c r="K577" i="48"/>
  <c r="K571" i="48"/>
  <c r="M566" i="48"/>
  <c r="K566" i="48"/>
  <c r="K560" i="48"/>
  <c r="M552" i="48"/>
  <c r="K552" i="48"/>
  <c r="M543" i="48"/>
  <c r="K543" i="48"/>
  <c r="M538" i="48"/>
  <c r="K538" i="48"/>
  <c r="K533" i="48"/>
  <c r="M524" i="48"/>
  <c r="K524" i="48"/>
  <c r="M516" i="48"/>
  <c r="K516" i="48"/>
  <c r="M509" i="48"/>
  <c r="K509" i="48"/>
  <c r="K500" i="48"/>
  <c r="M492" i="48"/>
  <c r="K492" i="48"/>
  <c r="M487" i="48"/>
  <c r="K487" i="48"/>
  <c r="K482" i="48"/>
  <c r="M476" i="48"/>
  <c r="K476" i="48"/>
  <c r="K474" i="48"/>
  <c r="K470" i="48"/>
  <c r="M460" i="48"/>
  <c r="K460" i="48"/>
  <c r="M451" i="48"/>
  <c r="K451" i="48"/>
  <c r="K443" i="48"/>
  <c r="M436" i="48"/>
  <c r="K436" i="48"/>
  <c r="M429" i="48"/>
  <c r="K429" i="48"/>
  <c r="M423" i="48"/>
  <c r="K423" i="48"/>
  <c r="M415" i="48"/>
  <c r="K415" i="48"/>
  <c r="M410" i="48"/>
  <c r="K410" i="48"/>
  <c r="M406" i="48"/>
  <c r="K406" i="48"/>
  <c r="M397" i="48"/>
  <c r="K397" i="48"/>
  <c r="M390" i="48"/>
  <c r="K390" i="48"/>
  <c r="K385" i="48"/>
  <c r="M379" i="48"/>
  <c r="K379" i="48"/>
  <c r="K373" i="48"/>
  <c r="M368" i="48"/>
  <c r="K368" i="48"/>
  <c r="M363" i="48"/>
  <c r="M361" i="48"/>
  <c r="K361" i="48"/>
  <c r="M341" i="48"/>
  <c r="K341" i="48"/>
  <c r="M336" i="48"/>
  <c r="K336" i="48"/>
  <c r="M332" i="48"/>
  <c r="M328" i="48"/>
  <c r="M322" i="48"/>
  <c r="M314" i="48"/>
  <c r="M307" i="48"/>
  <c r="M302" i="48"/>
  <c r="M297" i="48"/>
  <c r="M291" i="48"/>
  <c r="M287" i="48"/>
  <c r="M284" i="48"/>
  <c r="K284" i="48"/>
  <c r="M266" i="48"/>
  <c r="M244" i="48"/>
  <c r="I43" i="48"/>
  <c r="D18" i="48"/>
  <c r="I16" i="48"/>
  <c r="J15" i="48"/>
  <c r="J16" i="48" s="1"/>
  <c r="K14" i="48" s="1"/>
  <c r="M14" i="48"/>
  <c r="I10" i="45"/>
  <c r="I9" i="45" s="1"/>
  <c r="H45" i="45"/>
  <c r="H35" i="45"/>
  <c r="H33" i="45"/>
  <c r="I59" i="45" l="1"/>
  <c r="I57" i="45"/>
  <c r="I56" i="49"/>
  <c r="I55" i="49" s="1"/>
  <c r="J55" i="49" s="1"/>
  <c r="I49" i="49"/>
  <c r="I48" i="49" s="1"/>
  <c r="J48" i="49" s="1"/>
  <c r="I45" i="45"/>
  <c r="I44" i="45" s="1"/>
  <c r="I59" i="49"/>
  <c r="K522" i="48"/>
  <c r="I44" i="49"/>
  <c r="I43" i="49"/>
  <c r="I37" i="49"/>
  <c r="I45" i="49"/>
  <c r="J365" i="48"/>
  <c r="F40" i="49" s="1"/>
  <c r="I40" i="49" s="1"/>
  <c r="I46" i="49"/>
  <c r="I47" i="49"/>
  <c r="J360" i="48"/>
  <c r="F39" i="49" s="1"/>
  <c r="I39" i="49" s="1"/>
  <c r="J338" i="48"/>
  <c r="F38" i="49" s="1"/>
  <c r="I38" i="49" s="1"/>
  <c r="J285" i="48"/>
  <c r="F36" i="49" s="1"/>
  <c r="I36" i="49" s="1"/>
  <c r="J241" i="48"/>
  <c r="F32" i="49" s="1"/>
  <c r="I32" i="49" s="1"/>
  <c r="I31" i="49"/>
  <c r="J230" i="48"/>
  <c r="F30" i="49" s="1"/>
  <c r="I30" i="49" s="1"/>
  <c r="J213" i="48"/>
  <c r="F28" i="49" s="1"/>
  <c r="I28" i="49" s="1"/>
  <c r="J195" i="48"/>
  <c r="J188" i="48"/>
  <c r="F24" i="49" s="1"/>
  <c r="I24" i="49" s="1"/>
  <c r="J168" i="48"/>
  <c r="F23" i="49" s="1"/>
  <c r="I23" i="49" s="1"/>
  <c r="J126" i="48"/>
  <c r="F22" i="49" s="1"/>
  <c r="I22" i="49" s="1"/>
  <c r="J116" i="48"/>
  <c r="F21" i="49" s="1"/>
  <c r="I21" i="49" s="1"/>
  <c r="J72" i="48"/>
  <c r="F18" i="49" s="1"/>
  <c r="I18" i="49" s="1"/>
  <c r="J68" i="48"/>
  <c r="F17" i="49" s="1"/>
  <c r="I17" i="49" s="1"/>
  <c r="J60" i="48"/>
  <c r="F16" i="49" s="1"/>
  <c r="I16" i="49" s="1"/>
  <c r="J43" i="48"/>
  <c r="F15" i="49" s="1"/>
  <c r="I15" i="49" s="1"/>
  <c r="J37" i="48"/>
  <c r="F14" i="49" s="1"/>
  <c r="I14" i="49" s="1"/>
  <c r="N1639" i="48"/>
  <c r="N1567" i="48"/>
  <c r="N851" i="48"/>
  <c r="N882" i="48"/>
  <c r="N1074" i="48"/>
  <c r="N436" i="48"/>
  <c r="N487" i="48"/>
  <c r="N429" i="48"/>
  <c r="N427" i="48" s="1"/>
  <c r="N1590" i="48"/>
  <c r="N788" i="48"/>
  <c r="N786" i="48" s="1"/>
  <c r="N847" i="48"/>
  <c r="N897" i="48"/>
  <c r="N925" i="48"/>
  <c r="N944" i="48"/>
  <c r="N979" i="48"/>
  <c r="N1009" i="48"/>
  <c r="N297" i="48"/>
  <c r="N322" i="48"/>
  <c r="N379" i="48"/>
  <c r="N406" i="48"/>
  <c r="N1445" i="48"/>
  <c r="N1548" i="48"/>
  <c r="N1546" i="48" s="1"/>
  <c r="N727" i="48"/>
  <c r="N759" i="48"/>
  <c r="N781" i="48"/>
  <c r="N779" i="48" s="1"/>
  <c r="N915" i="48"/>
  <c r="N939" i="48"/>
  <c r="N1023" i="48"/>
  <c r="N1601" i="48"/>
  <c r="N1633" i="48"/>
  <c r="N1163" i="48"/>
  <c r="N1534" i="48"/>
  <c r="N1555" i="48"/>
  <c r="N1196" i="48"/>
  <c r="N1228" i="48"/>
  <c r="N1251" i="48"/>
  <c r="N1372" i="48"/>
  <c r="N1370" i="48" s="1"/>
  <c r="N1412" i="48"/>
  <c r="N1410" i="48" s="1"/>
  <c r="N1436" i="48"/>
  <c r="N1456" i="48"/>
  <c r="N1454" i="48" s="1"/>
  <c r="N1516" i="48"/>
  <c r="N1538" i="48"/>
  <c r="N1559" i="48"/>
  <c r="N390" i="48"/>
  <c r="N75" i="48"/>
  <c r="N1202" i="48"/>
  <c r="N1200" i="48" s="1"/>
  <c r="N1313" i="48"/>
  <c r="N1356" i="48"/>
  <c r="N1420" i="48"/>
  <c r="N1522" i="48"/>
  <c r="N1542" i="48"/>
  <c r="N492" i="48"/>
  <c r="N601" i="48"/>
  <c r="N622" i="48"/>
  <c r="N681" i="48"/>
  <c r="N701" i="48"/>
  <c r="N1098" i="48"/>
  <c r="N1116" i="48"/>
  <c r="N415" i="48"/>
  <c r="N543" i="48"/>
  <c r="N1112" i="48"/>
  <c r="N198" i="48"/>
  <c r="N1275" i="48"/>
  <c r="N1273" i="48" s="1"/>
  <c r="N1332" i="48"/>
  <c r="N1647" i="48"/>
  <c r="N1130" i="48"/>
  <c r="N361" i="48"/>
  <c r="N291" i="48"/>
  <c r="N314" i="48"/>
  <c r="N649" i="48"/>
  <c r="N769" i="48"/>
  <c r="N857" i="48"/>
  <c r="N855" i="48" s="1"/>
  <c r="N956" i="48"/>
  <c r="N1013" i="48"/>
  <c r="N1465" i="48"/>
  <c r="N1463" i="48" s="1"/>
  <c r="N397" i="48"/>
  <c r="N822" i="48"/>
  <c r="N999" i="48"/>
  <c r="N1017" i="48"/>
  <c r="N1261" i="48"/>
  <c r="N1386" i="48"/>
  <c r="N1402" i="48"/>
  <c r="N1426" i="48"/>
  <c r="N872" i="48"/>
  <c r="N870" i="48" s="1"/>
  <c r="N1653" i="48"/>
  <c r="N14" i="48"/>
  <c r="N12" i="48" s="1"/>
  <c r="N10" i="48" s="1"/>
  <c r="N284" i="48"/>
  <c r="N302" i="48"/>
  <c r="N328" i="48"/>
  <c r="N341" i="48"/>
  <c r="N423" i="48"/>
  <c r="N421" i="48" s="1"/>
  <c r="N524" i="48"/>
  <c r="N586" i="48"/>
  <c r="N606" i="48"/>
  <c r="N635" i="48"/>
  <c r="N1323" i="48"/>
  <c r="N1366" i="48"/>
  <c r="N1449" i="48"/>
  <c r="N1512" i="48"/>
  <c r="N1586" i="48"/>
  <c r="N307" i="48"/>
  <c r="N591" i="48"/>
  <c r="N611" i="48"/>
  <c r="N668" i="48"/>
  <c r="N691" i="48"/>
  <c r="N1027" i="48"/>
  <c r="N1106" i="48"/>
  <c r="N1124" i="48"/>
  <c r="N1327" i="48"/>
  <c r="I29" i="49"/>
  <c r="N332" i="48"/>
  <c r="N410" i="48"/>
  <c r="N451" i="48"/>
  <c r="N449" i="48" s="1"/>
  <c r="N509" i="48"/>
  <c r="N552" i="48"/>
  <c r="N577" i="48"/>
  <c r="N715" i="48"/>
  <c r="N713" i="48" s="1"/>
  <c r="N763" i="48"/>
  <c r="N837" i="48"/>
  <c r="N893" i="48"/>
  <c r="N1192" i="48"/>
  <c r="N1255" i="48"/>
  <c r="N1348" i="48"/>
  <c r="N1482" i="48"/>
  <c r="N1628" i="48"/>
  <c r="N460" i="48"/>
  <c r="N458" i="48" s="1"/>
  <c r="N516" i="48"/>
  <c r="N513" i="48" s="1"/>
  <c r="N566" i="48"/>
  <c r="N595" i="48"/>
  <c r="N659" i="48"/>
  <c r="N722" i="48"/>
  <c r="N1173" i="48"/>
  <c r="N1394" i="48"/>
  <c r="N687" i="48"/>
  <c r="N812" i="48"/>
  <c r="N1102" i="48"/>
  <c r="N1120" i="48"/>
  <c r="N1247" i="48"/>
  <c r="N1284" i="48"/>
  <c r="N1282" i="48" s="1"/>
  <c r="N1034" i="48"/>
  <c r="N1032" i="48" s="1"/>
  <c r="N1064" i="48"/>
  <c r="N1062" i="48" s="1"/>
  <c r="N1145" i="48"/>
  <c r="N1143" i="48" s="1"/>
  <c r="N1265" i="48"/>
  <c r="N1317" i="48"/>
  <c r="N1336" i="48"/>
  <c r="N1378" i="48"/>
  <c r="N1376" i="48" s="1"/>
  <c r="N1398" i="48"/>
  <c r="N1441" i="48"/>
  <c r="N1502" i="48"/>
  <c r="N1617" i="48"/>
  <c r="N287" i="48"/>
  <c r="N368" i="48"/>
  <c r="N538" i="48"/>
  <c r="N705" i="48"/>
  <c r="N677" i="48"/>
  <c r="N709" i="48"/>
  <c r="N739" i="48"/>
  <c r="N832" i="48"/>
  <c r="N929" i="48"/>
  <c r="N1003" i="48"/>
  <c r="N1041" i="48"/>
  <c r="N1188" i="48"/>
  <c r="N1269" i="48"/>
  <c r="N1294" i="48"/>
  <c r="N1341" i="48"/>
  <c r="N1361" i="48"/>
  <c r="N1506" i="48"/>
  <c r="N1622" i="48"/>
  <c r="N1669" i="48"/>
  <c r="N695" i="48"/>
  <c r="N863" i="48"/>
  <c r="N861" i="48" s="1"/>
  <c r="N909" i="48"/>
  <c r="N950" i="48"/>
  <c r="N1094" i="48"/>
  <c r="N1304" i="48"/>
  <c r="N1406" i="48"/>
  <c r="N1430" i="48"/>
  <c r="N1526" i="48"/>
  <c r="N1643" i="48"/>
  <c r="N244" i="48"/>
  <c r="N266" i="48"/>
  <c r="N336" i="48"/>
  <c r="N774" i="48"/>
  <c r="N935" i="48"/>
  <c r="N476" i="48"/>
  <c r="N1243" i="48"/>
  <c r="N903" i="48"/>
  <c r="C10" i="47" l="1"/>
  <c r="I42" i="49"/>
  <c r="I41" i="49" s="1"/>
  <c r="J41" i="49" s="1"/>
  <c r="K363" i="48"/>
  <c r="N363" i="48" s="1"/>
  <c r="I27" i="49"/>
  <c r="I26" i="49" s="1"/>
  <c r="J26" i="49" s="1"/>
  <c r="F25" i="49"/>
  <c r="I25" i="49" s="1"/>
  <c r="I20" i="49" s="1"/>
  <c r="I19" i="49" s="1"/>
  <c r="J19" i="49" s="1"/>
  <c r="N1021" i="48"/>
  <c r="I13" i="49"/>
  <c r="I12" i="49" s="1"/>
  <c r="K39" i="48"/>
  <c r="N1007" i="48"/>
  <c r="N1553" i="48"/>
  <c r="N1520" i="48"/>
  <c r="N312" i="48"/>
  <c r="N1510" i="48"/>
  <c r="N720" i="48"/>
  <c r="N767" i="48"/>
  <c r="N901" i="48"/>
  <c r="N1309" i="48"/>
  <c r="N1532" i="48"/>
  <c r="N1613" i="48"/>
  <c r="N1110" i="48"/>
  <c r="N699" i="48"/>
  <c r="N295" i="48"/>
  <c r="N1354" i="48"/>
  <c r="N1352" i="48" s="1"/>
  <c r="N1259" i="48"/>
  <c r="N599" i="48"/>
  <c r="N73" i="48"/>
  <c r="N921" i="48"/>
  <c r="N1292" i="48"/>
  <c r="N1418" i="48"/>
  <c r="N685" i="48"/>
  <c r="N326" i="48"/>
  <c r="I33" i="45"/>
  <c r="I36" i="45"/>
  <c r="I37" i="45"/>
  <c r="I35" i="45"/>
  <c r="C11" i="31" l="1"/>
  <c r="C20" i="47"/>
  <c r="C21" i="31" s="1"/>
  <c r="O21" i="31" s="1"/>
  <c r="O41" i="31" s="1"/>
  <c r="C49" i="47"/>
  <c r="E11" i="31" l="1"/>
  <c r="E41" i="31" s="1"/>
  <c r="H34" i="45"/>
  <c r="J14" i="44"/>
  <c r="J15" i="44" s="1"/>
  <c r="H485" i="43"/>
  <c r="F485" i="43"/>
  <c r="H474" i="43"/>
  <c r="H473" i="43"/>
  <c r="H472" i="43"/>
  <c r="I472" i="43" s="1"/>
  <c r="H471" i="43"/>
  <c r="I471" i="43" s="1"/>
  <c r="H470" i="43"/>
  <c r="H469" i="43"/>
  <c r="H468" i="43"/>
  <c r="H467" i="43"/>
  <c r="H464" i="43"/>
  <c r="I464" i="43" s="1"/>
  <c r="H461" i="43"/>
  <c r="I461" i="43" s="1"/>
  <c r="H460" i="43"/>
  <c r="I460" i="43" s="1"/>
  <c r="H458" i="43"/>
  <c r="I458" i="43" s="1"/>
  <c r="H454" i="43"/>
  <c r="I454" i="43" s="1"/>
  <c r="H453" i="43"/>
  <c r="I453" i="43" s="1"/>
  <c r="H451" i="43"/>
  <c r="I451" i="43" s="1"/>
  <c r="I450" i="43" s="1"/>
  <c r="H449" i="43"/>
  <c r="I449" i="43" s="1"/>
  <c r="H448" i="43"/>
  <c r="I448" i="43" s="1"/>
  <c r="H447" i="43"/>
  <c r="I447" i="43" s="1"/>
  <c r="H445" i="43"/>
  <c r="H444" i="43"/>
  <c r="I444" i="43" s="1"/>
  <c r="H442" i="43"/>
  <c r="H441" i="43"/>
  <c r="I441" i="43" s="1"/>
  <c r="H439" i="43"/>
  <c r="I439" i="43" s="1"/>
  <c r="H438" i="43"/>
  <c r="I438" i="43" s="1"/>
  <c r="H436" i="43"/>
  <c r="I436" i="43" s="1"/>
  <c r="H431" i="43"/>
  <c r="I431" i="43" s="1"/>
  <c r="I430" i="43" s="1"/>
  <c r="H429" i="43"/>
  <c r="I429" i="43" s="1"/>
  <c r="I428" i="43" s="1"/>
  <c r="H427" i="43"/>
  <c r="I427" i="43" s="1"/>
  <c r="H426" i="43"/>
  <c r="I426" i="43" s="1"/>
  <c r="H425" i="43"/>
  <c r="I425" i="43" s="1"/>
  <c r="H424" i="43"/>
  <c r="I424" i="43" s="1"/>
  <c r="H423" i="43"/>
  <c r="I423" i="43" s="1"/>
  <c r="H422" i="43"/>
  <c r="I422" i="43" s="1"/>
  <c r="H421" i="43"/>
  <c r="H419" i="43"/>
  <c r="I419" i="43" s="1"/>
  <c r="I418" i="43" s="1"/>
  <c r="H417" i="43"/>
  <c r="I417" i="43" s="1"/>
  <c r="H416" i="43"/>
  <c r="I416" i="43" s="1"/>
  <c r="H415" i="43"/>
  <c r="I415" i="43" s="1"/>
  <c r="H414" i="43"/>
  <c r="I414" i="43" s="1"/>
  <c r="H412" i="43"/>
  <c r="I412" i="43" s="1"/>
  <c r="H408" i="43"/>
  <c r="I408" i="43" s="1"/>
  <c r="I407" i="43" s="1"/>
  <c r="H406" i="43"/>
  <c r="I406" i="43" s="1"/>
  <c r="I405" i="43" s="1"/>
  <c r="H404" i="43"/>
  <c r="I404" i="43" s="1"/>
  <c r="H403" i="43"/>
  <c r="H402" i="43"/>
  <c r="H398" i="43"/>
  <c r="I398" i="43" s="1"/>
  <c r="H396" i="43"/>
  <c r="I396" i="43" s="1"/>
  <c r="H395" i="43"/>
  <c r="H394" i="43"/>
  <c r="H393" i="43"/>
  <c r="I393" i="43" s="1"/>
  <c r="H392" i="43"/>
  <c r="I392" i="43" s="1"/>
  <c r="H391" i="43"/>
  <c r="H390" i="43"/>
  <c r="H387" i="43"/>
  <c r="I387" i="43" s="1"/>
  <c r="H386" i="43"/>
  <c r="I386" i="43" s="1"/>
  <c r="H384" i="43"/>
  <c r="I384" i="43" s="1"/>
  <c r="I383" i="43" s="1"/>
  <c r="H382" i="43"/>
  <c r="I382" i="43" s="1"/>
  <c r="I381" i="43" s="1"/>
  <c r="H380" i="43"/>
  <c r="I380" i="43" s="1"/>
  <c r="H379" i="43"/>
  <c r="I379" i="43" s="1"/>
  <c r="H378" i="43"/>
  <c r="I378" i="43" s="1"/>
  <c r="H376" i="43"/>
  <c r="H375" i="43"/>
  <c r="I375" i="43" s="1"/>
  <c r="H374" i="43"/>
  <c r="H373" i="43"/>
  <c r="I373" i="43" s="1"/>
  <c r="H371" i="43"/>
  <c r="I371" i="43" s="1"/>
  <c r="H364" i="43"/>
  <c r="I364" i="43" s="1"/>
  <c r="I363" i="43" s="1"/>
  <c r="H362" i="43"/>
  <c r="I362" i="43" s="1"/>
  <c r="H361" i="43"/>
  <c r="I361" i="43" s="1"/>
  <c r="H360" i="43"/>
  <c r="I360" i="43" s="1"/>
  <c r="H358" i="43"/>
  <c r="H357" i="43"/>
  <c r="H352" i="43"/>
  <c r="I352" i="43" s="1"/>
  <c r="I351" i="43" s="1"/>
  <c r="H349" i="43"/>
  <c r="I349" i="43" s="1"/>
  <c r="H347" i="43"/>
  <c r="I347" i="43" s="1"/>
  <c r="H346" i="43"/>
  <c r="I346" i="43" s="1"/>
  <c r="H345" i="43"/>
  <c r="I345" i="43" s="1"/>
  <c r="H344" i="43"/>
  <c r="I344" i="43" s="1"/>
  <c r="H342" i="43"/>
  <c r="I342" i="43" s="1"/>
  <c r="H341" i="43"/>
  <c r="H340" i="43"/>
  <c r="I340" i="43" s="1"/>
  <c r="H339" i="43"/>
  <c r="I339" i="43" s="1"/>
  <c r="H336" i="43"/>
  <c r="H332" i="43"/>
  <c r="I332" i="43" s="1"/>
  <c r="I331" i="43" s="1"/>
  <c r="H329" i="43"/>
  <c r="I329" i="43" s="1"/>
  <c r="H327" i="43"/>
  <c r="I327" i="43" s="1"/>
  <c r="I326" i="43" s="1"/>
  <c r="H325" i="43"/>
  <c r="I325" i="43" s="1"/>
  <c r="H324" i="43"/>
  <c r="I324" i="43" s="1"/>
  <c r="H322" i="43"/>
  <c r="I322" i="43" s="1"/>
  <c r="H321" i="43"/>
  <c r="I321" i="43" s="1"/>
  <c r="H320" i="43"/>
  <c r="I320" i="43" s="1"/>
  <c r="H318" i="43"/>
  <c r="H317" i="43"/>
  <c r="I317" i="43" s="1"/>
  <c r="H315" i="43"/>
  <c r="H310" i="43"/>
  <c r="I310" i="43" s="1"/>
  <c r="H309" i="43"/>
  <c r="I309" i="43" s="1"/>
  <c r="H307" i="43"/>
  <c r="I307" i="43" s="1"/>
  <c r="H306" i="43"/>
  <c r="H305" i="43"/>
  <c r="I305" i="43" s="1"/>
  <c r="H304" i="43"/>
  <c r="H303" i="43"/>
  <c r="H300" i="43"/>
  <c r="I300" i="43" s="1"/>
  <c r="H299" i="43"/>
  <c r="H298" i="43"/>
  <c r="I298" i="43" s="1"/>
  <c r="H296" i="43"/>
  <c r="I296" i="43" s="1"/>
  <c r="H295" i="43"/>
  <c r="H293" i="43"/>
  <c r="H291" i="43"/>
  <c r="I291" i="43" s="1"/>
  <c r="I290" i="43" s="1"/>
  <c r="H289" i="43"/>
  <c r="I289" i="43" s="1"/>
  <c r="I288" i="43" s="1"/>
  <c r="H287" i="43"/>
  <c r="I287" i="43" s="1"/>
  <c r="I286" i="43" s="1"/>
  <c r="H285" i="43"/>
  <c r="I285" i="43" s="1"/>
  <c r="H284" i="43"/>
  <c r="H282" i="43"/>
  <c r="I282" i="43" s="1"/>
  <c r="H281" i="43"/>
  <c r="I281" i="43" s="1"/>
  <c r="H280" i="43"/>
  <c r="I280" i="43" s="1"/>
  <c r="H279" i="43"/>
  <c r="H272" i="43"/>
  <c r="I272" i="43" s="1"/>
  <c r="I271" i="43" s="1"/>
  <c r="H270" i="43"/>
  <c r="I270" i="43" s="1"/>
  <c r="I269" i="43" s="1"/>
  <c r="H268" i="43"/>
  <c r="I268" i="43" s="1"/>
  <c r="H267" i="43"/>
  <c r="I267" i="43" s="1"/>
  <c r="H265" i="43"/>
  <c r="I265" i="43" s="1"/>
  <c r="H264" i="43"/>
  <c r="I264" i="43" s="1"/>
  <c r="H261" i="43"/>
  <c r="H257" i="43"/>
  <c r="I257" i="43" s="1"/>
  <c r="H256" i="43"/>
  <c r="I256" i="43" s="1"/>
  <c r="H254" i="43"/>
  <c r="I254" i="43" s="1"/>
  <c r="I253" i="43" s="1"/>
  <c r="H252" i="43"/>
  <c r="I252" i="43" s="1"/>
  <c r="H251" i="43"/>
  <c r="I251" i="43" s="1"/>
  <c r="H250" i="43"/>
  <c r="I250" i="43" s="1"/>
  <c r="H248" i="43"/>
  <c r="I248" i="43" s="1"/>
  <c r="H247" i="43"/>
  <c r="I247" i="43" s="1"/>
  <c r="H246" i="43"/>
  <c r="I246" i="43" s="1"/>
  <c r="H244" i="43"/>
  <c r="I244" i="43" s="1"/>
  <c r="H243" i="43"/>
  <c r="I243" i="43" s="1"/>
  <c r="H242" i="43"/>
  <c r="I242" i="43" s="1"/>
  <c r="H241" i="43"/>
  <c r="I241" i="43" s="1"/>
  <c r="H239" i="43"/>
  <c r="I239" i="43" s="1"/>
  <c r="H237" i="43"/>
  <c r="I237" i="43" s="1"/>
  <c r="H233" i="43"/>
  <c r="I233" i="43" s="1"/>
  <c r="H230" i="43"/>
  <c r="I230" i="43" s="1"/>
  <c r="H229" i="43"/>
  <c r="H228" i="43"/>
  <c r="I228" i="43" s="1"/>
  <c r="H226" i="43"/>
  <c r="I226" i="43" s="1"/>
  <c r="H225" i="43"/>
  <c r="H224" i="43"/>
  <c r="I224" i="43" s="1"/>
  <c r="H222" i="43"/>
  <c r="I222" i="43" s="1"/>
  <c r="H220" i="43"/>
  <c r="I220" i="43" s="1"/>
  <c r="H216" i="43"/>
  <c r="I216" i="43" s="1"/>
  <c r="I215" i="43" s="1"/>
  <c r="H214" i="43"/>
  <c r="I214" i="43" s="1"/>
  <c r="H213" i="43"/>
  <c r="I213" i="43" s="1"/>
  <c r="H212" i="43"/>
  <c r="I212" i="43" s="1"/>
  <c r="H211" i="43"/>
  <c r="I211" i="43" s="1"/>
  <c r="H210" i="43"/>
  <c r="I210" i="43" s="1"/>
  <c r="H208" i="43"/>
  <c r="I208" i="43" s="1"/>
  <c r="H205" i="43"/>
  <c r="I205" i="43" s="1"/>
  <c r="H204" i="43"/>
  <c r="H203" i="43"/>
  <c r="I203" i="43" s="1"/>
  <c r="H201" i="43"/>
  <c r="I201" i="43" s="1"/>
  <c r="H200" i="43"/>
  <c r="H198" i="43"/>
  <c r="H197" i="43"/>
  <c r="I197" i="43" s="1"/>
  <c r="H196" i="43"/>
  <c r="I196" i="43" s="1"/>
  <c r="H194" i="43"/>
  <c r="I194" i="43" s="1"/>
  <c r="H188" i="43"/>
  <c r="I188" i="43" s="1"/>
  <c r="I187" i="43" s="1"/>
  <c r="H186" i="43"/>
  <c r="I186" i="43" s="1"/>
  <c r="H184" i="43"/>
  <c r="I184" i="43" s="1"/>
  <c r="H183" i="43"/>
  <c r="I183" i="43" s="1"/>
  <c r="H177" i="43"/>
  <c r="I177" i="43" s="1"/>
  <c r="H175" i="43"/>
  <c r="I175" i="43" s="1"/>
  <c r="H174" i="43"/>
  <c r="I174" i="43" s="1"/>
  <c r="H172" i="43"/>
  <c r="I172" i="43" s="1"/>
  <c r="H171" i="43"/>
  <c r="I171" i="43" s="1"/>
  <c r="H170" i="43"/>
  <c r="I170" i="43" s="1"/>
  <c r="H169" i="43"/>
  <c r="I169" i="43" s="1"/>
  <c r="H168" i="43"/>
  <c r="I168" i="43" s="1"/>
  <c r="H164" i="43"/>
  <c r="I164" i="43" s="1"/>
  <c r="I163" i="43" s="1"/>
  <c r="H162" i="43"/>
  <c r="I162" i="43" s="1"/>
  <c r="I161" i="43" s="1"/>
  <c r="H157" i="43"/>
  <c r="I157" i="43" s="1"/>
  <c r="H155" i="43"/>
  <c r="I155" i="43" s="1"/>
  <c r="I154" i="43" s="1"/>
  <c r="H153" i="43"/>
  <c r="H151" i="43"/>
  <c r="H150" i="43"/>
  <c r="H148" i="43"/>
  <c r="I148" i="43" s="1"/>
  <c r="H147" i="43"/>
  <c r="I147" i="43" s="1"/>
  <c r="H146" i="43"/>
  <c r="I146" i="43" s="1"/>
  <c r="H145" i="43"/>
  <c r="I145" i="43" s="1"/>
  <c r="H143" i="43"/>
  <c r="I143" i="43" s="1"/>
  <c r="H141" i="43"/>
  <c r="I141" i="43" s="1"/>
  <c r="H136" i="43"/>
  <c r="I136" i="43" s="1"/>
  <c r="H134" i="43"/>
  <c r="I134" i="43" s="1"/>
  <c r="H133" i="43"/>
  <c r="I133" i="43" s="1"/>
  <c r="H132" i="43"/>
  <c r="I132" i="43" s="1"/>
  <c r="H130" i="43"/>
  <c r="I130" i="43" s="1"/>
  <c r="H129" i="43"/>
  <c r="I129" i="43" s="1"/>
  <c r="H127" i="43"/>
  <c r="I127" i="43" s="1"/>
  <c r="H126" i="43"/>
  <c r="I126" i="43" s="1"/>
  <c r="H125" i="43"/>
  <c r="I125" i="43" s="1"/>
  <c r="H120" i="43"/>
  <c r="I120" i="43" s="1"/>
  <c r="I119" i="43" s="1"/>
  <c r="H118" i="43"/>
  <c r="I118" i="43" s="1"/>
  <c r="H117" i="43"/>
  <c r="I117" i="43" s="1"/>
  <c r="H116" i="43"/>
  <c r="I116" i="43" s="1"/>
  <c r="H115" i="43"/>
  <c r="I115" i="43" s="1"/>
  <c r="H113" i="43"/>
  <c r="I113" i="43" s="1"/>
  <c r="H112" i="43"/>
  <c r="I112" i="43" s="1"/>
  <c r="H110" i="43"/>
  <c r="I110" i="43" s="1"/>
  <c r="H109" i="43"/>
  <c r="I109" i="43" s="1"/>
  <c r="H108" i="43"/>
  <c r="I108" i="43" s="1"/>
  <c r="H106" i="43"/>
  <c r="I106" i="43" s="1"/>
  <c r="H105" i="43"/>
  <c r="I105" i="43" s="1"/>
  <c r="H104" i="43"/>
  <c r="I104" i="43" s="1"/>
  <c r="H102" i="43"/>
  <c r="I102" i="43" s="1"/>
  <c r="H100" i="43"/>
  <c r="I100" i="43" s="1"/>
  <c r="H99" i="43"/>
  <c r="I99" i="43" s="1"/>
  <c r="H95" i="43"/>
  <c r="I95" i="43" s="1"/>
  <c r="I94" i="43" s="1"/>
  <c r="H93" i="43"/>
  <c r="I93" i="43" s="1"/>
  <c r="H92" i="43"/>
  <c r="I92" i="43" s="1"/>
  <c r="H91" i="43"/>
  <c r="I91" i="43" s="1"/>
  <c r="H89" i="43"/>
  <c r="I89" i="43" s="1"/>
  <c r="H88" i="43"/>
  <c r="I88" i="43" s="1"/>
  <c r="H84" i="43"/>
  <c r="I84" i="43" s="1"/>
  <c r="H83" i="43"/>
  <c r="I83" i="43" s="1"/>
  <c r="H82" i="43"/>
  <c r="H80" i="43"/>
  <c r="I80" i="43" s="1"/>
  <c r="H78" i="43"/>
  <c r="I78" i="43" s="1"/>
  <c r="H77" i="43"/>
  <c r="I77" i="43" s="1"/>
  <c r="H73" i="43"/>
  <c r="I73" i="43" s="1"/>
  <c r="I72" i="43" s="1"/>
  <c r="H71" i="43"/>
  <c r="I71" i="43" s="1"/>
  <c r="D70" i="43"/>
  <c r="D69" i="43"/>
  <c r="D68" i="43"/>
  <c r="H66" i="43"/>
  <c r="I66" i="43" s="1"/>
  <c r="H64" i="43"/>
  <c r="I64" i="43" s="1"/>
  <c r="H62" i="43"/>
  <c r="I62" i="43" s="1"/>
  <c r="H61" i="43"/>
  <c r="I61" i="43" s="1"/>
  <c r="H60" i="43"/>
  <c r="I60" i="43" s="1"/>
  <c r="H58" i="43"/>
  <c r="I58" i="43" s="1"/>
  <c r="H57" i="43"/>
  <c r="I57" i="43" s="1"/>
  <c r="H51" i="43"/>
  <c r="I51" i="43" s="1"/>
  <c r="I50" i="43" s="1"/>
  <c r="H49" i="43"/>
  <c r="I49" i="43" s="1"/>
  <c r="H48" i="43"/>
  <c r="I48" i="43" s="1"/>
  <c r="H47" i="43"/>
  <c r="I47" i="43" s="1"/>
  <c r="H46" i="43"/>
  <c r="I46" i="43" s="1"/>
  <c r="H45" i="43"/>
  <c r="I45" i="43" s="1"/>
  <c r="H44" i="43"/>
  <c r="I44" i="43" s="1"/>
  <c r="H43" i="43"/>
  <c r="I43" i="43" s="1"/>
  <c r="H41" i="43"/>
  <c r="I41" i="43" s="1"/>
  <c r="H40" i="43"/>
  <c r="I40" i="43" s="1"/>
  <c r="H39" i="43"/>
  <c r="I39" i="43" s="1"/>
  <c r="H38" i="43"/>
  <c r="I38" i="43" s="1"/>
  <c r="H36" i="43"/>
  <c r="I36" i="43" s="1"/>
  <c r="H34" i="43"/>
  <c r="I34" i="43" s="1"/>
  <c r="H30" i="43"/>
  <c r="I30" i="43" s="1"/>
  <c r="H29" i="43"/>
  <c r="I29" i="43" s="1"/>
  <c r="H28" i="43"/>
  <c r="I28" i="43" s="1"/>
  <c r="H27" i="43"/>
  <c r="I27" i="43" s="1"/>
  <c r="H24" i="43"/>
  <c r="I24" i="43" s="1"/>
  <c r="H22" i="43"/>
  <c r="I22" i="43" s="1"/>
  <c r="H21" i="43"/>
  <c r="I21" i="43" s="1"/>
  <c r="H20" i="43"/>
  <c r="I20" i="43" s="1"/>
  <c r="H19" i="43"/>
  <c r="I19" i="43" s="1"/>
  <c r="H18" i="43"/>
  <c r="I18" i="43" s="1"/>
  <c r="H15" i="43"/>
  <c r="I15" i="43" s="1"/>
  <c r="H11" i="43"/>
  <c r="I11" i="43" s="1"/>
  <c r="I10" i="43" s="1"/>
  <c r="I9" i="43" s="1"/>
  <c r="F2053" i="17"/>
  <c r="J2053" i="17" s="1"/>
  <c r="F2047" i="17"/>
  <c r="J2047" i="17" s="1"/>
  <c r="J2033" i="17"/>
  <c r="J2027" i="17"/>
  <c r="J2016" i="17"/>
  <c r="I2042" i="17"/>
  <c r="J2041" i="17"/>
  <c r="J2042" i="17" s="1"/>
  <c r="K2040" i="17" s="1"/>
  <c r="M2040" i="17"/>
  <c r="I2054" i="17"/>
  <c r="G2052" i="17"/>
  <c r="F2051" i="17"/>
  <c r="F2052" i="17" s="1"/>
  <c r="M2050" i="17"/>
  <c r="I2048" i="17"/>
  <c r="G2046" i="17"/>
  <c r="I2045" i="17"/>
  <c r="I2046" i="17" s="1"/>
  <c r="I2051" i="17" s="1"/>
  <c r="I2052" i="17" s="1"/>
  <c r="F2045" i="17"/>
  <c r="F2046" i="17" s="1"/>
  <c r="M2044" i="17"/>
  <c r="I2038" i="17"/>
  <c r="J2037" i="17"/>
  <c r="J2038" i="17" s="1"/>
  <c r="K2036" i="17" s="1"/>
  <c r="M2036" i="17"/>
  <c r="I2034" i="17"/>
  <c r="J2032" i="17"/>
  <c r="J2031" i="17"/>
  <c r="M2030" i="17"/>
  <c r="I2028" i="17"/>
  <c r="J2026" i="17"/>
  <c r="M2025" i="17"/>
  <c r="I2023" i="17"/>
  <c r="M2019" i="17"/>
  <c r="I2017" i="17"/>
  <c r="J2015" i="17"/>
  <c r="M2014" i="17"/>
  <c r="I1885" i="17"/>
  <c r="J1884" i="17"/>
  <c r="J1883" i="17"/>
  <c r="J1882" i="17"/>
  <c r="J1881" i="17"/>
  <c r="J1880" i="17"/>
  <c r="M1879" i="17"/>
  <c r="I1797" i="17"/>
  <c r="J1796" i="17"/>
  <c r="J1797" i="17" s="1"/>
  <c r="K1795" i="17" s="1"/>
  <c r="N1795" i="17" s="1"/>
  <c r="M1795" i="17"/>
  <c r="E44" i="31" l="1"/>
  <c r="J2046" i="17"/>
  <c r="N2036" i="17"/>
  <c r="J2034" i="17"/>
  <c r="J2045" i="17"/>
  <c r="J2048" i="17" s="1"/>
  <c r="J2028" i="17"/>
  <c r="K2025" i="17" s="1"/>
  <c r="N2025" i="17" s="1"/>
  <c r="I452" i="43"/>
  <c r="I266" i="43"/>
  <c r="I323" i="43"/>
  <c r="I485" i="43"/>
  <c r="I249" i="43"/>
  <c r="I385" i="43"/>
  <c r="I42" i="43"/>
  <c r="I87" i="43"/>
  <c r="I90" i="43"/>
  <c r="I17" i="43"/>
  <c r="I26" i="43"/>
  <c r="I111" i="43"/>
  <c r="I343" i="43"/>
  <c r="I319" i="43"/>
  <c r="I377" i="43"/>
  <c r="I107" i="43"/>
  <c r="I114" i="43"/>
  <c r="I131" i="43"/>
  <c r="I82" i="43"/>
  <c r="I209" i="43"/>
  <c r="I173" i="43"/>
  <c r="I150" i="43"/>
  <c r="I153" i="43"/>
  <c r="I152" i="43" s="1"/>
  <c r="I198" i="43"/>
  <c r="I225" i="43"/>
  <c r="I245" i="43"/>
  <c r="I151" i="43"/>
  <c r="I200" i="43"/>
  <c r="I204" i="43"/>
  <c r="I202" i="43" s="1"/>
  <c r="I229" i="43"/>
  <c r="I227" i="43" s="1"/>
  <c r="I293" i="43"/>
  <c r="I470" i="43"/>
  <c r="I261" i="43"/>
  <c r="I279" i="43"/>
  <c r="I295" i="43"/>
  <c r="I299" i="43"/>
  <c r="I297" i="43" s="1"/>
  <c r="I303" i="43"/>
  <c r="I315" i="43"/>
  <c r="I318" i="43"/>
  <c r="I336" i="43"/>
  <c r="I446" i="43"/>
  <c r="I255" i="43"/>
  <c r="I284" i="43"/>
  <c r="I341" i="43"/>
  <c r="I395" i="43"/>
  <c r="I421" i="43"/>
  <c r="I420" i="43" s="1"/>
  <c r="I445" i="43"/>
  <c r="I443" i="43" s="1"/>
  <c r="I357" i="43"/>
  <c r="I358" i="43"/>
  <c r="I376" i="43"/>
  <c r="I391" i="43"/>
  <c r="I390" i="43"/>
  <c r="I403" i="43"/>
  <c r="I442" i="43"/>
  <c r="I440" i="43" s="1"/>
  <c r="I468" i="43"/>
  <c r="I467" i="43"/>
  <c r="I473" i="43"/>
  <c r="I474" i="43"/>
  <c r="I374" i="43"/>
  <c r="I394" i="43"/>
  <c r="I402" i="43"/>
  <c r="I401" i="43" s="1"/>
  <c r="I400" i="43" s="1"/>
  <c r="I469" i="43"/>
  <c r="J2052" i="17"/>
  <c r="G2022" i="17"/>
  <c r="J2022" i="17" s="1"/>
  <c r="J2017" i="17"/>
  <c r="K2014" i="17" s="1"/>
  <c r="N2014" i="17" s="1"/>
  <c r="N2040" i="17"/>
  <c r="K2030" i="17"/>
  <c r="N2030" i="17" s="1"/>
  <c r="K2044" i="17"/>
  <c r="N2044" i="17" s="1"/>
  <c r="G2021" i="17"/>
  <c r="J2021" i="17" s="1"/>
  <c r="J2051" i="17"/>
  <c r="J1885" i="17"/>
  <c r="K1879" i="17" s="1"/>
  <c r="N1879" i="17" s="1"/>
  <c r="G1740" i="17"/>
  <c r="I1739" i="17"/>
  <c r="F1739" i="17"/>
  <c r="F1740" i="17" s="1"/>
  <c r="G1735" i="17"/>
  <c r="I1734" i="17"/>
  <c r="F1734" i="17"/>
  <c r="F1735" i="17" s="1"/>
  <c r="I1741" i="17"/>
  <c r="M1738" i="17"/>
  <c r="I1736" i="17"/>
  <c r="M1733" i="17"/>
  <c r="I1731" i="17"/>
  <c r="J1730" i="17"/>
  <c r="J1731" i="17" s="1"/>
  <c r="K1729" i="17" s="1"/>
  <c r="M1729" i="17"/>
  <c r="I1727" i="17"/>
  <c r="J1726" i="17"/>
  <c r="J1725" i="17"/>
  <c r="M1724" i="17"/>
  <c r="I1722" i="17"/>
  <c r="J1721" i="17"/>
  <c r="J1722" i="17" s="1"/>
  <c r="M1720" i="17"/>
  <c r="I1718" i="17"/>
  <c r="M1714" i="17"/>
  <c r="I1712" i="17"/>
  <c r="J1711" i="17"/>
  <c r="J1712" i="17" s="1"/>
  <c r="M1710" i="17"/>
  <c r="I1634" i="17"/>
  <c r="J1633" i="17"/>
  <c r="J1632" i="17"/>
  <c r="J1631" i="17"/>
  <c r="J1630" i="17"/>
  <c r="J1629" i="17"/>
  <c r="J1628" i="17"/>
  <c r="J1627" i="17"/>
  <c r="J1626" i="17"/>
  <c r="M1625" i="17"/>
  <c r="J1645" i="17"/>
  <c r="J1646" i="17" s="1"/>
  <c r="K1644" i="17" s="1"/>
  <c r="I1646" i="17"/>
  <c r="M1644" i="17"/>
  <c r="J1577" i="17"/>
  <c r="J1576" i="17"/>
  <c r="J1575" i="17"/>
  <c r="J1574" i="17"/>
  <c r="J1573" i="17"/>
  <c r="J1572" i="17"/>
  <c r="I1578" i="17"/>
  <c r="M1570" i="17"/>
  <c r="J1504" i="17"/>
  <c r="J1505" i="17" s="1"/>
  <c r="K1503" i="17" s="1"/>
  <c r="I1505" i="17"/>
  <c r="M1503" i="17"/>
  <c r="J1381" i="17"/>
  <c r="J1380" i="17"/>
  <c r="J1379" i="17"/>
  <c r="J1378" i="17"/>
  <c r="J1385" i="17"/>
  <c r="J1384" i="17"/>
  <c r="J1383" i="17"/>
  <c r="J1382" i="17"/>
  <c r="I1387" i="17"/>
  <c r="J1386" i="17"/>
  <c r="J1377" i="17"/>
  <c r="M1376" i="17"/>
  <c r="J1350" i="17"/>
  <c r="J1349" i="17"/>
  <c r="J1348" i="17"/>
  <c r="I1351" i="17"/>
  <c r="M1347" i="17"/>
  <c r="J1225" i="17"/>
  <c r="I1227" i="17"/>
  <c r="J1226" i="17"/>
  <c r="J1224" i="17"/>
  <c r="J1223" i="17"/>
  <c r="J1222" i="17"/>
  <c r="J1221" i="17"/>
  <c r="M1219" i="17"/>
  <c r="J1048" i="17"/>
  <c r="J1047" i="17"/>
  <c r="J1046" i="17"/>
  <c r="J1045" i="17"/>
  <c r="J1044" i="17"/>
  <c r="I1049" i="17"/>
  <c r="M1043" i="17"/>
  <c r="J2054" i="17" l="1"/>
  <c r="I34" i="45"/>
  <c r="I32" i="45" s="1"/>
  <c r="G2020" i="17"/>
  <c r="J2020" i="17" s="1"/>
  <c r="J2023" i="17" s="1"/>
  <c r="K2019" i="17" s="1"/>
  <c r="N2019" i="17" s="1"/>
  <c r="J1740" i="17"/>
  <c r="J1734" i="17"/>
  <c r="I465" i="43"/>
  <c r="I388" i="43"/>
  <c r="I149" i="43"/>
  <c r="I306" i="43"/>
  <c r="I304" i="43"/>
  <c r="K2050" i="17"/>
  <c r="N2050" i="17" s="1"/>
  <c r="J1735" i="17"/>
  <c r="J1739" i="17"/>
  <c r="J1741" i="17" s="1"/>
  <c r="K1738" i="17" s="1"/>
  <c r="N1738" i="17" s="1"/>
  <c r="J1727" i="17"/>
  <c r="K1724" i="17" s="1"/>
  <c r="N1724" i="17" s="1"/>
  <c r="J1578" i="17"/>
  <c r="K1570" i="17" s="1"/>
  <c r="N1570" i="17" s="1"/>
  <c r="N1729" i="17"/>
  <c r="K1710" i="17"/>
  <c r="N1710" i="17" s="1"/>
  <c r="G1715" i="17"/>
  <c r="J1715" i="17" s="1"/>
  <c r="G1716" i="17"/>
  <c r="J1716" i="17" s="1"/>
  <c r="K1720" i="17"/>
  <c r="N1720" i="17" s="1"/>
  <c r="N1644" i="17"/>
  <c r="J1634" i="17"/>
  <c r="K1625" i="17" s="1"/>
  <c r="N1625" i="17" s="1"/>
  <c r="N1503" i="17"/>
  <c r="J1351" i="17"/>
  <c r="K1347" i="17" s="1"/>
  <c r="N1347" i="17" s="1"/>
  <c r="J1387" i="17"/>
  <c r="K1376" i="17" s="1"/>
  <c r="N1376" i="17" s="1"/>
  <c r="J1049" i="17"/>
  <c r="K1043" i="17" s="1"/>
  <c r="N1043" i="17" s="1"/>
  <c r="J1227" i="17"/>
  <c r="K1219" i="17" s="1"/>
  <c r="N1219" i="17" s="1"/>
  <c r="A6" i="34"/>
  <c r="A5" i="34"/>
  <c r="A4" i="34"/>
  <c r="B8" i="36"/>
  <c r="B7" i="36"/>
  <c r="B6" i="36"/>
  <c r="A5" i="41"/>
  <c r="A4" i="41"/>
  <c r="I87" i="17"/>
  <c r="J86" i="17"/>
  <c r="J85" i="17"/>
  <c r="M84" i="17"/>
  <c r="I76" i="17"/>
  <c r="J75" i="17"/>
  <c r="J74" i="17"/>
  <c r="J73" i="17"/>
  <c r="M72" i="17"/>
  <c r="J1736" i="17" l="1"/>
  <c r="K1733" i="17" s="1"/>
  <c r="N1733" i="17" s="1"/>
  <c r="I301" i="43"/>
  <c r="N2010" i="17"/>
  <c r="G1717" i="17"/>
  <c r="J1717" i="17" s="1"/>
  <c r="J1718" i="17" s="1"/>
  <c r="K1714" i="17" s="1"/>
  <c r="N1714" i="17" s="1"/>
  <c r="J76" i="17"/>
  <c r="K72" i="17" s="1"/>
  <c r="N72" i="17" s="1"/>
  <c r="J87" i="17"/>
  <c r="K84" i="17" s="1"/>
  <c r="N84" i="17" s="1"/>
  <c r="C18" i="47" l="1"/>
  <c r="I1989" i="17"/>
  <c r="J1988" i="17"/>
  <c r="J1989" i="17" s="1"/>
  <c r="K1987" i="17" s="1"/>
  <c r="M1987" i="17"/>
  <c r="I1985" i="17"/>
  <c r="J1984" i="17"/>
  <c r="J1985" i="17" s="1"/>
  <c r="K1983" i="17" s="1"/>
  <c r="M1983" i="17"/>
  <c r="I1905" i="17"/>
  <c r="J1904" i="17"/>
  <c r="J1905" i="17" s="1"/>
  <c r="K1903" i="17" s="1"/>
  <c r="M1903" i="17"/>
  <c r="I1901" i="17"/>
  <c r="J1900" i="17"/>
  <c r="J1901" i="17" s="1"/>
  <c r="K1899" i="17" s="1"/>
  <c r="M1899" i="17"/>
  <c r="I1805" i="17"/>
  <c r="J1804" i="17"/>
  <c r="J1805" i="17" s="1"/>
  <c r="K1803" i="17" s="1"/>
  <c r="M1803" i="17"/>
  <c r="I1801" i="17"/>
  <c r="J1800" i="17"/>
  <c r="J1801" i="17" s="1"/>
  <c r="K1799" i="17" s="1"/>
  <c r="M1799" i="17"/>
  <c r="I1654" i="17"/>
  <c r="J1653" i="17"/>
  <c r="J1654" i="17" s="1"/>
  <c r="K1652" i="17" s="1"/>
  <c r="M1652" i="17"/>
  <c r="I1650" i="17"/>
  <c r="J1649" i="17"/>
  <c r="J1650" i="17" s="1"/>
  <c r="K1648" i="17" s="1"/>
  <c r="M1648" i="17"/>
  <c r="I1595" i="17"/>
  <c r="J1594" i="17"/>
  <c r="J1595" i="17" s="1"/>
  <c r="K1593" i="17" s="1"/>
  <c r="M1593" i="17"/>
  <c r="I1591" i="17"/>
  <c r="J1590" i="17"/>
  <c r="J1591" i="17" s="1"/>
  <c r="K1589" i="17" s="1"/>
  <c r="M1589" i="17"/>
  <c r="I1402" i="17"/>
  <c r="J1401" i="17"/>
  <c r="J1402" i="17" s="1"/>
  <c r="K1400" i="17" s="1"/>
  <c r="M1400" i="17"/>
  <c r="I1398" i="17"/>
  <c r="J1397" i="17"/>
  <c r="J1398" i="17" s="1"/>
  <c r="K1396" i="17" s="1"/>
  <c r="M1396" i="17"/>
  <c r="I1250" i="17"/>
  <c r="J1249" i="17"/>
  <c r="J1250" i="17" s="1"/>
  <c r="K1248" i="17" s="1"/>
  <c r="M1248" i="17"/>
  <c r="I1246" i="17"/>
  <c r="J1245" i="17"/>
  <c r="J1246" i="17" s="1"/>
  <c r="K1244" i="17" s="1"/>
  <c r="M1244" i="17"/>
  <c r="I1162" i="17"/>
  <c r="J1161" i="17"/>
  <c r="J1162" i="17" s="1"/>
  <c r="K1160" i="17" s="1"/>
  <c r="M1160" i="17"/>
  <c r="I1158" i="17"/>
  <c r="J1157" i="17"/>
  <c r="J1158" i="17" s="1"/>
  <c r="K1156" i="17" s="1"/>
  <c r="M1156" i="17"/>
  <c r="I992" i="17"/>
  <c r="J991" i="17"/>
  <c r="J992" i="17" s="1"/>
  <c r="K990" i="17" s="1"/>
  <c r="M990" i="17"/>
  <c r="I988" i="17"/>
  <c r="J987" i="17"/>
  <c r="J988" i="17" s="1"/>
  <c r="K986" i="17" s="1"/>
  <c r="M986" i="17"/>
  <c r="I885" i="17"/>
  <c r="J884" i="17"/>
  <c r="J885" i="17" s="1"/>
  <c r="K883" i="17" s="1"/>
  <c r="M883" i="17"/>
  <c r="I881" i="17"/>
  <c r="J880" i="17"/>
  <c r="J881" i="17" s="1"/>
  <c r="K879" i="17" s="1"/>
  <c r="M879" i="17"/>
  <c r="I757" i="17"/>
  <c r="J756" i="17"/>
  <c r="J757" i="17" s="1"/>
  <c r="K755" i="17" s="1"/>
  <c r="M755" i="17"/>
  <c r="I753" i="17"/>
  <c r="J752" i="17"/>
  <c r="J753" i="17" s="1"/>
  <c r="K751" i="17" s="1"/>
  <c r="M751" i="17"/>
  <c r="I648" i="17"/>
  <c r="J647" i="17"/>
  <c r="J648" i="17" s="1"/>
  <c r="K646" i="17" s="1"/>
  <c r="M646" i="17"/>
  <c r="I644" i="17"/>
  <c r="J643" i="17"/>
  <c r="J644" i="17" s="1"/>
  <c r="K642" i="17" s="1"/>
  <c r="M642" i="17"/>
  <c r="I576" i="17"/>
  <c r="J575" i="17"/>
  <c r="J576" i="17" s="1"/>
  <c r="K574" i="17" s="1"/>
  <c r="M574" i="17"/>
  <c r="I572" i="17"/>
  <c r="J571" i="17"/>
  <c r="J572" i="17" s="1"/>
  <c r="K570" i="17" s="1"/>
  <c r="M570" i="17"/>
  <c r="I472" i="17"/>
  <c r="J471" i="17"/>
  <c r="J472" i="17" s="1"/>
  <c r="K470" i="17" s="1"/>
  <c r="M470" i="17"/>
  <c r="I468" i="17"/>
  <c r="J467" i="17"/>
  <c r="J468" i="17" s="1"/>
  <c r="K466" i="17" s="1"/>
  <c r="M466" i="17"/>
  <c r="I354" i="17"/>
  <c r="J353" i="17"/>
  <c r="J354" i="17" s="1"/>
  <c r="K352" i="17" s="1"/>
  <c r="M352" i="17"/>
  <c r="I350" i="17"/>
  <c r="J349" i="17"/>
  <c r="J350" i="17" s="1"/>
  <c r="K348" i="17" s="1"/>
  <c r="M348" i="17"/>
  <c r="I144" i="17"/>
  <c r="J143" i="17"/>
  <c r="J144" i="17" s="1"/>
  <c r="K142" i="17" s="1"/>
  <c r="M142" i="17"/>
  <c r="I140" i="17"/>
  <c r="J139" i="17"/>
  <c r="J140" i="17" s="1"/>
  <c r="K138" i="17" s="1"/>
  <c r="M138" i="17"/>
  <c r="C19" i="31" l="1"/>
  <c r="N1648" i="17"/>
  <c r="N1899" i="17"/>
  <c r="N1589" i="17"/>
  <c r="N1983" i="17"/>
  <c r="N1903" i="17"/>
  <c r="N1987" i="17"/>
  <c r="N574" i="17"/>
  <c r="N1799" i="17"/>
  <c r="N646" i="17"/>
  <c r="N755" i="17"/>
  <c r="N883" i="17"/>
  <c r="N1593" i="17"/>
  <c r="N1652" i="17"/>
  <c r="N1803" i="17"/>
  <c r="N138" i="17"/>
  <c r="N348" i="17"/>
  <c r="N466" i="17"/>
  <c r="N570" i="17"/>
  <c r="N642" i="17"/>
  <c r="N751" i="17"/>
  <c r="N879" i="17"/>
  <c r="N986" i="17"/>
  <c r="N1156" i="17"/>
  <c r="N1244" i="17"/>
  <c r="N1396" i="17"/>
  <c r="N990" i="17"/>
  <c r="N1160" i="17"/>
  <c r="N1248" i="17"/>
  <c r="N1400" i="17"/>
  <c r="N142" i="17"/>
  <c r="N352" i="17"/>
  <c r="N470" i="17"/>
  <c r="I19" i="31" l="1"/>
  <c r="I41" i="31" s="1"/>
  <c r="G19" i="31"/>
  <c r="G41" i="31" s="1"/>
  <c r="I1080" i="17"/>
  <c r="J1079" i="17"/>
  <c r="J1080" i="17" s="1"/>
  <c r="K1078" i="17" s="1"/>
  <c r="M1078" i="17"/>
  <c r="I1076" i="17"/>
  <c r="J1075" i="17"/>
  <c r="J1076" i="17" s="1"/>
  <c r="K1074" i="17" s="1"/>
  <c r="M1074" i="17"/>
  <c r="I1072" i="17"/>
  <c r="J1071" i="17"/>
  <c r="J1070" i="17"/>
  <c r="J1069" i="17"/>
  <c r="J1068" i="17"/>
  <c r="J1067" i="17"/>
  <c r="M1065" i="17"/>
  <c r="I975" i="17"/>
  <c r="J974" i="17"/>
  <c r="J973" i="17"/>
  <c r="M972" i="17"/>
  <c r="J840" i="17"/>
  <c r="J839" i="17"/>
  <c r="J838" i="17"/>
  <c r="J837" i="17"/>
  <c r="J836" i="17"/>
  <c r="I869" i="17"/>
  <c r="J868" i="17"/>
  <c r="J867" i="17"/>
  <c r="J866" i="17"/>
  <c r="J865" i="17"/>
  <c r="J864" i="17"/>
  <c r="M862" i="17"/>
  <c r="I851" i="17"/>
  <c r="J850" i="17"/>
  <c r="J849" i="17"/>
  <c r="M848" i="17"/>
  <c r="J803" i="17"/>
  <c r="J802" i="17"/>
  <c r="J801" i="17"/>
  <c r="J800" i="17"/>
  <c r="J799" i="17"/>
  <c r="I804" i="17"/>
  <c r="M798" i="17"/>
  <c r="I796" i="17"/>
  <c r="J795" i="17"/>
  <c r="J794" i="17"/>
  <c r="M793" i="17"/>
  <c r="J748" i="17"/>
  <c r="J747" i="17"/>
  <c r="J746" i="17"/>
  <c r="J745" i="17"/>
  <c r="J744" i="17"/>
  <c r="J743" i="17"/>
  <c r="J742" i="17"/>
  <c r="J741" i="17"/>
  <c r="I749" i="17"/>
  <c r="M739" i="17"/>
  <c r="I725" i="17"/>
  <c r="J724" i="17"/>
  <c r="J723" i="17"/>
  <c r="J722" i="17"/>
  <c r="M721" i="17"/>
  <c r="I640" i="17"/>
  <c r="J639" i="17"/>
  <c r="J638" i="17"/>
  <c r="J637" i="17"/>
  <c r="M635" i="17"/>
  <c r="I621" i="17"/>
  <c r="J620" i="17"/>
  <c r="J619" i="17"/>
  <c r="J618" i="17"/>
  <c r="M617" i="17"/>
  <c r="I564" i="17"/>
  <c r="J563" i="17"/>
  <c r="J562" i="17"/>
  <c r="J561" i="17"/>
  <c r="J560" i="17"/>
  <c r="M558" i="17"/>
  <c r="I548" i="17"/>
  <c r="J547" i="17"/>
  <c r="J546" i="17"/>
  <c r="J545" i="17"/>
  <c r="M544" i="17"/>
  <c r="G44" i="31" l="1"/>
  <c r="J851" i="17"/>
  <c r="K848" i="17" s="1"/>
  <c r="N848" i="17" s="1"/>
  <c r="J975" i="17"/>
  <c r="K972" i="17" s="1"/>
  <c r="N972" i="17" s="1"/>
  <c r="N1078" i="17"/>
  <c r="N1074" i="17"/>
  <c r="J1072" i="17"/>
  <c r="K1065" i="17" s="1"/>
  <c r="N1065" i="17" s="1"/>
  <c r="J804" i="17"/>
  <c r="K798" i="17" s="1"/>
  <c r="N798" i="17" s="1"/>
  <c r="J869" i="17"/>
  <c r="K862" i="17" s="1"/>
  <c r="N862" i="17" s="1"/>
  <c r="J749" i="17"/>
  <c r="K739" i="17" s="1"/>
  <c r="N739" i="17" s="1"/>
  <c r="J796" i="17"/>
  <c r="K793" i="17" s="1"/>
  <c r="N793" i="17" s="1"/>
  <c r="J725" i="17"/>
  <c r="K721" i="17" s="1"/>
  <c r="N721" i="17" s="1"/>
  <c r="J640" i="17"/>
  <c r="K635" i="17" s="1"/>
  <c r="N635" i="17" s="1"/>
  <c r="J621" i="17"/>
  <c r="K617" i="17" s="1"/>
  <c r="N617" i="17" s="1"/>
  <c r="J548" i="17"/>
  <c r="K544" i="17" s="1"/>
  <c r="N544" i="17" s="1"/>
  <c r="J564" i="17"/>
  <c r="K558" i="17" s="1"/>
  <c r="N558" i="17" s="1"/>
  <c r="I447" i="17"/>
  <c r="J446" i="17"/>
  <c r="J445" i="17"/>
  <c r="J444" i="17"/>
  <c r="M443" i="17"/>
  <c r="I435" i="17"/>
  <c r="J434" i="17"/>
  <c r="J433" i="17"/>
  <c r="J432" i="17"/>
  <c r="J431" i="17"/>
  <c r="M429" i="17"/>
  <c r="I346" i="17"/>
  <c r="M344" i="17"/>
  <c r="J328" i="17"/>
  <c r="J327" i="17"/>
  <c r="J326" i="17"/>
  <c r="J325" i="17"/>
  <c r="I329" i="17"/>
  <c r="M324" i="17"/>
  <c r="J314" i="17"/>
  <c r="J313" i="17"/>
  <c r="J312" i="17"/>
  <c r="J311" i="17"/>
  <c r="J310" i="17"/>
  <c r="J309" i="17"/>
  <c r="J308" i="17"/>
  <c r="J307" i="17"/>
  <c r="J306" i="17"/>
  <c r="J305" i="17"/>
  <c r="I315" i="17"/>
  <c r="M303" i="17"/>
  <c r="I44" i="31" l="1"/>
  <c r="J329" i="17"/>
  <c r="K324" i="17" s="1"/>
  <c r="N324" i="17" s="1"/>
  <c r="J447" i="17"/>
  <c r="K443" i="17" s="1"/>
  <c r="N443" i="17" s="1"/>
  <c r="J435" i="17"/>
  <c r="K429" i="17" s="1"/>
  <c r="N429" i="17" s="1"/>
  <c r="J315" i="17"/>
  <c r="K303" i="17" s="1"/>
  <c r="N303" i="17" s="1"/>
  <c r="D269" i="17"/>
  <c r="I272" i="17"/>
  <c r="J271" i="17"/>
  <c r="J272" i="17" s="1"/>
  <c r="K269" i="17" s="1"/>
  <c r="D264" i="17"/>
  <c r="I267" i="17"/>
  <c r="J266" i="17"/>
  <c r="J267" i="17" s="1"/>
  <c r="K264" i="17" s="1"/>
  <c r="I225" i="17"/>
  <c r="J224" i="17"/>
  <c r="J223" i="17"/>
  <c r="J222" i="17"/>
  <c r="M221" i="17"/>
  <c r="J212" i="17"/>
  <c r="J211" i="17"/>
  <c r="J210" i="17"/>
  <c r="J209" i="17"/>
  <c r="J208" i="17"/>
  <c r="I213" i="17"/>
  <c r="M206" i="17"/>
  <c r="J135" i="17"/>
  <c r="J136" i="17" s="1"/>
  <c r="K133" i="17" s="1"/>
  <c r="I113" i="17"/>
  <c r="J112" i="17"/>
  <c r="J111" i="17"/>
  <c r="J110" i="17"/>
  <c r="M109" i="17"/>
  <c r="J1698" i="17"/>
  <c r="J1697" i="17"/>
  <c r="I136" i="17"/>
  <c r="M133" i="17"/>
  <c r="M2066" i="17"/>
  <c r="K2066" i="17"/>
  <c r="D259" i="17"/>
  <c r="I262" i="17"/>
  <c r="J261" i="17"/>
  <c r="G87" i="41"/>
  <c r="G86" i="41"/>
  <c r="G85" i="41"/>
  <c r="G84" i="41"/>
  <c r="G71" i="41"/>
  <c r="G74" i="41"/>
  <c r="G73" i="41"/>
  <c r="G72" i="41"/>
  <c r="G61" i="41"/>
  <c r="G60" i="41"/>
  <c r="G59" i="41"/>
  <c r="I1958" i="17"/>
  <c r="J1957" i="17"/>
  <c r="J1958" i="17" s="1"/>
  <c r="K1956" i="17" s="1"/>
  <c r="M1956" i="17"/>
  <c r="I1954" i="17"/>
  <c r="J1953" i="17"/>
  <c r="J1954" i="17" s="1"/>
  <c r="K1952" i="17" s="1"/>
  <c r="M1952" i="17"/>
  <c r="I1941" i="17"/>
  <c r="J1940" i="17"/>
  <c r="J1941" i="17" s="1"/>
  <c r="K1939" i="17" s="1"/>
  <c r="M1939" i="17"/>
  <c r="J276" i="17"/>
  <c r="J275" i="17"/>
  <c r="I257" i="17"/>
  <c r="J256" i="17"/>
  <c r="J255" i="17"/>
  <c r="I92" i="17"/>
  <c r="J91" i="17"/>
  <c r="J90" i="17"/>
  <c r="M89" i="17"/>
  <c r="K44" i="31" l="1"/>
  <c r="G88" i="41"/>
  <c r="G80" i="41" s="1"/>
  <c r="J213" i="17"/>
  <c r="K206" i="17" s="1"/>
  <c r="N206" i="17" s="1"/>
  <c r="J225" i="17"/>
  <c r="K221" i="17" s="1"/>
  <c r="N221" i="17" s="1"/>
  <c r="J113" i="17"/>
  <c r="K109" i="17" s="1"/>
  <c r="N109" i="17" s="1"/>
  <c r="J262" i="17"/>
  <c r="K259" i="17" s="1"/>
  <c r="N2066" i="17"/>
  <c r="N1956" i="17"/>
  <c r="N133" i="17"/>
  <c r="G75" i="41"/>
  <c r="G62" i="41"/>
  <c r="N1952" i="17"/>
  <c r="J257" i="17"/>
  <c r="K254" i="17" s="1"/>
  <c r="J277" i="17"/>
  <c r="N1939" i="17"/>
  <c r="J92" i="17"/>
  <c r="K89" i="17" s="1"/>
  <c r="N89" i="17" s="1"/>
  <c r="G69" i="43" l="1"/>
  <c r="H69" i="43" s="1"/>
  <c r="I69" i="43" s="1"/>
  <c r="L269" i="17"/>
  <c r="M269" i="17" s="1"/>
  <c r="N269" i="17" s="1"/>
  <c r="G70" i="43"/>
  <c r="H70" i="43" s="1"/>
  <c r="I70" i="43" s="1"/>
  <c r="G68" i="43"/>
  <c r="H68" i="43" s="1"/>
  <c r="I68" i="43" s="1"/>
  <c r="G55" i="41"/>
  <c r="L259" i="17"/>
  <c r="M259" i="17" s="1"/>
  <c r="N259" i="17" s="1"/>
  <c r="G67" i="41"/>
  <c r="L264" i="17"/>
  <c r="M264" i="17" s="1"/>
  <c r="N264" i="17" s="1"/>
  <c r="N1950" i="17"/>
  <c r="I82" i="17"/>
  <c r="J81" i="17"/>
  <c r="J80" i="17"/>
  <c r="J79" i="17"/>
  <c r="M78" i="17"/>
  <c r="J1356" i="17"/>
  <c r="J1355" i="17"/>
  <c r="I1357" i="17"/>
  <c r="J1354" i="17"/>
  <c r="M1353" i="17"/>
  <c r="J1315" i="17"/>
  <c r="J1309" i="17"/>
  <c r="J1303" i="17"/>
  <c r="I1330" i="17"/>
  <c r="M1326" i="17"/>
  <c r="J1338" i="17"/>
  <c r="I1334" i="17"/>
  <c r="J1333" i="17"/>
  <c r="J1334" i="17" s="1"/>
  <c r="K1332" i="17" s="1"/>
  <c r="M1332" i="17"/>
  <c r="I1324" i="17"/>
  <c r="J1323" i="17"/>
  <c r="J1324" i="17" s="1"/>
  <c r="K1322" i="17" s="1"/>
  <c r="M1322" i="17"/>
  <c r="I1339" i="17"/>
  <c r="J1337" i="17"/>
  <c r="M1336" i="17"/>
  <c r="I1343" i="17"/>
  <c r="J1342" i="17"/>
  <c r="M1341" i="17"/>
  <c r="J82" i="17" l="1"/>
  <c r="K78" i="17" s="1"/>
  <c r="N78" i="17" s="1"/>
  <c r="N70" i="17" s="1"/>
  <c r="G1327" i="17"/>
  <c r="J1327" i="17" s="1"/>
  <c r="J1357" i="17"/>
  <c r="J1339" i="17"/>
  <c r="G1329" i="17" s="1"/>
  <c r="J1329" i="17" s="1"/>
  <c r="G1328" i="17"/>
  <c r="J1328" i="17" s="1"/>
  <c r="N1332" i="17"/>
  <c r="N1322" i="17"/>
  <c r="J1343" i="17"/>
  <c r="K1341" i="17" s="1"/>
  <c r="N1341" i="17" s="1"/>
  <c r="J600" i="17"/>
  <c r="K1336" i="17" l="1"/>
  <c r="N1336" i="17" s="1"/>
  <c r="K1353" i="17"/>
  <c r="N1353" i="17" s="1"/>
  <c r="J1330" i="17"/>
  <c r="K1326" i="17" s="1"/>
  <c r="N1326" i="17" s="1"/>
  <c r="J1864" i="17"/>
  <c r="J1857" i="17"/>
  <c r="J1856" i="17"/>
  <c r="J1855" i="17"/>
  <c r="I1858" i="17"/>
  <c r="M1853" i="17"/>
  <c r="J1703" i="17"/>
  <c r="J1537" i="17"/>
  <c r="J1454" i="17"/>
  <c r="J1455" i="17"/>
  <c r="J1456" i="17"/>
  <c r="I1412" i="17"/>
  <c r="J1274" i="17"/>
  <c r="J1273" i="17"/>
  <c r="J1272" i="17"/>
  <c r="J1271" i="17"/>
  <c r="I1275" i="17"/>
  <c r="M1269" i="17"/>
  <c r="M1209" i="17"/>
  <c r="M1136" i="17"/>
  <c r="J908" i="17"/>
  <c r="I783" i="17"/>
  <c r="J782" i="17"/>
  <c r="J783" i="17" s="1"/>
  <c r="K781" i="17" s="1"/>
  <c r="I686" i="17"/>
  <c r="J685" i="17"/>
  <c r="J686" i="17" s="1"/>
  <c r="K684" i="17" s="1"/>
  <c r="J414" i="17"/>
  <c r="J413" i="17"/>
  <c r="J412" i="17"/>
  <c r="J411" i="17"/>
  <c r="J410" i="17"/>
  <c r="J409" i="17"/>
  <c r="J408" i="17"/>
  <c r="J407" i="17"/>
  <c r="J406" i="17"/>
  <c r="J405" i="17"/>
  <c r="I415" i="17"/>
  <c r="M403" i="17"/>
  <c r="J532" i="17"/>
  <c r="J531" i="17"/>
  <c r="J530" i="17"/>
  <c r="J529" i="17"/>
  <c r="J528" i="17"/>
  <c r="I533" i="17"/>
  <c r="M526" i="17"/>
  <c r="J488" i="17"/>
  <c r="J487" i="17"/>
  <c r="J483" i="17"/>
  <c r="J360" i="17"/>
  <c r="M197" i="17"/>
  <c r="I233" i="17"/>
  <c r="J232" i="17"/>
  <c r="J233" i="17" s="1"/>
  <c r="K231" i="17" s="1"/>
  <c r="M231" i="17"/>
  <c r="I229" i="17"/>
  <c r="J228" i="17"/>
  <c r="J229" i="17" s="1"/>
  <c r="K227" i="17" s="1"/>
  <c r="M227" i="17"/>
  <c r="J190" i="17"/>
  <c r="I191" i="17"/>
  <c r="J189" i="17"/>
  <c r="J40" i="17"/>
  <c r="G49" i="41"/>
  <c r="G48" i="41"/>
  <c r="G47" i="41"/>
  <c r="G46" i="41"/>
  <c r="G45" i="41"/>
  <c r="G35" i="41"/>
  <c r="E34" i="41"/>
  <c r="G34" i="41" s="1"/>
  <c r="E33" i="41"/>
  <c r="G33" i="41" s="1"/>
  <c r="G32" i="41"/>
  <c r="E31" i="41"/>
  <c r="G31" i="41" s="1"/>
  <c r="E30" i="41"/>
  <c r="G30" i="41" s="1"/>
  <c r="E29" i="41"/>
  <c r="G29" i="41" s="1"/>
  <c r="E28" i="41"/>
  <c r="G28" i="41" s="1"/>
  <c r="E27" i="41"/>
  <c r="G27" i="41" s="1"/>
  <c r="G17" i="41"/>
  <c r="G16" i="41"/>
  <c r="B4" i="41"/>
  <c r="N1318" i="17" l="1"/>
  <c r="G18" i="41"/>
  <c r="J1858" i="17"/>
  <c r="K1853" i="17" s="1"/>
  <c r="N1853" i="17" s="1"/>
  <c r="N1851" i="17" s="1"/>
  <c r="J1275" i="17"/>
  <c r="K1269" i="17" s="1"/>
  <c r="N1269" i="17" s="1"/>
  <c r="N1267" i="17" s="1"/>
  <c r="J489" i="17"/>
  <c r="J415" i="17"/>
  <c r="K403" i="17" s="1"/>
  <c r="N403" i="17" s="1"/>
  <c r="N401" i="17" s="1"/>
  <c r="J191" i="17"/>
  <c r="K188" i="17" s="1"/>
  <c r="N231" i="17"/>
  <c r="J533" i="17"/>
  <c r="K526" i="17" s="1"/>
  <c r="N526" i="17" s="1"/>
  <c r="N524" i="17" s="1"/>
  <c r="N227" i="17"/>
  <c r="G50" i="41"/>
  <c r="G36" i="41"/>
  <c r="L482" i="48" l="1"/>
  <c r="M482" i="48" s="1"/>
  <c r="N482" i="48" s="1"/>
  <c r="L804" i="48"/>
  <c r="M804" i="48" s="1"/>
  <c r="N804" i="48" s="1"/>
  <c r="N802" i="48" s="1"/>
  <c r="L533" i="48"/>
  <c r="M533" i="48" s="1"/>
  <c r="N533" i="48" s="1"/>
  <c r="L1474" i="48"/>
  <c r="M1474" i="48" s="1"/>
  <c r="N1474" i="48" s="1"/>
  <c r="L1086" i="48"/>
  <c r="M1086" i="48" s="1"/>
  <c r="N1086" i="48" s="1"/>
  <c r="L373" i="48"/>
  <c r="M373" i="48" s="1"/>
  <c r="N373" i="48" s="1"/>
  <c r="L260" i="48"/>
  <c r="M260" i="48" s="1"/>
  <c r="N260" i="48" s="1"/>
  <c r="L746" i="48"/>
  <c r="M746" i="48" s="1"/>
  <c r="N746" i="48" s="1"/>
  <c r="L1154" i="48"/>
  <c r="M1154" i="48" s="1"/>
  <c r="N1154" i="48" s="1"/>
  <c r="L966" i="48"/>
  <c r="M966" i="48" s="1"/>
  <c r="N966" i="48" s="1"/>
  <c r="N964" i="48" s="1"/>
  <c r="L842" i="48"/>
  <c r="M842" i="48" s="1"/>
  <c r="N842" i="48" s="1"/>
  <c r="L474" i="48"/>
  <c r="M474" i="48" s="1"/>
  <c r="N474" i="48" s="1"/>
  <c r="L1217" i="48"/>
  <c r="M1217" i="48" s="1"/>
  <c r="N1217" i="48" s="1"/>
  <c r="L641" i="48"/>
  <c r="M641" i="48" s="1"/>
  <c r="N641" i="48" s="1"/>
  <c r="N633" i="48" s="1"/>
  <c r="N631" i="48" s="1"/>
  <c r="L571" i="48"/>
  <c r="M571" i="48" s="1"/>
  <c r="N571" i="48" s="1"/>
  <c r="L272" i="48"/>
  <c r="M272" i="48" s="1"/>
  <c r="N272" i="48" s="1"/>
  <c r="L1239" i="48"/>
  <c r="M1239" i="48" s="1"/>
  <c r="N1239" i="48" s="1"/>
  <c r="L1183" i="48"/>
  <c r="M1183" i="48" s="1"/>
  <c r="N1183" i="48" s="1"/>
  <c r="L1079" i="48"/>
  <c r="M1079" i="48" s="1"/>
  <c r="N1079" i="48" s="1"/>
  <c r="N1072" i="48" s="1"/>
  <c r="L753" i="48"/>
  <c r="M753" i="48" s="1"/>
  <c r="N753" i="48" s="1"/>
  <c r="L654" i="48"/>
  <c r="M654" i="48" s="1"/>
  <c r="N654" i="48" s="1"/>
  <c r="L582" i="48"/>
  <c r="M582" i="48" s="1"/>
  <c r="N582" i="48" s="1"/>
  <c r="L560" i="48"/>
  <c r="M560" i="48" s="1"/>
  <c r="N560" i="48" s="1"/>
  <c r="L500" i="48"/>
  <c r="M500" i="48" s="1"/>
  <c r="N500" i="48" s="1"/>
  <c r="L1490" i="48"/>
  <c r="M1490" i="48" s="1"/>
  <c r="N1490" i="48" s="1"/>
  <c r="L992" i="48"/>
  <c r="M992" i="48" s="1"/>
  <c r="N992" i="48" s="1"/>
  <c r="L1390" i="48"/>
  <c r="M1390" i="48" s="1"/>
  <c r="N1390" i="48" s="1"/>
  <c r="N1384" i="48" s="1"/>
  <c r="N1382" i="48" s="1"/>
  <c r="L39" i="48"/>
  <c r="M39" i="48" s="1"/>
  <c r="N39" i="48" s="1"/>
  <c r="N20" i="48" s="1"/>
  <c r="N18" i="48" s="1"/>
  <c r="L470" i="48"/>
  <c r="M470" i="48" s="1"/>
  <c r="N470" i="48" s="1"/>
  <c r="L385" i="48"/>
  <c r="M385" i="48" s="1"/>
  <c r="N385" i="48" s="1"/>
  <c r="L1576" i="48"/>
  <c r="M1576" i="48" s="1"/>
  <c r="N1576" i="48" s="1"/>
  <c r="N1565" i="48" s="1"/>
  <c r="L1596" i="48"/>
  <c r="M1596" i="48" s="1"/>
  <c r="N1596" i="48" s="1"/>
  <c r="N1594" i="48" s="1"/>
  <c r="L889" i="48"/>
  <c r="M889" i="48" s="1"/>
  <c r="N889" i="48" s="1"/>
  <c r="N880" i="48" s="1"/>
  <c r="L1137" i="48"/>
  <c r="M1137" i="48" s="1"/>
  <c r="N1137" i="48" s="1"/>
  <c r="N1128" i="48" s="1"/>
  <c r="L796" i="48"/>
  <c r="M796" i="48" s="1"/>
  <c r="N796" i="48" s="1"/>
  <c r="N794" i="48" s="1"/>
  <c r="L618" i="48"/>
  <c r="M618" i="48" s="1"/>
  <c r="N618" i="48" s="1"/>
  <c r="N616" i="48" s="1"/>
  <c r="L443" i="48"/>
  <c r="M443" i="48" s="1"/>
  <c r="N443" i="48" s="1"/>
  <c r="N434" i="48" s="1"/>
  <c r="N367" i="48" s="1"/>
  <c r="L1209" i="48"/>
  <c r="M1209" i="48" s="1"/>
  <c r="N1209" i="48" s="1"/>
  <c r="N1207" i="48" s="1"/>
  <c r="L522" i="48"/>
  <c r="M522" i="48" s="1"/>
  <c r="N522" i="48" s="1"/>
  <c r="N520" i="48" s="1"/>
  <c r="L1055" i="48"/>
  <c r="M1055" i="48" s="1"/>
  <c r="N1055" i="48" s="1"/>
  <c r="N1039" i="48" s="1"/>
  <c r="G366" i="43"/>
  <c r="H366" i="43" s="1"/>
  <c r="I366" i="43" s="1"/>
  <c r="I365" i="43" s="1"/>
  <c r="G350" i="43"/>
  <c r="H350" i="43" s="1"/>
  <c r="I350" i="43" s="1"/>
  <c r="I348" i="43" s="1"/>
  <c r="G190" i="43"/>
  <c r="H190" i="43" s="1"/>
  <c r="I190" i="43" s="1"/>
  <c r="I189" i="43" s="1"/>
  <c r="G158" i="43"/>
  <c r="H158" i="43" s="1"/>
  <c r="I158" i="43" s="1"/>
  <c r="I156" i="43" s="1"/>
  <c r="G25" i="43"/>
  <c r="H25" i="43" s="1"/>
  <c r="I25" i="43" s="1"/>
  <c r="I23" i="43" s="1"/>
  <c r="G178" i="43"/>
  <c r="H178" i="43" s="1"/>
  <c r="I178" i="43" s="1"/>
  <c r="I176" i="43" s="1"/>
  <c r="G294" i="43"/>
  <c r="H294" i="43" s="1"/>
  <c r="I294" i="43" s="1"/>
  <c r="I292" i="43" s="1"/>
  <c r="G67" i="43"/>
  <c r="H67" i="43" s="1"/>
  <c r="I67" i="43" s="1"/>
  <c r="I65" i="43" s="1"/>
  <c r="G53" i="43"/>
  <c r="H53" i="43" s="1"/>
  <c r="I53" i="43" s="1"/>
  <c r="I52" i="43" s="1"/>
  <c r="G207" i="43"/>
  <c r="H207" i="43" s="1"/>
  <c r="I207" i="43" s="1"/>
  <c r="I206" i="43" s="1"/>
  <c r="G330" i="43"/>
  <c r="H330" i="43" s="1"/>
  <c r="I330" i="43" s="1"/>
  <c r="I328" i="43" s="1"/>
  <c r="G137" i="43"/>
  <c r="H137" i="43" s="1"/>
  <c r="I137" i="43" s="1"/>
  <c r="I135" i="43" s="1"/>
  <c r="G86" i="43"/>
  <c r="H86" i="43" s="1"/>
  <c r="I86" i="43" s="1"/>
  <c r="I85" i="43" s="1"/>
  <c r="G232" i="43"/>
  <c r="H232" i="43" s="1"/>
  <c r="I232" i="43" s="1"/>
  <c r="I231" i="43" s="1"/>
  <c r="G463" i="43"/>
  <c r="H463" i="43" s="1"/>
  <c r="I463" i="43" s="1"/>
  <c r="I462" i="43" s="1"/>
  <c r="G274" i="43"/>
  <c r="H274" i="43" s="1"/>
  <c r="I274" i="43" s="1"/>
  <c r="I273" i="43" s="1"/>
  <c r="G370" i="43"/>
  <c r="H370" i="43" s="1"/>
  <c r="I370" i="43" s="1"/>
  <c r="G356" i="43"/>
  <c r="H356" i="43" s="1"/>
  <c r="I356" i="43" s="1"/>
  <c r="G338" i="43"/>
  <c r="H338" i="43" s="1"/>
  <c r="I338" i="43" s="1"/>
  <c r="G195" i="43"/>
  <c r="H195" i="43" s="1"/>
  <c r="I195" i="43" s="1"/>
  <c r="G79" i="43"/>
  <c r="H79" i="43" s="1"/>
  <c r="I79" i="43" s="1"/>
  <c r="G278" i="43"/>
  <c r="H278" i="43" s="1"/>
  <c r="I278" i="43" s="1"/>
  <c r="G238" i="43"/>
  <c r="H238" i="43" s="1"/>
  <c r="I238" i="43" s="1"/>
  <c r="G124" i="43"/>
  <c r="H124" i="43" s="1"/>
  <c r="I124" i="43" s="1"/>
  <c r="G167" i="43"/>
  <c r="H167" i="43" s="1"/>
  <c r="I167" i="43" s="1"/>
  <c r="G59" i="43"/>
  <c r="H59" i="43" s="1"/>
  <c r="I59" i="43" s="1"/>
  <c r="G435" i="43"/>
  <c r="H435" i="43" s="1"/>
  <c r="I435" i="43" s="1"/>
  <c r="G262" i="43"/>
  <c r="H262" i="43" s="1"/>
  <c r="I262" i="43" s="1"/>
  <c r="G182" i="43"/>
  <c r="H182" i="43" s="1"/>
  <c r="I182" i="43" s="1"/>
  <c r="G142" i="43"/>
  <c r="H142" i="43" s="1"/>
  <c r="I142" i="43" s="1"/>
  <c r="G314" i="43"/>
  <c r="H314" i="43" s="1"/>
  <c r="I314" i="43" s="1"/>
  <c r="G283" i="43"/>
  <c r="H283" i="43" s="1"/>
  <c r="I283" i="43" s="1"/>
  <c r="G221" i="43"/>
  <c r="H221" i="43" s="1"/>
  <c r="I221" i="43" s="1"/>
  <c r="G101" i="43"/>
  <c r="H101" i="43" s="1"/>
  <c r="I101" i="43" s="1"/>
  <c r="G35" i="43"/>
  <c r="H35" i="43" s="1"/>
  <c r="I35" i="43" s="1"/>
  <c r="L115" i="17"/>
  <c r="G437" i="43"/>
  <c r="H437" i="43" s="1"/>
  <c r="I437" i="43" s="1"/>
  <c r="G316" i="43"/>
  <c r="H316" i="43" s="1"/>
  <c r="I316" i="43" s="1"/>
  <c r="I313" i="43" s="1"/>
  <c r="I312" i="43" s="1"/>
  <c r="G199" i="43"/>
  <c r="H199" i="43" s="1"/>
  <c r="I199" i="43" s="1"/>
  <c r="G144" i="43"/>
  <c r="H144" i="43" s="1"/>
  <c r="I144" i="43" s="1"/>
  <c r="I140" i="43" s="1"/>
  <c r="I139" i="43" s="1"/>
  <c r="G81" i="43"/>
  <c r="H81" i="43" s="1"/>
  <c r="I81" i="43" s="1"/>
  <c r="G63" i="43"/>
  <c r="H63" i="43" s="1"/>
  <c r="I63" i="43" s="1"/>
  <c r="I56" i="43" s="1"/>
  <c r="I55" i="43" s="1"/>
  <c r="G37" i="43"/>
  <c r="H37" i="43" s="1"/>
  <c r="I37" i="43" s="1"/>
  <c r="I33" i="43" s="1"/>
  <c r="I32" i="43" s="1"/>
  <c r="G337" i="43"/>
  <c r="H337" i="43" s="1"/>
  <c r="I337" i="43" s="1"/>
  <c r="I335" i="43" s="1"/>
  <c r="I334" i="43" s="1"/>
  <c r="G413" i="43"/>
  <c r="H413" i="43" s="1"/>
  <c r="I413" i="43" s="1"/>
  <c r="I411" i="43" s="1"/>
  <c r="I410" i="43" s="1"/>
  <c r="G185" i="43"/>
  <c r="H185" i="43" s="1"/>
  <c r="I185" i="43" s="1"/>
  <c r="I181" i="43" s="1"/>
  <c r="I180" i="43" s="1"/>
  <c r="G103" i="43"/>
  <c r="H103" i="43" s="1"/>
  <c r="I103" i="43" s="1"/>
  <c r="G372" i="43"/>
  <c r="H372" i="43" s="1"/>
  <c r="I372" i="43" s="1"/>
  <c r="I369" i="43" s="1"/>
  <c r="I368" i="43" s="1"/>
  <c r="G263" i="43"/>
  <c r="H263" i="43" s="1"/>
  <c r="I263" i="43" s="1"/>
  <c r="I260" i="43" s="1"/>
  <c r="G223" i="43"/>
  <c r="H223" i="43" s="1"/>
  <c r="I223" i="43" s="1"/>
  <c r="I219" i="43" s="1"/>
  <c r="I218" i="43" s="1"/>
  <c r="G128" i="43"/>
  <c r="H128" i="43" s="1"/>
  <c r="I128" i="43" s="1"/>
  <c r="G459" i="43"/>
  <c r="H459" i="43" s="1"/>
  <c r="I459" i="43" s="1"/>
  <c r="I457" i="43" s="1"/>
  <c r="G359" i="43"/>
  <c r="H359" i="43" s="1"/>
  <c r="I359" i="43" s="1"/>
  <c r="I355" i="43" s="1"/>
  <c r="I354" i="43" s="1"/>
  <c r="G240" i="43"/>
  <c r="H240" i="43" s="1"/>
  <c r="I240" i="43" s="1"/>
  <c r="G166" i="43"/>
  <c r="H166" i="43" s="1"/>
  <c r="I166" i="43" s="1"/>
  <c r="I165" i="43" s="1"/>
  <c r="I160" i="43" s="1"/>
  <c r="G16" i="43"/>
  <c r="H16" i="43" s="1"/>
  <c r="I16" i="43" s="1"/>
  <c r="I14" i="43" s="1"/>
  <c r="G12" i="41"/>
  <c r="L254" i="17"/>
  <c r="M254" i="17" s="1"/>
  <c r="N254" i="17" s="1"/>
  <c r="L66" i="17"/>
  <c r="L598" i="17"/>
  <c r="L1452" i="17"/>
  <c r="L906" i="17"/>
  <c r="L781" i="17"/>
  <c r="M781" i="17" s="1"/>
  <c r="N781" i="17" s="1"/>
  <c r="L188" i="17"/>
  <c r="M188" i="17" s="1"/>
  <c r="N188" i="17" s="1"/>
  <c r="N186" i="17" s="1"/>
  <c r="L1606" i="17"/>
  <c r="L826" i="17"/>
  <c r="L1286" i="17"/>
  <c r="L358" i="17"/>
  <c r="L1993" i="17"/>
  <c r="L684" i="17"/>
  <c r="M684" i="17" s="1"/>
  <c r="N684" i="17" s="1"/>
  <c r="L1012" i="17"/>
  <c r="L1193" i="17"/>
  <c r="L1534" i="17"/>
  <c r="L1973" i="17"/>
  <c r="L1636" i="17"/>
  <c r="L1580" i="17"/>
  <c r="L1887" i="17"/>
  <c r="L1476" i="17"/>
  <c r="M1476" i="17" s="1"/>
  <c r="L1787" i="17"/>
  <c r="L1551" i="17"/>
  <c r="L1483" i="17"/>
  <c r="M1483" i="17" s="1"/>
  <c r="L1614" i="17"/>
  <c r="L1871" i="17"/>
  <c r="G23" i="41"/>
  <c r="L1201" i="17"/>
  <c r="L1239" i="17"/>
  <c r="L1143" i="17"/>
  <c r="M1143" i="17" s="1"/>
  <c r="L1035" i="17"/>
  <c r="L215" i="17"/>
  <c r="M215" i="17" s="1"/>
  <c r="L1363" i="17"/>
  <c r="L966" i="17"/>
  <c r="M966" i="17" s="1"/>
  <c r="L843" i="17"/>
  <c r="L715" i="17"/>
  <c r="L539" i="17"/>
  <c r="L317" i="17"/>
  <c r="L612" i="17"/>
  <c r="M612" i="17" s="1"/>
  <c r="L437" i="17"/>
  <c r="M437" i="17" s="1"/>
  <c r="L103" i="17"/>
  <c r="M103" i="17" s="1"/>
  <c r="L789" i="17"/>
  <c r="M789" i="17" s="1"/>
  <c r="G41" i="41"/>
  <c r="L623" i="17"/>
  <c r="L449" i="17"/>
  <c r="L331" i="17"/>
  <c r="M331" i="17" s="1"/>
  <c r="L1150" i="17"/>
  <c r="L634" i="41"/>
  <c r="L806" i="17"/>
  <c r="L235" i="17"/>
  <c r="M235" i="17" s="1"/>
  <c r="L31" i="17"/>
  <c r="L1389" i="17"/>
  <c r="L1051" i="17"/>
  <c r="L977" i="17"/>
  <c r="L871" i="17"/>
  <c r="L711" i="17"/>
  <c r="L566" i="17"/>
  <c r="I123" i="43" l="1"/>
  <c r="I122" i="43" s="1"/>
  <c r="N962" i="48"/>
  <c r="N800" i="48"/>
  <c r="I76" i="43"/>
  <c r="I75" i="43" s="1"/>
  <c r="N737" i="48"/>
  <c r="N735" i="48" s="1"/>
  <c r="N1563" i="48"/>
  <c r="N565" i="48"/>
  <c r="N564" i="48" s="1"/>
  <c r="N243" i="48"/>
  <c r="N242" i="48" s="1"/>
  <c r="N468" i="48"/>
  <c r="N447" i="48" s="1"/>
  <c r="N1215" i="48"/>
  <c r="N1213" i="48" s="1"/>
  <c r="N1472" i="48"/>
  <c r="N1470" i="48" s="1"/>
  <c r="N1070" i="48"/>
  <c r="N1152" i="48"/>
  <c r="N1150" i="48" s="1"/>
  <c r="N481" i="48"/>
  <c r="N480" i="48" s="1"/>
  <c r="I193" i="43"/>
  <c r="I192" i="43" s="1"/>
  <c r="I259" i="43"/>
  <c r="I13" i="43"/>
  <c r="I434" i="43"/>
  <c r="I433" i="43" s="1"/>
  <c r="I456" i="43"/>
  <c r="I277" i="43"/>
  <c r="I276" i="43" s="1"/>
  <c r="I236" i="43"/>
  <c r="I235" i="43" s="1"/>
  <c r="I98" i="43"/>
  <c r="I97" i="43" s="1"/>
  <c r="J2002" i="17"/>
  <c r="J2003" i="17"/>
  <c r="J2004" i="17"/>
  <c r="J2005" i="17"/>
  <c r="J2006" i="17"/>
  <c r="J2007" i="17"/>
  <c r="J1979" i="17"/>
  <c r="J1978" i="17"/>
  <c r="J1977" i="17"/>
  <c r="J1976" i="17"/>
  <c r="J1975" i="17"/>
  <c r="J1974" i="17"/>
  <c r="I1981" i="17"/>
  <c r="J1980" i="17"/>
  <c r="M1973" i="17"/>
  <c r="I1971" i="17"/>
  <c r="J1970" i="17"/>
  <c r="J1969" i="17"/>
  <c r="J1968" i="17"/>
  <c r="J1967" i="17"/>
  <c r="J1966" i="17"/>
  <c r="J1965" i="17"/>
  <c r="M1964" i="17"/>
  <c r="I2008" i="17"/>
  <c r="J2000" i="17"/>
  <c r="J1999" i="17"/>
  <c r="M1998" i="17"/>
  <c r="I1996" i="17"/>
  <c r="J1995" i="17"/>
  <c r="J1994" i="17"/>
  <c r="M1993" i="17"/>
  <c r="I1813" i="17"/>
  <c r="J1812" i="17"/>
  <c r="J1811" i="17"/>
  <c r="J1810" i="17"/>
  <c r="M1809" i="17"/>
  <c r="I1825" i="17"/>
  <c r="J1824" i="17"/>
  <c r="J1825" i="17" s="1"/>
  <c r="K1823" i="17" s="1"/>
  <c r="M1823" i="17"/>
  <c r="I1844" i="17"/>
  <c r="J1843" i="17"/>
  <c r="J1844" i="17" s="1"/>
  <c r="K1842" i="17" s="1"/>
  <c r="M1842" i="17"/>
  <c r="I1840" i="17"/>
  <c r="J1839" i="17"/>
  <c r="J1840" i="17" s="1"/>
  <c r="K1838" i="17" s="1"/>
  <c r="M1838" i="17"/>
  <c r="J1830" i="17"/>
  <c r="J1829" i="17"/>
  <c r="J1828" i="17"/>
  <c r="I1831" i="17"/>
  <c r="M1827" i="17"/>
  <c r="J1820" i="17"/>
  <c r="I1789" i="17"/>
  <c r="J1788" i="17"/>
  <c r="J1789" i="17" s="1"/>
  <c r="K1787" i="17" s="1"/>
  <c r="M1787" i="17"/>
  <c r="I1785" i="17"/>
  <c r="J1784" i="17"/>
  <c r="J1785" i="17" s="1"/>
  <c r="M1783" i="17"/>
  <c r="I1316" i="17"/>
  <c r="J1314" i="17"/>
  <c r="J1313" i="17"/>
  <c r="M1312" i="17"/>
  <c r="I1310" i="17"/>
  <c r="J1308" i="17"/>
  <c r="J1307" i="17"/>
  <c r="M1306" i="17"/>
  <c r="I1304" i="17"/>
  <c r="J1302" i="17"/>
  <c r="J1301" i="17"/>
  <c r="M1300" i="17"/>
  <c r="I1296" i="17"/>
  <c r="J1295" i="17"/>
  <c r="J1296" i="17" s="1"/>
  <c r="K1294" i="17" s="1"/>
  <c r="M1294" i="17"/>
  <c r="I1292" i="17"/>
  <c r="J1291" i="17"/>
  <c r="J1292" i="17" s="1"/>
  <c r="K1290" i="17" s="1"/>
  <c r="M1290" i="17"/>
  <c r="I1288" i="17"/>
  <c r="J1287" i="17"/>
  <c r="M1286" i="17"/>
  <c r="I1284" i="17"/>
  <c r="J1283" i="17"/>
  <c r="J1282" i="17"/>
  <c r="J1281" i="17"/>
  <c r="J1280" i="17"/>
  <c r="M1279" i="17"/>
  <c r="I1265" i="17"/>
  <c r="J1264" i="17"/>
  <c r="J1263" i="17"/>
  <c r="J1262" i="17"/>
  <c r="J1261" i="17"/>
  <c r="M1260" i="17"/>
  <c r="I1256" i="17"/>
  <c r="J1255" i="17"/>
  <c r="J1256" i="17" s="1"/>
  <c r="K1254" i="17" s="1"/>
  <c r="M1254" i="17"/>
  <c r="I1242" i="17"/>
  <c r="J1241" i="17"/>
  <c r="J1240" i="17"/>
  <c r="M1239" i="17"/>
  <c r="I1237" i="17"/>
  <c r="J1236" i="17"/>
  <c r="J1235" i="17"/>
  <c r="M1234" i="17"/>
  <c r="I1232" i="17"/>
  <c r="J1231" i="17"/>
  <c r="J1230" i="17"/>
  <c r="M1229" i="17"/>
  <c r="I1217" i="17"/>
  <c r="J1216" i="17"/>
  <c r="J1215" i="17"/>
  <c r="J1214" i="17"/>
  <c r="J1213" i="17"/>
  <c r="J1212" i="17"/>
  <c r="J1211" i="17"/>
  <c r="I1207" i="17"/>
  <c r="J1206" i="17"/>
  <c r="J1205" i="17"/>
  <c r="J1204" i="17"/>
  <c r="J1203" i="17"/>
  <c r="J1202" i="17"/>
  <c r="M1201" i="17"/>
  <c r="I828" i="17"/>
  <c r="J827" i="17"/>
  <c r="J828" i="17" s="1"/>
  <c r="K826" i="17" s="1"/>
  <c r="M826" i="17"/>
  <c r="I822" i="17"/>
  <c r="J821" i="17"/>
  <c r="J822" i="17" s="1"/>
  <c r="K820" i="17" s="1"/>
  <c r="M820" i="17"/>
  <c r="I816" i="17"/>
  <c r="J815" i="17"/>
  <c r="J816" i="17" s="1"/>
  <c r="K814" i="17" s="1"/>
  <c r="M814" i="17"/>
  <c r="I812" i="17"/>
  <c r="J811" i="17"/>
  <c r="J810" i="17"/>
  <c r="J809" i="17"/>
  <c r="J808" i="17"/>
  <c r="J807" i="17"/>
  <c r="M806" i="17"/>
  <c r="I791" i="17"/>
  <c r="J790" i="17"/>
  <c r="I601" i="17"/>
  <c r="J599" i="17"/>
  <c r="J601" i="17" s="1"/>
  <c r="M598" i="17"/>
  <c r="I596" i="17"/>
  <c r="J595" i="17"/>
  <c r="J596" i="17" s="1"/>
  <c r="M594" i="17"/>
  <c r="I590" i="17"/>
  <c r="J589" i="17"/>
  <c r="J590" i="17" s="1"/>
  <c r="K588" i="17" s="1"/>
  <c r="M588" i="17"/>
  <c r="I586" i="17"/>
  <c r="J585" i="17"/>
  <c r="J586" i="17" s="1"/>
  <c r="K584" i="17" s="1"/>
  <c r="M584" i="17"/>
  <c r="I582" i="17"/>
  <c r="J581" i="17"/>
  <c r="J582" i="17" s="1"/>
  <c r="K580" i="17" s="1"/>
  <c r="M580" i="17"/>
  <c r="I568" i="17"/>
  <c r="J567" i="17"/>
  <c r="J568" i="17" s="1"/>
  <c r="K566" i="17" s="1"/>
  <c r="M566" i="17"/>
  <c r="I556" i="17"/>
  <c r="J555" i="17"/>
  <c r="J554" i="17"/>
  <c r="J553" i="17"/>
  <c r="J552" i="17"/>
  <c r="M550" i="17"/>
  <c r="I542" i="17"/>
  <c r="J541" i="17"/>
  <c r="J540" i="17"/>
  <c r="M539" i="17"/>
  <c r="I68" i="17"/>
  <c r="J67" i="17"/>
  <c r="J68" i="17" s="1"/>
  <c r="K66" i="17" s="1"/>
  <c r="M66" i="17"/>
  <c r="I64" i="17"/>
  <c r="J63" i="17"/>
  <c r="J64" i="17" s="1"/>
  <c r="K62" i="17" s="1"/>
  <c r="M62" i="17"/>
  <c r="I58" i="17"/>
  <c r="J57" i="17"/>
  <c r="J58" i="17" s="1"/>
  <c r="K56" i="17" s="1"/>
  <c r="M56" i="17"/>
  <c r="I54" i="17"/>
  <c r="J53" i="17"/>
  <c r="J54" i="17" s="1"/>
  <c r="K52" i="17" s="1"/>
  <c r="M52" i="17"/>
  <c r="I50" i="17"/>
  <c r="J49" i="17"/>
  <c r="J50" i="17" s="1"/>
  <c r="K48" i="17" s="1"/>
  <c r="M48" i="17"/>
  <c r="I46" i="17"/>
  <c r="J45" i="17"/>
  <c r="J44" i="17"/>
  <c r="M43" i="17"/>
  <c r="I41" i="17"/>
  <c r="J39" i="17"/>
  <c r="M38" i="17"/>
  <c r="I34" i="17"/>
  <c r="J33" i="17"/>
  <c r="J32" i="17"/>
  <c r="M31" i="17"/>
  <c r="I29" i="17"/>
  <c r="J28" i="17"/>
  <c r="J27" i="17"/>
  <c r="J26" i="17"/>
  <c r="M25" i="17"/>
  <c r="I476" i="43" l="1"/>
  <c r="J13" i="43" s="1"/>
  <c r="N1660" i="48"/>
  <c r="O242" i="48" s="1"/>
  <c r="J312" i="43"/>
  <c r="J180" i="43"/>
  <c r="J55" i="43"/>
  <c r="J139" i="43"/>
  <c r="J259" i="43"/>
  <c r="J410" i="43"/>
  <c r="I477" i="43"/>
  <c r="J354" i="43"/>
  <c r="J192" i="43"/>
  <c r="J160" i="43"/>
  <c r="J334" i="43"/>
  <c r="J433" i="43"/>
  <c r="J32" i="43"/>
  <c r="J456" i="43"/>
  <c r="J368" i="43"/>
  <c r="J276" i="43"/>
  <c r="J476" i="43"/>
  <c r="J400" i="43"/>
  <c r="J9" i="43"/>
  <c r="J2008" i="17"/>
  <c r="K1998" i="17" s="1"/>
  <c r="N1998" i="17" s="1"/>
  <c r="J1304" i="17"/>
  <c r="J1310" i="17"/>
  <c r="K1306" i="17" s="1"/>
  <c r="N1306" i="17" s="1"/>
  <c r="J1316" i="17"/>
  <c r="K1312" i="17" s="1"/>
  <c r="N1312" i="17" s="1"/>
  <c r="K598" i="17"/>
  <c r="N598" i="17" s="1"/>
  <c r="J1288" i="17"/>
  <c r="K1286" i="17" s="1"/>
  <c r="N1286" i="17" s="1"/>
  <c r="J1265" i="17"/>
  <c r="K1260" i="17" s="1"/>
  <c r="N1260" i="17" s="1"/>
  <c r="N1258" i="17" s="1"/>
  <c r="J542" i="17"/>
  <c r="K539" i="17" s="1"/>
  <c r="N539" i="17" s="1"/>
  <c r="J34" i="17"/>
  <c r="K31" i="17" s="1"/>
  <c r="N31" i="17" s="1"/>
  <c r="J41" i="17"/>
  <c r="K38" i="17" s="1"/>
  <c r="N38" i="17" s="1"/>
  <c r="N1838" i="17"/>
  <c r="J1981" i="17"/>
  <c r="J1971" i="17"/>
  <c r="K1964" i="17" s="1"/>
  <c r="N1964" i="17" s="1"/>
  <c r="N1823" i="17"/>
  <c r="J1996" i="17"/>
  <c r="K1993" i="17" s="1"/>
  <c r="N1993" i="17" s="1"/>
  <c r="N1991" i="17" s="1"/>
  <c r="J1813" i="17"/>
  <c r="K1809" i="17" s="1"/>
  <c r="N1809" i="17" s="1"/>
  <c r="N1807" i="17" s="1"/>
  <c r="K594" i="17"/>
  <c r="N594" i="17" s="1"/>
  <c r="J1232" i="17"/>
  <c r="K1229" i="17" s="1"/>
  <c r="N1229" i="17" s="1"/>
  <c r="N1294" i="17"/>
  <c r="N1787" i="17"/>
  <c r="N1842" i="17"/>
  <c r="J1831" i="17"/>
  <c r="K1827" i="17" s="1"/>
  <c r="N1827" i="17" s="1"/>
  <c r="N1254" i="17"/>
  <c r="N1252" i="17" s="1"/>
  <c r="N820" i="17"/>
  <c r="N818" i="17" s="1"/>
  <c r="J1242" i="17"/>
  <c r="K1300" i="17"/>
  <c r="N1300" i="17" s="1"/>
  <c r="N584" i="17"/>
  <c r="J812" i="17"/>
  <c r="J1217" i="17"/>
  <c r="J1284" i="17"/>
  <c r="K1279" i="17" s="1"/>
  <c r="N1279" i="17" s="1"/>
  <c r="J46" i="17"/>
  <c r="K43" i="17" s="1"/>
  <c r="N43" i="17" s="1"/>
  <c r="J1207" i="17"/>
  <c r="J1237" i="17"/>
  <c r="K1234" i="17" s="1"/>
  <c r="N1234" i="17" s="1"/>
  <c r="N1290" i="17"/>
  <c r="K1783" i="17"/>
  <c r="N1783" i="17" s="1"/>
  <c r="N52" i="17"/>
  <c r="N580" i="17"/>
  <c r="J29" i="17"/>
  <c r="K25" i="17" s="1"/>
  <c r="N25" i="17" s="1"/>
  <c r="J791" i="17"/>
  <c r="N814" i="17"/>
  <c r="N826" i="17"/>
  <c r="N824" i="17" s="1"/>
  <c r="N62" i="17"/>
  <c r="N588" i="17"/>
  <c r="N566" i="17"/>
  <c r="J556" i="17"/>
  <c r="N56" i="17"/>
  <c r="N66" i="17"/>
  <c r="N48" i="17"/>
  <c r="J122" i="43" l="1"/>
  <c r="J75" i="43"/>
  <c r="J235" i="43"/>
  <c r="J218" i="43"/>
  <c r="J97" i="43"/>
  <c r="O1470" i="48"/>
  <c r="O800" i="48"/>
  <c r="O1352" i="48"/>
  <c r="O10" i="48"/>
  <c r="O73" i="48"/>
  <c r="N1661" i="48"/>
  <c r="O198" i="48"/>
  <c r="O1660" i="48"/>
  <c r="O962" i="48"/>
  <c r="O18" i="48"/>
  <c r="O1382" i="48"/>
  <c r="O631" i="48"/>
  <c r="O367" i="48"/>
  <c r="O1070" i="48"/>
  <c r="O1213" i="48"/>
  <c r="O1150" i="48"/>
  <c r="O1563" i="48"/>
  <c r="O447" i="48"/>
  <c r="O480" i="48"/>
  <c r="O564" i="48"/>
  <c r="O735" i="48"/>
  <c r="N1298" i="17"/>
  <c r="K1973" i="17"/>
  <c r="N1973" i="17" s="1"/>
  <c r="N1962" i="17" s="1"/>
  <c r="N1960" i="17" s="1"/>
  <c r="K1201" i="17"/>
  <c r="N1201" i="17" s="1"/>
  <c r="K1239" i="17"/>
  <c r="N1239" i="17" s="1"/>
  <c r="K1209" i="17"/>
  <c r="N1209" i="17" s="1"/>
  <c r="K789" i="17"/>
  <c r="N789" i="17" s="1"/>
  <c r="K806" i="17"/>
  <c r="N806" i="17" s="1"/>
  <c r="K550" i="17"/>
  <c r="N550" i="17" s="1"/>
  <c r="N537" i="17" s="1"/>
  <c r="N36" i="17"/>
  <c r="N592" i="17"/>
  <c r="N1277" i="17"/>
  <c r="N23" i="17"/>
  <c r="N578" i="17"/>
  <c r="N60" i="17"/>
  <c r="N1199" i="17" l="1"/>
  <c r="N1197" i="17" s="1"/>
  <c r="N535" i="17"/>
  <c r="N21" i="17"/>
  <c r="N787" i="17"/>
  <c r="N785" i="17" s="1"/>
  <c r="I394" i="17"/>
  <c r="J393" i="17"/>
  <c r="J394" i="17" s="1"/>
  <c r="K392" i="17" s="1"/>
  <c r="M392" i="17"/>
  <c r="J398" i="17"/>
  <c r="I399" i="17"/>
  <c r="J397" i="17"/>
  <c r="M396" i="17"/>
  <c r="J380" i="17"/>
  <c r="J381" i="17"/>
  <c r="J382" i="17"/>
  <c r="J375" i="17"/>
  <c r="J374" i="17"/>
  <c r="J373" i="17"/>
  <c r="J372" i="17"/>
  <c r="J371" i="17"/>
  <c r="I376" i="17"/>
  <c r="J369" i="17"/>
  <c r="J338" i="17"/>
  <c r="J332" i="17"/>
  <c r="J333" i="17"/>
  <c r="J334" i="17"/>
  <c r="J341" i="17"/>
  <c r="J340" i="17"/>
  <c r="J339" i="17"/>
  <c r="J337" i="17"/>
  <c r="J336" i="17"/>
  <c r="J335" i="17"/>
  <c r="I342" i="17"/>
  <c r="J300" i="17"/>
  <c r="J293" i="17"/>
  <c r="J294" i="17"/>
  <c r="J295" i="17"/>
  <c r="J296" i="17"/>
  <c r="J297" i="17"/>
  <c r="J298" i="17"/>
  <c r="I522" i="17"/>
  <c r="J521" i="17"/>
  <c r="J522" i="17" s="1"/>
  <c r="K520" i="17" s="1"/>
  <c r="M520" i="17"/>
  <c r="I518" i="17"/>
  <c r="J517" i="17"/>
  <c r="J516" i="17"/>
  <c r="M515" i="17"/>
  <c r="I513" i="17"/>
  <c r="J512" i="17"/>
  <c r="J513" i="17" s="1"/>
  <c r="K511" i="17" s="1"/>
  <c r="M511" i="17"/>
  <c r="I509" i="17"/>
  <c r="J508" i="17"/>
  <c r="J509" i="17" s="1"/>
  <c r="K507" i="17" s="1"/>
  <c r="M507" i="17"/>
  <c r="I503" i="17"/>
  <c r="J502" i="17"/>
  <c r="J503" i="17" s="1"/>
  <c r="K501" i="17" s="1"/>
  <c r="M501" i="17"/>
  <c r="I499" i="17"/>
  <c r="J498" i="17"/>
  <c r="J497" i="17"/>
  <c r="J496" i="17"/>
  <c r="J495" i="17"/>
  <c r="J494" i="17"/>
  <c r="M493" i="17"/>
  <c r="I489" i="17"/>
  <c r="K486" i="17"/>
  <c r="M486" i="17"/>
  <c r="I484" i="17"/>
  <c r="J482" i="17"/>
  <c r="M481" i="17"/>
  <c r="I479" i="17"/>
  <c r="J478" i="17"/>
  <c r="J477" i="17"/>
  <c r="M476" i="17"/>
  <c r="I464" i="17"/>
  <c r="J463" i="17"/>
  <c r="J462" i="17"/>
  <c r="M461" i="17"/>
  <c r="I459" i="17"/>
  <c r="J458" i="17"/>
  <c r="J457" i="17"/>
  <c r="J456" i="17"/>
  <c r="J455" i="17"/>
  <c r="J454" i="17"/>
  <c r="J453" i="17"/>
  <c r="J452" i="17"/>
  <c r="J451" i="17"/>
  <c r="J450" i="17"/>
  <c r="M449" i="17"/>
  <c r="I441" i="17"/>
  <c r="J440" i="17"/>
  <c r="J439" i="17"/>
  <c r="J438" i="17"/>
  <c r="I427" i="17"/>
  <c r="J426" i="17"/>
  <c r="J425" i="17"/>
  <c r="J424" i="17"/>
  <c r="J423" i="17"/>
  <c r="M421" i="17"/>
  <c r="J389" i="17"/>
  <c r="I390" i="17"/>
  <c r="J388" i="17"/>
  <c r="M387" i="17"/>
  <c r="I383" i="17"/>
  <c r="J379" i="17"/>
  <c r="M378" i="17"/>
  <c r="J367" i="17"/>
  <c r="J368" i="17"/>
  <c r="J370" i="17"/>
  <c r="J366" i="17"/>
  <c r="M365" i="17"/>
  <c r="I361" i="17"/>
  <c r="J359" i="17"/>
  <c r="M358" i="17"/>
  <c r="I322" i="17"/>
  <c r="J321" i="17"/>
  <c r="J320" i="17"/>
  <c r="J319" i="17"/>
  <c r="J318" i="17"/>
  <c r="M317" i="17"/>
  <c r="I301" i="17"/>
  <c r="J299" i="17"/>
  <c r="J292" i="17"/>
  <c r="J291" i="17"/>
  <c r="M289" i="17"/>
  <c r="I1434" i="17"/>
  <c r="J1433" i="17"/>
  <c r="J1434" i="17" s="1"/>
  <c r="K1431" i="17" s="1"/>
  <c r="M1431" i="17"/>
  <c r="J1188" i="17"/>
  <c r="J1187" i="17"/>
  <c r="I1189" i="17"/>
  <c r="M1185" i="17"/>
  <c r="I1115" i="17"/>
  <c r="J1114" i="17"/>
  <c r="J1115" i="17" s="1"/>
  <c r="K1112" i="17" s="1"/>
  <c r="M1112" i="17"/>
  <c r="J954" i="17"/>
  <c r="J953" i="17"/>
  <c r="J952" i="17"/>
  <c r="J951" i="17"/>
  <c r="J950" i="17"/>
  <c r="I955" i="17"/>
  <c r="M948" i="17"/>
  <c r="J706" i="17"/>
  <c r="J705" i="17"/>
  <c r="J704" i="17"/>
  <c r="J703" i="17"/>
  <c r="I707" i="17"/>
  <c r="M701" i="17"/>
  <c r="I673" i="17"/>
  <c r="J672" i="17"/>
  <c r="J673" i="17" s="1"/>
  <c r="K670" i="17" s="1"/>
  <c r="M670" i="17"/>
  <c r="J1947" i="17"/>
  <c r="J1948" i="17" s="1"/>
  <c r="K1945" i="17" s="1"/>
  <c r="I1948" i="17"/>
  <c r="M1945" i="17"/>
  <c r="I944" i="17"/>
  <c r="J943" i="17"/>
  <c r="J944" i="17" s="1"/>
  <c r="K942" i="17" s="1"/>
  <c r="M942" i="17"/>
  <c r="I940" i="17"/>
  <c r="J939" i="17"/>
  <c r="J940" i="17" s="1"/>
  <c r="K938" i="17" s="1"/>
  <c r="M938" i="17"/>
  <c r="J935" i="17"/>
  <c r="I936" i="17"/>
  <c r="J934" i="17"/>
  <c r="M933" i="17"/>
  <c r="J929" i="17"/>
  <c r="J928" i="17"/>
  <c r="J921" i="17"/>
  <c r="J922" i="17"/>
  <c r="J923" i="17"/>
  <c r="J924" i="17"/>
  <c r="I931" i="17"/>
  <c r="J930" i="17"/>
  <c r="M927" i="17"/>
  <c r="I925" i="17"/>
  <c r="J920" i="17"/>
  <c r="M919" i="17"/>
  <c r="I902" i="17"/>
  <c r="J901" i="17"/>
  <c r="J902" i="17" s="1"/>
  <c r="K900" i="17" s="1"/>
  <c r="M900" i="17"/>
  <c r="J892" i="17"/>
  <c r="J873" i="17"/>
  <c r="J874" i="17"/>
  <c r="J875" i="17"/>
  <c r="J876" i="17"/>
  <c r="I860" i="17"/>
  <c r="J859" i="17"/>
  <c r="J858" i="17"/>
  <c r="J857" i="17"/>
  <c r="J856" i="17"/>
  <c r="J855" i="17"/>
  <c r="M853" i="17"/>
  <c r="J844" i="17"/>
  <c r="J845" i="17"/>
  <c r="I915" i="17"/>
  <c r="J914" i="17"/>
  <c r="J913" i="17"/>
  <c r="J912" i="17"/>
  <c r="M911" i="17"/>
  <c r="I909" i="17"/>
  <c r="J907" i="17"/>
  <c r="M906" i="17"/>
  <c r="I898" i="17"/>
  <c r="J897" i="17"/>
  <c r="J896" i="17"/>
  <c r="M895" i="17"/>
  <c r="I893" i="17"/>
  <c r="J891" i="17"/>
  <c r="J890" i="17"/>
  <c r="M889" i="17"/>
  <c r="I877" i="17"/>
  <c r="J872" i="17"/>
  <c r="M871" i="17"/>
  <c r="I846" i="17"/>
  <c r="M843" i="17"/>
  <c r="I841" i="17"/>
  <c r="J835" i="17"/>
  <c r="J841" i="17" s="1"/>
  <c r="M834" i="17"/>
  <c r="J909" i="17" l="1"/>
  <c r="K906" i="17" s="1"/>
  <c r="N906" i="17" s="1"/>
  <c r="J499" i="17"/>
  <c r="K493" i="17" s="1"/>
  <c r="N493" i="17" s="1"/>
  <c r="J464" i="17"/>
  <c r="K461" i="17" s="1"/>
  <c r="N461" i="17" s="1"/>
  <c r="J361" i="17"/>
  <c r="K358" i="17" s="1"/>
  <c r="N358" i="17" s="1"/>
  <c r="N356" i="17" s="1"/>
  <c r="J484" i="17"/>
  <c r="K481" i="17" s="1"/>
  <c r="N481" i="17" s="1"/>
  <c r="J342" i="17"/>
  <c r="J399" i="17"/>
  <c r="K396" i="17" s="1"/>
  <c r="N396" i="17" s="1"/>
  <c r="N392" i="17"/>
  <c r="J383" i="17"/>
  <c r="K378" i="17" s="1"/>
  <c r="N378" i="17" s="1"/>
  <c r="J376" i="17"/>
  <c r="K365" i="17" s="1"/>
  <c r="N365" i="17" s="1"/>
  <c r="J301" i="17"/>
  <c r="J390" i="17"/>
  <c r="K387" i="17" s="1"/>
  <c r="N387" i="17" s="1"/>
  <c r="J518" i="17"/>
  <c r="K515" i="17" s="1"/>
  <c r="N515" i="17" s="1"/>
  <c r="N507" i="17"/>
  <c r="J322" i="17"/>
  <c r="K317" i="17" s="1"/>
  <c r="N317" i="17" s="1"/>
  <c r="J479" i="17"/>
  <c r="K476" i="17" s="1"/>
  <c r="N476" i="17" s="1"/>
  <c r="N501" i="17"/>
  <c r="J427" i="17"/>
  <c r="J441" i="17"/>
  <c r="N486" i="17"/>
  <c r="N511" i="17"/>
  <c r="N520" i="17"/>
  <c r="J459" i="17"/>
  <c r="N942" i="17"/>
  <c r="N1431" i="17"/>
  <c r="N1429" i="17" s="1"/>
  <c r="J1189" i="17"/>
  <c r="K1185" i="17" s="1"/>
  <c r="N1185" i="17" s="1"/>
  <c r="N1183" i="17" s="1"/>
  <c r="J955" i="17"/>
  <c r="K948" i="17" s="1"/>
  <c r="N948" i="17" s="1"/>
  <c r="N946" i="17" s="1"/>
  <c r="N1112" i="17"/>
  <c r="N1110" i="17" s="1"/>
  <c r="J707" i="17"/>
  <c r="K701" i="17" s="1"/>
  <c r="N701" i="17" s="1"/>
  <c r="N699" i="17" s="1"/>
  <c r="N1945" i="17"/>
  <c r="N1943" i="17" s="1"/>
  <c r="J936" i="17"/>
  <c r="K933" i="17" s="1"/>
  <c r="N933" i="17" s="1"/>
  <c r="N670" i="17"/>
  <c r="N668" i="17" s="1"/>
  <c r="N938" i="17"/>
  <c r="J925" i="17"/>
  <c r="K919" i="17" s="1"/>
  <c r="N919" i="17" s="1"/>
  <c r="J931" i="17"/>
  <c r="K927" i="17" s="1"/>
  <c r="N927" i="17" s="1"/>
  <c r="J893" i="17"/>
  <c r="K889" i="17" s="1"/>
  <c r="N889" i="17" s="1"/>
  <c r="N900" i="17"/>
  <c r="J846" i="17"/>
  <c r="J877" i="17"/>
  <c r="J860" i="17"/>
  <c r="K853" i="17" s="1"/>
  <c r="N853" i="17" s="1"/>
  <c r="K834" i="17"/>
  <c r="N834" i="17" s="1"/>
  <c r="J898" i="17"/>
  <c r="K895" i="17" s="1"/>
  <c r="N895" i="17" s="1"/>
  <c r="J915" i="17"/>
  <c r="K911" i="17" s="1"/>
  <c r="N911" i="17" s="1"/>
  <c r="I779" i="17"/>
  <c r="J778" i="17"/>
  <c r="J777" i="17"/>
  <c r="J776" i="17"/>
  <c r="J775" i="17"/>
  <c r="J774" i="17"/>
  <c r="J773" i="17"/>
  <c r="M772" i="17"/>
  <c r="I768" i="17"/>
  <c r="J767" i="17"/>
  <c r="J766" i="17"/>
  <c r="M765" i="17"/>
  <c r="I763" i="17"/>
  <c r="J762" i="17"/>
  <c r="J763" i="17" s="1"/>
  <c r="K761" i="17" s="1"/>
  <c r="M761" i="17"/>
  <c r="J716" i="17"/>
  <c r="J717" i="17"/>
  <c r="J718" i="17"/>
  <c r="J736" i="17"/>
  <c r="J735" i="17"/>
  <c r="J734" i="17"/>
  <c r="I737" i="17"/>
  <c r="J733" i="17"/>
  <c r="J732" i="17"/>
  <c r="J731" i="17"/>
  <c r="J730" i="17"/>
  <c r="J729" i="17"/>
  <c r="M727" i="17"/>
  <c r="I713" i="17"/>
  <c r="J694" i="17"/>
  <c r="J695" i="17"/>
  <c r="J696" i="17"/>
  <c r="I1108" i="17"/>
  <c r="J1107" i="17"/>
  <c r="J1108" i="17" s="1"/>
  <c r="K1106" i="17" s="1"/>
  <c r="M1106" i="17"/>
  <c r="I1104" i="17"/>
  <c r="J1103" i="17"/>
  <c r="J1104" i="17" s="1"/>
  <c r="K1102" i="17" s="1"/>
  <c r="M1102" i="17"/>
  <c r="N385" i="17" l="1"/>
  <c r="N363" i="17"/>
  <c r="N904" i="17"/>
  <c r="K331" i="17"/>
  <c r="N331" i="17" s="1"/>
  <c r="F345" i="17"/>
  <c r="J345" i="17" s="1"/>
  <c r="J346" i="17" s="1"/>
  <c r="K344" i="17" s="1"/>
  <c r="N344" i="17" s="1"/>
  <c r="K843" i="17"/>
  <c r="N843" i="17" s="1"/>
  <c r="K871" i="17"/>
  <c r="N871" i="17" s="1"/>
  <c r="J737" i="17"/>
  <c r="K727" i="17" s="1"/>
  <c r="N727" i="17" s="1"/>
  <c r="K421" i="17"/>
  <c r="N421" i="17" s="1"/>
  <c r="K437" i="17"/>
  <c r="N437" i="17" s="1"/>
  <c r="K449" i="17"/>
  <c r="N449" i="17" s="1"/>
  <c r="K289" i="17"/>
  <c r="N289" i="17" s="1"/>
  <c r="N491" i="17"/>
  <c r="N474" i="17"/>
  <c r="N505" i="17"/>
  <c r="N917" i="17"/>
  <c r="N887" i="17"/>
  <c r="N761" i="17"/>
  <c r="J768" i="17"/>
  <c r="K765" i="17" s="1"/>
  <c r="N765" i="17" s="1"/>
  <c r="J779" i="17"/>
  <c r="K772" i="17" s="1"/>
  <c r="N772" i="17" s="1"/>
  <c r="N770" i="17" s="1"/>
  <c r="N1106" i="17"/>
  <c r="N1102" i="17"/>
  <c r="I1130" i="17"/>
  <c r="J1129" i="17"/>
  <c r="J1128" i="17"/>
  <c r="J1127" i="17"/>
  <c r="J1126" i="17"/>
  <c r="J1125" i="17"/>
  <c r="M1124" i="17"/>
  <c r="I1090" i="17"/>
  <c r="J1089" i="17"/>
  <c r="M1088" i="17"/>
  <c r="J1039" i="17"/>
  <c r="J1061" i="17"/>
  <c r="J1058" i="17"/>
  <c r="J1059" i="17"/>
  <c r="J1060" i="17"/>
  <c r="J1062" i="17"/>
  <c r="I1122" i="17"/>
  <c r="J1121" i="17"/>
  <c r="J1120" i="17"/>
  <c r="M1119" i="17"/>
  <c r="I1100" i="17"/>
  <c r="J1099" i="17"/>
  <c r="J1100" i="17" s="1"/>
  <c r="K1098" i="17" s="1"/>
  <c r="M1098" i="17"/>
  <c r="I1094" i="17"/>
  <c r="J1093" i="17"/>
  <c r="J1094" i="17" s="1"/>
  <c r="K1092" i="17" s="1"/>
  <c r="M1092" i="17"/>
  <c r="I1086" i="17"/>
  <c r="J1085" i="17"/>
  <c r="M1084" i="17"/>
  <c r="I1063" i="17"/>
  <c r="M1056" i="17"/>
  <c r="I1054" i="17"/>
  <c r="J1053" i="17"/>
  <c r="J1052" i="17"/>
  <c r="M1051" i="17"/>
  <c r="I1041" i="17"/>
  <c r="J1040" i="17"/>
  <c r="J1038" i="17"/>
  <c r="J1037" i="17"/>
  <c r="J1036" i="17"/>
  <c r="M1035" i="17"/>
  <c r="I1033" i="17"/>
  <c r="J1032" i="17"/>
  <c r="J1031" i="17"/>
  <c r="J1030" i="17"/>
  <c r="M1029" i="17"/>
  <c r="M1691" i="17"/>
  <c r="I1937" i="17"/>
  <c r="J1936" i="17"/>
  <c r="J1937" i="17" s="1"/>
  <c r="K1935" i="17" s="1"/>
  <c r="M1935" i="17"/>
  <c r="I1927" i="17"/>
  <c r="J1926" i="17"/>
  <c r="J1925" i="17"/>
  <c r="J1924" i="17"/>
  <c r="M1923" i="17"/>
  <c r="I1933" i="17"/>
  <c r="J1932" i="17"/>
  <c r="J1933" i="17" s="1"/>
  <c r="K1931" i="17" s="1"/>
  <c r="M1931" i="17"/>
  <c r="I1915" i="17"/>
  <c r="J1914" i="17"/>
  <c r="J1915" i="17" s="1"/>
  <c r="K1913" i="17" s="1"/>
  <c r="M1913" i="17"/>
  <c r="I1911" i="17"/>
  <c r="J1910" i="17"/>
  <c r="J1911" i="17" s="1"/>
  <c r="K1909" i="17" s="1"/>
  <c r="M1909" i="17"/>
  <c r="J1890" i="17"/>
  <c r="J1891" i="17"/>
  <c r="J1892" i="17"/>
  <c r="J1893" i="17"/>
  <c r="J1894" i="17"/>
  <c r="J1895" i="17"/>
  <c r="J1896" i="17"/>
  <c r="J1889" i="17"/>
  <c r="I1921" i="17"/>
  <c r="J1920" i="17"/>
  <c r="M1919" i="17"/>
  <c r="I1897" i="17"/>
  <c r="J1888" i="17"/>
  <c r="M1887" i="17"/>
  <c r="I1877" i="17"/>
  <c r="J1876" i="17"/>
  <c r="J1875" i="17"/>
  <c r="J1874" i="17"/>
  <c r="J1873" i="17"/>
  <c r="J1872" i="17"/>
  <c r="M1871" i="17"/>
  <c r="N287" i="17" l="1"/>
  <c r="N285" i="17" s="1"/>
  <c r="N832" i="17"/>
  <c r="N830" i="17" s="1"/>
  <c r="N419" i="17"/>
  <c r="N417" i="17" s="1"/>
  <c r="J1130" i="17"/>
  <c r="K1124" i="17" s="1"/>
  <c r="N1124" i="17" s="1"/>
  <c r="N759" i="17"/>
  <c r="J1090" i="17"/>
  <c r="K1088" i="17" s="1"/>
  <c r="N1088" i="17" s="1"/>
  <c r="N1935" i="17"/>
  <c r="J1086" i="17"/>
  <c r="K1084" i="17" s="1"/>
  <c r="N1084" i="17" s="1"/>
  <c r="J1063" i="17"/>
  <c r="K1056" i="17" s="1"/>
  <c r="N1056" i="17" s="1"/>
  <c r="J1041" i="17"/>
  <c r="N1092" i="17"/>
  <c r="J1927" i="17"/>
  <c r="K1923" i="17" s="1"/>
  <c r="N1923" i="17" s="1"/>
  <c r="N1098" i="17"/>
  <c r="N1096" i="17" s="1"/>
  <c r="N1931" i="17"/>
  <c r="J1122" i="17"/>
  <c r="J1054" i="17"/>
  <c r="J1033" i="17"/>
  <c r="K1029" i="17" s="1"/>
  <c r="N1029" i="17" s="1"/>
  <c r="N1909" i="17"/>
  <c r="N1913" i="17"/>
  <c r="J1897" i="17"/>
  <c r="J1877" i="17"/>
  <c r="J1921" i="17"/>
  <c r="K1919" i="17" s="1"/>
  <c r="N1919" i="17" s="1"/>
  <c r="N1917" i="17" l="1"/>
  <c r="N1929" i="17"/>
  <c r="N1907" i="17"/>
  <c r="K1887" i="17"/>
  <c r="N1887" i="17" s="1"/>
  <c r="K1871" i="17"/>
  <c r="N1871" i="17" s="1"/>
  <c r="K1035" i="17"/>
  <c r="N1035" i="17" s="1"/>
  <c r="K1051" i="17"/>
  <c r="N1051" i="17" s="1"/>
  <c r="K1119" i="17"/>
  <c r="N1119" i="17" s="1"/>
  <c r="N1117" i="17" s="1"/>
  <c r="N1082" i="17"/>
  <c r="N1869" i="17" l="1"/>
  <c r="N1867" i="17" s="1"/>
  <c r="N1027" i="17"/>
  <c r="N1025" i="17" s="1"/>
  <c r="I719" i="17"/>
  <c r="M715" i="17"/>
  <c r="J712" i="17"/>
  <c r="M711" i="17"/>
  <c r="I697" i="17"/>
  <c r="J693" i="17"/>
  <c r="M692" i="17"/>
  <c r="I277" i="17"/>
  <c r="K274" i="17"/>
  <c r="M274" i="17"/>
  <c r="J125" i="17"/>
  <c r="I126" i="17"/>
  <c r="M1745" i="17"/>
  <c r="M1701" i="17"/>
  <c r="M1681" i="17"/>
  <c r="M1672" i="17"/>
  <c r="M1666" i="17"/>
  <c r="M1662" i="17"/>
  <c r="M1658" i="17"/>
  <c r="M1640" i="17"/>
  <c r="M1636" i="17"/>
  <c r="M1614" i="17"/>
  <c r="I1747" i="17"/>
  <c r="J1746" i="17"/>
  <c r="J1747" i="17" s="1"/>
  <c r="K1745" i="17" s="1"/>
  <c r="I1704" i="17"/>
  <c r="J1702" i="17"/>
  <c r="I1699" i="17"/>
  <c r="J1696" i="17"/>
  <c r="J1695" i="17"/>
  <c r="J1694" i="17"/>
  <c r="J1693" i="17"/>
  <c r="J1692" i="17"/>
  <c r="I1687" i="17"/>
  <c r="J1686" i="17"/>
  <c r="J1685" i="17"/>
  <c r="J1684" i="17"/>
  <c r="J1683" i="17"/>
  <c r="I1677" i="17"/>
  <c r="J1676" i="17"/>
  <c r="J1675" i="17"/>
  <c r="J1674" i="17"/>
  <c r="J1673" i="17"/>
  <c r="I1668" i="17"/>
  <c r="J1667" i="17"/>
  <c r="J1668" i="17" s="1"/>
  <c r="K1666" i="17" s="1"/>
  <c r="I1664" i="17"/>
  <c r="J1663" i="17"/>
  <c r="J1664" i="17" s="1"/>
  <c r="K1662" i="17" s="1"/>
  <c r="I1660" i="17"/>
  <c r="J1659" i="17"/>
  <c r="J1660" i="17" s="1"/>
  <c r="K1658" i="17" s="1"/>
  <c r="I1642" i="17"/>
  <c r="J1641" i="17"/>
  <c r="J1642" i="17" s="1"/>
  <c r="K1640" i="17" s="1"/>
  <c r="I1638" i="17"/>
  <c r="J1637" i="17"/>
  <c r="J1638" i="17" s="1"/>
  <c r="K1636" i="17" s="1"/>
  <c r="I1623" i="17"/>
  <c r="J1622" i="17"/>
  <c r="J1621" i="17"/>
  <c r="J1620" i="17"/>
  <c r="J1619" i="17"/>
  <c r="J1618" i="17"/>
  <c r="J1617" i="17"/>
  <c r="J1616" i="17"/>
  <c r="J1615" i="17"/>
  <c r="M1862" i="17"/>
  <c r="M1846" i="17"/>
  <c r="M1833" i="17"/>
  <c r="M1817" i="17"/>
  <c r="M1791" i="17"/>
  <c r="J1699" i="17" l="1"/>
  <c r="J1704" i="17"/>
  <c r="K1701" i="17" s="1"/>
  <c r="N1701" i="17" s="1"/>
  <c r="J697" i="17"/>
  <c r="K692" i="17" s="1"/>
  <c r="N692" i="17" s="1"/>
  <c r="N690" i="17" s="1"/>
  <c r="J719" i="17"/>
  <c r="J713" i="17"/>
  <c r="N1745" i="17"/>
  <c r="N1706" i="17" s="1"/>
  <c r="N274" i="17"/>
  <c r="J1687" i="17"/>
  <c r="K1681" i="17" s="1"/>
  <c r="N1681" i="17" s="1"/>
  <c r="N1679" i="17" s="1"/>
  <c r="N1640" i="17"/>
  <c r="N1662" i="17"/>
  <c r="J1677" i="17"/>
  <c r="K1672" i="17" s="1"/>
  <c r="N1672" i="17" s="1"/>
  <c r="N1670" i="17" s="1"/>
  <c r="J1623" i="17"/>
  <c r="N1636" i="17"/>
  <c r="N1658" i="17"/>
  <c r="N1666" i="17"/>
  <c r="K1614" i="17" l="1"/>
  <c r="N1614" i="17" s="1"/>
  <c r="N1612" i="17" s="1"/>
  <c r="K711" i="17"/>
  <c r="N711" i="17" s="1"/>
  <c r="K715" i="17"/>
  <c r="N715" i="17" s="1"/>
  <c r="K1691" i="17"/>
  <c r="N1691" i="17" s="1"/>
  <c r="N1689" i="17" s="1"/>
  <c r="N1656" i="17"/>
  <c r="N1610" i="17" l="1"/>
  <c r="N709" i="17"/>
  <c r="N688" i="17" s="1"/>
  <c r="M1016" i="17" l="1"/>
  <c r="M1012" i="17"/>
  <c r="M1006" i="17"/>
  <c r="M1001" i="17"/>
  <c r="M996" i="17"/>
  <c r="M981" i="17"/>
  <c r="M977" i="17"/>
  <c r="M961" i="17"/>
  <c r="M281" i="17"/>
  <c r="M245" i="17"/>
  <c r="M239" i="17"/>
  <c r="I1023" i="17"/>
  <c r="J1022" i="17"/>
  <c r="J1021" i="17"/>
  <c r="J1020" i="17"/>
  <c r="J1019" i="17"/>
  <c r="J1018" i="17"/>
  <c r="J1017" i="17"/>
  <c r="I1014" i="17"/>
  <c r="J1013" i="17"/>
  <c r="J1014" i="17" s="1"/>
  <c r="K1012" i="17" s="1"/>
  <c r="I1008" i="17"/>
  <c r="J1007" i="17"/>
  <c r="J1008" i="17" s="1"/>
  <c r="K1006" i="17" s="1"/>
  <c r="I1004" i="17"/>
  <c r="J1003" i="17"/>
  <c r="J1002" i="17"/>
  <c r="I999" i="17"/>
  <c r="J998" i="17"/>
  <c r="J997" i="17"/>
  <c r="I984" i="17"/>
  <c r="J983" i="17"/>
  <c r="J982" i="17"/>
  <c r="I979" i="17"/>
  <c r="J978" i="17"/>
  <c r="J979" i="17" s="1"/>
  <c r="K977" i="17" s="1"/>
  <c r="I970" i="17"/>
  <c r="J969" i="17"/>
  <c r="J968" i="17"/>
  <c r="J967" i="17"/>
  <c r="I964" i="17"/>
  <c r="J963" i="17"/>
  <c r="J962" i="17"/>
  <c r="I283" i="17"/>
  <c r="J282" i="17"/>
  <c r="J283" i="17" s="1"/>
  <c r="K281" i="17" s="1"/>
  <c r="I252" i="17"/>
  <c r="J251" i="17"/>
  <c r="J250" i="17"/>
  <c r="J249" i="17"/>
  <c r="J248" i="17"/>
  <c r="J247" i="17"/>
  <c r="J246" i="17"/>
  <c r="I241" i="17"/>
  <c r="J240" i="17"/>
  <c r="J241" i="17" s="1"/>
  <c r="K239" i="17" s="1"/>
  <c r="I237" i="17"/>
  <c r="J236" i="17"/>
  <c r="J237" i="17" s="1"/>
  <c r="K235" i="17" s="1"/>
  <c r="N235" i="17" s="1"/>
  <c r="I219" i="17"/>
  <c r="J218" i="17"/>
  <c r="J217" i="17"/>
  <c r="J216" i="17"/>
  <c r="I204" i="17"/>
  <c r="J203" i="17"/>
  <c r="J202" i="17"/>
  <c r="J201" i="17"/>
  <c r="J200" i="17"/>
  <c r="J199" i="17"/>
  <c r="J204" i="17" l="1"/>
  <c r="K197" i="17" s="1"/>
  <c r="N197" i="17" s="1"/>
  <c r="J219" i="17"/>
  <c r="N239" i="17"/>
  <c r="J964" i="17"/>
  <c r="K961" i="17" s="1"/>
  <c r="N961" i="17" s="1"/>
  <c r="J970" i="17"/>
  <c r="J984" i="17"/>
  <c r="K981" i="17" s="1"/>
  <c r="N981" i="17" s="1"/>
  <c r="J999" i="17"/>
  <c r="K996" i="17" s="1"/>
  <c r="N996" i="17" s="1"/>
  <c r="J1004" i="17"/>
  <c r="K1001" i="17" s="1"/>
  <c r="N1001" i="17" s="1"/>
  <c r="J1023" i="17"/>
  <c r="N1006" i="17"/>
  <c r="J252" i="17"/>
  <c r="N281" i="17"/>
  <c r="N279" i="17" s="1"/>
  <c r="N977" i="17"/>
  <c r="N1012" i="17"/>
  <c r="K966" i="17" l="1"/>
  <c r="N966" i="17" s="1"/>
  <c r="N959" i="17" s="1"/>
  <c r="K215" i="17"/>
  <c r="N215" i="17" s="1"/>
  <c r="N195" i="17" s="1"/>
  <c r="N994" i="17"/>
  <c r="K245" i="17"/>
  <c r="N245" i="17" s="1"/>
  <c r="N243" i="17" s="1"/>
  <c r="K1016" i="17"/>
  <c r="N1016" i="17" s="1"/>
  <c r="N1010" i="17" s="1"/>
  <c r="I1457" i="17"/>
  <c r="J1453" i="17"/>
  <c r="M1452" i="17"/>
  <c r="J1463" i="17"/>
  <c r="I1464" i="17"/>
  <c r="J1462" i="17"/>
  <c r="M1461" i="17"/>
  <c r="J1447" i="17"/>
  <c r="J1448" i="17"/>
  <c r="J1449" i="17"/>
  <c r="J1441" i="17"/>
  <c r="J1442" i="17"/>
  <c r="J1443" i="17"/>
  <c r="J1444" i="17"/>
  <c r="J1445" i="17"/>
  <c r="J1446" i="17"/>
  <c r="I1450" i="17"/>
  <c r="J1440" i="17"/>
  <c r="J1439" i="17"/>
  <c r="M1438" i="17"/>
  <c r="I1427" i="17"/>
  <c r="J1426" i="17"/>
  <c r="J1425" i="17"/>
  <c r="M1424" i="17"/>
  <c r="I1416" i="17"/>
  <c r="J1415" i="17"/>
  <c r="J1416" i="17" s="1"/>
  <c r="K1414" i="17" s="1"/>
  <c r="M1414" i="17"/>
  <c r="J1393" i="17"/>
  <c r="J1371" i="17"/>
  <c r="J1372" i="17"/>
  <c r="J1373" i="17"/>
  <c r="J1365" i="17"/>
  <c r="J1366" i="17"/>
  <c r="J1367" i="17"/>
  <c r="J1368" i="17"/>
  <c r="J1369" i="17"/>
  <c r="N957" i="17" l="1"/>
  <c r="N193" i="17"/>
  <c r="J1464" i="17"/>
  <c r="K1461" i="17" s="1"/>
  <c r="N1461" i="17" s="1"/>
  <c r="N1459" i="17" s="1"/>
  <c r="J1457" i="17"/>
  <c r="K1452" i="17" s="1"/>
  <c r="N1452" i="17" s="1"/>
  <c r="J1450" i="17"/>
  <c r="J1427" i="17"/>
  <c r="K1424" i="17" s="1"/>
  <c r="N1424" i="17" s="1"/>
  <c r="N1414" i="17"/>
  <c r="I1422" i="17"/>
  <c r="J1421" i="17"/>
  <c r="M1420" i="17"/>
  <c r="J1411" i="17"/>
  <c r="J1412" i="17" s="1"/>
  <c r="M1410" i="17"/>
  <c r="I1408" i="17"/>
  <c r="J1407" i="17"/>
  <c r="M1406" i="17"/>
  <c r="I1394" i="17"/>
  <c r="J1392" i="17"/>
  <c r="J1391" i="17"/>
  <c r="J1390" i="17"/>
  <c r="M1389" i="17"/>
  <c r="I1374" i="17"/>
  <c r="J1370" i="17"/>
  <c r="J1364" i="17"/>
  <c r="M1363" i="17"/>
  <c r="I177" i="17"/>
  <c r="J176" i="17"/>
  <c r="J177" i="17" s="1"/>
  <c r="K175" i="17" s="1"/>
  <c r="M175" i="17"/>
  <c r="I173" i="17"/>
  <c r="J172" i="17"/>
  <c r="J173" i="17" s="1"/>
  <c r="K171" i="17" s="1"/>
  <c r="M171" i="17"/>
  <c r="J183" i="17"/>
  <c r="I169" i="17"/>
  <c r="J168" i="17"/>
  <c r="J169" i="17" s="1"/>
  <c r="M167" i="17"/>
  <c r="I165" i="17"/>
  <c r="J164" i="17"/>
  <c r="J163" i="17"/>
  <c r="M162" i="17"/>
  <c r="I156" i="17"/>
  <c r="J155" i="17"/>
  <c r="J154" i="17"/>
  <c r="M153" i="17"/>
  <c r="J124" i="17"/>
  <c r="J117" i="17"/>
  <c r="J118" i="17"/>
  <c r="J119" i="17"/>
  <c r="J120" i="17"/>
  <c r="J121" i="17"/>
  <c r="J122" i="17"/>
  <c r="J106" i="17"/>
  <c r="I184" i="17"/>
  <c r="J182" i="17"/>
  <c r="M181" i="17"/>
  <c r="I160" i="17"/>
  <c r="J159" i="17"/>
  <c r="M158" i="17"/>
  <c r="I151" i="17"/>
  <c r="J150" i="17"/>
  <c r="J149" i="17"/>
  <c r="M148" i="17"/>
  <c r="I131" i="17"/>
  <c r="J130" i="17"/>
  <c r="M128" i="17"/>
  <c r="J123" i="17"/>
  <c r="J116" i="17"/>
  <c r="M115" i="17"/>
  <c r="I107" i="17"/>
  <c r="J105" i="17"/>
  <c r="J104" i="17"/>
  <c r="I101" i="17"/>
  <c r="J100" i="17"/>
  <c r="J99" i="17"/>
  <c r="M98" i="17"/>
  <c r="I682" i="17"/>
  <c r="J681" i="17"/>
  <c r="J680" i="17"/>
  <c r="J679" i="17"/>
  <c r="J678" i="17"/>
  <c r="M677" i="17"/>
  <c r="I1195" i="17"/>
  <c r="J1194" i="17"/>
  <c r="M1193" i="17"/>
  <c r="J630" i="17"/>
  <c r="J631" i="17"/>
  <c r="J632" i="17"/>
  <c r="I666" i="17"/>
  <c r="J665" i="17"/>
  <c r="M664" i="17"/>
  <c r="I660" i="17"/>
  <c r="J659" i="17"/>
  <c r="J658" i="17"/>
  <c r="M657" i="17"/>
  <c r="I655" i="17"/>
  <c r="J654" i="17"/>
  <c r="J653" i="17"/>
  <c r="M652" i="17"/>
  <c r="I633" i="17"/>
  <c r="M628" i="17"/>
  <c r="I626" i="17"/>
  <c r="J625" i="17"/>
  <c r="K623" i="17" s="1"/>
  <c r="J624" i="17"/>
  <c r="M623" i="17"/>
  <c r="I615" i="17"/>
  <c r="J614" i="17"/>
  <c r="J613" i="17"/>
  <c r="I610" i="17"/>
  <c r="J609" i="17"/>
  <c r="J608" i="17"/>
  <c r="M607" i="17"/>
  <c r="I1181" i="17"/>
  <c r="J1180" i="17"/>
  <c r="J1179" i="17"/>
  <c r="M1178" i="17"/>
  <c r="J1152" i="17"/>
  <c r="I1154" i="17"/>
  <c r="J1153" i="17"/>
  <c r="J1151" i="17"/>
  <c r="M1150" i="17"/>
  <c r="J1173" i="17"/>
  <c r="J1138" i="17"/>
  <c r="J1139" i="17"/>
  <c r="J1140" i="17"/>
  <c r="J1145" i="17"/>
  <c r="J1146" i="17"/>
  <c r="J1147" i="17"/>
  <c r="I1174" i="17"/>
  <c r="J1172" i="17"/>
  <c r="M1171" i="17"/>
  <c r="I1169" i="17"/>
  <c r="J1168" i="17"/>
  <c r="J1167" i="17"/>
  <c r="M1166" i="17"/>
  <c r="I1148" i="17"/>
  <c r="J1144" i="17"/>
  <c r="I1141" i="17"/>
  <c r="J1137" i="17"/>
  <c r="I1865" i="17"/>
  <c r="J1863" i="17"/>
  <c r="I1849" i="17"/>
  <c r="J1848" i="17"/>
  <c r="J1847" i="17"/>
  <c r="I1836" i="17"/>
  <c r="J1835" i="17"/>
  <c r="J1834" i="17"/>
  <c r="I1821" i="17"/>
  <c r="J1819" i="17"/>
  <c r="J1818" i="17"/>
  <c r="I1793" i="17"/>
  <c r="J1792" i="17"/>
  <c r="J1793" i="17" s="1"/>
  <c r="K1791" i="17" s="1"/>
  <c r="M1753" i="17"/>
  <c r="M1758" i="17"/>
  <c r="M1763" i="17"/>
  <c r="M1769" i="17"/>
  <c r="M1775" i="17"/>
  <c r="I1777" i="17"/>
  <c r="J1776" i="17"/>
  <c r="J1777" i="17" s="1"/>
  <c r="K1775" i="17" s="1"/>
  <c r="I1771" i="17"/>
  <c r="J1770" i="17"/>
  <c r="J1771" i="17" s="1"/>
  <c r="K1769" i="17" s="1"/>
  <c r="I1765" i="17"/>
  <c r="J1764" i="17"/>
  <c r="J1765" i="17" s="1"/>
  <c r="K1763" i="17" s="1"/>
  <c r="I1761" i="17"/>
  <c r="J1760" i="17"/>
  <c r="J1759" i="17"/>
  <c r="I1756" i="17"/>
  <c r="J1755" i="17"/>
  <c r="J1754" i="17"/>
  <c r="M1551" i="17"/>
  <c r="M1560" i="17"/>
  <c r="M1580" i="17"/>
  <c r="M1585" i="17"/>
  <c r="M1599" i="17"/>
  <c r="M1606" i="17"/>
  <c r="I1608" i="17"/>
  <c r="J1607" i="17"/>
  <c r="J1608" i="17" s="1"/>
  <c r="I1602" i="17"/>
  <c r="J1601" i="17"/>
  <c r="J1600" i="17"/>
  <c r="I1587" i="17"/>
  <c r="J1586" i="17"/>
  <c r="J1587" i="17" s="1"/>
  <c r="K1585" i="17" s="1"/>
  <c r="I1583" i="17"/>
  <c r="J1582" i="17"/>
  <c r="J1581" i="17"/>
  <c r="I1568" i="17"/>
  <c r="J1567" i="17"/>
  <c r="J1566" i="17"/>
  <c r="J1565" i="17"/>
  <c r="J1564" i="17"/>
  <c r="J1563" i="17"/>
  <c r="J1562" i="17"/>
  <c r="I1558" i="17"/>
  <c r="J1557" i="17"/>
  <c r="J1556" i="17"/>
  <c r="J1555" i="17"/>
  <c r="J1554" i="17"/>
  <c r="J1553" i="17"/>
  <c r="J1552" i="17"/>
  <c r="J1865" i="17" l="1"/>
  <c r="K1862" i="17" s="1"/>
  <c r="N1862" i="17" s="1"/>
  <c r="N1860" i="17" s="1"/>
  <c r="J626" i="17"/>
  <c r="J1821" i="17"/>
  <c r="K1817" i="17" s="1"/>
  <c r="N1817" i="17" s="1"/>
  <c r="K1438" i="17"/>
  <c r="N1438" i="17" s="1"/>
  <c r="N1436" i="17" s="1"/>
  <c r="J126" i="17"/>
  <c r="K115" i="17" s="1"/>
  <c r="N115" i="17" s="1"/>
  <c r="J1394" i="17"/>
  <c r="J1422" i="17"/>
  <c r="K1420" i="17" s="1"/>
  <c r="N1420" i="17" s="1"/>
  <c r="N1418" i="17" s="1"/>
  <c r="J1374" i="17"/>
  <c r="J1408" i="17"/>
  <c r="K1406" i="17" s="1"/>
  <c r="N1406" i="17" s="1"/>
  <c r="K1410" i="17"/>
  <c r="N1410" i="17" s="1"/>
  <c r="N175" i="17"/>
  <c r="N171" i="17"/>
  <c r="J184" i="17"/>
  <c r="K181" i="17" s="1"/>
  <c r="N181" i="17" s="1"/>
  <c r="N179" i="17" s="1"/>
  <c r="K167" i="17"/>
  <c r="N167" i="17" s="1"/>
  <c r="J151" i="17"/>
  <c r="K148" i="17" s="1"/>
  <c r="N148" i="17" s="1"/>
  <c r="J165" i="17"/>
  <c r="K162" i="17" s="1"/>
  <c r="N162" i="17" s="1"/>
  <c r="J156" i="17"/>
  <c r="K153" i="17" s="1"/>
  <c r="N153" i="17" s="1"/>
  <c r="J107" i="17"/>
  <c r="J160" i="17"/>
  <c r="K158" i="17" s="1"/>
  <c r="N158" i="17" s="1"/>
  <c r="J101" i="17"/>
  <c r="K98" i="17" s="1"/>
  <c r="N98" i="17" s="1"/>
  <c r="J131" i="17"/>
  <c r="K128" i="17" s="1"/>
  <c r="N128" i="17" s="1"/>
  <c r="J1195" i="17"/>
  <c r="J682" i="17"/>
  <c r="J633" i="17"/>
  <c r="K628" i="17" s="1"/>
  <c r="N628" i="17" s="1"/>
  <c r="N623" i="17"/>
  <c r="J655" i="17"/>
  <c r="K652" i="17" s="1"/>
  <c r="N652" i="17" s="1"/>
  <c r="J660" i="17"/>
  <c r="K657" i="17" s="1"/>
  <c r="N657" i="17" s="1"/>
  <c r="J615" i="17"/>
  <c r="J666" i="17"/>
  <c r="K664" i="17" s="1"/>
  <c r="N664" i="17" s="1"/>
  <c r="N662" i="17" s="1"/>
  <c r="J610" i="17"/>
  <c r="K607" i="17" s="1"/>
  <c r="N607" i="17" s="1"/>
  <c r="J1181" i="17"/>
  <c r="K1178" i="17" s="1"/>
  <c r="N1178" i="17" s="1"/>
  <c r="N1176" i="17" s="1"/>
  <c r="J1154" i="17"/>
  <c r="J1174" i="17"/>
  <c r="K1171" i="17" s="1"/>
  <c r="N1171" i="17" s="1"/>
  <c r="J1148" i="17"/>
  <c r="J1141" i="17"/>
  <c r="J1169" i="17"/>
  <c r="K1166" i="17" s="1"/>
  <c r="N1166" i="17" s="1"/>
  <c r="J1849" i="17"/>
  <c r="K1846" i="17" s="1"/>
  <c r="N1846" i="17" s="1"/>
  <c r="N1791" i="17"/>
  <c r="N1781" i="17" s="1"/>
  <c r="J1836" i="17"/>
  <c r="K1833" i="17" s="1"/>
  <c r="N1833" i="17" s="1"/>
  <c r="J1756" i="17"/>
  <c r="K1753" i="17" s="1"/>
  <c r="N1753" i="17" s="1"/>
  <c r="N1763" i="17"/>
  <c r="N1775" i="17"/>
  <c r="N1773" i="17" s="1"/>
  <c r="N1769" i="17"/>
  <c r="N1767" i="17" s="1"/>
  <c r="J1602" i="17"/>
  <c r="K1599" i="17" s="1"/>
  <c r="N1599" i="17" s="1"/>
  <c r="N1597" i="17" s="1"/>
  <c r="J1761" i="17"/>
  <c r="K1758" i="17" s="1"/>
  <c r="N1758" i="17" s="1"/>
  <c r="J1568" i="17"/>
  <c r="J1583" i="17"/>
  <c r="N1585" i="17"/>
  <c r="K1606" i="17"/>
  <c r="N1606" i="17" s="1"/>
  <c r="N1604" i="17" s="1"/>
  <c r="J1558" i="17"/>
  <c r="J1544" i="17"/>
  <c r="I1501" i="17"/>
  <c r="J1500" i="17"/>
  <c r="J1501" i="17" s="1"/>
  <c r="K1499" i="17" s="1"/>
  <c r="M1499" i="17"/>
  <c r="I1497" i="17"/>
  <c r="J1496" i="17"/>
  <c r="J1497" i="17" s="1"/>
  <c r="K1495" i="17" s="1"/>
  <c r="M1495" i="17"/>
  <c r="I1493" i="17"/>
  <c r="J1492" i="17"/>
  <c r="J1493" i="17" s="1"/>
  <c r="K1491" i="17" s="1"/>
  <c r="M1491" i="17"/>
  <c r="I1523" i="17"/>
  <c r="J1522" i="17"/>
  <c r="J1523" i="17" s="1"/>
  <c r="K1521" i="17" s="1"/>
  <c r="M1521" i="17"/>
  <c r="J1478" i="17"/>
  <c r="J1479" i="17"/>
  <c r="J1480" i="17"/>
  <c r="I1481" i="17"/>
  <c r="J1477" i="17"/>
  <c r="I1474" i="17"/>
  <c r="J1473" i="17"/>
  <c r="J1472" i="17"/>
  <c r="M1471" i="17"/>
  <c r="I1545" i="17"/>
  <c r="J1543" i="17"/>
  <c r="M1542" i="17"/>
  <c r="I1538" i="17"/>
  <c r="J1536" i="17"/>
  <c r="J1535" i="17"/>
  <c r="M1534" i="17"/>
  <c r="I1532" i="17"/>
  <c r="J1531" i="17"/>
  <c r="J1530" i="17"/>
  <c r="J1529" i="17"/>
  <c r="J1528" i="17"/>
  <c r="M1527" i="17"/>
  <c r="I1519" i="17"/>
  <c r="J1518" i="17"/>
  <c r="J1519" i="17" s="1"/>
  <c r="K1517" i="17" s="1"/>
  <c r="M1517" i="17"/>
  <c r="I1515" i="17"/>
  <c r="J1514" i="17"/>
  <c r="J1515" i="17" s="1"/>
  <c r="K1513" i="17" s="1"/>
  <c r="M1513" i="17"/>
  <c r="I1511" i="17"/>
  <c r="J1510" i="17"/>
  <c r="J1511" i="17" s="1"/>
  <c r="K1509" i="17" s="1"/>
  <c r="M1509" i="17"/>
  <c r="I1489" i="17"/>
  <c r="J1488" i="17"/>
  <c r="J1487" i="17"/>
  <c r="J1486" i="17"/>
  <c r="J1485" i="17"/>
  <c r="J1484" i="17"/>
  <c r="N1815" i="17" l="1"/>
  <c r="N1779" i="17" s="1"/>
  <c r="J1538" i="17"/>
  <c r="K1534" i="17" s="1"/>
  <c r="N1404" i="17"/>
  <c r="K1560" i="17"/>
  <c r="N1560" i="17" s="1"/>
  <c r="K1580" i="17"/>
  <c r="N1580" i="17" s="1"/>
  <c r="K1551" i="17"/>
  <c r="N1551" i="17" s="1"/>
  <c r="K1363" i="17"/>
  <c r="N1363" i="17" s="1"/>
  <c r="K1389" i="17"/>
  <c r="N1389" i="17" s="1"/>
  <c r="K1150" i="17"/>
  <c r="N1150" i="17" s="1"/>
  <c r="K1136" i="17"/>
  <c r="N1136" i="17" s="1"/>
  <c r="K1143" i="17"/>
  <c r="N1143" i="17" s="1"/>
  <c r="N650" i="17"/>
  <c r="K612" i="17"/>
  <c r="N612" i="17" s="1"/>
  <c r="N605" i="17" s="1"/>
  <c r="K103" i="17"/>
  <c r="N103" i="17" s="1"/>
  <c r="N96" i="17" s="1"/>
  <c r="K1193" i="17"/>
  <c r="N1193" i="17" s="1"/>
  <c r="N1191" i="17" s="1"/>
  <c r="K677" i="17"/>
  <c r="N677" i="17" s="1"/>
  <c r="N675" i="17" s="1"/>
  <c r="N146" i="17"/>
  <c r="N1164" i="17"/>
  <c r="N1751" i="17"/>
  <c r="N1749" i="17" s="1"/>
  <c r="J1545" i="17"/>
  <c r="K1542" i="17" s="1"/>
  <c r="N1542" i="17" s="1"/>
  <c r="N1540" i="17" s="1"/>
  <c r="N1499" i="17"/>
  <c r="N1495" i="17"/>
  <c r="N1491" i="17"/>
  <c r="N1521" i="17"/>
  <c r="J1481" i="17"/>
  <c r="K1476" i="17" s="1"/>
  <c r="N1476" i="17" s="1"/>
  <c r="N1534" i="17"/>
  <c r="N1517" i="17"/>
  <c r="N1513" i="17"/>
  <c r="N1509" i="17"/>
  <c r="J1474" i="17"/>
  <c r="K1471" i="17" s="1"/>
  <c r="N1471" i="17" s="1"/>
  <c r="J1532" i="17"/>
  <c r="J1489" i="17"/>
  <c r="K1483" i="17" s="1"/>
  <c r="N1483" i="17" s="1"/>
  <c r="N1549" i="17" l="1"/>
  <c r="N1547" i="17" s="1"/>
  <c r="N1469" i="17"/>
  <c r="N1361" i="17"/>
  <c r="N1359" i="17" s="1"/>
  <c r="N1134" i="17"/>
  <c r="N1132" i="17" s="1"/>
  <c r="N94" i="17"/>
  <c r="N603" i="17"/>
  <c r="K1527" i="17"/>
  <c r="N1527" i="17" s="1"/>
  <c r="N1525" i="17" s="1"/>
  <c r="N1507" i="17"/>
  <c r="N1467" i="17" l="1"/>
  <c r="D25" i="37" l="1"/>
  <c r="E22" i="37"/>
  <c r="D24" i="36"/>
  <c r="D28" i="36" s="1"/>
  <c r="E21" i="36"/>
  <c r="M17" i="17" l="1"/>
  <c r="I19" i="17" l="1"/>
  <c r="J18" i="17"/>
  <c r="J19" i="17" l="1"/>
  <c r="K17" i="17" s="1"/>
  <c r="N17" i="17" s="1"/>
  <c r="N15" i="17" s="1"/>
  <c r="N13" i="17" s="1"/>
  <c r="N2057" i="17" l="1"/>
  <c r="O13" i="17" l="1"/>
  <c r="B10" i="34"/>
  <c r="O1025" i="17"/>
  <c r="O193" i="17"/>
  <c r="O1779" i="17"/>
  <c r="O1197" i="17"/>
  <c r="O1749" i="17"/>
  <c r="O1960" i="17"/>
  <c r="O1467" i="17"/>
  <c r="O688" i="17"/>
  <c r="O1610" i="17"/>
  <c r="O21" i="17"/>
  <c r="O1359" i="17"/>
  <c r="O785" i="17"/>
  <c r="O94" i="17"/>
  <c r="O2057" i="17"/>
  <c r="O1132" i="17"/>
  <c r="O285" i="17"/>
  <c r="O417" i="17"/>
  <c r="O535" i="17"/>
  <c r="O603" i="17"/>
  <c r="O1867" i="17"/>
  <c r="O1547" i="17"/>
  <c r="O830" i="17"/>
  <c r="O957" i="17"/>
  <c r="N2058" i="17" l="1"/>
  <c r="B12" i="34" l="1"/>
  <c r="F12" i="34" l="1"/>
  <c r="G12" i="34"/>
  <c r="F61" i="45"/>
  <c r="I61" i="45" s="1"/>
  <c r="I55" i="45" l="1"/>
  <c r="I148" i="45" s="1"/>
  <c r="J138" i="45" s="1"/>
  <c r="J121" i="45" l="1"/>
  <c r="J97" i="45"/>
  <c r="J134" i="45"/>
  <c r="C22" i="47"/>
  <c r="C23" i="31" l="1"/>
  <c r="C40" i="47"/>
  <c r="J70" i="45"/>
  <c r="J55" i="45"/>
  <c r="J68" i="45"/>
  <c r="G11" i="47"/>
  <c r="J20" i="45"/>
  <c r="J101" i="45"/>
  <c r="J23" i="45"/>
  <c r="J79" i="45"/>
  <c r="J28" i="45"/>
  <c r="J9" i="45"/>
  <c r="J32" i="45"/>
  <c r="J44" i="45"/>
  <c r="M23" i="31" l="1"/>
  <c r="M41" i="31" s="1"/>
  <c r="O47" i="31"/>
  <c r="D36" i="47"/>
  <c r="D34" i="47"/>
  <c r="D38" i="47"/>
  <c r="D26" i="47"/>
  <c r="D24" i="47"/>
  <c r="D28" i="47"/>
  <c r="D16" i="47"/>
  <c r="G17" i="47"/>
  <c r="D12" i="47"/>
  <c r="D14" i="47"/>
  <c r="G15" i="47"/>
  <c r="G13" i="47"/>
  <c r="D18" i="47"/>
  <c r="D32" i="47"/>
  <c r="D10" i="47"/>
  <c r="D30" i="47"/>
  <c r="D20" i="47"/>
  <c r="D22" i="47"/>
  <c r="J41" i="31" l="1"/>
  <c r="N41" i="31"/>
  <c r="D41" i="31"/>
  <c r="E45" i="31"/>
  <c r="H41" i="31"/>
  <c r="F41" i="31"/>
  <c r="G45" i="31"/>
  <c r="I45" i="31"/>
  <c r="K45" i="31"/>
  <c r="L41" i="31"/>
  <c r="M44" i="31"/>
  <c r="D40" i="47"/>
  <c r="O44" i="31" l="1"/>
  <c r="O45" i="31" s="1"/>
  <c r="M45" i="31"/>
</calcChain>
</file>

<file path=xl/sharedStrings.xml><?xml version="1.0" encoding="utf-8"?>
<sst xmlns="http://schemas.openxmlformats.org/spreadsheetml/2006/main" count="7442" uniqueCount="1467">
  <si>
    <t>PROJETO</t>
  </si>
  <si>
    <t>ITEM</t>
  </si>
  <si>
    <t>UN.</t>
  </si>
  <si>
    <t>TAXA</t>
  </si>
  <si>
    <t>ALTURA</t>
  </si>
  <si>
    <t>TOTAL</t>
  </si>
  <si>
    <t>1.0</t>
  </si>
  <si>
    <t>SERVIÇOS PRELIMINARES</t>
  </si>
  <si>
    <t>1.1</t>
  </si>
  <si>
    <t>m²</t>
  </si>
  <si>
    <t>2.0</t>
  </si>
  <si>
    <t>2.1</t>
  </si>
  <si>
    <t>2.2</t>
  </si>
  <si>
    <t>3.0</t>
  </si>
  <si>
    <t>3.1</t>
  </si>
  <si>
    <t>3.2</t>
  </si>
  <si>
    <t>4.0</t>
  </si>
  <si>
    <t>4.1</t>
  </si>
  <si>
    <t>4.2</t>
  </si>
  <si>
    <t>5.0</t>
  </si>
  <si>
    <t>5.1</t>
  </si>
  <si>
    <t>5.2</t>
  </si>
  <si>
    <t>CÓDIGO</t>
  </si>
  <si>
    <t>PLANILHA ORÇAMENTÁRIA</t>
  </si>
  <si>
    <t>7.0</t>
  </si>
  <si>
    <t>7.1</t>
  </si>
  <si>
    <t>8.1</t>
  </si>
  <si>
    <t>9.0</t>
  </si>
  <si>
    <t>ESQUADRIAS</t>
  </si>
  <si>
    <t>PINTURA</t>
  </si>
  <si>
    <t>INSTALAÇÕES ELÉTRICAS</t>
  </si>
  <si>
    <t>pt</t>
  </si>
  <si>
    <t>cj</t>
  </si>
  <si>
    <t>un</t>
  </si>
  <si>
    <t>Área</t>
  </si>
  <si>
    <t>Total</t>
  </si>
  <si>
    <t>4.3</t>
  </si>
  <si>
    <t>8.2</t>
  </si>
  <si>
    <t>5.3</t>
  </si>
  <si>
    <t>área</t>
  </si>
  <si>
    <t>8.5</t>
  </si>
  <si>
    <t>Lavatório</t>
  </si>
  <si>
    <t>m³</t>
  </si>
  <si>
    <t>m</t>
  </si>
  <si>
    <t>6.0</t>
  </si>
  <si>
    <t>6.1</t>
  </si>
  <si>
    <t>7.2</t>
  </si>
  <si>
    <t>7.3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</si>
  <si>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</si>
  <si>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</si>
  <si>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</si>
  <si>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</si>
  <si>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</si>
  <si>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</si>
  <si>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</si>
  <si>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</si>
  <si>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8.3</t>
  </si>
  <si>
    <t>8.4</t>
  </si>
  <si>
    <t>MEMÓRIA DE CÁLCULO EXPLICATIVO</t>
  </si>
  <si>
    <t>2.3</t>
  </si>
  <si>
    <t>3.3</t>
  </si>
  <si>
    <t>1.1.1</t>
  </si>
  <si>
    <t>Pilares</t>
  </si>
  <si>
    <t>Secretaria</t>
  </si>
  <si>
    <t>Informática</t>
  </si>
  <si>
    <t>PLACA DE OBRA EM CHAPA DE ACO GALVANIZADO</t>
  </si>
  <si>
    <t>5.4</t>
  </si>
  <si>
    <t>6.2</t>
  </si>
  <si>
    <t>6.3</t>
  </si>
  <si>
    <t>6.4</t>
  </si>
  <si>
    <t>Quantidade</t>
  </si>
  <si>
    <t>Código de referência (origem dos coeficientes da composição)</t>
  </si>
  <si>
    <t xml:space="preserve">Discriminação: </t>
  </si>
  <si>
    <t>Unidade</t>
  </si>
  <si>
    <t>Preço Unitário Custo</t>
  </si>
  <si>
    <t>Composição</t>
  </si>
  <si>
    <t>COMPOSIÇÕES DE CUSTO UNITÁRIOS COMPLEMENTARES</t>
  </si>
  <si>
    <t xml:space="preserve">REVISAO GERAL DE TELHADOS DE TELHAS CERAMICAS </t>
  </si>
  <si>
    <t>Sapatas</t>
  </si>
  <si>
    <t>Cantina</t>
  </si>
  <si>
    <t>COBERTURA</t>
  </si>
  <si>
    <t>LOCALIZAÇÃO: DIVERSAS LOCALIDADES, LIMOEIRO - PE</t>
  </si>
  <si>
    <t>INSTALAÇÃO DE PLACA DE OBRA</t>
  </si>
  <si>
    <t>74209/001</t>
  </si>
  <si>
    <t>Placa de obra</t>
  </si>
  <si>
    <t>COMP.</t>
  </si>
  <si>
    <t>LARG.</t>
  </si>
  <si>
    <t>REFERÊNCIA</t>
  </si>
  <si>
    <t>DESCRIÇÃO DOS SERVIÇOS</t>
  </si>
  <si>
    <t>SINAPI</t>
  </si>
  <si>
    <t>TOTAL GERAL</t>
  </si>
  <si>
    <t>RESUMO DO ORÇAMENTO</t>
  </si>
  <si>
    <t>CRONOGRAMA FÍSICO FINANCEIRO</t>
  </si>
  <si>
    <t>ETAPA</t>
  </si>
  <si>
    <t>SERVIÇO</t>
  </si>
  <si>
    <t>TOTAL ETAPA (R$)</t>
  </si>
  <si>
    <t>TOTAIS PARCIAIS</t>
  </si>
  <si>
    <t>TOTAIS ACUMULADOS</t>
  </si>
  <si>
    <t>RESUMO COMPARATIVO</t>
  </si>
  <si>
    <r>
      <t xml:space="preserve">ORÇAMENTO </t>
    </r>
    <r>
      <rPr>
        <b/>
        <u/>
        <sz val="12"/>
        <rFont val="Arial"/>
        <family val="2"/>
      </rPr>
      <t>COM</t>
    </r>
    <r>
      <rPr>
        <b/>
        <sz val="12"/>
        <rFont val="Arial"/>
        <family val="2"/>
      </rPr>
      <t xml:space="preserve"> DESONERAÇÃO </t>
    </r>
    <r>
      <rPr>
        <b/>
        <i/>
        <sz val="10"/>
        <rFont val="Arial"/>
        <family val="2"/>
      </rPr>
      <t>VERSUS</t>
    </r>
    <r>
      <rPr>
        <b/>
        <sz val="12"/>
        <rFont val="Arial"/>
        <family val="2"/>
      </rPr>
      <t xml:space="preserve"> ORÇAMENTO </t>
    </r>
    <r>
      <rPr>
        <b/>
        <u/>
        <sz val="12"/>
        <rFont val="Arial"/>
        <family val="2"/>
      </rPr>
      <t>SEM</t>
    </r>
    <r>
      <rPr>
        <b/>
        <sz val="12"/>
        <rFont val="Arial"/>
        <family val="2"/>
      </rPr>
      <t xml:space="preserve"> DESONERAÇÃO</t>
    </r>
  </si>
  <si>
    <t>VALOR TOTAL DO PROJETO</t>
  </si>
  <si>
    <t>BDI REFERENCIAL ADOTADO - 
(dentro da faixa referencial do Acórdão 2622/2013, com tributos locais)</t>
  </si>
  <si>
    <t>ENCARGOS SOCIAIS ADOTADOS 
(padrão SINAPI Pernambuco)</t>
  </si>
  <si>
    <r>
      <t xml:space="preserve">ORÇAMENTO </t>
    </r>
    <r>
      <rPr>
        <b/>
        <u/>
        <sz val="9"/>
        <rFont val="Arial"/>
        <family val="2"/>
      </rPr>
      <t xml:space="preserve">COM </t>
    </r>
    <r>
      <rPr>
        <b/>
        <sz val="9"/>
        <rFont val="Arial"/>
        <family val="2"/>
      </rPr>
      <t>DESONERAÇÃO</t>
    </r>
  </si>
  <si>
    <t>89,83% (hora), 50,22% (mês)</t>
  </si>
  <si>
    <r>
      <t xml:space="preserve">ORÇAMENTO </t>
    </r>
    <r>
      <rPr>
        <b/>
        <u/>
        <sz val="9"/>
        <rFont val="Arial"/>
        <family val="2"/>
      </rPr>
      <t>SEM</t>
    </r>
    <r>
      <rPr>
        <b/>
        <sz val="9"/>
        <rFont val="Arial"/>
        <family val="2"/>
      </rPr>
      <t xml:space="preserve"> DESONERAÇÃO</t>
    </r>
  </si>
  <si>
    <t xml:space="preserve">119,38% (hora), 73,70% (mês) </t>
  </si>
  <si>
    <t>___________________________________________________________________</t>
  </si>
  <si>
    <t>Responsável pela Elaboração</t>
  </si>
  <si>
    <t>CONCLUSÃO:</t>
  </si>
  <si>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</si>
  <si>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</si>
  <si>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</si>
  <si>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</si>
  <si>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</si>
  <si>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</si>
  <si>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</si>
  <si>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</si>
  <si>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</si>
  <si>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</si>
  <si>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COFINS</t>
  </si>
  <si>
    <t>ISS (**)</t>
  </si>
  <si>
    <t>ISS</t>
  </si>
  <si>
    <t>PIS</t>
  </si>
  <si>
    <t>CONTRIBUIÇÃO PREVIDENCIÁRIA SOBRE RECEITA BRUTA (***)</t>
  </si>
  <si>
    <t>CPRB</t>
  </si>
  <si>
    <t>*</t>
  </si>
  <si>
    <t>I</t>
  </si>
  <si>
    <t>Taxa de Lucro</t>
  </si>
  <si>
    <t>L</t>
  </si>
  <si>
    <t>BDI Resultante</t>
  </si>
  <si>
    <t>Fórmula do BDI conforme Acórdão TCU 2622/2013-P:</t>
  </si>
  <si>
    <t xml:space="preserve">Obs.: </t>
  </si>
  <si>
    <t>(*) Todas as taxas adotadas estão na faixa admissível do Acórdão 2622/2013-P do TCU.</t>
  </si>
  <si>
    <t>Obs.:
1. Acompanhar a questão, pois existe a possibilidade da Lei da Desoneração vencer ou ser revogada.
2. As atividades incluídas na desoneração são as relativas aos grupos 412, 432, 433 e 439 da CNAE 2.0</t>
  </si>
  <si>
    <t>Obs.:</t>
  </si>
  <si>
    <t>Fórmula BDI conforme Acórdão TCU 325/2007:</t>
  </si>
  <si>
    <t>COMPOSIÇÃO DE BDI PARA SERVIÇOS GERAIS DE EDIFICAÇÕES</t>
  </si>
  <si>
    <t>med</t>
  </si>
  <si>
    <r>
      <t xml:space="preserve">De </t>
    </r>
    <r>
      <rPr>
        <b/>
        <sz val="10"/>
        <color theme="1"/>
        <rFont val="Arial"/>
        <family val="2"/>
      </rPr>
      <t>3,00%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5,50%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4,00%</t>
    </r>
  </si>
  <si>
    <r>
      <t xml:space="preserve">De </t>
    </r>
    <r>
      <rPr>
        <b/>
        <sz val="10"/>
        <color theme="1"/>
        <rFont val="Arial"/>
        <family val="2"/>
      </rPr>
      <t>0,59%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1,39%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1,23%</t>
    </r>
  </si>
  <si>
    <r>
      <t xml:space="preserve">De </t>
    </r>
    <r>
      <rPr>
        <b/>
        <sz val="10"/>
        <color theme="1"/>
        <rFont val="Arial"/>
        <family val="2"/>
      </rPr>
      <t>0,97%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1,27%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1,27%</t>
    </r>
  </si>
  <si>
    <t>Taxa de Seguro e Taxa de Garantia</t>
  </si>
  <si>
    <t>S + G</t>
  </si>
  <si>
    <t>*med=min</t>
  </si>
  <si>
    <r>
      <t xml:space="preserve">De </t>
    </r>
    <r>
      <rPr>
        <b/>
        <sz val="10"/>
        <color theme="1"/>
        <rFont val="Arial"/>
        <family val="2"/>
      </rPr>
      <t>0,80%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0,80%</t>
    </r>
  </si>
  <si>
    <t xml:space="preserve">Taxa de Tributos (Soma dos itens COFINS, ISS, PIS e CPRB) </t>
  </si>
  <si>
    <t>min-med</t>
  </si>
  <si>
    <r>
      <t xml:space="preserve">De </t>
    </r>
    <r>
      <rPr>
        <b/>
        <sz val="10"/>
        <color theme="1"/>
        <rFont val="Arial"/>
        <family val="2"/>
      </rPr>
      <t>6,16%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8,96%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7,40%</t>
    </r>
  </si>
  <si>
    <t>(BDI padrão Edificações com CPRB considerando M.O. de 40%)</t>
  </si>
  <si>
    <r>
      <t xml:space="preserve">De </t>
    </r>
    <r>
      <rPr>
        <b/>
        <sz val="10"/>
        <color theme="1"/>
        <rFont val="Arial"/>
        <family val="2"/>
      </rPr>
      <t>20,34%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25,00%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22,12%</t>
    </r>
  </si>
  <si>
    <r>
      <t xml:space="preserve">(***) Conforme determina a Lei nº 13.161, de 31 de agosto de 2015, que altera a Lei nº 12.546, de 14 de dezembro 2011, para obras de infraestrutura e do setor de construção, foi regulamentada a substituição da contribuição previdenciária patronal de 20% sobre a folha de pagamentos por uma contribuição de 4,50% sobre a receita bruta, sendo facultativa a opção pela contribuição substitutiva. Nesta composição de BDI foi considerada a opção pela contribuição substitutiva, sendo portanto necessário utilizar tabelas de custos </t>
    </r>
    <r>
      <rPr>
        <u/>
        <sz val="11"/>
        <rFont val="Arial"/>
        <family val="2"/>
      </rPr>
      <t>desoneradas</t>
    </r>
    <r>
      <rPr>
        <sz val="11"/>
        <rFont val="Arial"/>
        <family val="2"/>
      </rPr>
      <t xml:space="preserve"> para elaboração do orçamento básico.</t>
    </r>
  </si>
  <si>
    <r>
      <rPr>
        <sz val="12"/>
        <color theme="1"/>
        <rFont val="Arial"/>
        <family val="2"/>
      </rPr>
      <t xml:space="preserve">    Os custos indiretos são decorrentes da estrutura da obra e da empresa e que não podem ser atribuídos diretamente à execução de um dado serviço.
    Os custos indiretos variam muito, principalmente, em função do local de execução dos serviços, do tipo da obra, impostos incidentes, e ainda com as exigências do edital ou contrato. Devem ser distribuídos pelos custos unitários diretos totais dos serviços na forma de percentual destes.
    Os custos indiretos que mais afetam a construção estão a seguir identificados, entretanto, o engenheiro de custos deve analisar em cada caso sua validade. </t>
    </r>
    <r>
      <rPr>
        <b/>
        <sz val="12"/>
        <color theme="1"/>
        <rFont val="Arial"/>
        <family val="2"/>
      </rPr>
      <t xml:space="preserve">
</t>
    </r>
  </si>
  <si>
    <t>26,53% (com CPRB)</t>
  </si>
  <si>
    <t>20,50% (sem CPRB)</t>
  </si>
  <si>
    <t>(MÃO DE OBRA = 40%, MATERIAIS=60%); 5% x 40% = 2%</t>
  </si>
  <si>
    <t>(**) A alíquota de ISS no Município de Limoeiro/PE é de 5% sobre os custos de mão de obra. 
Considerou-se para todos os serviços uma proporção de 40% de mão de obra, de modo que a taxa de ISS a incidir sobre os custos unitários dos itens será de 5% x 40% = 2,00%.</t>
  </si>
  <si>
    <t>8.0</t>
  </si>
  <si>
    <t>10.0</t>
  </si>
  <si>
    <t>11.0</t>
  </si>
  <si>
    <t>12.0</t>
  </si>
  <si>
    <t>13.0</t>
  </si>
  <si>
    <t>VALOR TOTAL (R$)</t>
  </si>
  <si>
    <t>EMLURB</t>
  </si>
  <si>
    <t>Circulação</t>
  </si>
  <si>
    <t>Cozinha</t>
  </si>
  <si>
    <t>Despensa</t>
  </si>
  <si>
    <t>Wc</t>
  </si>
  <si>
    <t>05.01.010</t>
  </si>
  <si>
    <t>05.02.020</t>
  </si>
  <si>
    <t>06.03.010</t>
  </si>
  <si>
    <t>06.03.103</t>
  </si>
  <si>
    <t>06.03.133</t>
  </si>
  <si>
    <t>11.05.030</t>
  </si>
  <si>
    <t>5.5</t>
  </si>
  <si>
    <t>6.5</t>
  </si>
  <si>
    <t xml:space="preserve">16.04.050 </t>
  </si>
  <si>
    <t>COBERTA</t>
  </si>
  <si>
    <t>9.1</t>
  </si>
  <si>
    <t>COMPOSIÇÃO</t>
  </si>
  <si>
    <t>COMP-001</t>
  </si>
  <si>
    <t>9.2</t>
  </si>
  <si>
    <t>9.3</t>
  </si>
  <si>
    <t>9.4</t>
  </si>
  <si>
    <t>9.5</t>
  </si>
  <si>
    <t>08.01.035</t>
  </si>
  <si>
    <t>11.02.010</t>
  </si>
  <si>
    <t>10.1</t>
  </si>
  <si>
    <t>18.21.120</t>
  </si>
  <si>
    <t>10.2</t>
  </si>
  <si>
    <t>18.20.010</t>
  </si>
  <si>
    <t>10.3</t>
  </si>
  <si>
    <t>19.02.020</t>
  </si>
  <si>
    <t>19.01.010</t>
  </si>
  <si>
    <t xml:space="preserve">19.01.040 </t>
  </si>
  <si>
    <t>12.1</t>
  </si>
  <si>
    <t>12.1.1</t>
  </si>
  <si>
    <t>12.1.2</t>
  </si>
  <si>
    <t>12.2</t>
  </si>
  <si>
    <t>12.2.1</t>
  </si>
  <si>
    <t>12.2.2</t>
  </si>
  <si>
    <t>Fossa</t>
  </si>
  <si>
    <t>12.2.3</t>
  </si>
  <si>
    <t>12.3</t>
  </si>
  <si>
    <t>REVESTIMENTOS</t>
  </si>
  <si>
    <t>12.3.1</t>
  </si>
  <si>
    <t>12.3.2</t>
  </si>
  <si>
    <t>13.1</t>
  </si>
  <si>
    <t>13.2</t>
  </si>
  <si>
    <t>13.3</t>
  </si>
  <si>
    <t>15.02.040</t>
  </si>
  <si>
    <t>INSTALAÇÕES HIDROSSANITÁRIAS</t>
  </si>
  <si>
    <t>CRECHE JÚLIA GUIMARÃES - SEDE</t>
  </si>
  <si>
    <t>CRECHE MÃE MARIA BEATA - SEDE</t>
  </si>
  <si>
    <t>CRECHE PADRE LUIS CECCHIN - PIRAUIRA - SEDE</t>
  </si>
  <si>
    <t>ESCOLA ANTÔNIO VIEIRA DE MOURA - PITOMBEIRA</t>
  </si>
  <si>
    <t>ESCOLA DESEM. JOSÉ ALEXANDRE DE V. AQUINO - SEDE</t>
  </si>
  <si>
    <t>ESCOLA DR. JOÃO TEOBALDO DE AZEVEDO - CAMPO GRANDE</t>
  </si>
  <si>
    <t>ESCOLA HENRIQUE SERAFIM DE MORAIS COSTA - PITOMBEIRA</t>
  </si>
  <si>
    <t>ESCOLA JOÃO HERÁCLIO DUARTE - SEDE</t>
  </si>
  <si>
    <t>ESCOLA JOÃO LUIS DA SILVA - SÍTIO PARNAZO</t>
  </si>
  <si>
    <t>ESCOLA JOSÉ TEOBALDO DE AZEVEDO - CONGAL</t>
  </si>
  <si>
    <t>ESCOLA JOSÉ TEODORA DA SILVA - SALOBRO</t>
  </si>
  <si>
    <t>ESCOLA JOSÉ VIEIRA DE OLIVEIRA - PINDOBA</t>
  </si>
  <si>
    <t>ESCOLA LUÍS SÁTIRO PEREIRA - MENDES</t>
  </si>
  <si>
    <t>ESCOLA MANOEL MARQUES DA SILVA - GAMELEIRA</t>
  </si>
  <si>
    <t>ESCOLA MARIA QUITÉRIA DE FREITAS - LAGOA COMPRIDA</t>
  </si>
  <si>
    <t>ESCOLA OTAVIANO BASÍLIO H. DO RÊGO - SEDE</t>
  </si>
  <si>
    <t>ESCOLA PRESIDENTE TANCREDO NEVES - COQUEIRO</t>
  </si>
  <si>
    <t>ESCOLA SÃO FRANCISCO - SEDE</t>
  </si>
  <si>
    <t>14.0</t>
  </si>
  <si>
    <t>15.0</t>
  </si>
  <si>
    <t>16.0</t>
  </si>
  <si>
    <t>17.0</t>
  </si>
  <si>
    <t>18.0</t>
  </si>
  <si>
    <t>19.0</t>
  </si>
  <si>
    <t>20.0</t>
  </si>
  <si>
    <t>21.0</t>
  </si>
  <si>
    <t>22.0</t>
  </si>
  <si>
    <t>23.0</t>
  </si>
  <si>
    <t xml:space="preserve">18.22.010 </t>
  </si>
  <si>
    <t xml:space="preserve">PONTO DE LUZ EM TETO OU PAREDE, INCLUINDO CAI XA 4 X 4 POL. TIGREFLEX OU SIMILAR, TUBULACAO PVC RIGIDO E FIACAO, ATE O QUADRO DE  DISTRIBUICAO.   </t>
  </si>
  <si>
    <t>Sala 03</t>
  </si>
  <si>
    <t>Sala 05</t>
  </si>
  <si>
    <t xml:space="preserve">18.22.055 </t>
  </si>
  <si>
    <t xml:space="preserve">PONTO DE TOMADA UNIV.(2P+1 T) 10A PIAL OU SIM INCLUSIVE TUBULACAO PVC RIGIDO, FIACAO, CAIXA 4 X 2 POL. TIGREFLEX OU SIMILAR, PLACA E  DEMAIS ACESSORIOS, ATE O PONTO DE LUZ OU QUADRO DE DISTRIBUICAO. </t>
  </si>
  <si>
    <t>Sala 04</t>
  </si>
  <si>
    <t>SIFÃO DO TIPO FLEXÍVEL EM PVC 1 X 1.1/2 FORNECIMENTO E INSTALAÇÃO. AF_12/2013</t>
  </si>
  <si>
    <t>Wc Masculino</t>
  </si>
  <si>
    <t xml:space="preserve">19.07.210 </t>
  </si>
  <si>
    <t>FORNECIMENTO DE CAIXA DE DESCARGA DE SOBREPOR (TUBO ALTO), DE PLASTICO ( AKROS) OU SIMILAR, INCLUSIVE FIXACAO E ACESSORIOS  CORRESPONDENTES.</t>
  </si>
  <si>
    <t>Wc Professores</t>
  </si>
  <si>
    <t>PONTO DE ESGOTO PARA RALO SIFONADO, INCLUSIVE RALO, TUBULACOES E CONEXOES  EM  PVC  RIGIDO SOLDAVEIS , ATE A COLUNA OU O SUB-  COLETOR.</t>
  </si>
  <si>
    <t>Sala 01</t>
  </si>
  <si>
    <t>V. UNIT. S/BDI</t>
  </si>
  <si>
    <t>V. UNIT. C/BDI</t>
  </si>
  <si>
    <t>Sala 06</t>
  </si>
  <si>
    <t>Sala 02</t>
  </si>
  <si>
    <t>Sala 08</t>
  </si>
  <si>
    <t>Sala 09</t>
  </si>
  <si>
    <t>Sala 10</t>
  </si>
  <si>
    <t>TORNEIRA CROMADA DE MESA, 1/2" OU 3/4", PARA LAVATÓRIO, PADRÃO POPULAR- FORNECIMENTO E INSTALAÇÃO.</t>
  </si>
  <si>
    <t>LAVATÓRIO LOUÇA BRANCA SUSPENSO, 29,5 X 39CM OU EQUIVALENTE, PADRÃO POPULAR, INCLUSO SIFÃO TIPO GARRAFA EM PVC, VÁLVULA E ENGATE FLEXÍVEL 30 CM EM PLÁSTICO E TORNEIRA CROMADA DE MESA, PADRÃO POPULAR - FORNECIMENTO E INSTALAÇÃO.</t>
  </si>
  <si>
    <t>09.01.010</t>
  </si>
  <si>
    <t>ESQUADRIA DE MADEIRA COM GRADE EM MADEIRA DE LEI E FOLHA EM COMPENSADO DE JEQUITIBA PARA PORTAS INTERNAS , INCLUSIVE ASSENTA- MENTO E FERRAGENS.</t>
  </si>
  <si>
    <t>Porta Wc Masc.</t>
  </si>
  <si>
    <t>Sala 07</t>
  </si>
  <si>
    <t>OUTROS SERVIÇOS</t>
  </si>
  <si>
    <t>TAMPA DE CONCRETO ARMADO 60X60X5CM PARA CAIXA</t>
  </si>
  <si>
    <t>PINTURA A OLEO EM ESQUADRIAS DE MADEIRA, DUAS
DEMAOS, COM APARELHAMENTO E SEM EMASSAMENTO,
INCLUSIVE APLICACAO DE FUNDO SINTETICO NIVELA
DOR BRANCO FOSCO, UMA DEMAO.</t>
  </si>
  <si>
    <t>Pintura das esquadrias novas</t>
  </si>
  <si>
    <t>19.1</t>
  </si>
  <si>
    <t>19.1.2</t>
  </si>
  <si>
    <t>19.1.1</t>
  </si>
  <si>
    <t>19.2</t>
  </si>
  <si>
    <t>19.2.1</t>
  </si>
  <si>
    <t>19.2.2</t>
  </si>
  <si>
    <t>19.2.3</t>
  </si>
  <si>
    <t>19.3</t>
  </si>
  <si>
    <t>19.3.1</t>
  </si>
  <si>
    <t>19.4</t>
  </si>
  <si>
    <t>19.4.1</t>
  </si>
  <si>
    <t>Sala de AEE</t>
  </si>
  <si>
    <t>Sala da Secretaria</t>
  </si>
  <si>
    <t>Banheiro Fem.</t>
  </si>
  <si>
    <t>Banheiro Mas.</t>
  </si>
  <si>
    <t>Banheiros</t>
  </si>
  <si>
    <t>Banheiro</t>
  </si>
  <si>
    <t>18.21.110</t>
  </si>
  <si>
    <t>QUADRO DE DISTRIBUICAO EM RESINA TERMOPLASTICA DE EMBUTIR, COM PORTA, SEM BARRAMENTO PARA ATE 3 CIRCUITOS MONOPOLARES, REF. CDEC-3E, CEMAR OU SIMILAR, INCLUSIVE INSTALACAO.</t>
  </si>
  <si>
    <t>DISJUNTOR MONOPOLAR TERMOMAGNETICO ATE 30A, 220V, PIAL OU SIMILAR, INCLUSIVE INSTALACAO EM QUADRO DE DISTRIBUICAO.</t>
  </si>
  <si>
    <t>19.1.3</t>
  </si>
  <si>
    <t>19.1.4</t>
  </si>
  <si>
    <t>19.1.5</t>
  </si>
  <si>
    <t>19.1.6</t>
  </si>
  <si>
    <t>PONTO DE UTILIZAÇÃO DE EQUIPAMENTOS ELÉTRICOS, RESIDENCIAL, INCLUINDO SUPORTE E PLACA, CAIXA ELÉTRICA, ELETRODUTO, CABO, RASGO, QUEBRA E CHUMBAMENTO.</t>
  </si>
  <si>
    <t>Ar-condicionado</t>
  </si>
  <si>
    <t>Sala AEE</t>
  </si>
  <si>
    <t>ESCOLA NOSSA SENHORA DOS ANJOS - RUA DO ALECRIM - ALTO SÃO SEBASTIÃO</t>
  </si>
  <si>
    <t>Biblioteca - 2 tomadas baixas</t>
  </si>
  <si>
    <t>Sala 01 - 2 tomadas baixas</t>
  </si>
  <si>
    <t>Sala 02 - 2 tomadas baixas</t>
  </si>
  <si>
    <t>Sala 03 - 2 tomadas baixas</t>
  </si>
  <si>
    <t>Sala 04 - 2 tomadas baixas</t>
  </si>
  <si>
    <t>Sala 05 - 2 tomadas baixas</t>
  </si>
  <si>
    <t>Biblioteca</t>
  </si>
  <si>
    <t>Banheiro Masculino</t>
  </si>
  <si>
    <t>Banheiro Feminino</t>
  </si>
  <si>
    <t>LAMPADA FLUORESCENTE 40W - FORNECIMENTO E INSTALACAO</t>
  </si>
  <si>
    <t>Área de Recreação - 3 lâmpadas fluorescentes tubulares</t>
  </si>
  <si>
    <t>LAVATÓRIO LOUÇA BRANCA SUSPENSO, 29,5 X 39CM OU EQUIVALENTE, PADRÃO POPULAR, INCLUSO SIFÃO TIPO GARRAFA EM PVC, VÁLVULA E ENGATE FLEXÍVEL 30 CM EM PLÁSTICO E TORNEIRA CROMADA DE MESA, PADRÃO POPULAR - FORNECIMENTO E INSTALAÇÃO. AF_12/2013</t>
  </si>
  <si>
    <t>VASO SANITARIO INFANTIL SIFONADO, PARA VALVULA DE DESCARGA, EM LOUCA BRANCA, COM ACESSORIOS, INCLUSIVE ASSENTO PLASTICO, BOLSA DE BORRACHA PARA LIGACAO, TUBO PVC LIGACAO - FORNECIMENTO E INSTALACAO</t>
  </si>
  <si>
    <t>Banheiro Infantil Feminino</t>
  </si>
  <si>
    <t>Só o assento ou o vaso completo?</t>
  </si>
  <si>
    <t>Banheiro Infantil Masculino</t>
  </si>
  <si>
    <t>PONTO DE ESGOTO PARA RALO SIFONADO, INCLUSIVE RALO, TUBULACOES E CONEXOES  EM  PVC  RIGIDO SOLDAVEIS , ATE A COLUNA OU O SUB-COLETOR.</t>
  </si>
  <si>
    <t>COMP. 001</t>
  </si>
  <si>
    <t>REVISÃO GERAL DE TELHADOS DE TELHAS CERÂMICAS</t>
  </si>
  <si>
    <t>DIVERSOS</t>
  </si>
  <si>
    <t>RECOLOCACAO DE FOLHAS DE PORTA DE PASSAGEM OU JANELA, CONSIDERANDO REAPROVEITAMENTO DO MATERIAL</t>
  </si>
  <si>
    <t>Porta da Sala 02</t>
  </si>
  <si>
    <t>22.1</t>
  </si>
  <si>
    <t>22.1.1</t>
  </si>
  <si>
    <t>22.1.2</t>
  </si>
  <si>
    <t>22.1.3</t>
  </si>
  <si>
    <t>22.2</t>
  </si>
  <si>
    <t>22.2.1</t>
  </si>
  <si>
    <t>22.3</t>
  </si>
  <si>
    <t>22.3.1</t>
  </si>
  <si>
    <t>ESCOLA PROFESSOR ANTÔNIO DE SOUZA VILAÇA - PE-50 CENTRO SOCIAL URBANO</t>
  </si>
  <si>
    <t>Laboratório de informática</t>
  </si>
  <si>
    <t>Sala de recursos</t>
  </si>
  <si>
    <t>Wc 1</t>
  </si>
  <si>
    <t>Wc acessível</t>
  </si>
  <si>
    <t>00000377</t>
  </si>
  <si>
    <t>ASSENTO SANITARIO DE PLASTICO, TIPO CONVENCIONAL</t>
  </si>
  <si>
    <t>15.1</t>
  </si>
  <si>
    <t>15.1.1</t>
  </si>
  <si>
    <t>15.1.2</t>
  </si>
  <si>
    <t>15.1.3</t>
  </si>
  <si>
    <t>15.2</t>
  </si>
  <si>
    <t>15.2.1</t>
  </si>
  <si>
    <t>15.3</t>
  </si>
  <si>
    <t>15.3.1</t>
  </si>
  <si>
    <t>15.4</t>
  </si>
  <si>
    <t>Wc Fem.</t>
  </si>
  <si>
    <t>Wc Mas.</t>
  </si>
  <si>
    <t>Sala da secretaria</t>
  </si>
  <si>
    <t>Diretoria</t>
  </si>
  <si>
    <t>19.07.200</t>
  </si>
  <si>
    <t>FORNECIMENTO DE CHUVEIRO COM HASTE DE PLASTICO,
DIAM. 1/2 POL. TIGRE OU SIMILAR, INCLUSIVE FIXACAO.</t>
  </si>
  <si>
    <t>9.1.1</t>
  </si>
  <si>
    <t>9.2.1</t>
  </si>
  <si>
    <t>9.3.1</t>
  </si>
  <si>
    <t>9.4.1</t>
  </si>
  <si>
    <t>3.1.1</t>
  </si>
  <si>
    <t>3.1.2</t>
  </si>
  <si>
    <t>Wc 4</t>
  </si>
  <si>
    <t>Área da lavanderia</t>
  </si>
  <si>
    <t>Berçário</t>
  </si>
  <si>
    <t>Wc 2</t>
  </si>
  <si>
    <t>Wc 3</t>
  </si>
  <si>
    <t>Circulação 1</t>
  </si>
  <si>
    <t>3.1.3</t>
  </si>
  <si>
    <t>3.1.4</t>
  </si>
  <si>
    <t>3.2.1</t>
  </si>
  <si>
    <t>3.2.2</t>
  </si>
  <si>
    <t>3.2.3</t>
  </si>
  <si>
    <t>3.2.4</t>
  </si>
  <si>
    <t>CHUVEIRO ELETRICO COMUM CORPO PLASTICO TIPO DUCHA, FORNECIMENTO E INSTALACAO</t>
  </si>
  <si>
    <t>3.2.5</t>
  </si>
  <si>
    <t>PONTO DE AGUA, INCLUSIVE TUBULACOES E CONEXOES DE PVC RIGIDO SOLDAVEL E ABERTURA DE RASGOS EM ALVENARIA , ATE O REGISTRO GERAL DO AMBIENTE.</t>
  </si>
  <si>
    <t>3.3.1</t>
  </si>
  <si>
    <t>FECHADURA DE EMBUTIR COM CILINDRO, EXTERNA, COMPLETA, ACABAMENTO PADRÃO POPULAR, INCLUSO EXECUÇÃO DE FURO - FORNECIMENTO E INSTALAÇÃO.</t>
  </si>
  <si>
    <t>Almoxarifado</t>
  </si>
  <si>
    <t>3.2.6</t>
  </si>
  <si>
    <t>19.07.110</t>
  </si>
  <si>
    <t>FORNECIMENTO E ASSENTAMENTO DE LAVANDERIA PRE
FABRICADA, DE CONCRETO, NAS DIMENSOES 1,20 X 0,60 X 0,90 M, INCLUSIVE ACESSORIOS CORRESPONDENTES.</t>
  </si>
  <si>
    <t>3.2.7</t>
  </si>
  <si>
    <t>FORNECIMENTO DE BANCADA EM GRANITO NATURAL POLIDO CINZA ANDORINHA, COM 2CM DE ESPESSURA,INCLUSIVE TRANSPORTE, MONTAGEM E ASSENTAMENTO.</t>
  </si>
  <si>
    <t>17.1</t>
  </si>
  <si>
    <t>17.1.1</t>
  </si>
  <si>
    <t>Secretaria /Diretoria</t>
  </si>
  <si>
    <t>PONTO DE ESGOTO PARA BACIA SANITARIA, INCLUSIVE
TUBULACOES E CONEXOES EM PVC RIGIDO SOLDAVEIS, ATE A COLUNA OU O SUB-COLE- TOR.</t>
  </si>
  <si>
    <t>Sala de Recursos</t>
  </si>
  <si>
    <t>Cisterna</t>
  </si>
  <si>
    <t>17.1.2</t>
  </si>
  <si>
    <t>17.2</t>
  </si>
  <si>
    <t>17.2.1</t>
  </si>
  <si>
    <t>17.2.2</t>
  </si>
  <si>
    <t>17.2.3</t>
  </si>
  <si>
    <t>17.3</t>
  </si>
  <si>
    <t>17.3.1</t>
  </si>
  <si>
    <t>17.3.2</t>
  </si>
  <si>
    <t>17.4</t>
  </si>
  <si>
    <t>17.4.1</t>
  </si>
  <si>
    <t>Maternal IIA</t>
  </si>
  <si>
    <t>Maternal IB</t>
  </si>
  <si>
    <t>Maternal IIB</t>
  </si>
  <si>
    <t>Maternal IA</t>
  </si>
  <si>
    <t>tomadas baixas</t>
  </si>
  <si>
    <t>Recepção</t>
  </si>
  <si>
    <t>Refeitório</t>
  </si>
  <si>
    <t xml:space="preserve">PONTO DE LUZ EM TETO OU PAREDE, INCLUINDO CAIXA 4 X 4 POL. TIGREFLEX OU SIMILAR, TUBULACAO PVC RIGIDO E FIACAO, ATE O QUADRO DE  DISTRIBUICAO.   </t>
  </si>
  <si>
    <t>Banheiro do Maternal IA</t>
  </si>
  <si>
    <t>4.1.1</t>
  </si>
  <si>
    <t>4.1.2</t>
  </si>
  <si>
    <t>4.1.3</t>
  </si>
  <si>
    <t>4.1.4</t>
  </si>
  <si>
    <t xml:space="preserve"> </t>
  </si>
  <si>
    <t>Sala 02 - 1 lâmpada fluorescente tubular</t>
  </si>
  <si>
    <t>Sala 03 - 1 lâmpada fluorescente tubular</t>
  </si>
  <si>
    <t xml:space="preserve">19.01.030 </t>
  </si>
  <si>
    <t>PONTO DE ESGOTO PARA LAVATORIO OU MICTORIO, INCLUSIVE TUBULACOES E CONEXOES EM PVC RIGIDO SOLDAVEIS, ATE A COLUNA OU O SUB-COLETOR.</t>
  </si>
  <si>
    <t>FORNECIMENTO DE CAIXA DE DESCARGA DE SOBREPOR (TUBO ALTO), DE PLASTICO (AKROS) OU SIMILAR, INCLUSIVE FIXACAO E ACESSORIOS  CORRESPONDENTES.</t>
  </si>
  <si>
    <t>canal</t>
  </si>
  <si>
    <t>UN</t>
  </si>
  <si>
    <t>COMP. 002</t>
  </si>
  <si>
    <t>Sala dos professores</t>
  </si>
  <si>
    <t>WC 3</t>
  </si>
  <si>
    <t>Aproximadamente 20% da área de coberta</t>
  </si>
  <si>
    <t>SINAPI-I</t>
  </si>
  <si>
    <t>Porta da Secretaria</t>
  </si>
  <si>
    <t xml:space="preserve">ESQUADRIA DE MADEIRA COM GRADE EM MADEIRA   DE LEI E FOLHA EM COMPENSADO DE JEQUITIBA   PARA PORTAS INTERNAS , INCLUSIVE ASSENTAMENTO E FERRAGENS.   </t>
  </si>
  <si>
    <t>Secretaria - tomadas para computadores</t>
  </si>
  <si>
    <t>TELHAMENTO COM TELHA CERÂMICA CAPA-CANAL, TIPO COLONIAL, COM ATÉ 2 ÁGUAS, INCLUSO TRANSPORTE VERTICAL.</t>
  </si>
  <si>
    <t xml:space="preserve">TELHAMENTO COM TELHA CERÂMICA CAPA-CANAL, TIPO COLONIAL, COM ATÉ 2 ÁGUAS, INCLUSO TRANSPORTE VERTICAL. </t>
  </si>
  <si>
    <t>5.3.1</t>
  </si>
  <si>
    <t>5.3.2</t>
  </si>
  <si>
    <t>Sala de Biblioteca</t>
  </si>
  <si>
    <t>Sala ao Lado</t>
  </si>
  <si>
    <t>Santa Clara</t>
  </si>
  <si>
    <t>Sala do Professores</t>
  </si>
  <si>
    <t>Sala da diretora</t>
  </si>
  <si>
    <t>Sala ao lado da diretoria</t>
  </si>
  <si>
    <t>Wc e Cozinha</t>
  </si>
  <si>
    <t>ESQUADRIA</t>
  </si>
  <si>
    <t>00011587</t>
  </si>
  <si>
    <t>14.1</t>
  </si>
  <si>
    <t>14.1.2</t>
  </si>
  <si>
    <t>14.1.1</t>
  </si>
  <si>
    <t>VASO SANITARIO SIFONADO CONVENCIONAL COM LOUÇA BRANCA - FORNECIMENTO E INSTALAÇÃO.</t>
  </si>
  <si>
    <t>00020262</t>
  </si>
  <si>
    <t>SIFAO PLASTICO EXTENSIVEL UNIVERSAL, TIPO COPO</t>
  </si>
  <si>
    <t>74047/002</t>
  </si>
  <si>
    <t>DOBRADICA EM ACO/FERRO, 3" X 21/2", E=1,9 A 2 MM, SEM ANEL, CROMADO OU ZINCADO, TAMPA BOLA, COM PARAFUSOS</t>
  </si>
  <si>
    <t>Corredor</t>
  </si>
  <si>
    <t>FECHADURA DE EMBUTIR PARA PORTAS INTERNAS, COMPLETA, ACABAMENTO PADRÃO POPULAR, COM EXECUÇÃO DE FURO - FORNECIMENTO E INSTALAÇÃO.</t>
  </si>
  <si>
    <t>14.1.3</t>
  </si>
  <si>
    <t>14.1.4</t>
  </si>
  <si>
    <t>14.2</t>
  </si>
  <si>
    <t>14.2.1</t>
  </si>
  <si>
    <t>14.2.2</t>
  </si>
  <si>
    <t>14.3</t>
  </si>
  <si>
    <t>14.3.1</t>
  </si>
  <si>
    <t>14.4</t>
  </si>
  <si>
    <t>14.4.1</t>
  </si>
  <si>
    <t>14.5</t>
  </si>
  <si>
    <t>14.5.1</t>
  </si>
  <si>
    <t>Sala 07 B</t>
  </si>
  <si>
    <t>Secretária</t>
  </si>
  <si>
    <t>Sala 07 A</t>
  </si>
  <si>
    <t>Wc do Professor</t>
  </si>
  <si>
    <t>Sala 09 A</t>
  </si>
  <si>
    <t>10.1.1</t>
  </si>
  <si>
    <t>10.2.1</t>
  </si>
  <si>
    <t>10.3.1</t>
  </si>
  <si>
    <t>Wc Masc.</t>
  </si>
  <si>
    <t>Área de recreio</t>
  </si>
  <si>
    <t>TORNEIRA CROMADA LONGA, DE PAREDE, 1/2" OU 3/4", PARA PIA DE COZINHA, PADRÃO POPULAR - FORNECIMENTO E INSTALAÇÃO.</t>
  </si>
  <si>
    <t>PORTAO DE FERRO EM CHAPA GALVANIZADA PLANA 14 GSG</t>
  </si>
  <si>
    <t>Portão de enrtada</t>
  </si>
  <si>
    <t>09.03.010</t>
  </si>
  <si>
    <t>FORNECIMENTO DE ESQUADRIA DE ALUMINIO, TIPO CORRER SEM BANDEIRA, COM CONTRAMARCO, INCLUSIVE ASSENTAMENTO.</t>
  </si>
  <si>
    <t>10.01.010</t>
  </si>
  <si>
    <t>VIDRO PLANO, COMUM, LISO, TRANSPARENTE E COM
3 MM DE ESPESSURA - COLOCADO.</t>
  </si>
  <si>
    <t>Janela da Secretaria</t>
  </si>
  <si>
    <t>9.5.1</t>
  </si>
  <si>
    <t>Nível 2</t>
  </si>
  <si>
    <t>Nível 1</t>
  </si>
  <si>
    <t>Área do recreio</t>
  </si>
  <si>
    <t>Wc Fesm.</t>
  </si>
  <si>
    <t>Corredores</t>
  </si>
  <si>
    <t>Wc Cozinha</t>
  </si>
  <si>
    <t>Sala de material de limpeza</t>
  </si>
  <si>
    <t>Área de Serviço</t>
  </si>
  <si>
    <t>Direção</t>
  </si>
  <si>
    <t>Sala de Repouso do Maternal (tomada alta)</t>
  </si>
  <si>
    <t>WC infantil</t>
  </si>
  <si>
    <t>Sala de Repouso</t>
  </si>
  <si>
    <t>Área de Serviços</t>
  </si>
  <si>
    <t>WC 1</t>
  </si>
  <si>
    <t>Lavanderia</t>
  </si>
  <si>
    <t>Sala 01 (tomada baixa)</t>
  </si>
  <si>
    <t>Sala 02 (tomada baixa)</t>
  </si>
  <si>
    <t>Sala 08, Sala 09, Sala 10, Sala 11 (tomada alta)</t>
  </si>
  <si>
    <t>Sala de Reunião</t>
  </si>
  <si>
    <t>WC Feminino</t>
  </si>
  <si>
    <t>74082/001</t>
  </si>
  <si>
    <t>REFLETOR REDONDO EM ALUMINIO COM SUPORTE E ALCA REGULAVEL PARA FIXACAO, COM LAMPADA VAPOR DE MERCURIO 250W</t>
  </si>
  <si>
    <t>Área externa (parte posterior)</t>
  </si>
  <si>
    <t>WC Masculino</t>
  </si>
  <si>
    <t>Sala 03 (tomada baixa)</t>
  </si>
  <si>
    <t>Sala 04 (tomada baixa)</t>
  </si>
  <si>
    <t>Secretaria (tomada baixa)</t>
  </si>
  <si>
    <t>Sala AEE (tomada baixa)</t>
  </si>
  <si>
    <t>Aproximadamente 30% da área de coberta</t>
  </si>
  <si>
    <t>7.01.100</t>
  </si>
  <si>
    <t>ALVENARIA DE TIJOLOS DE 6 FUROS, ASSENTADOS E REJUNTADOS COM ARGAMASSA  DE  CIMENTO E AREIA NO TRACO 1:8 - 1/2 VEZ</t>
  </si>
  <si>
    <t>Sala 3</t>
  </si>
  <si>
    <t>CHAPISCO COM ARGAMASSA DE CIMENTO E AREIA NO TRACO 1 3.</t>
  </si>
  <si>
    <t>REVESTIMENTO COM ARGAMASSA DE CIMENTO, SAIBRO E AREIA NO TRACO 1 4 4 , COM 2,0  CM DE ESPESSURA.</t>
  </si>
  <si>
    <t>BWC 1 e 2</t>
  </si>
  <si>
    <t>PRÉDIO DA SECRETARIA MUNICIPAL DE EDUCAÇÃO</t>
  </si>
  <si>
    <t>Sala 13</t>
  </si>
  <si>
    <t>Anexo</t>
  </si>
  <si>
    <t>Sala 16</t>
  </si>
  <si>
    <t>Sala 17</t>
  </si>
  <si>
    <t>Sala 18</t>
  </si>
  <si>
    <t>Sala 19</t>
  </si>
  <si>
    <t>Sala 15</t>
  </si>
  <si>
    <t>Sala 14</t>
  </si>
  <si>
    <t xml:space="preserve">Fonte </t>
  </si>
  <si>
    <t>Código</t>
  </si>
  <si>
    <t>Coeficiente</t>
  </si>
  <si>
    <t>Custo
Unitário</t>
  </si>
  <si>
    <t>Custo
Total</t>
  </si>
  <si>
    <t>Coeficiente Original</t>
  </si>
  <si>
    <t>INSUMO</t>
  </si>
  <si>
    <t>M</t>
  </si>
  <si>
    <t>COMPOSICAO</t>
  </si>
  <si>
    <t>H</t>
  </si>
  <si>
    <t>SERVENTE COM ENCARGOS COMPLEMENTARES</t>
  </si>
  <si>
    <t>OK</t>
  </si>
  <si>
    <t>REVISAO GERAL DE TELHADOS DE TELHAS CERAMICAS</t>
  </si>
  <si>
    <t>SINAPI 72101 (AGO/2016)</t>
  </si>
  <si>
    <t>REVISAO GERAL DE TELHADOS DE TELHAS CERAMICAS, COMPREENDENDO RETIRADA E REASSENTAEMENTO DAS TELHAS, COM REAPROVEITAMENTO DO MATERIAL</t>
  </si>
  <si>
    <t>88323</t>
  </si>
  <si>
    <t>TELHADISTA COM ENCARGOS COMPLEMENTARES</t>
  </si>
  <si>
    <t>COMP-002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</si>
  <si>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</si>
  <si>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</si>
  <si>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</si>
  <si>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</si>
  <si>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</si>
  <si>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</si>
  <si>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</si>
  <si>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</si>
  <si>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</si>
  <si>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</si>
  <si>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</si>
  <si>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</si>
  <si>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</si>
  <si>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</si>
  <si>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</si>
  <si>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</si>
  <si>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COMP-003</t>
  </si>
  <si>
    <t>91940</t>
  </si>
  <si>
    <t>CAIXA RETANGULAR 4" X 2" MÉDIA (1,30 M DO PISO), PVC, INSTALADA EM PAREDE - FORNECIMENTO E INSTALAÇÃO. AF_12/2015</t>
  </si>
  <si>
    <t>RECUPERAÇÃO DE PONTO DE TOMADA COM INSTALAÇÃO DE NOVO CABEAMENTO E NOVA PLACA</t>
  </si>
  <si>
    <t>COMP-004</t>
  </si>
  <si>
    <t>RECUPERAÇÃO DE PONTO DE TOMADA, CONTEMPLANDO INSTALAÇÃO DE PLACA DE TOMADA 10A NOVA, LANÇAMENTO DE CABEAMENTO NOVO E EVENTUAL REPOSIÇÃO DE 10% DOS DEMAIS ELEMENTOS (CAIXA ELÉTRICA, ELETRODUTOS, RASGO, QUEBRA E CHUMBAMENTO)</t>
  </si>
  <si>
    <t>91926</t>
  </si>
  <si>
    <t>CABO DE COBRE FLEXÍVEL ISOLADO, 2,5 MM², ANTI-CHAMA 450/750 V, PARA CIRCUITOS TERMINAIS - FORNECIMENTO E INSTALAÇÃO. AF_12/2015</t>
  </si>
  <si>
    <t>12,6000000</t>
  </si>
  <si>
    <t>LUMINÁRIA SPOT COM LÂMPADA LED 10W</t>
  </si>
  <si>
    <t>COMP-005</t>
  </si>
  <si>
    <t xml:space="preserve">FORNECIMENTO E INSTALAÇÃO DE LUMINÁRIA SPOT DE SOBREPOR COM 1 LÂMPADA LED DE 10 W BRANCA (BASE E27) </t>
  </si>
  <si>
    <t>12266</t>
  </si>
  <si>
    <t>LUMINARIA SPOT DE SOBREPOR EM ALUMINIO COM ALETA PLASTICA PARA 1 LAMPADA, BASE E27, POTENCIA MAXIMA 40/60 W (NAO INCLUI LAMPADA)</t>
  </si>
  <si>
    <t>38194</t>
  </si>
  <si>
    <t>LAMPADA LED 10 W BIVOLT BRANCA, FORMATO TRADICIONAL (BASE E27)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</si>
  <si>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</si>
  <si>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</si>
  <si>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</si>
  <si>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</si>
  <si>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</si>
  <si>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ELETRICISTA COM ENCARGOS COMPLEMENTARES</t>
  </si>
  <si>
    <t>COMP-006</t>
  </si>
  <si>
    <t>SINAPI 74094/001 (ABRIL/2017)</t>
  </si>
  <si>
    <t>WC</t>
  </si>
  <si>
    <t>FORRO DE PVC LISO, BRANCO, REGUA DE 10 CM, ESPESSURA DE 8 MM A 10 MM (COM COLOCACAO / ESTRUTURA METALICA)</t>
  </si>
  <si>
    <t>2.1.1</t>
  </si>
  <si>
    <t>2.1.2</t>
  </si>
  <si>
    <t>2.2.1</t>
  </si>
  <si>
    <t>2.2.2</t>
  </si>
  <si>
    <t>2.2.3</t>
  </si>
  <si>
    <t>2.2.4</t>
  </si>
  <si>
    <t>2.2.5</t>
  </si>
  <si>
    <t>2.3.1</t>
  </si>
  <si>
    <t>2.3.2</t>
  </si>
  <si>
    <t>3.4</t>
  </si>
  <si>
    <t>3.4.1</t>
  </si>
  <si>
    <t>4.1.5</t>
  </si>
  <si>
    <t>4.1.6</t>
  </si>
  <si>
    <t>4.2.1</t>
  </si>
  <si>
    <t>4.2.2</t>
  </si>
  <si>
    <t>4.2.3</t>
  </si>
  <si>
    <t>4.3.1</t>
  </si>
  <si>
    <t>ESCOLA ALOÍSIO DE AQUINO E SILVA - SÍTIO RIBEIRO DO MEL</t>
  </si>
  <si>
    <t>SINAPI 93142  (ABRIL/2017)</t>
  </si>
  <si>
    <t>5.1.1</t>
  </si>
  <si>
    <t>5.1.2</t>
  </si>
  <si>
    <t>5.1.3</t>
  </si>
  <si>
    <t>5.2.1</t>
  </si>
  <si>
    <t>5.4.1</t>
  </si>
  <si>
    <t>5.4.2</t>
  </si>
  <si>
    <t>5.4.3</t>
  </si>
  <si>
    <t>6.1.1</t>
  </si>
  <si>
    <t>6.1.2</t>
  </si>
  <si>
    <t>6.1.4</t>
  </si>
  <si>
    <t>6.1.5</t>
  </si>
  <si>
    <t>6.2.1</t>
  </si>
  <si>
    <t>6.2.2</t>
  </si>
  <si>
    <t>6.2.3</t>
  </si>
  <si>
    <t>6.3.1</t>
  </si>
  <si>
    <t>6.3.2</t>
  </si>
  <si>
    <t>6.4.1</t>
  </si>
  <si>
    <t>6.4.2</t>
  </si>
  <si>
    <t>6.4.3</t>
  </si>
  <si>
    <t>6.4.4</t>
  </si>
  <si>
    <t>6.5.1</t>
  </si>
  <si>
    <t>5.5.1</t>
  </si>
  <si>
    <t>8.2.1</t>
  </si>
  <si>
    <t>8.2.2</t>
  </si>
  <si>
    <t>8.3.1</t>
  </si>
  <si>
    <t>9.5.2</t>
  </si>
  <si>
    <t>12.1.3</t>
  </si>
  <si>
    <t>12.1.4</t>
  </si>
  <si>
    <t xml:space="preserve">SIFÃO DO TIPO FLEXÍVEL EM PVC 1 X 1.1/2 FORNECIMENTO E INSTALAÇÃO. </t>
  </si>
  <si>
    <t>13.1.1</t>
  </si>
  <si>
    <t>13.1.2</t>
  </si>
  <si>
    <t>13.1.3</t>
  </si>
  <si>
    <t>13.1.4</t>
  </si>
  <si>
    <t>13.2.1</t>
  </si>
  <si>
    <t>13.2.2</t>
  </si>
  <si>
    <t>13.2.3</t>
  </si>
  <si>
    <t>15.4.1</t>
  </si>
  <si>
    <t>15.5</t>
  </si>
  <si>
    <t>15.5.1</t>
  </si>
  <si>
    <t>16.1</t>
  </si>
  <si>
    <t>16.1.1</t>
  </si>
  <si>
    <t>16.1.2</t>
  </si>
  <si>
    <t>16.1.3</t>
  </si>
  <si>
    <t>16.1.4</t>
  </si>
  <si>
    <t>16.1.5</t>
  </si>
  <si>
    <t>16.2</t>
  </si>
  <si>
    <t>16.2.1</t>
  </si>
  <si>
    <t>16.3</t>
  </si>
  <si>
    <t>16.3.1</t>
  </si>
  <si>
    <t>16.4</t>
  </si>
  <si>
    <t>16.4.1</t>
  </si>
  <si>
    <t>16.5</t>
  </si>
  <si>
    <t>16.5.1</t>
  </si>
  <si>
    <t>16.5.2</t>
  </si>
  <si>
    <t>ESTRUTURA DE COBERTA EM MADEIRA DE LEI PARA
TELHAS CERAMICAS - VAO ATE 4 M.</t>
  </si>
  <si>
    <t>16.6</t>
  </si>
  <si>
    <t>16.6.1</t>
  </si>
  <si>
    <t>C4507</t>
  </si>
  <si>
    <t>SEINFRA</t>
  </si>
  <si>
    <t>PAREDE DE BLOCO DE GESSO STAND, INCLUSIVE EMASSAMENTO - FORNECIMENTO EXECUÇÃO</t>
  </si>
  <si>
    <t xml:space="preserve">LAVATÓRIO LOUÇA BRANCA SUSPENSO, 29,5 X 39CM OU EQUIVALENTE, PADRÃO POPULAR, INCLUSO SIFÃO TIPO GARRAFA EM PVC, VÁLVULA E ENGATE FLEXÍVEL 30 CM EM PLÁSTICO E TORNEIRA CROMADA DE MESA, PADRÃO POPULAR - FORNECIMENTO E INSTALAÇÃO. </t>
  </si>
  <si>
    <t>23.1</t>
  </si>
  <si>
    <t>23.1.1</t>
  </si>
  <si>
    <t>23.1.2</t>
  </si>
  <si>
    <t>23.1.3</t>
  </si>
  <si>
    <t>23.2</t>
  </si>
  <si>
    <t>23.2.1</t>
  </si>
  <si>
    <t>23.3</t>
  </si>
  <si>
    <t>23.3.1</t>
  </si>
  <si>
    <t>Sala ao lado do diretor</t>
  </si>
  <si>
    <t>FORNECIMENTO E INSTALAÇÃO DE LUMINÁRIA SPOT DE SOBREPOR COM 1 LÂMPADA LED DE 10 W BRANCA (BASE E27)</t>
  </si>
  <si>
    <t>COMP. 003</t>
  </si>
  <si>
    <t>COMP. 0012</t>
  </si>
  <si>
    <t xml:space="preserve">TRAMA DE MADEIRA COMPOSTA POR RIPAS, CAIBROS E TERÇAS PARA TELHADOS DE ATÉ 2 ÁGUAS PARA TELHA CERÂMICA CAPA-CANAL, INCLUSO TRANSPORTE VERTICAL. </t>
  </si>
  <si>
    <t>SIFÃO DO TIPO FLEXÍVEL EM PVC 1 X 1.1/2 FORNECIMENTO E INSTALAÇÃO.</t>
  </si>
  <si>
    <t>Aproximadamente 10% da área de coberta</t>
  </si>
  <si>
    <t>CONCRETO ARMADO PRONTO, FCK 25 MPA,CONDICAO A
(NBR 12655),LANCADO EM PILARES E ADENSADO,INCLUSIVE
FORMA, ESCORAMENTO E FERRAGEM.</t>
  </si>
  <si>
    <t>CONCRETO ARMADO PRONTO, FCK 25 MPA CONDICAO A
(NBR 12655), LANCADO EM FUNDACOES E ADENSADO,
INCLUSIVE FORMA, ESCORAMENTO E FERRAGEM.</t>
  </si>
  <si>
    <t>ESCAVACAO MANUAL EM TERRA ATE 1,50 M DE
PROFUNDIDADE, SEM ESCORAMENTO.</t>
  </si>
  <si>
    <t>CONCRETO NAO ESTRUTURAL (1 4 8) PARA LASTROS
DE PISOS E FUNDACOES, LANCADO E ADENSADO.</t>
  </si>
  <si>
    <t>Sapata Cozinha</t>
  </si>
  <si>
    <t>Pescoço pilar</t>
  </si>
  <si>
    <t>REATERRO APILOADO DE VALAS EM CAMADAS DE 20CM
DE ESPESSURA , COM APROVEITAMENTO DO MATERIAL
ESCAVADO.</t>
  </si>
  <si>
    <t>Sapata</t>
  </si>
  <si>
    <t>menos concreto magro</t>
  </si>
  <si>
    <t>menos concreto de fundação</t>
  </si>
  <si>
    <t>Teto do wc</t>
  </si>
  <si>
    <t>Impermeabilização do reservatório</t>
  </si>
  <si>
    <t>2.4</t>
  </si>
  <si>
    <t>2.4.1</t>
  </si>
  <si>
    <t>08.04.010</t>
  </si>
  <si>
    <t>IMPERMEABILIZACAO,EMPREGANDO ARGAMASSA DE CIMENTO E AREIA GROSSA NO TRACO 1:3 COM SIKA 1 ESPESSURA DE 3 CM.</t>
  </si>
  <si>
    <t>2.4.2</t>
  </si>
  <si>
    <t>GRAUTE FGK=25 MPA; TRAÇO 1:0,02:1,2:1,5 (CIMENTO/ CAL/ AREIA GROSSA/ BRITA 0) - PREPARO MECÂNICO COM BETONEIRA 400 L.</t>
  </si>
  <si>
    <t>09.02.010</t>
  </si>
  <si>
    <t>ESQUADRIA DE FERRO, TIPO BASCULANTE, COM
ASSENTAMENTO.</t>
  </si>
  <si>
    <t>Sala de recursos / Santa Clara</t>
  </si>
  <si>
    <t>4.2.4</t>
  </si>
  <si>
    <t>Recuperação do muro</t>
  </si>
  <si>
    <t>AJUDANTE DE CARPINTEIRO COM ENCARGOS COMPLEMENTARES</t>
  </si>
  <si>
    <t>CARPINTEIRO DE FORMAS COM ENCARGOS COMPLEMENTARES</t>
  </si>
  <si>
    <t>00004408</t>
  </si>
  <si>
    <t>RIPA DE MADEIRA NAO APARELHADA *1,5 X 5* CM, MACARANDUBA, ANGELIM OU EQUIVALENTE DA REGIAO</t>
  </si>
  <si>
    <t>SINAPI 72085 (ABRIL/2017)</t>
  </si>
  <si>
    <t>PREGO DE ACO POLIDO COM CABECA 18 X 27 (2 1/2 X 10)</t>
  </si>
  <si>
    <t>KG</t>
  </si>
  <si>
    <t>CAIBRO DE MADEIRA NAO APARELHADA *5 X 6* CM, MACARANDUBA, ANGELIM OU EQUIVALENTE DA REGIAO</t>
  </si>
  <si>
    <t>SINAPI 72086 (ABRIL/2017)</t>
  </si>
  <si>
    <t>VIGA DE MADEIRA NAO APARELHADA *6 X 20* CM, MACARANDUBA, ANGELIM OU EQUIVALENTE DA REGIAO</t>
  </si>
  <si>
    <t>COMP. 004</t>
  </si>
  <si>
    <t>SUBSTITUICAO DE RIPAS EM MADEIRAMENTO DE TELHADO, INCLUSIVE FORNECIMENTO DO MATERIAL</t>
  </si>
  <si>
    <t>(PONTO COM DRENO PARA AR CONDICIONADO SPLIT) 
PONTO DE AGUA, INCLUSIVE TUBULACOES E CONEXOES DE PVC RIGIDO SOLDAVEL E ABERTURA DE RASGOS EM ALVENARIA , ATE O REGISTRO GERAL DO AMBIENTE.</t>
  </si>
  <si>
    <t>Estimatima de ripas a substituir</t>
  </si>
  <si>
    <t>FORRO DE PVC LISO, BRANCO, REGUA DE 10 CM, ESPESSURA DE 8 MM A 10 MM, INCLUSIVE ESTRUTURA DE SUPORTE</t>
  </si>
  <si>
    <t>COMP. 005</t>
  </si>
  <si>
    <t>Estimatima de caibros a substituir</t>
  </si>
  <si>
    <t>COMP. 006</t>
  </si>
  <si>
    <t>Estimatima de vigas de madeira a substituir</t>
  </si>
  <si>
    <t>QUADRO DE DISTRIBUICAO EM RESINA TERMOPLASTICA DE EMBUTIR, COM PORTA, SEM BARRAMENTO, PARA ATE 6 CIRCUITOS MONOPOLARES, REF. CDEC-6E, CEMAR OU SIMILAR, INCLUSIVE INSTALACAO.</t>
  </si>
  <si>
    <t>QUANT.</t>
  </si>
  <si>
    <t>OBRA: EXECUÇÃO DE REPAROS EMERGENCIAIS E REFORMA DOS PRÉDIOS DAS ESCOLAS MUNICIPAIS E DA SEDE DA SECRETARIA DE EDUCAÇÃO DO MUNICÍPIO DE LIMOEIRO/PE</t>
  </si>
  <si>
    <t>BDI DESON.</t>
  </si>
  <si>
    <t>BDI Ñ DESON</t>
  </si>
  <si>
    <t>Impermeabilização do interior do reservatório</t>
  </si>
  <si>
    <t>2.4.3</t>
  </si>
  <si>
    <t>2.4.4</t>
  </si>
  <si>
    <t>03.01.210</t>
  </si>
  <si>
    <t>Recuperação estrutural do reservatório (demolição do recobrimento da armadura do concreto rompido para posterior reconstrução com graute)</t>
  </si>
  <si>
    <t>Recuperação estrutural do reservatório (reconstrução com graute do recobrimento da armadura do concreto)</t>
  </si>
  <si>
    <t xml:space="preserve">DEMOLICAO MANUAL DE CONCRETO ARMADO.  </t>
  </si>
  <si>
    <t>3.1.5</t>
  </si>
  <si>
    <t>3.1.6</t>
  </si>
  <si>
    <t>3.1.7</t>
  </si>
  <si>
    <t>3.1.8</t>
  </si>
  <si>
    <t>4.1.7</t>
  </si>
  <si>
    <t>4.1.8</t>
  </si>
  <si>
    <t>DATA: JULHO/2017</t>
  </si>
  <si>
    <r>
      <t xml:space="preserve">FONTES DE PREÇOS: EMLURB DEZ-2014 / SINAPI ABR-2017 / SEINFRA 024.1 MAR-2016 - TODAS </t>
    </r>
    <r>
      <rPr>
        <b/>
        <u/>
        <sz val="11"/>
        <rFont val="Calibri"/>
        <family val="2"/>
        <scheme val="minor"/>
      </rPr>
      <t>COM</t>
    </r>
    <r>
      <rPr>
        <b/>
        <sz val="11"/>
        <rFont val="Calibri"/>
        <family val="2"/>
        <scheme val="minor"/>
      </rPr>
      <t xml:space="preserve"> DESONERAÇÃO</t>
    </r>
  </si>
  <si>
    <t>COLOCACAO DE RIPAS EM MADEIRAMENTO DE TELHADO, COM FORNECIMENTO DO MATERIAL</t>
  </si>
  <si>
    <t>COLOCACAO DE CAIBROS EM MADEIRAMENTO DE TELHADO, COM FORNECIMENTO DO MATERIAL</t>
  </si>
  <si>
    <t>SUBSTITUICAO DE CAIBROS EM MADEIRAMENTO DE TELHADO, INCLUSIVE FORNECIMENTO DO MATERIAL</t>
  </si>
  <si>
    <t>COLOCACAO DE VIGA 6X20CM EM MADEIRAMENTO DE TELHADO, COM FORNECIMENTO DO MATERIAL</t>
  </si>
  <si>
    <t xml:space="preserve">SUBSTITUICAO DE VIGA DE MADEIRA DE LEI EM TELHADO, 6X20CM, MACARANDUBA, ANGELIM OU EQUIVALENTE DA REGIAO, INCLUSIVE FORNECIMENTO DO MATERIAL  </t>
  </si>
  <si>
    <t>4.2.5</t>
  </si>
  <si>
    <t>4.2.6</t>
  </si>
  <si>
    <t>OK* (deveríamos prever a recuperação da área interditada devido problemas estruturais)</t>
  </si>
  <si>
    <t>(BDI padrão Edificações sem CPRB considerando M.O. de 40%)</t>
  </si>
  <si>
    <t>COMPOSIÇÃO DE B.D.I. – BONIFICAÇÃO E DESPESAS INDIRETAS - COM DESONERAÇÃO</t>
  </si>
  <si>
    <t>COMPOSIÇÃO DE B.D.I. – BONIFICAÇÃO E DESPESAS INDIRETAS - SEM DESONERAÇÃO</t>
  </si>
  <si>
    <t>TOTAL GLOBAL</t>
  </si>
  <si>
    <t>ESQUADRIA DE MADEIRA COM GRADE EM MADEIRA DE LEI E FOLHA EM COMPENSADO DE JEQUITIBA PARA PORTAS INTERNAS , INCLUSIVE ASSENTAMENTO E FERRAGENS.</t>
  </si>
  <si>
    <t>5.1.4</t>
  </si>
  <si>
    <t>5.1.5</t>
  </si>
  <si>
    <t>5.1.6</t>
  </si>
  <si>
    <t>5.1.7</t>
  </si>
  <si>
    <t>5.1.8</t>
  </si>
  <si>
    <t>Pontos de luz, previsto aproximadamente</t>
  </si>
  <si>
    <t>6.1.3</t>
  </si>
  <si>
    <t>6.1.6</t>
  </si>
  <si>
    <t>6.1.7</t>
  </si>
  <si>
    <t>6.1.8</t>
  </si>
  <si>
    <t>7.1.1</t>
  </si>
  <si>
    <t>7.2.1</t>
  </si>
  <si>
    <t>7.2.2</t>
  </si>
  <si>
    <t>7.2.3</t>
  </si>
  <si>
    <t>7.3.1</t>
  </si>
  <si>
    <t>7.3.2</t>
  </si>
  <si>
    <t>7.1.2</t>
  </si>
  <si>
    <t>7.1.3</t>
  </si>
  <si>
    <t>7.1.4</t>
  </si>
  <si>
    <t>7.1.5</t>
  </si>
  <si>
    <t>7.1.6</t>
  </si>
  <si>
    <t>7.1.7</t>
  </si>
  <si>
    <t>SER</t>
  </si>
  <si>
    <t>JC</t>
  </si>
  <si>
    <t>8.4.1</t>
  </si>
  <si>
    <t>8.5.1</t>
  </si>
  <si>
    <t>8.5.2</t>
  </si>
  <si>
    <t>9.3.2</t>
  </si>
  <si>
    <t>9.3.3</t>
  </si>
  <si>
    <t>9.3.4</t>
  </si>
  <si>
    <t>9.3.5</t>
  </si>
  <si>
    <t>9.3.6</t>
  </si>
  <si>
    <t>9.3.7</t>
  </si>
  <si>
    <t>9.4.2</t>
  </si>
  <si>
    <t>10.1.2</t>
  </si>
  <si>
    <t>10.1.3</t>
  </si>
  <si>
    <t>10.1.4</t>
  </si>
  <si>
    <t>10.1.5</t>
  </si>
  <si>
    <t>11.5</t>
  </si>
  <si>
    <t>11.5.1</t>
  </si>
  <si>
    <t>11.1</t>
  </si>
  <si>
    <t>11.1.1</t>
  </si>
  <si>
    <t>11.2</t>
  </si>
  <si>
    <t>11.2.1</t>
  </si>
  <si>
    <t>11.2.2</t>
  </si>
  <si>
    <t>11.3</t>
  </si>
  <si>
    <t>11.3.1</t>
  </si>
  <si>
    <t>11.3.2</t>
  </si>
  <si>
    <t>11.4</t>
  </si>
  <si>
    <t>11.4.1</t>
  </si>
  <si>
    <t>11.4.2</t>
  </si>
  <si>
    <t>11.4.3</t>
  </si>
  <si>
    <t>11.4.4</t>
  </si>
  <si>
    <t>11.4.5</t>
  </si>
  <si>
    <t>11.1.2</t>
  </si>
  <si>
    <t>11.1.3</t>
  </si>
  <si>
    <t>11.1.4</t>
  </si>
  <si>
    <t>11.1.5</t>
  </si>
  <si>
    <t>11.1.6</t>
  </si>
  <si>
    <t>11.1.7</t>
  </si>
  <si>
    <t>11.1.8</t>
  </si>
  <si>
    <t>12.1.5</t>
  </si>
  <si>
    <t>12.1.6</t>
  </si>
  <si>
    <t>12.1.7</t>
  </si>
  <si>
    <t>13.1.5</t>
  </si>
  <si>
    <t>13.1.6</t>
  </si>
  <si>
    <t>13.1.7</t>
  </si>
  <si>
    <t>13.1.8</t>
  </si>
  <si>
    <t>13.3.1</t>
  </si>
  <si>
    <t>13.3.2</t>
  </si>
  <si>
    <t>13.3.3</t>
  </si>
  <si>
    <t>13.4</t>
  </si>
  <si>
    <t>13.4.1</t>
  </si>
  <si>
    <t>13.5</t>
  </si>
  <si>
    <t>13.5.1</t>
  </si>
  <si>
    <t>13.5.2</t>
  </si>
  <si>
    <t>14.1.5</t>
  </si>
  <si>
    <t>15.5.2</t>
  </si>
  <si>
    <t>15.5.3</t>
  </si>
  <si>
    <t>15.5.4</t>
  </si>
  <si>
    <t>15.6</t>
  </si>
  <si>
    <t>15.6.1</t>
  </si>
  <si>
    <t>15.6.2</t>
  </si>
  <si>
    <t>15.6.3</t>
  </si>
  <si>
    <t>15.7</t>
  </si>
  <si>
    <t>15.1.4</t>
  </si>
  <si>
    <t>15.1.5</t>
  </si>
  <si>
    <t>15.1.6</t>
  </si>
  <si>
    <t>15.1.7</t>
  </si>
  <si>
    <t>15.1.8</t>
  </si>
  <si>
    <t>15.7.2</t>
  </si>
  <si>
    <t>15.7.2.1</t>
  </si>
  <si>
    <t>IMPERMEABILIZAÇÃO DO RESERVATÓRIO</t>
  </si>
  <si>
    <t>RECUPERAÇÃO ESTRUTURAL DA COZINHA</t>
  </si>
  <si>
    <t>15.7.1</t>
  </si>
  <si>
    <t>15.7.1.1</t>
  </si>
  <si>
    <t>15.7.1.2</t>
  </si>
  <si>
    <t>15.7.1.3</t>
  </si>
  <si>
    <t>15.7.1.4</t>
  </si>
  <si>
    <t>15.7.1.5</t>
  </si>
  <si>
    <t>15.7.2.2</t>
  </si>
  <si>
    <t>16.2.2</t>
  </si>
  <si>
    <t>16.2.3</t>
  </si>
  <si>
    <t>16.3.2</t>
  </si>
  <si>
    <t>17.2.4</t>
  </si>
  <si>
    <t>17.1.3</t>
  </si>
  <si>
    <t>17.1.4</t>
  </si>
  <si>
    <t>17.1.5</t>
  </si>
  <si>
    <t>17.1.6</t>
  </si>
  <si>
    <t>17.1.7</t>
  </si>
  <si>
    <t>18.3</t>
  </si>
  <si>
    <t>18.3.1</t>
  </si>
  <si>
    <t>18.2</t>
  </si>
  <si>
    <t>18.2.1</t>
  </si>
  <si>
    <t>18.1</t>
  </si>
  <si>
    <t>18.1.1</t>
  </si>
  <si>
    <t>Ar condicionado</t>
  </si>
  <si>
    <t>18.1.2</t>
  </si>
  <si>
    <t>18.1.3</t>
  </si>
  <si>
    <t>18.1.4</t>
  </si>
  <si>
    <t>18.1.5</t>
  </si>
  <si>
    <t>18.1.6</t>
  </si>
  <si>
    <t>18.1.7</t>
  </si>
  <si>
    <t>19.5</t>
  </si>
  <si>
    <t>19.6</t>
  </si>
  <si>
    <t>19.6.1</t>
  </si>
  <si>
    <t>19.1.7</t>
  </si>
  <si>
    <t>19.5.1</t>
  </si>
  <si>
    <t>19.5.2</t>
  </si>
  <si>
    <t>19.6.2</t>
  </si>
  <si>
    <t>19.6.2.1</t>
  </si>
  <si>
    <t>SISTEMA DE ESGOTO</t>
  </si>
  <si>
    <t>REFORÇO ESTRUTURAL PARA MUROS</t>
  </si>
  <si>
    <t>19.6.1.1</t>
  </si>
  <si>
    <t>19.6.1.2</t>
  </si>
  <si>
    <t>19.6.1.3</t>
  </si>
  <si>
    <t>Pescoços pilares</t>
  </si>
  <si>
    <t>19.6.1.4</t>
  </si>
  <si>
    <t>19.6.1.5</t>
  </si>
  <si>
    <t>19.6.1.6</t>
  </si>
  <si>
    <t>19.6.1.7</t>
  </si>
  <si>
    <t>Faces dos pilares</t>
  </si>
  <si>
    <t>20.1</t>
  </si>
  <si>
    <t>20.1.1</t>
  </si>
  <si>
    <t>20.1.2</t>
  </si>
  <si>
    <t>20.1.3</t>
  </si>
  <si>
    <t>20.2</t>
  </si>
  <si>
    <t>20.2.1</t>
  </si>
  <si>
    <t>20.3</t>
  </si>
  <si>
    <t>20.3.1</t>
  </si>
  <si>
    <t>21.1</t>
  </si>
  <si>
    <t>21.2</t>
  </si>
  <si>
    <t>21.2.1</t>
  </si>
  <si>
    <t>21.3</t>
  </si>
  <si>
    <t>21.3.1</t>
  </si>
  <si>
    <t>21.3.2</t>
  </si>
  <si>
    <t>21.3.3</t>
  </si>
  <si>
    <t>21.3.4</t>
  </si>
  <si>
    <t>21.3.5</t>
  </si>
  <si>
    <t>21.3.6</t>
  </si>
  <si>
    <t>21.3.7</t>
  </si>
  <si>
    <t>21.4</t>
  </si>
  <si>
    <t>21.4.1</t>
  </si>
  <si>
    <t>21.5</t>
  </si>
  <si>
    <t>21.5.1</t>
  </si>
  <si>
    <t>21.1.1</t>
  </si>
  <si>
    <t>Ar condicionado para Laboratório de informática</t>
  </si>
  <si>
    <t>21.1.2</t>
  </si>
  <si>
    <t>21.1.3</t>
  </si>
  <si>
    <t>21.1.4</t>
  </si>
  <si>
    <t>21.1.5</t>
  </si>
  <si>
    <t>21.1.6</t>
  </si>
  <si>
    <t>22.2.2</t>
  </si>
  <si>
    <t>22.3.2</t>
  </si>
  <si>
    <t>22.4</t>
  </si>
  <si>
    <t>22.4.1</t>
  </si>
  <si>
    <t>22.4.2</t>
  </si>
  <si>
    <t>22.4.3</t>
  </si>
  <si>
    <t>22.5</t>
  </si>
  <si>
    <t>22.5.1</t>
  </si>
  <si>
    <t>22.6</t>
  </si>
  <si>
    <t>22.6.1</t>
  </si>
  <si>
    <t>22.6.2</t>
  </si>
  <si>
    <t>22.1.4</t>
  </si>
  <si>
    <t>22.1.5</t>
  </si>
  <si>
    <t>23.1.4</t>
  </si>
  <si>
    <t>23.2.2</t>
  </si>
  <si>
    <t>REFORÇO ESTRUTURAL ÁREA POSTERIOR</t>
  </si>
  <si>
    <t>23.3.1.1</t>
  </si>
  <si>
    <t xml:space="preserve">06.03.123 </t>
  </si>
  <si>
    <t>CONCRETO ARMADO PRONTO, FCK 25 MPA,CONDICAO A
(NBR 12655),LANCADO EM VIGAS E ADENSADO,INCLUSIVE
FORMA, ESCORAMENTO E FERRAGEM.</t>
  </si>
  <si>
    <t>Baldrames (costuras para paredes fissuradas)</t>
  </si>
  <si>
    <t>Sapatas dos pilares de reforço</t>
  </si>
  <si>
    <t>área escavada</t>
  </si>
  <si>
    <t>23.3.1.2</t>
  </si>
  <si>
    <t>23.3.1.3</t>
  </si>
  <si>
    <t>23.3.1.4</t>
  </si>
  <si>
    <t>23.3.1.5</t>
  </si>
  <si>
    <t>23.3.1.6</t>
  </si>
  <si>
    <t>23.3.1.7</t>
  </si>
  <si>
    <t>23.3.1.8</t>
  </si>
  <si>
    <t>Pilares de reforço</t>
  </si>
  <si>
    <t>Cintas (costuras para paredes fissuradas)</t>
  </si>
  <si>
    <t>*estimado grosseiramente, planejar melhor na execução</t>
  </si>
  <si>
    <r>
      <t xml:space="preserve">FONTES DE PREÇOS: EMLURB DEZ-2014 / SINAPI ABRIL-2017 / SEINFRA 024.1 MARÇO-2016 - </t>
    </r>
    <r>
      <rPr>
        <b/>
        <u/>
        <sz val="10"/>
        <rFont val="Arial"/>
        <family val="2"/>
      </rPr>
      <t>COM</t>
    </r>
    <r>
      <rPr>
        <b/>
        <sz val="10"/>
        <rFont val="Arial"/>
        <family val="2"/>
      </rPr>
      <t xml:space="preserve"> DESONERAÇÃO (BDI = 26,53%)</t>
    </r>
  </si>
  <si>
    <t>92000</t>
  </si>
  <si>
    <t>TOMADA BAIXA DE EMBUTIR (1 MÓDULO), 2P+T 10 A, INCLUINDO SUPORTE E PLACA - FORNECIMENTO E INSTALAÇÃO. AF_12/2015</t>
  </si>
  <si>
    <t>07.01.100</t>
  </si>
  <si>
    <r>
      <t xml:space="preserve">A OPÇÃO MAIS VANTAJOSA PARA A ADMINISTRAÇÃO É A DO ORÇAMENTO </t>
    </r>
    <r>
      <rPr>
        <b/>
        <u/>
        <sz val="12"/>
        <rFont val="Calibri"/>
        <family val="2"/>
        <scheme val="minor"/>
      </rPr>
      <t>SEM DESONERAÇÃO</t>
    </r>
    <r>
      <rPr>
        <b/>
        <sz val="12"/>
        <rFont val="Calibri"/>
        <family val="2"/>
        <scheme val="minor"/>
      </rPr>
      <t>.</t>
    </r>
  </si>
  <si>
    <t>REPRESEN-
TATIVIDADE</t>
  </si>
  <si>
    <t xml:space="preserve">PLACA DE OBRA (PARA CONSTRUCAO CIVIL) EM CHAPA GALVANIZADA *N. 22*, ADESIVADA,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</si>
  <si>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OBRA: MANUTENÇÃO DOS PRÉDIOS DA SAÚDE LIMOEIRO/PE</t>
  </si>
  <si>
    <r>
      <t xml:space="preserve">FONTES DE PREÇOS: EMLURB DEZ-2014 / SINAPI ABRIL-2017 / SEINFRA 024 MARÇO-2016 - </t>
    </r>
    <r>
      <rPr>
        <b/>
        <u/>
        <sz val="10"/>
        <color rgb="FFFF0000"/>
        <rFont val="Arial"/>
        <family val="2"/>
      </rPr>
      <t>SEM</t>
    </r>
    <r>
      <rPr>
        <b/>
        <sz val="10"/>
        <color rgb="FFFF0000"/>
        <rFont val="Arial"/>
        <family val="2"/>
      </rPr>
      <t xml:space="preserve"> DESONERAÇÃO (BDI = 20,50%)</t>
    </r>
  </si>
  <si>
    <t xml:space="preserve">Sala do médico </t>
  </si>
  <si>
    <t>Área externa</t>
  </si>
  <si>
    <t xml:space="preserve">Sala do dentista </t>
  </si>
  <si>
    <t xml:space="preserve">Sala de espera </t>
  </si>
  <si>
    <t>USF JOÃO HERÁCLIO DUARTE - PITOMBEIRA</t>
  </si>
  <si>
    <t>USF  URUCUBA</t>
  </si>
  <si>
    <t>USF URUCUBA</t>
  </si>
  <si>
    <t>Vacina</t>
  </si>
  <si>
    <t>LIXAMENTO DE MADEIRA PARA APLICAÇÃO DE FUNDO OU PINTURA. AF_01/2021</t>
  </si>
  <si>
    <t>ESCOLA JOÃO MARQUE DA SILVA (PONTO DE APOIO USF SERRA DOS CARNEIROS)</t>
  </si>
  <si>
    <t>W.C's</t>
  </si>
  <si>
    <t xml:space="preserve">Parte interna </t>
  </si>
  <si>
    <t>sala do dentista</t>
  </si>
  <si>
    <t xml:space="preserve">Sala vazia </t>
  </si>
  <si>
    <t xml:space="preserve">Parte externa </t>
  </si>
  <si>
    <t xml:space="preserve">Pilaretes </t>
  </si>
  <si>
    <t>Portas</t>
  </si>
  <si>
    <t>Janelas</t>
  </si>
  <si>
    <t>grade próxima a cozinha</t>
  </si>
  <si>
    <t>Basculantes</t>
  </si>
  <si>
    <t>Portões</t>
  </si>
  <si>
    <t>Barras de apoio</t>
  </si>
  <si>
    <t xml:space="preserve">PINTURA </t>
  </si>
  <si>
    <t>APLICAÇÃO DE FUNDO SELADOR ACRÍLICO EM PAREDES, UMA DEMÃO. AF_06/2014</t>
  </si>
  <si>
    <t>APLICAÇÃO MANUAL DE PINTURA COM TINTA LÁTEX ACRÍLICA EM PAREDES, DUAS DEMÃOS. AF_06/2014</t>
  </si>
  <si>
    <t>APLICAÇÃO MANUAL DE PINTURA COM TINTA LÁTEX ACRÍLICA EM TETO, DUAS DEMÃOS. AF_06/2014</t>
  </si>
  <si>
    <t>PINTURA COM TINTA ALQUÍDICA DE FUNDO E ACABAMENTO (ESMALTE SINTÉTICO GRAFITE) APLICADA A ROLO OU PINCEL SOBRE PERFIL METÁLICO EXECUTADO EM FÁBRICA (POR DEMÃO). AF_01/2020</t>
  </si>
  <si>
    <t>PINTURA TINTA DE ACABAMENTO (PIGMENTADA) A ÓLEO EM MADEIRA, 2 DEMÃOS. AF_01/2021</t>
  </si>
  <si>
    <t>2.1.3</t>
  </si>
  <si>
    <t>2.1.4</t>
  </si>
  <si>
    <t xml:space="preserve">Área interna </t>
  </si>
  <si>
    <t>Atendimento e sala do dentista</t>
  </si>
  <si>
    <t>Farmácia</t>
  </si>
  <si>
    <t>Deduções das aberturas</t>
  </si>
  <si>
    <t xml:space="preserve">Baculhantes </t>
  </si>
  <si>
    <t>2.1.5</t>
  </si>
  <si>
    <t xml:space="preserve">Área externa </t>
  </si>
  <si>
    <t xml:space="preserve">Recepção/Farmácia/sala de exames </t>
  </si>
  <si>
    <t xml:space="preserve">Curativo </t>
  </si>
  <si>
    <t xml:space="preserve">sala médica </t>
  </si>
  <si>
    <t xml:space="preserve">Antiga odontologia </t>
  </si>
  <si>
    <t xml:space="preserve">Parte nova </t>
  </si>
  <si>
    <t xml:space="preserve">Consultório </t>
  </si>
  <si>
    <t xml:space="preserve">Dentista </t>
  </si>
  <si>
    <t xml:space="preserve">Auditório </t>
  </si>
  <si>
    <t xml:space="preserve">Deduções das aberturas </t>
  </si>
  <si>
    <t xml:space="preserve">Auditório 2 </t>
  </si>
  <si>
    <t xml:space="preserve">Recepção </t>
  </si>
  <si>
    <t>W.C'</t>
  </si>
  <si>
    <t>Sala de exames</t>
  </si>
  <si>
    <t xml:space="preserve">Odontologia </t>
  </si>
  <si>
    <t xml:space="preserve">Copa </t>
  </si>
  <si>
    <t>Sala médica</t>
  </si>
  <si>
    <t>Sala de espera</t>
  </si>
  <si>
    <t>Terraço</t>
  </si>
  <si>
    <t>Parte  nova</t>
  </si>
  <si>
    <t>Consultório</t>
  </si>
  <si>
    <t>Dentista</t>
  </si>
  <si>
    <t>Auditório</t>
  </si>
  <si>
    <t>Sala de espera, odontologica, e consultório</t>
  </si>
  <si>
    <t>USF DR. JOSÉ OTÁVIO MACIEL (UBS CEMITÉRIO)</t>
  </si>
  <si>
    <t>USF DR. JOSÉ OTÁVIO MACIEL</t>
  </si>
  <si>
    <t xml:space="preserve">Farmácia </t>
  </si>
  <si>
    <t xml:space="preserve">Triagem </t>
  </si>
  <si>
    <t xml:space="preserve">Lixo </t>
  </si>
  <si>
    <t>Salas 4, 3 e 5</t>
  </si>
  <si>
    <t>Salas 1 e 2</t>
  </si>
  <si>
    <t>Salas 6 e 7</t>
  </si>
  <si>
    <t>h = pé direito - hcerâmica</t>
  </si>
  <si>
    <t xml:space="preserve">Dedução das aberturas </t>
  </si>
  <si>
    <t xml:space="preserve">Portas </t>
  </si>
  <si>
    <t xml:space="preserve">Aranhas nas janelas </t>
  </si>
  <si>
    <t xml:space="preserve">Áreas retiradas do cad </t>
  </si>
  <si>
    <t>Triágem</t>
  </si>
  <si>
    <t>w.C</t>
  </si>
  <si>
    <t>Lixo</t>
  </si>
  <si>
    <t>Copa</t>
  </si>
  <si>
    <t>Corredor 2</t>
  </si>
  <si>
    <t>Corredor 1</t>
  </si>
  <si>
    <t>Sala 4</t>
  </si>
  <si>
    <t>Salas 3 e 5</t>
  </si>
  <si>
    <t>Sala 2</t>
  </si>
  <si>
    <t>Sala 1</t>
  </si>
  <si>
    <t>Sala 6</t>
  </si>
  <si>
    <t>Sala 7</t>
  </si>
  <si>
    <t>Sala 8</t>
  </si>
  <si>
    <t>USF GERALDO DE MEDEIROS (UBS CONGAL)</t>
  </si>
  <si>
    <t xml:space="preserve">Fachadas frontal e fundos </t>
  </si>
  <si>
    <t xml:space="preserve">Laterais esquerda e direita </t>
  </si>
  <si>
    <t>h = hpé direito - hceramica</t>
  </si>
  <si>
    <t xml:space="preserve">Consultórios 1, 2 e 4 </t>
  </si>
  <si>
    <t xml:space="preserve">Consultório 3 </t>
  </si>
  <si>
    <t xml:space="preserve">Despensa </t>
  </si>
  <si>
    <t xml:space="preserve">Equipamentos </t>
  </si>
  <si>
    <t xml:space="preserve">Corredor </t>
  </si>
  <si>
    <t>Janelas em aluminio</t>
  </si>
  <si>
    <t xml:space="preserve">Esquadrias em metal </t>
  </si>
  <si>
    <t xml:space="preserve">Esquadrias em madeira </t>
  </si>
  <si>
    <t xml:space="preserve">Portão da entrada </t>
  </si>
  <si>
    <t>Grades das janelas</t>
  </si>
  <si>
    <t xml:space="preserve">Portões laterais </t>
  </si>
  <si>
    <t>Sala 2, 4 e 1</t>
  </si>
  <si>
    <t>WC.funcionários</t>
  </si>
  <si>
    <t>ACADEMIA SÃO JORGE</t>
  </si>
  <si>
    <t xml:space="preserve">Muros </t>
  </si>
  <si>
    <t xml:space="preserve">Área externa e aparelhos </t>
  </si>
  <si>
    <t xml:space="preserve">Laterais esqueda e direita </t>
  </si>
  <si>
    <t>hmed = (hmaior + hmenor)/2</t>
  </si>
  <si>
    <t>Equipamentos</t>
  </si>
  <si>
    <t xml:space="preserve">pranchas </t>
  </si>
  <si>
    <t>escadas</t>
  </si>
  <si>
    <t xml:space="preserve">paredes de sustentaçãos  de barras </t>
  </si>
  <si>
    <t xml:space="preserve">banco barra </t>
  </si>
  <si>
    <t xml:space="preserve">bancos e mesas </t>
  </si>
  <si>
    <t xml:space="preserve">Depósito e atendimendo </t>
  </si>
  <si>
    <t xml:space="preserve">desconto da cerâmica </t>
  </si>
  <si>
    <t xml:space="preserve">sala de convivência </t>
  </si>
  <si>
    <t xml:space="preserve">Grades de ferro </t>
  </si>
  <si>
    <t xml:space="preserve">Portas de madeira </t>
  </si>
  <si>
    <t xml:space="preserve">área dos tubos </t>
  </si>
  <si>
    <t xml:space="preserve">Barras de ferro dos equipamentos </t>
  </si>
  <si>
    <t xml:space="preserve">Brinquedos </t>
  </si>
  <si>
    <t>Áreas do cad</t>
  </si>
  <si>
    <t>Depósito e atendimento</t>
  </si>
  <si>
    <t>w.c's</t>
  </si>
  <si>
    <t xml:space="preserve">sala de vivencia </t>
  </si>
  <si>
    <t xml:space="preserve">circulação </t>
  </si>
  <si>
    <t xml:space="preserve">Esquadrias de madeira </t>
  </si>
  <si>
    <t xml:space="preserve">USF DR. ADEJARDO FRANCISCO DA SILVA </t>
  </si>
  <si>
    <t xml:space="preserve">Pintura externa </t>
  </si>
  <si>
    <t>Fachada</t>
  </si>
  <si>
    <t>Portões principais (ferro)</t>
  </si>
  <si>
    <t>Grades da parte posterior</t>
  </si>
  <si>
    <t xml:space="preserve">Pintura interna </t>
  </si>
  <si>
    <t xml:space="preserve">Sala da enfermeira </t>
  </si>
  <si>
    <t>HALL</t>
  </si>
  <si>
    <t>Dedução das aberturas (esquadrias de madeira)</t>
  </si>
  <si>
    <t xml:space="preserve">Corrimão </t>
  </si>
  <si>
    <t xml:space="preserve">w.c enfermeira </t>
  </si>
  <si>
    <t xml:space="preserve">w.c. médico </t>
  </si>
  <si>
    <t>Hall</t>
  </si>
  <si>
    <t xml:space="preserve">Circulação + copa </t>
  </si>
  <si>
    <t xml:space="preserve">W.C. usuários </t>
  </si>
  <si>
    <t xml:space="preserve">Circulação  </t>
  </si>
  <si>
    <t>PINTURA ESMALTE SINTÉTICO EM PAREDES</t>
  </si>
  <si>
    <t>DML</t>
  </si>
  <si>
    <t>11.04.020</t>
  </si>
  <si>
    <t>APLICAÇÃO DE FUNDO SELADOR ACRÍLICO EM TETO, UMA DEMÃO. AF_06/2014</t>
  </si>
  <si>
    <t>PONTO DE TOMADA RESIDENCIAL INCLUINDO TOMADA (2 MÓDULOS) 10A/250V, CAIXA ELÉTRICA, ELETRODUTO, CABO, RASGO, QUEBRA E CHUMBAMENTO. AF_01/2016</t>
  </si>
  <si>
    <t xml:space="preserve">TOTAL GLOBAL </t>
  </si>
  <si>
    <t>LOCALIZAÇÃO: LIMOEIRO - PE</t>
  </si>
  <si>
    <t xml:space="preserve">DEMOLICAO DE ALVENARIA DE 1/2 VEZ COM PREPARO PARA REMOCAO.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</si>
  <si>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03.01.150</t>
  </si>
  <si>
    <t>PAREDES E PAINÉIS</t>
  </si>
  <si>
    <t>11.03.050</t>
  </si>
  <si>
    <t>EMBOCO COM ARGAMASSA DE CIMENTO E AREIA NO TRACO 1 3, COM 2,0 CM DE ESPESSURA.</t>
  </si>
  <si>
    <t>REBOCO EM CIMENTADO, TIPO BARRA LISA , APLICADA SOBRE EMBOCO PRONTO COM 5,0 MM DE ESPESSURA.</t>
  </si>
  <si>
    <t>11.06.052</t>
  </si>
  <si>
    <t>REVESTIMENTO EM PAREDE COM CERAMICA ESMALTADA 45X45CM, TIPO A, PEI5, ELIANE,PORTO RICO, SAMARSA, ELIZABETH OU SIMILAR, ASSENTADO COM ARGAMASSA PRE FABRICADA E REJUNTE DA QUARTZOLIT OU SIMILAR (ESPESSURA DA JUNTA DE 6MM) SOBRE EMBOCO PRONTO.</t>
  </si>
  <si>
    <t>16.03.010</t>
  </si>
  <si>
    <t>PINTURA LATEX EM PAREDES INTERNAS, CORALAR OU SIMILAR, DUAS DEMAOS, SEM MASSA CORRIDA,INCLUSIVE APLICACAO DE UMA DEMAO DE LIQUIDO SELADOR DE PAREDE.</t>
  </si>
  <si>
    <t>PINTURA LATEX EM PAREDES EXTERNAS,CORALMUR OU
SIMILAR, DUAS DEMAOS, SEM MASSA ACRILICA, INCLUSIVE
APLICACAO DE UMA DEMAO DE FUNDO PREPADOR.</t>
  </si>
  <si>
    <t>16.03.030</t>
  </si>
  <si>
    <t>APLICAÇÃO E LIXAMENTO DE MASSA LÁTEX EM PAREDES, DUAS DEMÃO. AF_06/2014</t>
  </si>
  <si>
    <t>C3022</t>
  </si>
  <si>
    <t>BATENTE PARA PORTA DE MADEIRA, FIXAÇÃO COM ARGAMASSA, PADRÃO MÉDIO - FORNECIMENTO E INSTALAÇÃO. AF_12/2019_P</t>
  </si>
  <si>
    <t>ESMALTE DUAS DEMÃOS EM ESQUADRIAS DE MADEIRA</t>
  </si>
  <si>
    <t>C1280</t>
  </si>
  <si>
    <t>LOUÇAS, METAIS E MARMOARIA</t>
  </si>
  <si>
    <t>18.22.080</t>
  </si>
  <si>
    <t>PONTO DE TOMADA P/AR CONDICIONADO C/CONJ. TIPO
ARSTOP OU SIMILAR,EM CAIXA TIGREFLEX OU SIMILAR 4 X 4 POL.,C/PLACA, TOMADA TRIP. P/PINO CHATO E DISJ. TERMOMAG. DE 25A, INCLUSIVE TUBULACAO PVC RIGIDO, FIACAO, ATERRAMENTO E DEMAIS ACESS. ATE O QUADRO DE DISTRIBUICAO.</t>
  </si>
  <si>
    <t>Altura</t>
  </si>
  <si>
    <t>Compr.</t>
  </si>
  <si>
    <t>Taxa</t>
  </si>
  <si>
    <t>Perímetro</t>
  </si>
  <si>
    <t>Comp.</t>
  </si>
  <si>
    <t>Larg.</t>
  </si>
  <si>
    <t>Alt.</t>
  </si>
  <si>
    <t>Quant.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</si>
  <si>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</si>
  <si>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</si>
  <si>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VERGA PRÉ-MOLDADA PARA PORTAS COM ATÉ 1,5 M DE VÃO. AF_03/2016</t>
  </si>
  <si>
    <t>DEMOLIÇÃO DE ARGAMASSAS, DE FORMA MANUAL, SEM REAPROVEITAMENTO. AF_12/2017</t>
  </si>
  <si>
    <t xml:space="preserve">DEMOLIÇÃO DE REVESTIMENTO CERÂMICO, DE FORMA MANUAL, SEM REAPROVEITAMENTO. AF_12/2017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</si>
  <si>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Desc.</t>
  </si>
  <si>
    <t>Altu.</t>
  </si>
  <si>
    <t>PORTA DE ALUMÍNIO DE ABRIR COM LAMBRI, COM GUARNIÇÃO, FIXAÇÃO COM PARAFUSOS - FORNECIMENTO E INSTALAÇÃO. AF_12/2019</t>
  </si>
  <si>
    <t>PERCENT.</t>
  </si>
  <si>
    <t>VALOR</t>
  </si>
  <si>
    <t>C4638</t>
  </si>
  <si>
    <t>C4810</t>
  </si>
  <si>
    <t>PROJETOR, EM LED (TEMPERATURA DE COR 4000K), CORPO EM ALUMÍNIO, LENTE EM ACRÍLICO E VEDAÇÃO EM SILICONE, GRAU DE PROTEÇÃO IP65, POTÊNCIA MÍNIMA 60W E MÁXIMA 70W, FLUXO LUMINOSO MÍNIMO 5.000LM, FATOR DE POTÊNCIA MÍNIMO 0,92</t>
  </si>
  <si>
    <t>18.18.010</t>
  </si>
  <si>
    <t>INTERRUPTOR DE EMBUTIR DE UMA SECCAO PARA CAIXA DE 4 X 2 POL., COM PLACA, 10A, 250V, PIAL (LINHA SILENTOQUE) OU SIMILAR, INCLUSIVE INSTALACAO.</t>
  </si>
  <si>
    <t>18.22.010</t>
  </si>
  <si>
    <t>PONTO DE LUZ EM TETO OU PAREDE, INCLUINDO CAIXA 4 X 4 POL. TIGREFLEX OU SIMILAR, TUBULACAO PVC RIGIDO E FIACAO, ATE O QUADRO DE DISTRIBUICAO.</t>
  </si>
  <si>
    <t>REFORMA DO CENTRO DE CONVIVÊNCIA DOS IDOSOS DO MUNICÍPIO DE LIMOEIRO-PE</t>
  </si>
  <si>
    <t>DATA: ABRIL/2022</t>
  </si>
  <si>
    <t>MOVIMENTO DE TERRA</t>
  </si>
  <si>
    <t>Refeitório - Janela</t>
  </si>
  <si>
    <t>Terraço - Janela</t>
  </si>
  <si>
    <t>Terraço - Porta</t>
  </si>
  <si>
    <t>BWC Masculino</t>
  </si>
  <si>
    <t>BWC Feminino</t>
  </si>
  <si>
    <t>REMOÇÃO DE PORTAS, DE FORMA MANUAL, SEM REAPROVEITAMENTO. AF_12/2017</t>
  </si>
  <si>
    <t>REMOÇÃO DE JANELAS, DE FORMA MANUAL, SEM REAPROVEITAMENTO. AF_12/2017</t>
  </si>
  <si>
    <t>REMOÇÃO DE LOUÇAS, DE FORMA MANUAL, SEM REAPROVEITAMENTO. AF_12/2017</t>
  </si>
  <si>
    <t>REMOÇÃO DE LUMINÁRIAS, DE FORMA MANUAL, SEM REAPROVEITAMENTO. AF_12/2017</t>
  </si>
  <si>
    <t>Circulação B</t>
  </si>
  <si>
    <t>Circulação A</t>
  </si>
  <si>
    <t>Coordenação</t>
  </si>
  <si>
    <t>Coordenação (WC)</t>
  </si>
  <si>
    <t>WC Coordenação</t>
  </si>
  <si>
    <t>BWC Masculino (vaso sanitário)</t>
  </si>
  <si>
    <t>BWC Feminino (vaso sanitário)</t>
  </si>
  <si>
    <t>WC Coordenação (vaso sanitário)</t>
  </si>
  <si>
    <t>BWC Masculino (lavatório)</t>
  </si>
  <si>
    <t>BWC Feminino (lavatório)</t>
  </si>
  <si>
    <t>WC Coordenação (lavatório)</t>
  </si>
  <si>
    <t>BWC Masculino (mictório)</t>
  </si>
  <si>
    <t>Cozinha (porta)</t>
  </si>
  <si>
    <t>Cozinha (base da pia)</t>
  </si>
  <si>
    <t>Luminárias</t>
  </si>
  <si>
    <t>Muro</t>
  </si>
  <si>
    <t>ESCAVAÇÃO MANUAL DE VALA COM PROFUNDIDADE MENOR OU IGUAL A 1,30 M. AF_ 02/2021</t>
  </si>
  <si>
    <r>
      <t>m</t>
    </r>
    <r>
      <rPr>
        <i/>
        <sz val="8"/>
        <rFont val="Arial"/>
        <family val="2"/>
      </rPr>
      <t>³</t>
    </r>
  </si>
  <si>
    <t>ESCAVACAO MANUAL EM TERRA ATE 1,50 M DE PROFUNDIDADE, SEM ESCORAMENTO.</t>
  </si>
  <si>
    <t>REATERRO APILOADO DE VALAS EM CAMADAS DE 20CM DE ESPESSURA , COM APROVEITAMENTO DO MATERIAL ESCAVADO.</t>
  </si>
  <si>
    <t>Muro (sapatas)</t>
  </si>
  <si>
    <t>CONCRETO ARMADO PRONTO, FCK 25 MPA CONDICAO A (NBR 12655), LANCADO EM FUNDACOES E ADENSADO, INCLUSIVE FORMA, ESCORAMENTO E FERRAGEM.</t>
  </si>
  <si>
    <t>07.01.185</t>
  </si>
  <si>
    <t>ALVENARIA DE TIJOLOS DE 8 FUROS, ASSENTADOS E REJUNTADOS COM ARGAMASSA DE CIMENTO E AREIA NO TRACO 1:6 - 1 VEZ.</t>
  </si>
  <si>
    <t>IMPERMEABILIZAÇÃO DE SUPERFÍCIE COM EMULSÃO ASFÁLTICA, 2 DEMÃOS AF_06/2018</t>
  </si>
  <si>
    <r>
      <t>m</t>
    </r>
    <r>
      <rPr>
        <b/>
        <sz val="8"/>
        <rFont val="Arial"/>
        <family val="2"/>
      </rPr>
      <t>²</t>
    </r>
  </si>
  <si>
    <t>Muro (cinta)</t>
  </si>
  <si>
    <t>Muro (cinta + alvenaria de embasamento)</t>
  </si>
  <si>
    <t>Larg. + Altura</t>
  </si>
  <si>
    <t>FUNDAÇÃO</t>
  </si>
  <si>
    <t>ESTRUTURA</t>
  </si>
  <si>
    <t>CONCRETO ARMADO PRONTO, FCK 25 MPA,CONDICAO A (NBR 12655),LANCADO EM PILARES E ADENSADO,INCLUSIVE FORMA, ESCORAMENTO E FERRAGEM.</t>
  </si>
  <si>
    <t>06.03.123</t>
  </si>
  <si>
    <t>CONCRETO ARMADO PRONTO, FCK 25 MPA,CONDICAO A (NBR 12655), LANCADO EM VIGAS E ADENSADO, INCLUSIVE FORMA, ESCORAMENTO E FERRAGEM.</t>
  </si>
  <si>
    <t>Muro (Pilar da entrada)</t>
  </si>
  <si>
    <t>Muro (Pilar h=1,10 m)</t>
  </si>
  <si>
    <t>Muro (Pilar h=2,40 m)</t>
  </si>
  <si>
    <t>06.03.113</t>
  </si>
  <si>
    <t>CONCRETO ARMADO PRONTO, FCK 25 MPA,CONDICAO A (NBR 12655), LANCADO EM LAJES E ADENSADO, INCLUSIVE FORMA, ESCORAMENTO E FERRAGEM.</t>
  </si>
  <si>
    <t>Laje (acesso principal)</t>
  </si>
  <si>
    <t>07.01.180</t>
  </si>
  <si>
    <t>ALVENARIA DE TIJOLOS DE 8 FUROS, ASSENTADOS E REJUNTADOS COM ARGAMASSA DE CIMENTO E AREIA NO TRACO 1:12 - 1/2 VEZ.</t>
  </si>
  <si>
    <t>Parede Interna Circulação (cinta + alvenaria de embasamento)</t>
  </si>
  <si>
    <t>Parede Interna Circulação (sapatas)</t>
  </si>
  <si>
    <t>Parede Interna (pilar (ancoragem))</t>
  </si>
  <si>
    <t>Muro - Pilar (ancoragem)</t>
  </si>
  <si>
    <t>Parede Interna Circulação (cinta)</t>
  </si>
  <si>
    <t xml:space="preserve">Parede Interna Circulação </t>
  </si>
  <si>
    <t>Parede Interna (pilar )</t>
  </si>
  <si>
    <t>Parede Interna (viga )</t>
  </si>
  <si>
    <t>Paredes Internas</t>
  </si>
  <si>
    <t>Circulação 2</t>
  </si>
  <si>
    <t>Base Mesas p/ oficinas</t>
  </si>
  <si>
    <t>Desconto</t>
  </si>
  <si>
    <t>Refeitório (base mesas)</t>
  </si>
  <si>
    <t>Área de Serviços (Janela)</t>
  </si>
  <si>
    <t>Área de Serviços (parede)</t>
  </si>
  <si>
    <t>Entrada</t>
  </si>
  <si>
    <t>Base para letreiro</t>
  </si>
  <si>
    <t>Refeitório (Paredes Internas)</t>
  </si>
  <si>
    <t>Refeitório (Paredes Externas)</t>
  </si>
  <si>
    <t>11.06.055</t>
  </si>
  <si>
    <t>REVESTIMENTO EM PAREDE COM CERAMICA ESMALTADA 10X10CM,TIPO A,EM CORES,ELIANE,PORTO RICO,SAMARSA, ELIZABETH OU SIMILAR, ASSENTADO COM ARGAMASSA PRE FABRICADA E REJUNTE DA QUARTZOLIT OU SIMILAR (ESPESSURA DA JUNTA DE 6MM) SOBRE EMBOCO PRONTO.</t>
  </si>
  <si>
    <t>VERGA PRÉ-MOLDADA PARA PORTAS COM MAIS DE 1,5 M DE VÃO. AF_03/2016</t>
  </si>
  <si>
    <t>VERGA PRÉ-MOLDADA PARA JANELAS COM MAIS DE 1,5 M DE VÃO. AF_03/2016</t>
  </si>
  <si>
    <t>VERGA MOLDADA IN LOCO COM UTILIZAÇÃO DE BLOCOS CANALETA PARA JANELAS COM MAIS DE 1,5 M DE VÃO. AF_03/2016</t>
  </si>
  <si>
    <t>Espaço p/ oficinas</t>
  </si>
  <si>
    <t>Estimativa para demolição de argamassas</t>
  </si>
  <si>
    <t>Espaço para Oficinas</t>
  </si>
  <si>
    <t>Pilar Terraço</t>
  </si>
  <si>
    <t>Muro c/ h=2.4 m</t>
  </si>
  <si>
    <t>Acesso principal</t>
  </si>
  <si>
    <t>%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</si>
  <si>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</si>
  <si>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C1968</t>
  </si>
  <si>
    <t>PORTA DE ALUMÍNIO C/VIDRO CRISTAL TEMPERADO</t>
  </si>
  <si>
    <t>Terrço</t>
  </si>
  <si>
    <t>JANELA DE ALUMÍNIO DE CORRER COM 4 FOLHAS PARA VIDROS, COM VIDROS, BATENTE, ACABAMENTO COM ACETATO OU BRILHANTE E FERRAGENS. EXCLUSIVE ALIZA R E CONTRAMARCO. FORNECIMENTO E INSTALAÇÃO. AF_12/2019</t>
  </si>
  <si>
    <t>BWC Feminina</t>
  </si>
  <si>
    <t>GRADIL EM FERRO FIXADO EM VÃOS DE JANELAS, FORMADO POR BARRAS CHATAS DE 25X4,8 MM. AF_04/2019</t>
  </si>
  <si>
    <t>Oficinas diversas</t>
  </si>
  <si>
    <t>Muro (viga)</t>
  </si>
  <si>
    <t>C3681</t>
  </si>
  <si>
    <t>GRADE DE FERRO TUBULAR C/MOLDURA EM BARRA CHATA DE FERRO</t>
  </si>
  <si>
    <t>Muro Frontal</t>
  </si>
  <si>
    <t>Muro Geral</t>
  </si>
  <si>
    <t>09.02.020</t>
  </si>
  <si>
    <t>GRADE DE PROTECAO DE PORTA EM FERRO C/ VAROES DE 1/2", ESPAC=10CM E ACABAMENTO EM BARRA CHATA DE 1" X 1/4", INCLUSIVE FECHADURA DE SOBREPOR BRASIL OU SIMILAR E ASSENTAMENTO.</t>
  </si>
  <si>
    <t>Portas de 70 cm</t>
  </si>
  <si>
    <t>Portas de 80 cm</t>
  </si>
  <si>
    <t>Portas de 90 cm</t>
  </si>
  <si>
    <t>PINTURA COM TINTA ALQUÍDICA DE ACABAMENTO (ESMALTE SINTÉTICO ACETINADO ) APLICADA A ROLO OU PINCEL SOBRE PERFIL METÁLICO EXECUTADO EM FÁBRICA (POR DEMÃO). AF_01/2020</t>
  </si>
  <si>
    <t>FORRO</t>
  </si>
  <si>
    <t>FORRO EM PLACAS DE GESSO, PARA AMBIENTES COMERCIAIS. AF_05/2017_P</t>
  </si>
  <si>
    <t>Coordenação (wc)</t>
  </si>
  <si>
    <t>15.02.070</t>
  </si>
  <si>
    <t>FORNECIMENTO DE RESPALDO DE 15CM DE ALTURA EM
GRANITO NATURAL POLIDO CINZA ANDORINHA, COM 2
CM DE ESPESSURA, INCLUSIVE TRANSPORTE, MONTAGEM
E ASSENTAMENTO.</t>
  </si>
  <si>
    <t>Mesas refeitório</t>
  </si>
  <si>
    <t>Mesas para oficinas</t>
  </si>
  <si>
    <t>Prancha p/ tv</t>
  </si>
  <si>
    <t>Janela Coordenação</t>
  </si>
  <si>
    <t>15.02.060</t>
  </si>
  <si>
    <t>FORNECIMENTO DE BALCAO EM GRANITO NATURAL POLIDO
CINZA ANDORINHA, COM 2CM DE ESPESSURA,INCLUSIVE CORTE PARA DUAS CUBA, TRANSPORTE, MONTAGEM E ASSENTAMENTO.</t>
  </si>
  <si>
    <t>FORNECIMENTO DE BANCADA EM GRANITO NATURAL PO
LIDO CINZA ANDORINHA, COM 2CM DE ESPESSURA,IN
CLUSIVE TRANSPORTE, MONTAGEM E ASSENTAMENTO.</t>
  </si>
  <si>
    <t>CUBA DE EMBUTIR DE AÇO INOXIDÁVEL MÉDIA, INCLUSO VÁLVULA TIPO AMERICANA EM METAL CROMADO E SIFÃO FLEXÍVEL EM PVC - FORNECIMENTO E INSTALAÇÃO . AF_01/2020</t>
  </si>
  <si>
    <t>TORNEIRA CROMADA LONGA, DE PAREDE, 1/2 OU 3/4, PARA PIA DE COZINHA, PADRÃO POPULAR - FORNECIMENTO E INSTALAÇÃO. AF_01/2020</t>
  </si>
  <si>
    <t>C0348</t>
  </si>
  <si>
    <t>BACIA DE LOUÇA BRANCA C/CAIXA ACOPLADA</t>
  </si>
  <si>
    <t>TAPA VISTA DE MICTÓRIO EM GRANITO CINZA POLIDO, ESP = 3CM, ASSENTADO COM ARGAMASSA COLANTE AC III-E. AF_01/2021</t>
  </si>
  <si>
    <t>C0986</t>
  </si>
  <si>
    <t>CUBA DE LOUÇA DE EMBUTIR C/ TORNEIRA E ACESSÓRIOS</t>
  </si>
  <si>
    <t>BARRA DE APOIO RETA, EM ACO INOX POLIDO, COMPRIMENTO 70 CM, FIXADA NA PAREDE - FORNECIMENTO E INSTALAÇÃO. AF_01/2020</t>
  </si>
  <si>
    <t>PUXADOR PARA PCD, FIXADO NA PORTA - FORNECIMENTO E INSTALAÇÃO. AF_01/2020</t>
  </si>
  <si>
    <t>BARRA DE APOIO RETA, EM ACO INOX POLIDO, COMPRIMENTO 80 CM, FIXADA NA PAREDE - FORNECIMENTO E INSTALAÇÃO. AF_01/2020</t>
  </si>
  <si>
    <t>MICTÓRIO SIFONADO LOUÇA BRANCA PADRÃO MÉDIO FORNECIMENTO E INSTALAÇÃO. AF_01/2020</t>
  </si>
  <si>
    <t>BANCO ARTICULADO, EM ACO INOX, PARA PCD, FIXADO NA PAREDE - FORNECIMENTO E INSTALAÇÃO. AF_01/2020</t>
  </si>
  <si>
    <t>001</t>
  </si>
  <si>
    <t>M²</t>
  </si>
  <si>
    <t>M³</t>
  </si>
  <si>
    <t>88489</t>
  </si>
  <si>
    <t>ENCANADOR OU BOMBEIRO HIDRÁULICO COM ENCARGOS COMPLEMENTARES</t>
  </si>
  <si>
    <t>BARRA DE APOIO LATERAL, EM ACO INOX POLIDO, FIXADA NA PAREDE - FORNECIMENTO E INSTALAÇÃO.</t>
  </si>
  <si>
    <t>PARAFUSO NIQUELADO 3 1/2" COM ACABAMENTO CROMADO PARA FIXAR PECA SANITARIA, INCLUI PORCA CEGA, ARRUELA E BUCHA DE NYLON TAMANHO S-8</t>
  </si>
  <si>
    <t>88267</t>
  </si>
  <si>
    <t>88316</t>
  </si>
  <si>
    <t>COTAÇÃO</t>
  </si>
  <si>
    <t>PAR DE BARRAS DE APOIO LATERA EM AÇO INOX POLIDO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</si>
  <si>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</si>
  <si>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EXECUÇÃO DE PASSEIO EM PISO INTERTRAVADO, COM BLOCO RETANGULAR COR NATURAL DE 20 X 10 CM, ESPESSURA 6 CM. AF_12/2015</t>
  </si>
  <si>
    <t>Espaço Multiuso</t>
  </si>
  <si>
    <t>Passeio Larg. 3 m</t>
  </si>
  <si>
    <t>Estação - mesinhas</t>
  </si>
  <si>
    <t>Horta</t>
  </si>
  <si>
    <t>Passeio Larg. 1,50 m</t>
  </si>
  <si>
    <t>Calçada</t>
  </si>
  <si>
    <t>EXECUÇÃO DE VIA EM PISO INTERTRAVADO, COM BLOCO RETANGULAR COR NATURAL DE 20 X 10 CM, ESPESSURA 8 CM. AF_12/2015</t>
  </si>
  <si>
    <t>Acesso de veículos</t>
  </si>
  <si>
    <t>PAVIMENTAÇÃO</t>
  </si>
  <si>
    <t>20.09.021</t>
  </si>
  <si>
    <t>FORNECIMENTO E ASSENTAMENTO DE MEIO-FIO DE CONCRETO PRE MOLDADO PARA JARDIM, DIMENSOES (1.00 X 0.20 X 0.075)M, REJUNTADO COM ARGAMASSA DE CIMENTO E AREIA 1 2.</t>
  </si>
  <si>
    <t>ATERRO MANUAL DE VALAS COM SOLO ARGILO-ARENOSO E COMPACTAÇÃO MECANIZADA. AF_05/2016</t>
  </si>
  <si>
    <t>05.03.010</t>
  </si>
  <si>
    <t>REGULARIZACAO MANUAL DE TERRENO NATURAL, CORTE OU ATERRO ATE 20 CM DE ESPESSURA.</t>
  </si>
  <si>
    <t>REATERRO MANUAL DE VALAS COM COMPACTAÇÃO MECANIZADA. AF_04/2016</t>
  </si>
  <si>
    <t>Escoramento de meio fio - INTERTRAVADO</t>
  </si>
  <si>
    <t>Intertravado:</t>
  </si>
  <si>
    <t>Pista de Cooper</t>
  </si>
  <si>
    <t>Passeio em concreto:</t>
  </si>
  <si>
    <t>Escoramento de meio fio - PISTA DE COOPER</t>
  </si>
  <si>
    <t>Pista de cooper</t>
  </si>
  <si>
    <t>EXECUÇÃO DE PASSEIO (CALÇADA) OU PISO DE CONCRETO COM CONCRETO MOLDADO IN LOCO, FEITO EM OBRA, ACABAMENTO CONVENCIONAL, ESPESSURA 6 CM, ARMADO. AF_07/2016</t>
  </si>
  <si>
    <t>PISO</t>
  </si>
  <si>
    <t>PAISAGISMO</t>
  </si>
  <si>
    <t>SERVIÇOS COMPLEMENTARES</t>
  </si>
  <si>
    <t>C4397</t>
  </si>
  <si>
    <t>PORTÃO DE ALUMÍNIO EM TUBOS DE 20 mm (FORNECIMENTO E MONTAGEM)</t>
  </si>
  <si>
    <t>Acesso principal - 02 folhas em alumínio branco</t>
  </si>
  <si>
    <t>Acesso veículos - 02 folhas em alumínio branco</t>
  </si>
  <si>
    <t>PLANTIO DE ARBUSTO OU CERCA VIVA. AF_05/2018</t>
  </si>
  <si>
    <t>PLANTIO DE ÁRVORE ORNAMENTAL COM ALTURA DE MUDA MENOR OU IGUAL A 2,00M. AF_05/2018</t>
  </si>
  <si>
    <t>PLANTIO DE GRAMA EM PLACAS. AF_05/2018</t>
  </si>
  <si>
    <t>INSTALAÇÃO DE ESQUI TRIPLO, EM TUBO DE AÇO CARBONO - EQUIPAMENTO DE GINÁSTICA PARA ACADEMIA AO AR LIVRE / ACADEMIA DA TERCEIRA IDADE - ATI, INSTALADO SOBRE PISO DE CONCRETO EXISTENTE. AF_10/2021</t>
  </si>
  <si>
    <t>INSTALAÇÃO DE PRESSÃO DE PERNAS TRIPLO, EM TUBO DE AÇO CARBONO - EQUIPAMENTO DE GINÁSTICA PARA ACADEMIA AO AR LIVRE / ACADEMIA DA TERCEIRA IDADE - ATI, INSTALADO SOBRE SOLO. AF_10/2021</t>
  </si>
  <si>
    <t>INSTALAÇÃO DE ROTAÇÃO DIAGONAL DUPLA, APARELHO TRIPLO, EM TUBO DE AÇO CARBONO - EQUIPAMENTO DE GINÁSTICA PARA ACADEMIA AO AR LIVRE / ACADEMIA DA TERCEIRA IDADE - ATI, INSTALADO SOBRE SOLO. AF_10/2021</t>
  </si>
  <si>
    <t>INSTALAÇÃO DE PLACA ORIENTATIVA SOBRE EXERCÍCIOS, 2,00M X 1,00M, EM TUBO DE AÇO CARBONO - PARA ACADEMIA AO AR LIVRE / ACADEMIA DA TERCEIRA IDADE - ATI, INSTALADO SOBRE PISO DE CONCRETO EXISTENTE. AF_10/2021</t>
  </si>
  <si>
    <t>INSTALAÇÃO DE SIMULADOR DE CAMINHADA TRIPLO, EM TUBO DE AÇO CARBONO -EQUIPAMENTO DE GINÁSTICA PARA ACADEMIA AO AR LIVRE / ACADEMIA DA TERCEIRA IDADE - ATI, INSTALADO SOBRE PISO DE CONCRETO EXISTENTE. AF_10/2021</t>
  </si>
  <si>
    <t>Entrada principal</t>
  </si>
  <si>
    <t>Paisagismo</t>
  </si>
  <si>
    <t>Solo Permeável</t>
  </si>
  <si>
    <t>PINTURA DE PISO COM TINTA ACRÍLICA, APLICAÇÃO MANUAL, 2 DEMÃOS, INCLUSO FUNDO PREPARADOR. AF_05/2021</t>
  </si>
  <si>
    <t>C4998</t>
  </si>
  <si>
    <t>FUNGENBAND PARA JUNTA DE DILATAÇÃO, O-22, ATÉ 5MCA</t>
  </si>
  <si>
    <t>96620</t>
  </si>
  <si>
    <t>LASTRO DE CONCRETO MAGRO, APLICADO EM PISOS, LAJES SOBRE SOLO OU RADIERS. AF_08/2017</t>
  </si>
  <si>
    <t>93382</t>
  </si>
  <si>
    <t>06.04.010</t>
  </si>
  <si>
    <t xml:space="preserve">CONCRETO PRE-MISTURADO EM USINA, FCK 15 MPA FORNECIDO, LANCADO EM FUNDACOES E ADENSADO. </t>
  </si>
  <si>
    <t>CHAPISCO APLICADO EM ALVENARIAS E ESTRUTURAS DE CONCRETO INTERNAS, COM COLHER DE PEDREIRO. ARGAMASSA TRAÇO 1:3 COM PREPARO MANUAL. AF_06/20 14</t>
  </si>
  <si>
    <t>11.05.010</t>
  </si>
  <si>
    <t xml:space="preserve">REVESTIMENTO COM ARGAMASSA DE CIMENTO E AREIA NO TRACO 1 3, COM 2,0 CM DE ESPES- SURA. </t>
  </si>
  <si>
    <t>88413</t>
  </si>
  <si>
    <t>APLICAÇÃO MANUAL DE FUNDO SELADOR ACRÍLICO EM SUPERFÍCIES EXTERNAS DE SACADA DE EDIFÍCIOS DE MÚLTIPLOS PAVIMENTOS. AF_06/2014</t>
  </si>
  <si>
    <t>07.01.155</t>
  </si>
  <si>
    <t xml:space="preserve">ALVENARIA DE TIJOLOS DE 8 FUROS, ASSENTADOS E REJUNTADOS COM ARGAMASSA DE CIMENTO E AREIA NO TRACO 1 6 - 1/2 VEZ. </t>
  </si>
  <si>
    <t>002</t>
  </si>
  <si>
    <t>Jogos</t>
  </si>
  <si>
    <t>MESA DE JOGOS COM QUATRO BANCOS, TAMPO COM REVESTIMENTO CERÂMICO 10X10, INCLUSO PINTURA</t>
  </si>
  <si>
    <t>C1620</t>
  </si>
  <si>
    <t>LETREIRO - LETRA EM CAIXA DE ZINCO, H= 20CM</t>
  </si>
  <si>
    <t xml:space="preserve">ACESSO PRINCIPAL </t>
  </si>
  <si>
    <t>CENTRO DE CONVIVÊNCIA DOS IDOSOS LIMOEIRO-PE</t>
  </si>
  <si>
    <t>C3007</t>
  </si>
  <si>
    <t>PORCELANATO RETIFICADO NATURAL (FOSCO) C/ ARG. PRÉ-FABRICADA - P/ PISO</t>
  </si>
  <si>
    <t>Sala de Oficinas</t>
  </si>
  <si>
    <t>Wc Coordenação</t>
  </si>
  <si>
    <t>Rodapé</t>
  </si>
  <si>
    <t>03.01.060</t>
  </si>
  <si>
    <t>DEMOLICAO DE REVESTIMENTO DE PISO EM CIMENTADO.</t>
  </si>
  <si>
    <t>13.01.030</t>
  </si>
  <si>
    <t>LASTRO DE PISO COM 5,0 CM DE ESPESSURA EM
CONCRETO 1 4 8.</t>
  </si>
  <si>
    <t>13.03.144</t>
  </si>
  <si>
    <t>PISO CERAMICO ANTIDERRAPANTE 45X45CM, TIPO A, PEI 5, ELIANE, PORTO RICO, SAMARSA, ELIZABETH OU SIM. ASSENTADO COM ARGAMASSA PRE FABRICADA E REJUNTE DA QUARTZOLIT OU SIM.(ESP. DA JUNTA 6MM)</t>
  </si>
  <si>
    <t>Redário</t>
  </si>
  <si>
    <t>Base p/ piso do redrio</t>
  </si>
  <si>
    <t>taxa</t>
  </si>
  <si>
    <t>Base para horta</t>
  </si>
  <si>
    <t>LASTRO DE CONCRETO MAGRO, APLICADO EM PISOS, LAJES SOBRE SOLO OU RADIERS, ESPESSURA DE 5 CM. AF_07/2016</t>
  </si>
  <si>
    <t>Base da horta</t>
  </si>
  <si>
    <t>C2200</t>
  </si>
  <si>
    <t>RETELHAMENTO C/ TELHA CERÂMICA ATE 20% NOVA</t>
  </si>
  <si>
    <t>Área total da coberta</t>
  </si>
  <si>
    <t>TRAMA DE MADEIRA COMPOSTA POR RIPAS, CAIBROS E TERÇAS PARA TELHADOS DE ATÉ 2 ÁGUAS PARA TELHA CERÂMICA CAPA-CANAL, INCLUSO TRANSPORTE VERTICAL. AF_07/2019</t>
  </si>
  <si>
    <t>Reposição de até 20%</t>
  </si>
  <si>
    <t>Refetório</t>
  </si>
  <si>
    <t>Área de serviço</t>
  </si>
  <si>
    <t>Oficinas</t>
  </si>
  <si>
    <t>Lateral Direita</t>
  </si>
  <si>
    <t>Lateral Esquerda</t>
  </si>
  <si>
    <t>Fachada Posterior</t>
  </si>
  <si>
    <t>Refletor Acesso principal</t>
  </si>
  <si>
    <t>Refletor Lateral Direita</t>
  </si>
  <si>
    <t>Refletor Lateral Esquerda</t>
  </si>
  <si>
    <t>Refletor Posterior</t>
  </si>
  <si>
    <t>Sala de oficinas diversas</t>
  </si>
  <si>
    <t>18.22.030</t>
  </si>
  <si>
    <t>PONTO DE INTERRUPTOR DE 2 SECCOES, PIAL OU SIMILAR, INCLUSIVE TUBULACAO PVC RIGIDO, FIACAO CAIXA 4 X 2 POL. TIGREFLEX OU SIMILAR, PLACA E DEMAIS ACESSORIOS, ATE O PONTO DE LUZ.</t>
  </si>
  <si>
    <t>Refletor Acesso principal + refletor lateral direita</t>
  </si>
  <si>
    <t>Refletor Lateral Esquerda + refletor posterior</t>
  </si>
  <si>
    <t>DISJUNTOR MONOPOLAR TIPO DIN, CORRENTE NOMINAL DE 25A - FORNECIMENTO E INSTALAÇÃO. AF_10/2020</t>
  </si>
  <si>
    <t>Quadro de distribuição</t>
  </si>
  <si>
    <t>CABO DE COBRE FLEXÍVEL ISOLADO, 2,5 MM², ANTI-CHAMA 0,6/1,0 KV, PARA CIRCUITOS TERMINAIS - FORNECIMENTO E INSTALAÇÃO. AF_12/2015</t>
  </si>
  <si>
    <t>ELETRODUTO FLEXÍVEL CORRUGADO, PVC, DN 25 MM (3/4"), PARA CIRCUITOS TERMINAIS, INSTALADO EM FORRO - FORNECIMENTO E INSTALAÇÃO. AF_12/2015</t>
  </si>
  <si>
    <t>Estimativa para suprir a distancia entre os pontos</t>
  </si>
  <si>
    <t>HASTE DE ATERRAMENTO 3/4 PARA SPDA - FORNECIMENTO E INSTALAÇÃO. AF_12/2017</t>
  </si>
  <si>
    <t>GRAMPO METALICO TIPO OLHAL PARA HASTE DE ATERRAMENTO DE 5/8'', CONDUTOR DE *10* A 50 MM2</t>
  </si>
  <si>
    <t>Aterramento</t>
  </si>
  <si>
    <t>Grampo para haste</t>
  </si>
  <si>
    <t>CORDOALHA DE COBRE NU 16 MM², NÃO ENTERRADA, COM ISOLADOR - FORNECIMENTO E INSTALAÇÃO. AF_12/2017</t>
  </si>
  <si>
    <t>Sistema de aterramento</t>
  </si>
  <si>
    <t>REGISTRO DE GAVETA BRUTO, LATÃO, ROSCÁVEL, 3/4" - FORNECIMENTO E INSTALAÇÃO. AF_08/2021</t>
  </si>
  <si>
    <t>REGISTRO DE PRESSÃO BRUTO, LATÃO, ROSCÁVEL, 3/4'' - FORNECIMENTO E INSTALAÇÃO. AF_08/2021</t>
  </si>
  <si>
    <t>TORNEIRA DE BOIA PARA CAIXA D'ÁGUA, ROSCÁVEL, 3/4" - FORNECIMENTO E INSTALAÇÃO. AF_08/2021</t>
  </si>
  <si>
    <t>100856</t>
  </si>
  <si>
    <t>MANOPLA E CANOPLA CROMADA FORNECIMENTO E INSTALAÇÃO. AF_01/2020</t>
  </si>
  <si>
    <t>19.02.010</t>
  </si>
  <si>
    <t>PONTO DE AGUA, INCLUSIVE TUBULACOES E CONEXOES
DE PVC RIGIDO ROSQUEAVEL E ABERTURA DE RASGOS EM ALVENARIA,ATE O REGISTRO GERAL DO AMBIENTE.</t>
  </si>
  <si>
    <t>19.01.020</t>
  </si>
  <si>
    <t>19.01.030</t>
  </si>
  <si>
    <t>19.01.040</t>
  </si>
  <si>
    <t>PONTO DE ESGOTO PARA RALO SIFONADO, INCLUSIVE RALO, TUBULACOES E CONEXOES EM PVC RIGIDO SOLDAVEIS , ATE A COLUNA OU O SUBCOLETOR.</t>
  </si>
  <si>
    <t>PONTO DE ESGOTO PARA LAVATORIO OU MICTORIO, INCLUSIVE TUBULACOES E CONEXOES EM PVC RIGIDO SOLDAVEIS, ATE A COLUNA OU O SUB-COLETOR</t>
  </si>
  <si>
    <t>PONTO DE ESGOTO PARA PIA OU LAVANDARIA,INCLUSIVE
TUBULACOES E CONEXOES EM PVC RIGI- DO SOLDAVEIS , ATE A COLUNA OU O SUB-COLE- TOR.</t>
  </si>
  <si>
    <t>PONTO DE ESGOTO PARA BACIA SANITARIA, INCLUSIVE
TUBULACOES E CONEXOES EM PVC RIGI DO SOLDAVEIS, ATE A COLUNA OU O SUB-COLE- TOR.</t>
  </si>
  <si>
    <t>Reservatório Superior</t>
  </si>
  <si>
    <t>Torneira de Jardim</t>
  </si>
  <si>
    <t>CAIXA DE GORDURA SIMPLES (CAPACIDADE: 36L), RETANGULAR, EM ALVENARIA COM TIJOLOS CERÂMICOS MACIÇOS, DIMENSÕES INTERNAS = 0,2X0,4 M, ALTURA I
NTERNA = 0,8 M. AF_12/2020</t>
  </si>
  <si>
    <t>C0611</t>
  </si>
  <si>
    <t>CAIXA DE INSPEÇÃO EM ALVENARIA P/LIGAÇÃO CONDOMINIAL, DI= (40X40)cm</t>
  </si>
  <si>
    <t>COZINHA</t>
  </si>
  <si>
    <t>Caixa de inspeção</t>
  </si>
  <si>
    <t>C4000</t>
  </si>
  <si>
    <t>TORNEIRA TIPO JARDIM CROMADA</t>
  </si>
  <si>
    <t>Área Externa</t>
  </si>
  <si>
    <t>LUMINÁRIA TIPO PLAFON, DE SOBREPOR, COM 1 LÂMPADA LED DE 12/13 W, SEM REATOR - FORNECIMENTO E INSTALAÇÃO.</t>
  </si>
  <si>
    <t>LUMINÁRIA TIPO PLAFON, DE EMBUTIR, COM LÂMPADA LED DE 18 W</t>
  </si>
  <si>
    <t>003</t>
  </si>
  <si>
    <t>Fechamento de cobogo</t>
  </si>
  <si>
    <t>C2068</t>
  </si>
  <si>
    <t>QUADRO DE DISTRIBUIÇÃO DE LUZ EMBUTIR ATÉ 24 DIVISÕES
332X332X95mm, C/BARRAMENTO</t>
  </si>
  <si>
    <t>C4562</t>
  </si>
  <si>
    <t>DISPOSITIVO DE PROTEÇÃO CONTRA SURTOS DE TENSÃO - DPS's - 40 KA/440V</t>
  </si>
  <si>
    <t>C4530</t>
  </si>
  <si>
    <t>DISJUNTOR DIFERENCIAL DR-16A - 40A, 30mA</t>
  </si>
  <si>
    <t>Instalações elétrica</t>
  </si>
  <si>
    <t>91928</t>
  </si>
  <si>
    <t>CABO DE COBRE FLEXÍVEL ISOLADO, 4 MM², ANTI-CHAMA 450/750 V, PARA CIRCUITOS TERMINAIS - FORNECIMENTO E INSTALAÇÃO. AF_12/2015</t>
  </si>
  <si>
    <t>TANQUE SÉPTICO RETANGULAR, EM ALVENARIA COM BLOCOS DE CONCRETO, DIMENSÕES INTERNAS: 1,4 X 3,2 X 1,8 M, VOLUME ÚTIL: 6272 L (PARA 32 CONTRIBUINTES). AF_12/2020</t>
  </si>
  <si>
    <t>SUMIDOURO RETANGULAR, EM ALVENARIA COM BLOCOS DE CONCRETO, DIMENSÕES INTERNAS: 1,6 X 3,4 X 3,0 M, ÁREA DE INFILTRAÇÃO: 32,9 M² (PARA 13 CONTRIBUINTES). . AF_12/2020</t>
  </si>
  <si>
    <t>Sumidouro</t>
  </si>
  <si>
    <t xml:space="preserve">08.04.055 </t>
  </si>
  <si>
    <t xml:space="preserve">IMPERMEABILIZACAO COM APLICACAO DIRETAMENTE 
NA ESTRUTURA DE CONCRETO COM QUATRO DEMAOS DE ARGAMASSA POLIMERICA, PARA RESERVATORIOS, CAIXAS D AGUAS, PISCINAS, POCOS DE ELEVADORES ETC.,INCLUINDO MATERIAL E MAO DE OBRA. </t>
  </si>
  <si>
    <t>Reservatório inferior</t>
  </si>
  <si>
    <t xml:space="preserve">Compr. </t>
  </si>
  <si>
    <t>Prof.</t>
  </si>
  <si>
    <t>30 DIAS</t>
  </si>
  <si>
    <t>60 DIAS</t>
  </si>
  <si>
    <t>90 DIAS</t>
  </si>
  <si>
    <t>120 DIAS</t>
  </si>
  <si>
    <t>150 DIAS</t>
  </si>
  <si>
    <t>180 DIAS</t>
  </si>
  <si>
    <r>
      <t xml:space="preserve">FONTES DE PREÇOS: EMLURB 2018 / SINAPI JANEIRO-2022 / SEINFRA 027 MARÇO-2021 - </t>
    </r>
    <r>
      <rPr>
        <b/>
        <u/>
        <sz val="8"/>
        <rFont val="Arial"/>
        <family val="2"/>
      </rPr>
      <t>SEM</t>
    </r>
    <r>
      <rPr>
        <b/>
        <sz val="8"/>
        <rFont val="Arial"/>
        <family val="2"/>
      </rPr>
      <t xml:space="preserve"> DESONERAÇÃO (BDI = 20,84%)</t>
    </r>
  </si>
  <si>
    <t>004</t>
  </si>
  <si>
    <t>MADEIRA ROLICA TRATADA, D = 16 A 20 CM, H = 6,00 M, EM EUCALIPTO OU EQUIVALENTE DA REGIAO</t>
  </si>
  <si>
    <t>REDÁRIO EM MADEIRA ROLIÇA TRATADA, D = 16 A 20 CM, H = 2,20 M, EM EUCALIPTO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</si>
</sst>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_ &quot;R$&quot;\ * #,##0.00_ ;_ &quot;R$&quot;\ * \-#,##0.00_ ;_ &quot;R$&quot;\ * &quot;-&quot;??_ ;_ @_ "/>
    <numFmt numFmtId="168" formatCode="_ * #,##0.00_ ;_ * \-#,##0.00_ ;_ * &quot;-&quot;??_ ;_ @_ "/>
    <numFmt numFmtId="169" formatCode="#,##0.00_ ;[Red]\-#,##0.00\ "/>
    <numFmt numFmtId="170" formatCode="0000"/>
    <numFmt numFmtId="171" formatCode="&quot;R$&quot;\ #,##0.00"/>
    <numFmt numFmtId="172" formatCode="0.000"/>
    <numFmt numFmtId="173" formatCode="_(* #,##0.0000_);_(* \(#,##0.0000\);_(* &quot;-&quot;??_);_(@_)"/>
    <numFmt numFmtId="174" formatCode="0.0%"/>
    <numFmt numFmtId="175" formatCode="0.0"/>
    <numFmt numFmtId="176" formatCode="0.0000"/>
  </numFmts>
  <fonts count="6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indexed="8"/>
      <name val="MS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9"/>
      <name val="Calibri"/>
      <family val="2"/>
      <scheme val="minor"/>
    </font>
    <font>
      <b/>
      <sz val="14"/>
      <name val="Arial"/>
      <family val="2"/>
    </font>
    <font>
      <sz val="14"/>
      <name val="Calibri"/>
      <family val="2"/>
      <scheme val="minor"/>
    </font>
    <font>
      <b/>
      <u/>
      <sz val="12"/>
      <name val="Arial"/>
      <family val="2"/>
    </font>
    <font>
      <b/>
      <i/>
      <sz val="10"/>
      <name val="Arial"/>
      <family val="2"/>
    </font>
    <font>
      <b/>
      <u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u/>
      <sz val="1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b/>
      <sz val="15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0"/>
      <name val="Arial"/>
      <family val="2"/>
    </font>
    <font>
      <b/>
      <u/>
      <sz val="12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u/>
      <sz val="10"/>
      <color rgb="FFFF0000"/>
      <name val="Arial"/>
      <family val="2"/>
    </font>
    <font>
      <b/>
      <sz val="8"/>
      <name val="Calibri"/>
      <family val="2"/>
    </font>
    <font>
      <sz val="8"/>
      <color rgb="FF000000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8"/>
      <color indexed="8"/>
      <name val="Arial"/>
      <family val="2"/>
    </font>
    <font>
      <b/>
      <sz val="11"/>
      <color rgb="FFFF0000"/>
      <name val="Calibri"/>
      <family val="2"/>
      <scheme val="minor"/>
    </font>
    <font>
      <sz val="8"/>
      <color theme="5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6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9" fillId="0" borderId="0"/>
    <xf numFmtId="165" fontId="2" fillId="0" borderId="0" applyFont="0" applyFill="0" applyBorder="0" applyAlignment="0" applyProtection="0"/>
    <xf numFmtId="0" fontId="9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12" fillId="0" borderId="0"/>
    <xf numFmtId="166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6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" fillId="0" borderId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0" fillId="0" borderId="0"/>
  </cellStyleXfs>
  <cellXfs count="717">
    <xf numFmtId="0" fontId="0" fillId="0" borderId="0" xfId="0"/>
    <xf numFmtId="0" fontId="4" fillId="2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right" vertical="justify"/>
    </xf>
    <xf numFmtId="0" fontId="4" fillId="0" borderId="1" xfId="2" applyFont="1" applyFill="1" applyBorder="1" applyAlignment="1">
      <alignment horizontal="right" vertical="justify"/>
    </xf>
    <xf numFmtId="4" fontId="5" fillId="0" borderId="0" xfId="2" applyNumberFormat="1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/>
    </xf>
    <xf numFmtId="0" fontId="4" fillId="2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4" fontId="5" fillId="0" borderId="0" xfId="2" applyNumberFormat="1" applyFont="1" applyFill="1" applyBorder="1" applyAlignment="1">
      <alignment horizontal="left"/>
    </xf>
    <xf numFmtId="0" fontId="2" fillId="0" borderId="0" xfId="0" applyFont="1"/>
    <xf numFmtId="0" fontId="18" fillId="0" borderId="0" xfId="0" applyFont="1"/>
    <xf numFmtId="0" fontId="5" fillId="0" borderId="0" xfId="0" applyFont="1"/>
    <xf numFmtId="169" fontId="5" fillId="0" borderId="31" xfId="0" applyNumberFormat="1" applyFont="1" applyFill="1" applyBorder="1" applyAlignment="1">
      <alignment horizontal="right" vertical="center"/>
    </xf>
    <xf numFmtId="0" fontId="5" fillId="0" borderId="31" xfId="0" applyFont="1" applyBorder="1"/>
    <xf numFmtId="169" fontId="5" fillId="4" borderId="31" xfId="12" applyNumberFormat="1" applyFont="1" applyFill="1" applyBorder="1" applyAlignment="1">
      <alignment horizontal="right" vertical="center"/>
    </xf>
    <xf numFmtId="0" fontId="5" fillId="4" borderId="0" xfId="0" applyFont="1" applyFill="1" applyBorder="1"/>
    <xf numFmtId="4" fontId="13" fillId="0" borderId="11" xfId="2" applyNumberFormat="1" applyFont="1" applyFill="1" applyBorder="1" applyAlignment="1">
      <alignment horizontal="center"/>
    </xf>
    <xf numFmtId="0" fontId="10" fillId="0" borderId="0" xfId="51" applyFont="1" applyFill="1" applyBorder="1"/>
    <xf numFmtId="0" fontId="23" fillId="4" borderId="0" xfId="51" applyFont="1" applyFill="1" applyBorder="1"/>
    <xf numFmtId="0" fontId="8" fillId="4" borderId="50" xfId="2" applyFont="1" applyFill="1" applyBorder="1" applyAlignment="1">
      <alignment horizontal="left" vertical="center"/>
    </xf>
    <xf numFmtId="0" fontId="8" fillId="4" borderId="0" xfId="2" applyFont="1" applyFill="1" applyBorder="1" applyAlignment="1">
      <alignment horizontal="center"/>
    </xf>
    <xf numFmtId="0" fontId="8" fillId="4" borderId="51" xfId="2" applyFont="1" applyFill="1" applyBorder="1" applyAlignment="1">
      <alignment horizontal="center"/>
    </xf>
    <xf numFmtId="0" fontId="8" fillId="4" borderId="43" xfId="2" applyFont="1" applyFill="1" applyBorder="1" applyAlignment="1">
      <alignment horizontal="left" vertical="center"/>
    </xf>
    <xf numFmtId="4" fontId="5" fillId="4" borderId="19" xfId="2" applyNumberFormat="1" applyFont="1" applyFill="1" applyBorder="1" applyAlignment="1">
      <alignment horizontal="center"/>
    </xf>
    <xf numFmtId="4" fontId="5" fillId="4" borderId="44" xfId="2" applyNumberFormat="1" applyFont="1" applyFill="1" applyBorder="1" applyAlignment="1">
      <alignment horizontal="center"/>
    </xf>
    <xf numFmtId="0" fontId="4" fillId="0" borderId="52" xfId="2" applyFont="1" applyFill="1" applyBorder="1" applyAlignment="1">
      <alignment horizontal="center" vertical="center" wrapText="1"/>
    </xf>
    <xf numFmtId="4" fontId="4" fillId="10" borderId="1" xfId="2" applyNumberFormat="1" applyFont="1" applyFill="1" applyBorder="1" applyAlignment="1">
      <alignment horizontal="center" vertical="center" wrapText="1"/>
    </xf>
    <xf numFmtId="0" fontId="7" fillId="10" borderId="0" xfId="51" applyFont="1" applyFill="1" applyBorder="1" applyAlignment="1">
      <alignment vertical="center" wrapText="1"/>
    </xf>
    <xf numFmtId="0" fontId="4" fillId="0" borderId="46" xfId="2" applyFont="1" applyFill="1" applyBorder="1" applyAlignment="1">
      <alignment horizontal="center" vertical="center"/>
    </xf>
    <xf numFmtId="4" fontId="4" fillId="0" borderId="11" xfId="2" applyNumberFormat="1" applyFont="1" applyFill="1" applyBorder="1" applyAlignment="1">
      <alignment horizontal="center"/>
    </xf>
    <xf numFmtId="4" fontId="15" fillId="0" borderId="11" xfId="2" applyNumberFormat="1" applyFont="1" applyFill="1" applyBorder="1" applyAlignment="1">
      <alignment horizontal="center"/>
    </xf>
    <xf numFmtId="0" fontId="6" fillId="0" borderId="0" xfId="51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vertical="center" wrapText="1"/>
    </xf>
    <xf numFmtId="44" fontId="13" fillId="2" borderId="1" xfId="49" applyFont="1" applyFill="1" applyBorder="1" applyAlignment="1">
      <alignment horizontal="center" vertical="center"/>
    </xf>
    <xf numFmtId="10" fontId="13" fillId="2" borderId="1" xfId="1" applyNumberFormat="1" applyFont="1" applyFill="1" applyBorder="1" applyAlignment="1">
      <alignment horizontal="center" vertical="center"/>
    </xf>
    <xf numFmtId="4" fontId="13" fillId="2" borderId="1" xfId="2" applyNumberFormat="1" applyFont="1" applyFill="1" applyBorder="1" applyAlignment="1">
      <alignment horizontal="center" vertical="center"/>
    </xf>
    <xf numFmtId="0" fontId="32" fillId="2" borderId="0" xfId="51" applyFont="1" applyFill="1" applyBorder="1" applyAlignment="1">
      <alignment horizontal="center" vertical="center"/>
    </xf>
    <xf numFmtId="0" fontId="13" fillId="0" borderId="11" xfId="2" applyFont="1" applyFill="1" applyBorder="1" applyAlignment="1">
      <alignment horizontal="left" vertical="center"/>
    </xf>
    <xf numFmtId="44" fontId="13" fillId="0" borderId="11" xfId="49" applyFont="1" applyFill="1" applyBorder="1" applyAlignment="1">
      <alignment horizontal="center"/>
    </xf>
    <xf numFmtId="10" fontId="13" fillId="0" borderId="11" xfId="1" applyNumberFormat="1" applyFont="1" applyFill="1" applyBorder="1" applyAlignment="1">
      <alignment horizontal="center"/>
    </xf>
    <xf numFmtId="0" fontId="33" fillId="0" borderId="0" xfId="51" applyFont="1" applyFill="1" applyBorder="1" applyAlignment="1">
      <alignment horizontal="center"/>
    </xf>
    <xf numFmtId="0" fontId="5" fillId="0" borderId="40" xfId="2" applyFont="1" applyFill="1" applyBorder="1" applyAlignment="1">
      <alignment horizontal="center" vertical="center"/>
    </xf>
    <xf numFmtId="4" fontId="5" fillId="0" borderId="40" xfId="2" applyNumberFormat="1" applyFont="1" applyFill="1" applyBorder="1" applyAlignment="1">
      <alignment horizontal="center"/>
    </xf>
    <xf numFmtId="0" fontId="10" fillId="0" borderId="0" xfId="51" applyFont="1" applyFill="1" applyBorder="1" applyAlignment="1">
      <alignment horizontal="center"/>
    </xf>
    <xf numFmtId="0" fontId="10" fillId="0" borderId="0" xfId="51" applyFont="1" applyFill="1" applyBorder="1" applyAlignment="1">
      <alignment vertical="center"/>
    </xf>
    <xf numFmtId="0" fontId="24" fillId="0" borderId="0" xfId="51" applyFont="1" applyFill="1" applyBorder="1" applyAlignment="1">
      <alignment vertical="center"/>
    </xf>
    <xf numFmtId="0" fontId="7" fillId="0" borderId="0" xfId="51" applyFont="1" applyFill="1" applyBorder="1" applyAlignment="1">
      <alignment horizontal="center"/>
    </xf>
    <xf numFmtId="0" fontId="7" fillId="0" borderId="0" xfId="51" applyFont="1" applyFill="1" applyBorder="1"/>
    <xf numFmtId="0" fontId="22" fillId="0" borderId="0" xfId="51" applyFont="1" applyFill="1" applyBorder="1" applyAlignment="1">
      <alignment vertical="center"/>
    </xf>
    <xf numFmtId="0" fontId="34" fillId="0" borderId="0" xfId="0" applyFont="1"/>
    <xf numFmtId="0" fontId="34" fillId="0" borderId="0" xfId="0" applyFont="1" applyAlignment="1">
      <alignment horizontal="center"/>
    </xf>
    <xf numFmtId="0" fontId="36" fillId="0" borderId="0" xfId="0" applyFont="1"/>
    <xf numFmtId="0" fontId="37" fillId="0" borderId="0" xfId="0" applyFont="1" applyAlignment="1">
      <alignment horizontal="center"/>
    </xf>
    <xf numFmtId="0" fontId="38" fillId="0" borderId="0" xfId="0" applyFont="1" applyAlignment="1">
      <alignment horizontal="center" wrapText="1"/>
    </xf>
    <xf numFmtId="0" fontId="39" fillId="0" borderId="0" xfId="0" applyFont="1"/>
    <xf numFmtId="0" fontId="39" fillId="0" borderId="0" xfId="0" applyFont="1" applyAlignment="1">
      <alignment horizontal="center"/>
    </xf>
    <xf numFmtId="0" fontId="40" fillId="6" borderId="14" xfId="0" applyFont="1" applyFill="1" applyBorder="1"/>
    <xf numFmtId="0" fontId="40" fillId="6" borderId="14" xfId="0" applyFont="1" applyFill="1" applyBorder="1" applyAlignment="1">
      <alignment horizontal="center"/>
    </xf>
    <xf numFmtId="0" fontId="39" fillId="0" borderId="14" xfId="0" applyFont="1" applyBorder="1" applyAlignment="1">
      <alignment horizontal="left"/>
    </xf>
    <xf numFmtId="0" fontId="34" fillId="0" borderId="0" xfId="0" applyFont="1" applyFill="1" applyBorder="1"/>
    <xf numFmtId="0" fontId="40" fillId="0" borderId="23" xfId="0" applyFont="1" applyFill="1" applyBorder="1"/>
    <xf numFmtId="0" fontId="40" fillId="0" borderId="23" xfId="0" applyFont="1" applyFill="1" applyBorder="1" applyAlignment="1">
      <alignment horizontal="center"/>
    </xf>
    <xf numFmtId="0" fontId="34" fillId="0" borderId="0" xfId="0" applyFont="1" applyFill="1"/>
    <xf numFmtId="0" fontId="40" fillId="0" borderId="14" xfId="0" applyFont="1" applyBorder="1"/>
    <xf numFmtId="0" fontId="40" fillId="0" borderId="14" xfId="0" applyFont="1" applyBorder="1" applyAlignment="1">
      <alignment horizontal="center"/>
    </xf>
    <xf numFmtId="10" fontId="17" fillId="3" borderId="14" xfId="1" applyNumberFormat="1" applyFont="1" applyFill="1" applyBorder="1" applyAlignment="1">
      <alignment horizontal="center"/>
    </xf>
    <xf numFmtId="0" fontId="34" fillId="0" borderId="14" xfId="0" applyFont="1" applyBorder="1"/>
    <xf numFmtId="2" fontId="21" fillId="0" borderId="14" xfId="0" applyNumberFormat="1" applyFont="1" applyBorder="1" applyAlignment="1">
      <alignment horizontal="center"/>
    </xf>
    <xf numFmtId="10" fontId="21" fillId="0" borderId="14" xfId="1" applyNumberFormat="1" applyFont="1" applyBorder="1" applyAlignment="1">
      <alignment horizontal="center"/>
    </xf>
    <xf numFmtId="0" fontId="40" fillId="0" borderId="14" xfId="19" applyFont="1" applyBorder="1"/>
    <xf numFmtId="0" fontId="40" fillId="0" borderId="14" xfId="19" applyFont="1" applyBorder="1" applyAlignment="1">
      <alignment horizontal="center"/>
    </xf>
    <xf numFmtId="10" fontId="17" fillId="3" borderId="14" xfId="36" applyNumberFormat="1" applyFont="1" applyFill="1" applyBorder="1" applyAlignment="1">
      <alignment horizontal="center"/>
    </xf>
    <xf numFmtId="10" fontId="17" fillId="0" borderId="14" xfId="1" applyNumberFormat="1" applyFont="1" applyBorder="1" applyAlignment="1">
      <alignment horizontal="center"/>
    </xf>
    <xf numFmtId="172" fontId="41" fillId="0" borderId="0" xfId="0" applyNumberFormat="1" applyFont="1" applyAlignment="1">
      <alignment horizontal="left"/>
    </xf>
    <xf numFmtId="10" fontId="17" fillId="0" borderId="23" xfId="1" applyNumberFormat="1" applyFont="1" applyFill="1" applyBorder="1" applyAlignment="1">
      <alignment horizontal="center"/>
    </xf>
    <xf numFmtId="0" fontId="40" fillId="6" borderId="21" xfId="0" applyFont="1" applyFill="1" applyBorder="1"/>
    <xf numFmtId="0" fontId="42" fillId="6" borderId="22" xfId="0" applyFont="1" applyFill="1" applyBorder="1" applyAlignment="1">
      <alignment horizontal="center"/>
    </xf>
    <xf numFmtId="0" fontId="25" fillId="0" borderId="0" xfId="0" applyFont="1"/>
    <xf numFmtId="0" fontId="20" fillId="0" borderId="0" xfId="0" applyFont="1" applyAlignment="1">
      <alignment horizontal="center"/>
    </xf>
    <xf numFmtId="0" fontId="43" fillId="0" borderId="0" xfId="0" applyFont="1"/>
    <xf numFmtId="0" fontId="42" fillId="0" borderId="54" xfId="0" applyFont="1" applyBorder="1"/>
    <xf numFmtId="0" fontId="42" fillId="0" borderId="55" xfId="0" applyFont="1" applyBorder="1" applyAlignment="1">
      <alignment horizontal="center"/>
    </xf>
    <xf numFmtId="0" fontId="42" fillId="0" borderId="56" xfId="0" applyFont="1" applyBorder="1" applyAlignment="1">
      <alignment horizontal="center"/>
    </xf>
    <xf numFmtId="0" fontId="42" fillId="0" borderId="0" xfId="0" applyFont="1"/>
    <xf numFmtId="0" fontId="42" fillId="0" borderId="57" xfId="0" applyFont="1" applyBorder="1"/>
    <xf numFmtId="0" fontId="42" fillId="0" borderId="0" xfId="0" applyFont="1" applyBorder="1" applyAlignment="1">
      <alignment horizontal="center"/>
    </xf>
    <xf numFmtId="0" fontId="42" fillId="0" borderId="58" xfId="0" applyFont="1" applyBorder="1" applyAlignment="1">
      <alignment horizontal="center"/>
    </xf>
    <xf numFmtId="0" fontId="42" fillId="0" borderId="59" xfId="0" applyFont="1" applyBorder="1"/>
    <xf numFmtId="0" fontId="42" fillId="0" borderId="60" xfId="0" applyFont="1" applyBorder="1" applyAlignment="1">
      <alignment horizontal="center"/>
    </xf>
    <xf numFmtId="0" fontId="42" fillId="0" borderId="61" xfId="0" applyFont="1" applyBorder="1" applyAlignment="1">
      <alignment horizontal="center"/>
    </xf>
    <xf numFmtId="0" fontId="40" fillId="0" borderId="0" xfId="0" applyFont="1" applyBorder="1"/>
    <xf numFmtId="0" fontId="42" fillId="0" borderId="0" xfId="6" applyFont="1"/>
    <xf numFmtId="0" fontId="45" fillId="0" borderId="14" xfId="0" applyFont="1" applyBorder="1" applyAlignment="1">
      <alignment wrapText="1"/>
    </xf>
    <xf numFmtId="0" fontId="42" fillId="0" borderId="0" xfId="0" applyFont="1" applyBorder="1"/>
    <xf numFmtId="0" fontId="42" fillId="0" borderId="0" xfId="0" applyFont="1" applyAlignment="1">
      <alignment horizontal="center"/>
    </xf>
    <xf numFmtId="4" fontId="14" fillId="0" borderId="0" xfId="2" applyNumberFormat="1" applyFont="1" applyFill="1" applyBorder="1" applyAlignment="1">
      <alignment horizontal="left"/>
    </xf>
    <xf numFmtId="10" fontId="17" fillId="0" borderId="0" xfId="1" applyNumberFormat="1" applyFont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>
      <alignment horizontal="center" vertical="top" wrapText="1"/>
    </xf>
    <xf numFmtId="4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justify" vertical="justify"/>
    </xf>
    <xf numFmtId="0" fontId="4" fillId="2" borderId="1" xfId="2" applyFont="1" applyFill="1" applyBorder="1" applyAlignment="1">
      <alignment horizontal="justify" vertical="justify"/>
    </xf>
    <xf numFmtId="0" fontId="14" fillId="0" borderId="1" xfId="2" applyFont="1" applyFill="1" applyBorder="1" applyAlignment="1">
      <alignment horizontal="justify" vertical="justify"/>
    </xf>
    <xf numFmtId="0" fontId="5" fillId="0" borderId="0" xfId="0" applyFont="1" applyFill="1" applyBorder="1"/>
    <xf numFmtId="0" fontId="4" fillId="11" borderId="1" xfId="2" applyFont="1" applyFill="1" applyBorder="1" applyAlignment="1">
      <alignment horizontal="justify" vertical="justify"/>
    </xf>
    <xf numFmtId="0" fontId="4" fillId="2" borderId="1" xfId="2" applyFont="1" applyFill="1" applyBorder="1" applyAlignment="1">
      <alignment horizontal="justify" vertical="justify" wrapText="1"/>
    </xf>
    <xf numFmtId="0" fontId="14" fillId="0" borderId="0" xfId="0" applyFont="1" applyFill="1" applyBorder="1"/>
    <xf numFmtId="0" fontId="14" fillId="0" borderId="1" xfId="2" applyFont="1" applyFill="1" applyBorder="1" applyAlignment="1">
      <alignment horizontal="right" vertical="justify"/>
    </xf>
    <xf numFmtId="0" fontId="4" fillId="0" borderId="1" xfId="2" applyFont="1" applyFill="1" applyBorder="1" applyAlignment="1">
      <alignment horizontal="justify" vertical="justify"/>
    </xf>
    <xf numFmtId="0" fontId="15" fillId="0" borderId="1" xfId="2" applyFont="1" applyFill="1" applyBorder="1" applyAlignment="1">
      <alignment horizontal="justify" vertical="justify"/>
    </xf>
    <xf numFmtId="0" fontId="5" fillId="0" borderId="1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14" fillId="4" borderId="0" xfId="0" applyFont="1" applyFill="1" applyBorder="1"/>
    <xf numFmtId="0" fontId="14" fillId="0" borderId="0" xfId="0" applyFont="1"/>
    <xf numFmtId="0" fontId="5" fillId="0" borderId="0" xfId="0" applyFont="1" applyFill="1" applyBorder="1" applyAlignment="1">
      <alignment horizontal="left"/>
    </xf>
    <xf numFmtId="0" fontId="4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justify" vertical="justify"/>
    </xf>
    <xf numFmtId="4" fontId="4" fillId="0" borderId="0" xfId="2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 vertical="justify"/>
    </xf>
    <xf numFmtId="0" fontId="2" fillId="0" borderId="0" xfId="0" applyFont="1" applyFill="1" applyBorder="1" applyAlignment="1">
      <alignment horizontal="left"/>
    </xf>
    <xf numFmtId="4" fontId="5" fillId="0" borderId="0" xfId="2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4" fontId="4" fillId="2" borderId="1" xfId="2" applyNumberFormat="1" applyFont="1" applyFill="1" applyBorder="1" applyAlignment="1">
      <alignment horizontal="center" vertical="center"/>
    </xf>
    <xf numFmtId="2" fontId="4" fillId="2" borderId="1" xfId="2" applyNumberFormat="1" applyFont="1" applyFill="1" applyBorder="1" applyAlignment="1">
      <alignment horizontal="center" vertical="center"/>
    </xf>
    <xf numFmtId="4" fontId="4" fillId="2" borderId="13" xfId="2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4" fontId="4" fillId="0" borderId="1" xfId="2" applyNumberFormat="1" applyFont="1" applyFill="1" applyBorder="1" applyAlignment="1">
      <alignment horizontal="center" vertical="center"/>
    </xf>
    <xf numFmtId="4" fontId="5" fillId="0" borderId="1" xfId="2" applyNumberFormat="1" applyFont="1" applyFill="1" applyBorder="1" applyAlignment="1">
      <alignment horizontal="center" vertical="center"/>
    </xf>
    <xf numFmtId="4" fontId="5" fillId="0" borderId="13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11" borderId="1" xfId="2" applyFont="1" applyFill="1" applyBorder="1" applyAlignment="1">
      <alignment horizontal="center" vertical="center"/>
    </xf>
    <xf numFmtId="0" fontId="4" fillId="11" borderId="1" xfId="2" applyFont="1" applyFill="1" applyBorder="1" applyAlignment="1">
      <alignment horizontal="center" vertical="center" wrapText="1"/>
    </xf>
    <xf numFmtId="4" fontId="5" fillId="11" borderId="1" xfId="2" applyNumberFormat="1" applyFont="1" applyFill="1" applyBorder="1" applyAlignment="1">
      <alignment horizontal="center" vertical="center"/>
    </xf>
    <xf numFmtId="4" fontId="4" fillId="11" borderId="13" xfId="2" applyNumberFormat="1" applyFont="1" applyFill="1" applyBorder="1" applyAlignment="1">
      <alignment horizontal="center" vertical="center"/>
    </xf>
    <xf numFmtId="0" fontId="5" fillId="11" borderId="0" xfId="0" applyFont="1" applyFill="1" applyBorder="1"/>
    <xf numFmtId="0" fontId="5" fillId="11" borderId="1" xfId="0" applyFont="1" applyFill="1" applyBorder="1"/>
    <xf numFmtId="0" fontId="4" fillId="2" borderId="0" xfId="0" applyFont="1" applyFill="1" applyBorder="1"/>
    <xf numFmtId="0" fontId="4" fillId="2" borderId="1" xfId="0" applyFont="1" applyFill="1" applyBorder="1"/>
    <xf numFmtId="0" fontId="5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justify"/>
    </xf>
    <xf numFmtId="4" fontId="15" fillId="0" borderId="1" xfId="2" applyNumberFormat="1" applyFont="1" applyFill="1" applyBorder="1" applyAlignment="1">
      <alignment horizontal="center" vertical="center"/>
    </xf>
    <xf numFmtId="4" fontId="14" fillId="0" borderId="1" xfId="2" applyNumberFormat="1" applyFont="1" applyFill="1" applyBorder="1" applyAlignment="1">
      <alignment horizontal="center" vertical="center"/>
    </xf>
    <xf numFmtId="4" fontId="14" fillId="0" borderId="13" xfId="2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/>
    </xf>
    <xf numFmtId="4" fontId="14" fillId="0" borderId="41" xfId="2" applyNumberFormat="1" applyFont="1" applyFill="1" applyBorder="1" applyAlignment="1">
      <alignment horizontal="center" vertical="center"/>
    </xf>
    <xf numFmtId="4" fontId="14" fillId="0" borderId="42" xfId="2" applyNumberFormat="1" applyFont="1" applyFill="1" applyBorder="1" applyAlignment="1">
      <alignment horizontal="center" vertical="center"/>
    </xf>
    <xf numFmtId="0" fontId="14" fillId="0" borderId="1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justify" vertical="justify"/>
    </xf>
    <xf numFmtId="4" fontId="14" fillId="0" borderId="0" xfId="0" applyNumberFormat="1" applyFont="1" applyFill="1" applyBorder="1" applyAlignment="1">
      <alignment horizontal="center" vertical="center"/>
    </xf>
    <xf numFmtId="44" fontId="14" fillId="0" borderId="0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47" fillId="0" borderId="0" xfId="0" applyFont="1" applyFill="1" applyBorder="1" applyAlignment="1">
      <alignment horizontal="center" vertical="center"/>
    </xf>
    <xf numFmtId="4" fontId="4" fillId="2" borderId="13" xfId="2" applyNumberFormat="1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 wrapText="1"/>
    </xf>
    <xf numFmtId="4" fontId="5" fillId="4" borderId="1" xfId="2" applyNumberFormat="1" applyFont="1" applyFill="1" applyBorder="1" applyAlignment="1">
      <alignment horizontal="center" vertical="center"/>
    </xf>
    <xf numFmtId="4" fontId="5" fillId="4" borderId="13" xfId="2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right" vertical="justify"/>
    </xf>
    <xf numFmtId="0" fontId="5" fillId="4" borderId="1" xfId="2" applyFont="1" applyFill="1" applyBorder="1" applyAlignment="1">
      <alignment horizontal="center" vertical="center"/>
    </xf>
    <xf numFmtId="0" fontId="15" fillId="4" borderId="1" xfId="2" applyFont="1" applyFill="1" applyBorder="1" applyAlignment="1">
      <alignment horizontal="center" vertical="center"/>
    </xf>
    <xf numFmtId="0" fontId="15" fillId="4" borderId="1" xfId="2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right" vertical="justify"/>
    </xf>
    <xf numFmtId="0" fontId="14" fillId="4" borderId="1" xfId="2" applyFont="1" applyFill="1" applyBorder="1" applyAlignment="1">
      <alignment horizontal="center" vertical="center"/>
    </xf>
    <xf numFmtId="4" fontId="14" fillId="4" borderId="1" xfId="2" applyNumberFormat="1" applyFont="1" applyFill="1" applyBorder="1" applyAlignment="1">
      <alignment horizontal="center" vertical="center"/>
    </xf>
    <xf numFmtId="4" fontId="14" fillId="4" borderId="13" xfId="2" applyNumberFormat="1" applyFont="1" applyFill="1" applyBorder="1" applyAlignment="1">
      <alignment horizontal="center" vertical="center"/>
    </xf>
    <xf numFmtId="0" fontId="14" fillId="4" borderId="1" xfId="0" applyFont="1" applyFill="1" applyBorder="1"/>
    <xf numFmtId="0" fontId="15" fillId="2" borderId="1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center" vertical="center" wrapText="1"/>
    </xf>
    <xf numFmtId="4" fontId="15" fillId="2" borderId="1" xfId="2" applyNumberFormat="1" applyFont="1" applyFill="1" applyBorder="1" applyAlignment="1">
      <alignment horizontal="center" vertical="center"/>
    </xf>
    <xf numFmtId="4" fontId="15" fillId="2" borderId="13" xfId="2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0" fontId="15" fillId="2" borderId="1" xfId="0" applyFont="1" applyFill="1" applyBorder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11" borderId="1" xfId="2" applyFont="1" applyFill="1" applyBorder="1" applyAlignment="1">
      <alignment horizontal="center" vertical="center"/>
    </xf>
    <xf numFmtId="0" fontId="15" fillId="11" borderId="1" xfId="2" applyFont="1" applyFill="1" applyBorder="1" applyAlignment="1">
      <alignment horizontal="center" vertical="center" wrapText="1"/>
    </xf>
    <xf numFmtId="4" fontId="14" fillId="11" borderId="1" xfId="2" applyNumberFormat="1" applyFont="1" applyFill="1" applyBorder="1" applyAlignment="1">
      <alignment horizontal="center" vertical="center"/>
    </xf>
    <xf numFmtId="0" fontId="14" fillId="11" borderId="0" xfId="0" applyFont="1" applyFill="1" applyBorder="1"/>
    <xf numFmtId="0" fontId="14" fillId="11" borderId="1" xfId="0" applyFont="1" applyFill="1" applyBorder="1"/>
    <xf numFmtId="0" fontId="4" fillId="2" borderId="1" xfId="2" quotePrefix="1" applyFont="1" applyFill="1" applyBorder="1" applyAlignment="1">
      <alignment horizontal="center" vertical="center" wrapText="1"/>
    </xf>
    <xf numFmtId="4" fontId="15" fillId="0" borderId="13" xfId="2" applyNumberFormat="1" applyFont="1" applyFill="1" applyBorder="1" applyAlignment="1">
      <alignment horizontal="center" vertical="center"/>
    </xf>
    <xf numFmtId="4" fontId="4" fillId="0" borderId="13" xfId="2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/>
    </xf>
    <xf numFmtId="165" fontId="4" fillId="4" borderId="31" xfId="9" applyFont="1" applyFill="1" applyBorder="1" applyAlignment="1">
      <alignment horizontal="right" vertical="distributed" wrapText="1"/>
    </xf>
    <xf numFmtId="165" fontId="4" fillId="4" borderId="31" xfId="9" applyFont="1" applyFill="1" applyBorder="1" applyAlignment="1">
      <alignment horizontal="center" vertical="distributed" wrapText="1"/>
    </xf>
    <xf numFmtId="170" fontId="5" fillId="4" borderId="31" xfId="9" applyNumberFormat="1" applyFont="1" applyFill="1" applyBorder="1" applyAlignment="1">
      <alignment horizontal="justify" vertical="distributed" wrapText="1"/>
    </xf>
    <xf numFmtId="165" fontId="4" fillId="4" borderId="31" xfId="9" applyFont="1" applyFill="1" applyBorder="1" applyAlignment="1">
      <alignment horizontal="justify" vertical="distributed" wrapText="1"/>
    </xf>
    <xf numFmtId="165" fontId="4" fillId="4" borderId="31" xfId="9" applyFont="1" applyFill="1" applyBorder="1" applyAlignment="1">
      <alignment horizontal="justify" vertical="distributed" wrapText="1"/>
    </xf>
    <xf numFmtId="165" fontId="5" fillId="4" borderId="31" xfId="9" applyFont="1" applyFill="1" applyBorder="1" applyAlignment="1">
      <alignment horizontal="justify" vertical="distributed" wrapText="1"/>
    </xf>
    <xf numFmtId="170" fontId="4" fillId="2" borderId="31" xfId="9" applyNumberFormat="1" applyFont="1" applyFill="1" applyBorder="1" applyAlignment="1">
      <alignment horizontal="center" vertical="distributed" wrapText="1"/>
    </xf>
    <xf numFmtId="165" fontId="4" fillId="2" borderId="31" xfId="9" applyFont="1" applyFill="1" applyBorder="1" applyAlignment="1">
      <alignment horizontal="justify" vertical="distributed" wrapText="1"/>
    </xf>
    <xf numFmtId="165" fontId="4" fillId="2" borderId="31" xfId="9" applyFont="1" applyFill="1" applyBorder="1" applyAlignment="1">
      <alignment horizontal="center" vertical="distributed" wrapText="1"/>
    </xf>
    <xf numFmtId="170" fontId="5" fillId="4" borderId="31" xfId="12" applyNumberFormat="1" applyFont="1" applyFill="1" applyBorder="1" applyAlignment="1">
      <alignment horizontal="center" vertical="center" wrapText="1"/>
    </xf>
    <xf numFmtId="0" fontId="5" fillId="0" borderId="31" xfId="12" applyNumberFormat="1" applyFont="1" applyFill="1" applyBorder="1" applyAlignment="1">
      <alignment horizontal="justify" vertical="top" wrapText="1"/>
    </xf>
    <xf numFmtId="0" fontId="5" fillId="0" borderId="31" xfId="0" applyFont="1" applyFill="1" applyBorder="1" applyAlignment="1">
      <alignment horizontal="center" vertical="distributed"/>
    </xf>
    <xf numFmtId="173" fontId="5" fillId="0" borderId="31" xfId="12" applyNumberFormat="1" applyFont="1" applyFill="1" applyBorder="1" applyAlignment="1">
      <alignment horizontal="justify" vertical="distributed" wrapText="1"/>
    </xf>
    <xf numFmtId="169" fontId="5" fillId="4" borderId="31" xfId="9" applyNumberFormat="1" applyFont="1" applyFill="1" applyBorder="1" applyAlignment="1">
      <alignment horizontal="right" vertical="center"/>
    </xf>
    <xf numFmtId="49" fontId="5" fillId="4" borderId="31" xfId="9" applyNumberFormat="1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vertical="top" wrapText="1"/>
    </xf>
    <xf numFmtId="0" fontId="5" fillId="4" borderId="31" xfId="9" applyNumberFormat="1" applyFont="1" applyFill="1" applyBorder="1" applyAlignment="1">
      <alignment horizontal="justify" vertical="center" wrapText="1"/>
    </xf>
    <xf numFmtId="165" fontId="4" fillId="2" borderId="31" xfId="9" applyFont="1" applyFill="1" applyBorder="1" applyAlignment="1">
      <alignment horizontal="right" vertical="distributed" wrapText="1"/>
    </xf>
    <xf numFmtId="165" fontId="4" fillId="8" borderId="31" xfId="9" applyFont="1" applyFill="1" applyBorder="1" applyAlignment="1">
      <alignment horizontal="justify" vertical="distributed" wrapText="1"/>
    </xf>
    <xf numFmtId="0" fontId="14" fillId="0" borderId="0" xfId="0" applyFont="1" applyBorder="1"/>
    <xf numFmtId="165" fontId="14" fillId="0" borderId="0" xfId="0" applyNumberFormat="1" applyFont="1"/>
    <xf numFmtId="0" fontId="8" fillId="0" borderId="0" xfId="2" applyFont="1" applyFill="1" applyBorder="1" applyAlignment="1">
      <alignment horizontal="left" vertical="top"/>
    </xf>
    <xf numFmtId="4" fontId="4" fillId="2" borderId="1" xfId="2" applyNumberFormat="1" applyFont="1" applyFill="1" applyBorder="1" applyAlignment="1">
      <alignment horizontal="center" wrapText="1"/>
    </xf>
    <xf numFmtId="0" fontId="4" fillId="12" borderId="1" xfId="2" applyFont="1" applyFill="1" applyBorder="1" applyAlignment="1">
      <alignment horizontal="center" vertical="center"/>
    </xf>
    <xf numFmtId="0" fontId="4" fillId="12" borderId="1" xfId="2" applyFont="1" applyFill="1" applyBorder="1" applyAlignment="1">
      <alignment horizontal="center" vertical="center" wrapText="1"/>
    </xf>
    <xf numFmtId="0" fontId="4" fillId="12" borderId="1" xfId="2" applyFont="1" applyFill="1" applyBorder="1" applyAlignment="1">
      <alignment horizontal="justify" vertical="justify"/>
    </xf>
    <xf numFmtId="4" fontId="5" fillId="12" borderId="1" xfId="2" applyNumberFormat="1" applyFont="1" applyFill="1" applyBorder="1" applyAlignment="1">
      <alignment horizontal="center" vertical="center"/>
    </xf>
    <xf numFmtId="4" fontId="4" fillId="12" borderId="13" xfId="2" applyNumberFormat="1" applyFont="1" applyFill="1" applyBorder="1" applyAlignment="1">
      <alignment horizontal="center" vertical="center"/>
    </xf>
    <xf numFmtId="0" fontId="5" fillId="12" borderId="0" xfId="0" applyFont="1" applyFill="1" applyBorder="1"/>
    <xf numFmtId="0" fontId="5" fillId="12" borderId="1" xfId="0" applyFont="1" applyFill="1" applyBorder="1"/>
    <xf numFmtId="170" fontId="5" fillId="4" borderId="31" xfId="12" quotePrefix="1" applyNumberFormat="1" applyFont="1" applyFill="1" applyBorder="1" applyAlignment="1">
      <alignment horizontal="center" vertical="center" wrapText="1"/>
    </xf>
    <xf numFmtId="0" fontId="15" fillId="14" borderId="1" xfId="2" applyFont="1" applyFill="1" applyBorder="1" applyAlignment="1">
      <alignment horizontal="justify" vertical="justify"/>
    </xf>
    <xf numFmtId="0" fontId="8" fillId="7" borderId="1" xfId="2" applyFont="1" applyFill="1" applyBorder="1" applyAlignment="1">
      <alignment horizontal="center" vertical="center"/>
    </xf>
    <xf numFmtId="0" fontId="8" fillId="7" borderId="1" xfId="2" applyFont="1" applyFill="1" applyBorder="1" applyAlignment="1">
      <alignment horizontal="center" vertical="center" wrapText="1"/>
    </xf>
    <xf numFmtId="4" fontId="2" fillId="7" borderId="1" xfId="2" applyNumberFormat="1" applyFont="1" applyFill="1" applyBorder="1" applyAlignment="1">
      <alignment horizontal="center" vertical="center"/>
    </xf>
    <xf numFmtId="4" fontId="8" fillId="7" borderId="13" xfId="2" applyNumberFormat="1" applyFont="1" applyFill="1" applyBorder="1" applyAlignment="1">
      <alignment horizontal="center" vertical="center"/>
    </xf>
    <xf numFmtId="0" fontId="2" fillId="7" borderId="0" xfId="0" applyFont="1" applyFill="1" applyBorder="1"/>
    <xf numFmtId="0" fontId="2" fillId="7" borderId="1" xfId="0" applyFont="1" applyFill="1" applyBorder="1"/>
    <xf numFmtId="2" fontId="4" fillId="0" borderId="0" xfId="2" applyNumberFormat="1" applyFont="1" applyFill="1" applyBorder="1" applyAlignment="1">
      <alignment horizontal="right" vertical="center"/>
    </xf>
    <xf numFmtId="0" fontId="4" fillId="0" borderId="0" xfId="2" applyFont="1" applyFill="1" applyBorder="1" applyAlignment="1">
      <alignment horizontal="right" vertical="center"/>
    </xf>
    <xf numFmtId="0" fontId="4" fillId="0" borderId="0" xfId="2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right" vertical="center"/>
    </xf>
    <xf numFmtId="2" fontId="4" fillId="0" borderId="1" xfId="2" applyNumberFormat="1" applyFont="1" applyFill="1" applyBorder="1" applyAlignment="1">
      <alignment horizontal="right" vertical="center"/>
    </xf>
    <xf numFmtId="2" fontId="8" fillId="7" borderId="1" xfId="2" applyNumberFormat="1" applyFont="1" applyFill="1" applyBorder="1" applyAlignment="1">
      <alignment horizontal="right" vertical="center"/>
    </xf>
    <xf numFmtId="2" fontId="4" fillId="11" borderId="1" xfId="2" applyNumberFormat="1" applyFont="1" applyFill="1" applyBorder="1" applyAlignment="1">
      <alignment horizontal="right" vertical="center"/>
    </xf>
    <xf numFmtId="2" fontId="5" fillId="0" borderId="1" xfId="2" applyNumberFormat="1" applyFont="1" applyFill="1" applyBorder="1" applyAlignment="1">
      <alignment horizontal="right" vertical="center"/>
    </xf>
    <xf numFmtId="2" fontId="15" fillId="0" borderId="1" xfId="2" applyNumberFormat="1" applyFont="1" applyFill="1" applyBorder="1" applyAlignment="1">
      <alignment horizontal="right" vertical="center"/>
    </xf>
    <xf numFmtId="2" fontId="4" fillId="4" borderId="1" xfId="2" applyNumberFormat="1" applyFont="1" applyFill="1" applyBorder="1" applyAlignment="1">
      <alignment horizontal="right" vertical="center"/>
    </xf>
    <xf numFmtId="2" fontId="15" fillId="4" borderId="1" xfId="2" applyNumberFormat="1" applyFont="1" applyFill="1" applyBorder="1" applyAlignment="1">
      <alignment horizontal="right" vertical="center"/>
    </xf>
    <xf numFmtId="4" fontId="5" fillId="0" borderId="1" xfId="2" applyNumberFormat="1" applyFont="1" applyFill="1" applyBorder="1" applyAlignment="1">
      <alignment horizontal="right" vertical="center"/>
    </xf>
    <xf numFmtId="2" fontId="15" fillId="11" borderId="1" xfId="2" applyNumberFormat="1" applyFont="1" applyFill="1" applyBorder="1" applyAlignment="1">
      <alignment horizontal="right" vertical="center"/>
    </xf>
    <xf numFmtId="2" fontId="4" fillId="12" borderId="1" xfId="2" applyNumberFormat="1" applyFont="1" applyFill="1" applyBorder="1" applyAlignment="1">
      <alignment horizontal="right" vertical="center"/>
    </xf>
    <xf numFmtId="2" fontId="14" fillId="0" borderId="0" xfId="0" applyNumberFormat="1" applyFont="1" applyFill="1" applyBorder="1" applyAlignment="1">
      <alignment horizontal="right" vertical="center"/>
    </xf>
    <xf numFmtId="2" fontId="15" fillId="2" borderId="1" xfId="2" applyNumberFormat="1" applyFont="1" applyFill="1" applyBorder="1" applyAlignment="1">
      <alignment horizontal="right" vertical="center"/>
    </xf>
    <xf numFmtId="4" fontId="4" fillId="0" borderId="1" xfId="2" applyNumberFormat="1" applyFont="1" applyFill="1" applyBorder="1" applyAlignment="1">
      <alignment horizontal="right" vertical="center"/>
    </xf>
    <xf numFmtId="4" fontId="8" fillId="7" borderId="1" xfId="2" applyNumberFormat="1" applyFont="1" applyFill="1" applyBorder="1" applyAlignment="1">
      <alignment horizontal="right" vertical="center"/>
    </xf>
    <xf numFmtId="4" fontId="4" fillId="11" borderId="1" xfId="2" applyNumberFormat="1" applyFont="1" applyFill="1" applyBorder="1" applyAlignment="1">
      <alignment horizontal="right" vertical="center"/>
    </xf>
    <xf numFmtId="4" fontId="4" fillId="2" borderId="1" xfId="2" applyNumberFormat="1" applyFont="1" applyFill="1" applyBorder="1" applyAlignment="1">
      <alignment horizontal="right" vertical="center"/>
    </xf>
    <xf numFmtId="4" fontId="4" fillId="4" borderId="1" xfId="2" applyNumberFormat="1" applyFont="1" applyFill="1" applyBorder="1" applyAlignment="1">
      <alignment horizontal="right" vertical="center"/>
    </xf>
    <xf numFmtId="4" fontId="15" fillId="0" borderId="1" xfId="2" applyNumberFormat="1" applyFont="1" applyFill="1" applyBorder="1" applyAlignment="1">
      <alignment horizontal="right" vertical="center"/>
    </xf>
    <xf numFmtId="4" fontId="5" fillId="4" borderId="1" xfId="2" applyNumberFormat="1" applyFont="1" applyFill="1" applyBorder="1" applyAlignment="1">
      <alignment horizontal="right" vertical="center"/>
    </xf>
    <xf numFmtId="4" fontId="14" fillId="4" borderId="1" xfId="2" applyNumberFormat="1" applyFont="1" applyFill="1" applyBorder="1" applyAlignment="1">
      <alignment horizontal="right" vertical="center"/>
    </xf>
    <xf numFmtId="4" fontId="15" fillId="4" borderId="1" xfId="2" applyNumberFormat="1" applyFont="1" applyFill="1" applyBorder="1" applyAlignment="1">
      <alignment horizontal="right" vertical="center"/>
    </xf>
    <xf numFmtId="4" fontId="14" fillId="0" borderId="1" xfId="2" applyNumberFormat="1" applyFont="1" applyFill="1" applyBorder="1" applyAlignment="1">
      <alignment horizontal="right" vertical="center"/>
    </xf>
    <xf numFmtId="9" fontId="5" fillId="0" borderId="1" xfId="1" applyFont="1" applyFill="1" applyBorder="1" applyAlignment="1">
      <alignment horizontal="right" vertical="center"/>
    </xf>
    <xf numFmtId="4" fontId="15" fillId="11" borderId="1" xfId="2" applyNumberFormat="1" applyFont="1" applyFill="1" applyBorder="1" applyAlignment="1">
      <alignment horizontal="right" vertical="center"/>
    </xf>
    <xf numFmtId="4" fontId="4" fillId="12" borderId="1" xfId="2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right" vertical="center" wrapText="1"/>
    </xf>
    <xf numFmtId="4" fontId="4" fillId="3" borderId="0" xfId="2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wrapText="1"/>
    </xf>
    <xf numFmtId="10" fontId="17" fillId="0" borderId="14" xfId="1" applyNumberFormat="1" applyFont="1" applyBorder="1" applyAlignment="1" applyProtection="1">
      <alignment horizontal="center" vertical="center"/>
      <protection locked="0"/>
    </xf>
    <xf numFmtId="169" fontId="8" fillId="0" borderId="14" xfId="0" applyNumberFormat="1" applyFont="1" applyBorder="1" applyAlignment="1" applyProtection="1">
      <alignment horizontal="center" vertical="center"/>
    </xf>
    <xf numFmtId="0" fontId="20" fillId="7" borderId="0" xfId="0" applyFont="1" applyFill="1" applyBorder="1"/>
    <xf numFmtId="0" fontId="21" fillId="5" borderId="14" xfId="0" applyFont="1" applyFill="1" applyBorder="1"/>
    <xf numFmtId="0" fontId="21" fillId="5" borderId="14" xfId="0" applyFont="1" applyFill="1" applyBorder="1" applyAlignment="1">
      <alignment horizontal="center"/>
    </xf>
    <xf numFmtId="10" fontId="21" fillId="5" borderId="14" xfId="1" applyNumberFormat="1" applyFont="1" applyFill="1" applyBorder="1" applyAlignment="1">
      <alignment horizontal="center"/>
    </xf>
    <xf numFmtId="0" fontId="20" fillId="5" borderId="0" xfId="0" applyFont="1" applyFill="1"/>
    <xf numFmtId="0" fontId="20" fillId="0" borderId="0" xfId="0" applyFont="1" applyFill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9" fontId="5" fillId="0" borderId="0" xfId="1" applyNumberFormat="1" applyFont="1" applyFill="1" applyBorder="1" applyAlignment="1">
      <alignment horizontal="left"/>
    </xf>
    <xf numFmtId="0" fontId="14" fillId="11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0" fontId="14" fillId="12" borderId="0" xfId="0" applyFont="1" applyFill="1" applyBorder="1" applyAlignment="1">
      <alignment horizontal="left"/>
    </xf>
    <xf numFmtId="0" fontId="8" fillId="7" borderId="1" xfId="2" applyFont="1" applyFill="1" applyBorder="1" applyAlignment="1">
      <alignment horizontal="left" vertical="justify"/>
    </xf>
    <xf numFmtId="0" fontId="5" fillId="1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4" fontId="5" fillId="0" borderId="41" xfId="2" applyNumberFormat="1" applyFont="1" applyFill="1" applyBorder="1" applyAlignment="1">
      <alignment horizontal="center" vertical="center"/>
    </xf>
    <xf numFmtId="4" fontId="5" fillId="0" borderId="42" xfId="2" applyNumberFormat="1" applyFont="1" applyFill="1" applyBorder="1" applyAlignment="1">
      <alignment horizontal="center" vertical="center"/>
    </xf>
    <xf numFmtId="0" fontId="4" fillId="0" borderId="41" xfId="2" applyFont="1" applyFill="1" applyBorder="1" applyAlignment="1">
      <alignment horizontal="center" vertical="center"/>
    </xf>
    <xf numFmtId="0" fontId="5" fillId="0" borderId="41" xfId="2" applyFont="1" applyFill="1" applyBorder="1" applyAlignment="1">
      <alignment horizontal="center" vertical="center" wrapText="1"/>
    </xf>
    <xf numFmtId="0" fontId="5" fillId="0" borderId="41" xfId="2" applyFont="1" applyFill="1" applyBorder="1" applyAlignment="1">
      <alignment horizontal="right" vertical="justify"/>
    </xf>
    <xf numFmtId="0" fontId="5" fillId="0" borderId="41" xfId="2" applyFont="1" applyFill="1" applyBorder="1" applyAlignment="1">
      <alignment horizontal="center" vertical="center"/>
    </xf>
    <xf numFmtId="4" fontId="5" fillId="0" borderId="41" xfId="2" applyNumberFormat="1" applyFont="1" applyFill="1" applyBorder="1" applyAlignment="1">
      <alignment horizontal="right" vertical="center"/>
    </xf>
    <xf numFmtId="2" fontId="4" fillId="0" borderId="41" xfId="2" applyNumberFormat="1" applyFont="1" applyFill="1" applyBorder="1" applyAlignment="1">
      <alignment horizontal="right" vertical="center"/>
    </xf>
    <xf numFmtId="4" fontId="4" fillId="4" borderId="41" xfId="2" applyNumberFormat="1" applyFont="1" applyFill="1" applyBorder="1" applyAlignment="1">
      <alignment horizontal="right" vertical="center"/>
    </xf>
    <xf numFmtId="43" fontId="17" fillId="7" borderId="22" xfId="55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2" applyNumberFormat="1" applyFont="1" applyFill="1" applyBorder="1" applyAlignment="1">
      <alignment horizontal="left"/>
    </xf>
    <xf numFmtId="0" fontId="19" fillId="0" borderId="1" xfId="0" applyFont="1" applyFill="1" applyBorder="1"/>
    <xf numFmtId="43" fontId="5" fillId="0" borderId="0" xfId="55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left"/>
    </xf>
    <xf numFmtId="0" fontId="4" fillId="0" borderId="46" xfId="2" applyFont="1" applyFill="1" applyBorder="1" applyAlignment="1">
      <alignment horizontal="center" vertical="center" wrapText="1"/>
    </xf>
    <xf numFmtId="0" fontId="4" fillId="0" borderId="46" xfId="2" applyFont="1" applyFill="1" applyBorder="1" applyAlignment="1">
      <alignment horizontal="center" vertical="top" wrapText="1"/>
    </xf>
    <xf numFmtId="4" fontId="5" fillId="0" borderId="46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justify" vertical="justify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1" xfId="0" applyFont="1" applyFill="1" applyBorder="1"/>
    <xf numFmtId="0" fontId="5" fillId="0" borderId="1" xfId="2" applyFont="1" applyFill="1" applyBorder="1" applyAlignment="1">
      <alignment horizontal="justify" vertical="justify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20" fillId="7" borderId="1" xfId="2" applyNumberFormat="1" applyFont="1" applyFill="1" applyBorder="1" applyAlignment="1">
      <alignment horizontal="center" vertical="center"/>
    </xf>
    <xf numFmtId="4" fontId="15" fillId="0" borderId="1" xfId="2" applyNumberFormat="1" applyFont="1" applyFill="1" applyBorder="1" applyAlignment="1">
      <alignment horizontal="center" vertical="center" wrapText="1"/>
    </xf>
    <xf numFmtId="43" fontId="5" fillId="0" borderId="0" xfId="55" applyFont="1" applyAlignment="1">
      <alignment horizontal="left"/>
    </xf>
    <xf numFmtId="0" fontId="26" fillId="2" borderId="0" xfId="51" applyFont="1" applyFill="1" applyBorder="1" applyAlignment="1">
      <alignment horizontal="left" vertical="center"/>
    </xf>
    <xf numFmtId="44" fontId="53" fillId="2" borderId="0" xfId="51" applyNumberFormat="1" applyFont="1" applyFill="1" applyBorder="1" applyAlignment="1">
      <alignment horizontal="center" vertical="center"/>
    </xf>
    <xf numFmtId="0" fontId="19" fillId="2" borderId="1" xfId="0" applyFont="1" applyFill="1" applyBorder="1"/>
    <xf numFmtId="0" fontId="54" fillId="0" borderId="0" xfId="0" applyFont="1" applyAlignment="1">
      <alignment wrapText="1"/>
    </xf>
    <xf numFmtId="0" fontId="56" fillId="0" borderId="0" xfId="0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left" vertical="center"/>
    </xf>
    <xf numFmtId="0" fontId="20" fillId="0" borderId="0" xfId="0" applyFont="1" applyFill="1" applyBorder="1"/>
    <xf numFmtId="0" fontId="25" fillId="0" borderId="0" xfId="2" applyFont="1" applyFill="1" applyBorder="1" applyAlignment="1">
      <alignment horizontal="left" vertical="top"/>
    </xf>
    <xf numFmtId="0" fontId="5" fillId="0" borderId="0" xfId="0" applyFont="1" applyAlignment="1">
      <alignment wrapText="1"/>
    </xf>
    <xf numFmtId="0" fontId="15" fillId="0" borderId="46" xfId="2" applyFont="1" applyFill="1" applyBorder="1" applyAlignment="1">
      <alignment horizontal="center" vertical="center" wrapText="1"/>
    </xf>
    <xf numFmtId="2" fontId="15" fillId="2" borderId="1" xfId="2" applyNumberFormat="1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left" vertical="justify"/>
    </xf>
    <xf numFmtId="4" fontId="25" fillId="7" borderId="1" xfId="2" applyNumberFormat="1" applyFont="1" applyFill="1" applyBorder="1" applyAlignment="1">
      <alignment horizontal="right" vertical="center"/>
    </xf>
    <xf numFmtId="2" fontId="25" fillId="7" borderId="1" xfId="2" applyNumberFormat="1" applyFont="1" applyFill="1" applyBorder="1" applyAlignment="1">
      <alignment horizontal="right" vertical="center"/>
    </xf>
    <xf numFmtId="0" fontId="15" fillId="11" borderId="1" xfId="2" applyFont="1" applyFill="1" applyBorder="1" applyAlignment="1">
      <alignment horizontal="justify" vertical="justify"/>
    </xf>
    <xf numFmtId="0" fontId="15" fillId="2" borderId="1" xfId="2" applyFont="1" applyFill="1" applyBorder="1" applyAlignment="1">
      <alignment horizontal="justify" vertical="justify" wrapText="1"/>
    </xf>
    <xf numFmtId="4" fontId="15" fillId="2" borderId="1" xfId="2" applyNumberFormat="1" applyFont="1" applyFill="1" applyBorder="1" applyAlignment="1">
      <alignment horizontal="right" vertical="center"/>
    </xf>
    <xf numFmtId="2" fontId="14" fillId="0" borderId="1" xfId="2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justify"/>
    </xf>
    <xf numFmtId="0" fontId="15" fillId="2" borderId="1" xfId="2" applyFont="1" applyFill="1" applyBorder="1" applyAlignment="1">
      <alignment horizontal="justify" vertical="justify"/>
    </xf>
    <xf numFmtId="0" fontId="15" fillId="0" borderId="1" xfId="0" applyFont="1" applyFill="1" applyBorder="1" applyAlignment="1">
      <alignment horizontal="right" vertical="center" wrapText="1"/>
    </xf>
    <xf numFmtId="0" fontId="15" fillId="0" borderId="1" xfId="2" applyFont="1" applyFill="1" applyBorder="1" applyAlignment="1">
      <alignment horizontal="right" vertical="justify"/>
    </xf>
    <xf numFmtId="0" fontId="15" fillId="2" borderId="1" xfId="2" quotePrefix="1" applyFont="1" applyFill="1" applyBorder="1" applyAlignment="1">
      <alignment horizontal="center" vertical="center" wrapText="1"/>
    </xf>
    <xf numFmtId="9" fontId="14" fillId="0" borderId="1" xfId="1" applyFont="1" applyFill="1" applyBorder="1" applyAlignment="1">
      <alignment horizontal="right" vertical="center"/>
    </xf>
    <xf numFmtId="0" fontId="15" fillId="2" borderId="1" xfId="2" applyFont="1" applyFill="1" applyBorder="1" applyAlignment="1">
      <alignment horizontal="center"/>
    </xf>
    <xf numFmtId="0" fontId="15" fillId="2" borderId="1" xfId="2" applyFont="1" applyFill="1" applyBorder="1" applyAlignment="1">
      <alignment horizontal="center" vertical="top" wrapText="1"/>
    </xf>
    <xf numFmtId="0" fontId="15" fillId="12" borderId="1" xfId="2" applyFont="1" applyFill="1" applyBorder="1" applyAlignment="1">
      <alignment horizontal="center" vertical="center"/>
    </xf>
    <xf numFmtId="0" fontId="15" fillId="12" borderId="1" xfId="2" applyFont="1" applyFill="1" applyBorder="1" applyAlignment="1">
      <alignment horizontal="center" vertical="center" wrapText="1"/>
    </xf>
    <xf numFmtId="0" fontId="15" fillId="12" borderId="1" xfId="2" applyFont="1" applyFill="1" applyBorder="1" applyAlignment="1">
      <alignment horizontal="justify" vertical="justify"/>
    </xf>
    <xf numFmtId="4" fontId="15" fillId="12" borderId="1" xfId="2" applyNumberFormat="1" applyFont="1" applyFill="1" applyBorder="1" applyAlignment="1">
      <alignment horizontal="right" vertical="center"/>
    </xf>
    <xf numFmtId="2" fontId="15" fillId="12" borderId="1" xfId="2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 wrapText="1"/>
    </xf>
    <xf numFmtId="2" fontId="14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/>
    </xf>
    <xf numFmtId="0" fontId="5" fillId="0" borderId="11" xfId="9" applyNumberFormat="1" applyFont="1" applyFill="1" applyBorder="1" applyAlignment="1">
      <alignment horizontal="center" vertical="distributed" wrapText="1"/>
    </xf>
    <xf numFmtId="2" fontId="5" fillId="0" borderId="1" xfId="2" applyNumberFormat="1" applyFont="1" applyFill="1" applyBorder="1" applyAlignment="1">
      <alignment horizontal="right" vertical="justify"/>
    </xf>
    <xf numFmtId="0" fontId="15" fillId="2" borderId="1" xfId="0" applyFont="1" applyFill="1" applyBorder="1" applyAlignment="1">
      <alignment horizontal="center" vertical="center" wrapText="1"/>
    </xf>
    <xf numFmtId="4" fontId="14" fillId="2" borderId="1" xfId="2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right" vertical="center"/>
    </xf>
    <xf numFmtId="2" fontId="5" fillId="2" borderId="1" xfId="2" applyNumberFormat="1" applyFont="1" applyFill="1" applyBorder="1" applyAlignment="1">
      <alignment horizontal="right" vertical="center"/>
    </xf>
    <xf numFmtId="0" fontId="4" fillId="2" borderId="1" xfId="2" applyFont="1" applyFill="1" applyBorder="1" applyAlignment="1">
      <alignment horizontal="right" vertical="justify"/>
    </xf>
    <xf numFmtId="0" fontId="14" fillId="2" borderId="1" xfId="2" applyFont="1" applyFill="1" applyBorder="1" applyAlignment="1">
      <alignment horizontal="center" vertical="center" wrapText="1"/>
    </xf>
    <xf numFmtId="2" fontId="5" fillId="0" borderId="1" xfId="2" applyNumberFormat="1" applyFont="1" applyFill="1" applyBorder="1" applyAlignment="1">
      <alignment horizontal="center" vertical="center" wrapText="1"/>
    </xf>
    <xf numFmtId="0" fontId="58" fillId="2" borderId="0" xfId="0" applyFont="1" applyFill="1" applyAlignment="1">
      <alignment wrapText="1"/>
    </xf>
    <xf numFmtId="0" fontId="4" fillId="2" borderId="0" xfId="2" applyFont="1" applyFill="1" applyBorder="1" applyAlignment="1">
      <alignment horizontal="justify" vertical="justify"/>
    </xf>
    <xf numFmtId="0" fontId="5" fillId="0" borderId="0" xfId="2" applyFont="1" applyFill="1" applyBorder="1" applyAlignment="1">
      <alignment horizontal="right" vertical="justify"/>
    </xf>
    <xf numFmtId="0" fontId="5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left" vertical="justify"/>
    </xf>
    <xf numFmtId="0" fontId="5" fillId="0" borderId="11" xfId="2" applyFont="1" applyFill="1" applyBorder="1" applyAlignment="1">
      <alignment horizontal="center" vertical="center"/>
    </xf>
    <xf numFmtId="4" fontId="5" fillId="0" borderId="11" xfId="9" applyNumberFormat="1" applyFont="1" applyFill="1" applyBorder="1" applyAlignment="1">
      <alignment horizontal="center" vertical="distributed" wrapText="1"/>
    </xf>
    <xf numFmtId="0" fontId="5" fillId="0" borderId="33" xfId="9" applyNumberFormat="1" applyFont="1" applyFill="1" applyBorder="1" applyAlignment="1">
      <alignment horizontal="center" vertical="distributed" wrapText="1"/>
    </xf>
    <xf numFmtId="0" fontId="15" fillId="0" borderId="0" xfId="2" applyFont="1" applyFill="1" applyBorder="1" applyAlignment="1">
      <alignment horizontal="justify" vertical="justify"/>
    </xf>
    <xf numFmtId="4" fontId="5" fillId="0" borderId="11" xfId="2" applyNumberFormat="1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/>
    </xf>
    <xf numFmtId="0" fontId="5" fillId="0" borderId="41" xfId="0" applyFont="1" applyBorder="1" applyAlignment="1">
      <alignment wrapText="1"/>
    </xf>
    <xf numFmtId="0" fontId="5" fillId="0" borderId="62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8" fillId="7" borderId="62" xfId="2" applyFont="1" applyFill="1" applyBorder="1" applyAlignment="1">
      <alignment horizontal="left" vertical="justify"/>
    </xf>
    <xf numFmtId="0" fontId="5" fillId="0" borderId="12" xfId="2" applyFont="1" applyBorder="1" applyAlignment="1">
      <alignment horizontal="left" vertical="center" wrapText="1"/>
    </xf>
    <xf numFmtId="0" fontId="5" fillId="0" borderId="63" xfId="2" applyFont="1" applyBorder="1" applyAlignment="1">
      <alignment horizontal="left" vertical="center" wrapText="1"/>
    </xf>
    <xf numFmtId="0" fontId="5" fillId="0" borderId="33" xfId="2" applyFont="1" applyBorder="1" applyAlignment="1">
      <alignment horizontal="left" vertical="center" wrapText="1"/>
    </xf>
    <xf numFmtId="0" fontId="5" fillId="0" borderId="51" xfId="2" applyFont="1" applyBorder="1" applyAlignment="1">
      <alignment horizontal="left" vertical="center" wrapText="1"/>
    </xf>
    <xf numFmtId="0" fontId="5" fillId="0" borderId="13" xfId="0" applyFont="1" applyBorder="1" applyAlignment="1">
      <alignment wrapText="1"/>
    </xf>
    <xf numFmtId="2" fontId="4" fillId="2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center"/>
    </xf>
    <xf numFmtId="0" fontId="4" fillId="0" borderId="1" xfId="2" applyFont="1" applyFill="1" applyBorder="1" applyAlignment="1">
      <alignment horizontal="right" vertical="center" wrapText="1"/>
    </xf>
    <xf numFmtId="0" fontId="4" fillId="0" borderId="1" xfId="2" applyFont="1" applyFill="1" applyBorder="1" applyAlignment="1">
      <alignment horizontal="right" vertical="justify" wrapText="1"/>
    </xf>
    <xf numFmtId="4" fontId="4" fillId="0" borderId="13" xfId="2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5" fillId="0" borderId="1" xfId="2" applyFont="1" applyFill="1" applyBorder="1" applyAlignment="1">
      <alignment horizontal="right" vertical="justify" wrapText="1"/>
    </xf>
    <xf numFmtId="2" fontId="4" fillId="0" borderId="1" xfId="2" applyNumberFormat="1" applyFont="1" applyFill="1" applyBorder="1" applyAlignment="1">
      <alignment horizontal="right" vertical="center" wrapText="1"/>
    </xf>
    <xf numFmtId="2" fontId="5" fillId="4" borderId="1" xfId="2" applyNumberFormat="1" applyFont="1" applyFill="1" applyBorder="1" applyAlignment="1">
      <alignment horizontal="right" vertical="center"/>
    </xf>
    <xf numFmtId="0" fontId="15" fillId="0" borderId="1" xfId="2" applyFont="1" applyFill="1" applyBorder="1" applyAlignment="1">
      <alignment horizontal="justify" vertical="justify" wrapText="1"/>
    </xf>
    <xf numFmtId="0" fontId="15" fillId="0" borderId="1" xfId="2" quotePrefix="1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2" fontId="14" fillId="0" borderId="1" xfId="2" applyNumberFormat="1" applyFont="1" applyFill="1" applyBorder="1" applyAlignment="1">
      <alignment horizontal="center" vertical="center" wrapText="1"/>
    </xf>
    <xf numFmtId="4" fontId="5" fillId="2" borderId="1" xfId="2" applyNumberFormat="1" applyFont="1" applyFill="1" applyBorder="1" applyAlignment="1">
      <alignment horizontal="center" vertical="center"/>
    </xf>
    <xf numFmtId="4" fontId="5" fillId="2" borderId="13" xfId="2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0" fontId="5" fillId="2" borderId="1" xfId="0" applyFont="1" applyFill="1" applyBorder="1"/>
    <xf numFmtId="0" fontId="5" fillId="2" borderId="0" xfId="0" applyFont="1" applyFill="1" applyBorder="1" applyAlignment="1">
      <alignment horizontal="left"/>
    </xf>
    <xf numFmtId="0" fontId="15" fillId="0" borderId="1" xfId="2" applyFont="1" applyFill="1" applyBorder="1" applyAlignment="1">
      <alignment horizontal="center" vertical="justify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5" fillId="0" borderId="1" xfId="2" applyNumberFormat="1" applyFont="1" applyBorder="1" applyAlignment="1">
      <alignment horizontal="center" vertical="center"/>
    </xf>
    <xf numFmtId="0" fontId="5" fillId="0" borderId="1" xfId="0" applyFont="1" applyBorder="1"/>
    <xf numFmtId="0" fontId="4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justify" vertical="justify"/>
    </xf>
    <xf numFmtId="0" fontId="5" fillId="0" borderId="1" xfId="2" applyFont="1" applyBorder="1" applyAlignment="1">
      <alignment horizontal="center" vertical="center"/>
    </xf>
    <xf numFmtId="4" fontId="5" fillId="0" borderId="1" xfId="2" applyNumberFormat="1" applyFont="1" applyBorder="1" applyAlignment="1">
      <alignment horizontal="right" vertical="center"/>
    </xf>
    <xf numFmtId="2" fontId="4" fillId="0" borderId="1" xfId="2" applyNumberFormat="1" applyFont="1" applyBorder="1" applyAlignment="1">
      <alignment horizontal="right" vertical="center"/>
    </xf>
    <xf numFmtId="4" fontId="4" fillId="0" borderId="1" xfId="2" applyNumberFormat="1" applyFont="1" applyBorder="1" applyAlignment="1">
      <alignment horizontal="right" vertical="center"/>
    </xf>
    <xf numFmtId="0" fontId="4" fillId="14" borderId="1" xfId="2" applyFont="1" applyFill="1" applyBorder="1" applyAlignment="1">
      <alignment horizontal="justify" vertical="justify"/>
    </xf>
    <xf numFmtId="0" fontId="5" fillId="0" borderId="1" xfId="0" applyFont="1" applyBorder="1" applyAlignment="1">
      <alignment wrapText="1"/>
    </xf>
    <xf numFmtId="0" fontId="14" fillId="0" borderId="1" xfId="0" applyFont="1" applyBorder="1" applyAlignment="1">
      <alignment horizontal="left"/>
    </xf>
    <xf numFmtId="0" fontId="4" fillId="0" borderId="1" xfId="2" applyFont="1" applyFill="1" applyBorder="1" applyAlignment="1">
      <alignment horizontal="center"/>
    </xf>
    <xf numFmtId="0" fontId="5" fillId="0" borderId="0" xfId="0" applyFont="1" applyBorder="1"/>
    <xf numFmtId="0" fontId="59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/>
    </xf>
    <xf numFmtId="9" fontId="5" fillId="0" borderId="1" xfId="1" applyNumberFormat="1" applyFont="1" applyFill="1" applyBorder="1" applyAlignment="1">
      <alignment horizontal="left"/>
    </xf>
    <xf numFmtId="0" fontId="5" fillId="0" borderId="1" xfId="2" applyFont="1" applyFill="1" applyBorder="1" applyAlignment="1">
      <alignment horizontal="center"/>
    </xf>
    <xf numFmtId="0" fontId="5" fillId="7" borderId="1" xfId="0" applyFont="1" applyFill="1" applyBorder="1"/>
    <xf numFmtId="4" fontId="5" fillId="0" borderId="1" xfId="2" applyNumberFormat="1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 vertical="top"/>
    </xf>
    <xf numFmtId="4" fontId="4" fillId="0" borderId="1" xfId="2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0" fillId="2" borderId="1" xfId="0" applyFont="1" applyFill="1" applyBorder="1"/>
    <xf numFmtId="43" fontId="10" fillId="0" borderId="1" xfId="55" applyFont="1" applyFill="1" applyBorder="1"/>
    <xf numFmtId="0" fontId="10" fillId="0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wrapText="1"/>
    </xf>
    <xf numFmtId="0" fontId="14" fillId="11" borderId="1" xfId="0" applyFont="1" applyFill="1" applyBorder="1" applyAlignment="1">
      <alignment horizontal="left"/>
    </xf>
    <xf numFmtId="0" fontId="5" fillId="0" borderId="1" xfId="9" applyNumberFormat="1" applyFont="1" applyFill="1" applyBorder="1" applyAlignment="1">
      <alignment horizontal="center" vertical="distributed" wrapText="1"/>
    </xf>
    <xf numFmtId="4" fontId="5" fillId="0" borderId="1" xfId="9" applyNumberFormat="1" applyFont="1" applyFill="1" applyBorder="1" applyAlignment="1">
      <alignment horizontal="center" vertical="distributed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justify"/>
    </xf>
    <xf numFmtId="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right" vertical="center"/>
    </xf>
    <xf numFmtId="0" fontId="14" fillId="7" borderId="1" xfId="0" applyFont="1" applyFill="1" applyBorder="1"/>
    <xf numFmtId="0" fontId="14" fillId="0" borderId="1" xfId="0" applyFont="1" applyFill="1" applyBorder="1" applyAlignment="1">
      <alignment horizontal="left"/>
    </xf>
    <xf numFmtId="10" fontId="4" fillId="0" borderId="1" xfId="1" applyNumberFormat="1" applyFont="1" applyBorder="1" applyAlignment="1" applyProtection="1">
      <alignment horizontal="center" vertical="center"/>
      <protection locked="0"/>
    </xf>
    <xf numFmtId="169" fontId="4" fillId="0" borderId="1" xfId="0" applyNumberFormat="1" applyFont="1" applyBorder="1" applyAlignment="1" applyProtection="1">
      <alignment horizontal="center" vertical="center"/>
    </xf>
    <xf numFmtId="0" fontId="5" fillId="0" borderId="1" xfId="9" applyNumberFormat="1" applyFont="1" applyFill="1" applyBorder="1" applyAlignment="1">
      <alignment vertical="top" wrapText="1"/>
    </xf>
    <xf numFmtId="0" fontId="59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justify"/>
    </xf>
    <xf numFmtId="9" fontId="14" fillId="0" borderId="1" xfId="1" applyFont="1" applyFill="1" applyBorder="1" applyAlignment="1">
      <alignment horizontal="left"/>
    </xf>
    <xf numFmtId="0" fontId="4" fillId="0" borderId="1" xfId="2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/>
    </xf>
    <xf numFmtId="0" fontId="8" fillId="0" borderId="1" xfId="2" applyFont="1" applyFill="1" applyBorder="1" applyAlignment="1"/>
    <xf numFmtId="0" fontId="11" fillId="2" borderId="1" xfId="0" applyFont="1" applyFill="1" applyBorder="1"/>
    <xf numFmtId="0" fontId="11" fillId="0" borderId="1" xfId="0" applyFont="1" applyFill="1" applyBorder="1"/>
    <xf numFmtId="0" fontId="11" fillId="9" borderId="1" xfId="0" applyFont="1" applyFill="1" applyBorder="1"/>
    <xf numFmtId="43" fontId="10" fillId="0" borderId="1" xfId="55" applyFont="1" applyFill="1" applyBorder="1" applyAlignment="1">
      <alignment horizontal="right"/>
    </xf>
    <xf numFmtId="43" fontId="10" fillId="0" borderId="1" xfId="55" applyFont="1" applyFill="1" applyBorder="1" applyAlignment="1">
      <alignment horizontal="center"/>
    </xf>
    <xf numFmtId="174" fontId="10" fillId="0" borderId="1" xfId="1" applyNumberFormat="1" applyFont="1" applyFill="1" applyBorder="1"/>
    <xf numFmtId="0" fontId="3" fillId="0" borderId="1" xfId="2" applyFont="1" applyFill="1" applyBorder="1" applyAlignment="1">
      <alignment horizontal="justify" vertical="justify" wrapText="1"/>
    </xf>
    <xf numFmtId="0" fontId="14" fillId="7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justify"/>
    </xf>
    <xf numFmtId="0" fontId="14" fillId="0" borderId="62" xfId="0" applyFont="1" applyFill="1" applyBorder="1" applyAlignment="1">
      <alignment horizontal="center" vertical="center"/>
    </xf>
    <xf numFmtId="0" fontId="14" fillId="0" borderId="62" xfId="0" applyFont="1" applyFill="1" applyBorder="1" applyAlignment="1">
      <alignment horizontal="center" vertical="center" wrapText="1"/>
    </xf>
    <xf numFmtId="0" fontId="14" fillId="0" borderId="62" xfId="0" applyFont="1" applyFill="1" applyBorder="1" applyAlignment="1">
      <alignment horizontal="justify" vertical="justify"/>
    </xf>
    <xf numFmtId="0" fontId="14" fillId="0" borderId="12" xfId="0" applyFont="1" applyFill="1" applyBorder="1"/>
    <xf numFmtId="0" fontId="14" fillId="0" borderId="41" xfId="0" applyFont="1" applyFill="1" applyBorder="1" applyAlignment="1">
      <alignment horizontal="left"/>
    </xf>
    <xf numFmtId="0" fontId="14" fillId="0" borderId="62" xfId="0" applyFont="1" applyFill="1" applyBorder="1" applyAlignment="1">
      <alignment horizontal="left"/>
    </xf>
    <xf numFmtId="0" fontId="14" fillId="0" borderId="65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8" fillId="0" borderId="1" xfId="2" applyFont="1" applyFill="1" applyBorder="1" applyAlignment="1">
      <alignment horizontal="left" vertical="center"/>
    </xf>
    <xf numFmtId="9" fontId="20" fillId="0" borderId="1" xfId="1" applyFont="1" applyFill="1" applyBorder="1" applyAlignment="1">
      <alignment horizontal="left"/>
    </xf>
    <xf numFmtId="4" fontId="3" fillId="0" borderId="1" xfId="2" applyNumberFormat="1" applyFont="1" applyFill="1" applyBorder="1" applyAlignment="1">
      <alignment horizontal="center" vertical="center"/>
    </xf>
    <xf numFmtId="174" fontId="3" fillId="0" borderId="1" xfId="1" applyNumberFormat="1" applyFont="1" applyFill="1" applyBorder="1" applyAlignment="1">
      <alignment horizontal="center" vertical="center"/>
    </xf>
    <xf numFmtId="43" fontId="5" fillId="0" borderId="1" xfId="55" applyFont="1" applyFill="1" applyBorder="1" applyAlignment="1">
      <alignment horizontal="center" vertical="center"/>
    </xf>
    <xf numFmtId="9" fontId="15" fillId="2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center" vertical="center"/>
    </xf>
    <xf numFmtId="4" fontId="5" fillId="0" borderId="1" xfId="0" applyNumberFormat="1" applyFont="1" applyFill="1" applyBorder="1"/>
    <xf numFmtId="0" fontId="4" fillId="0" borderId="1" xfId="2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center"/>
    </xf>
    <xf numFmtId="0" fontId="4" fillId="15" borderId="1" xfId="2" applyFont="1" applyFill="1" applyBorder="1" applyAlignment="1">
      <alignment horizontal="center" vertical="center"/>
    </xf>
    <xf numFmtId="0" fontId="4" fillId="15" borderId="1" xfId="2" applyFont="1" applyFill="1" applyBorder="1" applyAlignment="1">
      <alignment horizontal="center" vertical="center" wrapText="1"/>
    </xf>
    <xf numFmtId="0" fontId="4" fillId="15" borderId="1" xfId="2" applyFont="1" applyFill="1" applyBorder="1" applyAlignment="1">
      <alignment horizontal="left" vertical="justify"/>
    </xf>
    <xf numFmtId="4" fontId="14" fillId="15" borderId="1" xfId="2" applyNumberFormat="1" applyFont="1" applyFill="1" applyBorder="1" applyAlignment="1">
      <alignment horizontal="center" vertical="center"/>
    </xf>
    <xf numFmtId="4" fontId="5" fillId="15" borderId="1" xfId="2" applyNumberFormat="1" applyFont="1" applyFill="1" applyBorder="1" applyAlignment="1">
      <alignment horizontal="center" vertical="center"/>
    </xf>
    <xf numFmtId="4" fontId="4" fillId="15" borderId="1" xfId="2" applyNumberFormat="1" applyFont="1" applyFill="1" applyBorder="1" applyAlignment="1">
      <alignment horizontal="center" vertical="center"/>
    </xf>
    <xf numFmtId="0" fontId="4" fillId="15" borderId="1" xfId="2" applyFont="1" applyFill="1" applyBorder="1" applyAlignment="1">
      <alignment horizontal="justify" vertical="justify"/>
    </xf>
    <xf numFmtId="175" fontId="4" fillId="15" borderId="1" xfId="2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14" fillId="15" borderId="1" xfId="0" applyFont="1" applyFill="1" applyBorder="1" applyAlignment="1">
      <alignment horizontal="center" vertical="center"/>
    </xf>
    <xf numFmtId="0" fontId="14" fillId="15" borderId="1" xfId="0" applyFont="1" applyFill="1" applyBorder="1" applyAlignment="1">
      <alignment horizontal="center" vertical="center" wrapText="1"/>
    </xf>
    <xf numFmtId="0" fontId="14" fillId="15" borderId="1" xfId="0" applyFont="1" applyFill="1" applyBorder="1" applyAlignment="1">
      <alignment horizontal="justify" vertical="justify"/>
    </xf>
    <xf numFmtId="0" fontId="4" fillId="15" borderId="1" xfId="0" applyFont="1" applyFill="1" applyBorder="1" applyAlignment="1">
      <alignment horizontal="center" vertical="center"/>
    </xf>
    <xf numFmtId="4" fontId="4" fillId="15" borderId="1" xfId="0" applyNumberFormat="1" applyFont="1" applyFill="1" applyBorder="1" applyAlignment="1">
      <alignment horizontal="center" vertical="center"/>
    </xf>
    <xf numFmtId="4" fontId="4" fillId="15" borderId="1" xfId="2" applyNumberFormat="1" applyFont="1" applyFill="1" applyBorder="1" applyAlignment="1">
      <alignment horizontal="right" vertical="center"/>
    </xf>
    <xf numFmtId="2" fontId="4" fillId="15" borderId="1" xfId="2" applyNumberFormat="1" applyFont="1" applyFill="1" applyBorder="1" applyAlignment="1">
      <alignment horizontal="right" vertical="center"/>
    </xf>
    <xf numFmtId="0" fontId="4" fillId="13" borderId="1" xfId="2" applyFont="1" applyFill="1" applyBorder="1" applyAlignment="1">
      <alignment horizontal="center" vertical="center"/>
    </xf>
    <xf numFmtId="0" fontId="4" fillId="13" borderId="1" xfId="2" applyFont="1" applyFill="1" applyBorder="1" applyAlignment="1">
      <alignment horizontal="center" vertical="center" wrapText="1"/>
    </xf>
    <xf numFmtId="0" fontId="4" fillId="13" borderId="1" xfId="2" applyFont="1" applyFill="1" applyBorder="1" applyAlignment="1">
      <alignment horizontal="justify" vertical="justify"/>
    </xf>
    <xf numFmtId="4" fontId="4" fillId="13" borderId="1" xfId="2" applyNumberFormat="1" applyFont="1" applyFill="1" applyBorder="1" applyAlignment="1">
      <alignment horizontal="right" vertical="center"/>
    </xf>
    <xf numFmtId="2" fontId="4" fillId="13" borderId="1" xfId="2" applyNumberFormat="1" applyFont="1" applyFill="1" applyBorder="1" applyAlignment="1">
      <alignment horizontal="right" vertical="center"/>
    </xf>
    <xf numFmtId="0" fontId="4" fillId="13" borderId="1" xfId="2" applyFont="1" applyFill="1" applyBorder="1" applyAlignment="1">
      <alignment horizontal="justify" vertical="justify" wrapText="1"/>
    </xf>
    <xf numFmtId="0" fontId="4" fillId="15" borderId="1" xfId="0" applyFont="1" applyFill="1" applyBorder="1" applyAlignment="1">
      <alignment horizontal="center" vertical="center" wrapText="1"/>
    </xf>
    <xf numFmtId="2" fontId="5" fillId="0" borderId="1" xfId="2" applyNumberFormat="1" applyFont="1" applyFill="1" applyBorder="1" applyAlignment="1">
      <alignment horizontal="center" vertical="center"/>
    </xf>
    <xf numFmtId="2" fontId="4" fillId="0" borderId="1" xfId="2" applyNumberFormat="1" applyFont="1" applyFill="1" applyBorder="1" applyAlignment="1">
      <alignment horizontal="center" vertical="center"/>
    </xf>
    <xf numFmtId="4" fontId="5" fillId="0" borderId="1" xfId="9" applyNumberFormat="1" applyFont="1" applyFill="1" applyBorder="1" applyAlignment="1">
      <alignment horizontal="center" vertical="center" wrapText="1"/>
    </xf>
    <xf numFmtId="4" fontId="4" fillId="15" borderId="1" xfId="2" applyNumberFormat="1" applyFont="1" applyFill="1" applyBorder="1" applyAlignment="1">
      <alignment horizontal="center"/>
    </xf>
    <xf numFmtId="0" fontId="4" fillId="15" borderId="1" xfId="2" applyFont="1" applyFill="1" applyBorder="1" applyAlignment="1">
      <alignment horizontal="center" vertical="top"/>
    </xf>
    <xf numFmtId="0" fontId="4" fillId="15" borderId="1" xfId="2" applyFont="1" applyFill="1" applyBorder="1" applyAlignment="1">
      <alignment horizontal="left" vertical="top"/>
    </xf>
    <xf numFmtId="175" fontId="4" fillId="15" borderId="1" xfId="2" applyNumberFormat="1" applyFont="1" applyFill="1" applyBorder="1" applyAlignment="1">
      <alignment horizontal="center" vertical="top"/>
    </xf>
    <xf numFmtId="44" fontId="4" fillId="15" borderId="1" xfId="49" applyFont="1" applyFill="1" applyBorder="1" applyAlignment="1">
      <alignment horizontal="center"/>
    </xf>
    <xf numFmtId="10" fontId="62" fillId="15" borderId="1" xfId="1" applyNumberFormat="1" applyFont="1" applyFill="1" applyBorder="1" applyAlignment="1">
      <alignment horizontal="center"/>
    </xf>
    <xf numFmtId="0" fontId="63" fillId="16" borderId="1" xfId="2" applyFont="1" applyFill="1" applyBorder="1" applyAlignment="1">
      <alignment horizontal="center" vertical="center"/>
    </xf>
    <xf numFmtId="0" fontId="63" fillId="16" borderId="1" xfId="2" applyFont="1" applyFill="1" applyBorder="1" applyAlignment="1">
      <alignment horizontal="center" vertical="center" wrapText="1"/>
    </xf>
    <xf numFmtId="4" fontId="63" fillId="16" borderId="1" xfId="2" applyNumberFormat="1" applyFont="1" applyFill="1" applyBorder="1" applyAlignment="1">
      <alignment horizontal="center" vertical="center"/>
    </xf>
    <xf numFmtId="2" fontId="63" fillId="16" borderId="1" xfId="2" applyNumberFormat="1" applyFont="1" applyFill="1" applyBorder="1" applyAlignment="1">
      <alignment horizontal="center" vertical="center"/>
    </xf>
    <xf numFmtId="4" fontId="63" fillId="16" borderId="1" xfId="2" applyNumberFormat="1" applyFont="1" applyFill="1" applyBorder="1" applyAlignment="1">
      <alignment horizontal="center" vertical="center" wrapText="1"/>
    </xf>
    <xf numFmtId="9" fontId="63" fillId="16" borderId="62" xfId="1" applyFont="1" applyFill="1" applyBorder="1" applyAlignment="1">
      <alignment horizontal="center" vertical="center"/>
    </xf>
    <xf numFmtId="4" fontId="63" fillId="16" borderId="62" xfId="2" applyNumberFormat="1" applyFont="1" applyFill="1" applyBorder="1" applyAlignment="1">
      <alignment horizontal="center" vertical="center"/>
    </xf>
    <xf numFmtId="0" fontId="64" fillId="16" borderId="1" xfId="2" applyFont="1" applyFill="1" applyBorder="1" applyAlignment="1">
      <alignment horizontal="center" vertical="center"/>
    </xf>
    <xf numFmtId="4" fontId="64" fillId="16" borderId="1" xfId="2" applyNumberFormat="1" applyFont="1" applyFill="1" applyBorder="1" applyAlignment="1">
      <alignment horizontal="center" vertical="center" wrapText="1"/>
    </xf>
    <xf numFmtId="9" fontId="64" fillId="16" borderId="1" xfId="1" applyFont="1" applyFill="1" applyBorder="1" applyAlignment="1">
      <alignment horizontal="center" vertical="center" wrapText="1"/>
    </xf>
    <xf numFmtId="0" fontId="3" fillId="15" borderId="1" xfId="2" applyFont="1" applyFill="1" applyBorder="1" applyAlignment="1">
      <alignment horizontal="center" vertical="center"/>
    </xf>
    <xf numFmtId="0" fontId="3" fillId="15" borderId="1" xfId="2" applyFont="1" applyFill="1" applyBorder="1" applyAlignment="1">
      <alignment horizontal="left" vertical="justify"/>
    </xf>
    <xf numFmtId="4" fontId="3" fillId="15" borderId="1" xfId="2" applyNumberFormat="1" applyFont="1" applyFill="1" applyBorder="1" applyAlignment="1">
      <alignment horizontal="center" vertical="center"/>
    </xf>
    <xf numFmtId="174" fontId="3" fillId="15" borderId="1" xfId="1" applyNumberFormat="1" applyFont="1" applyFill="1" applyBorder="1" applyAlignment="1">
      <alignment horizontal="center" vertical="center"/>
    </xf>
    <xf numFmtId="43" fontId="64" fillId="16" borderId="1" xfId="55" applyFont="1" applyFill="1" applyBorder="1" applyAlignment="1">
      <alignment horizontal="center" vertical="center"/>
    </xf>
    <xf numFmtId="175" fontId="3" fillId="15" borderId="1" xfId="2" applyNumberFormat="1" applyFont="1" applyFill="1" applyBorder="1" applyAlignment="1">
      <alignment horizontal="center" vertical="center"/>
    </xf>
    <xf numFmtId="0" fontId="65" fillId="16" borderId="14" xfId="0" applyFont="1" applyFill="1" applyBorder="1" applyAlignment="1">
      <alignment horizontal="center" vertical="center"/>
    </xf>
    <xf numFmtId="165" fontId="4" fillId="4" borderId="31" xfId="9" applyFont="1" applyFill="1" applyBorder="1" applyAlignment="1">
      <alignment horizontal="justify" vertical="distributed" wrapText="1"/>
    </xf>
    <xf numFmtId="0" fontId="4" fillId="15" borderId="1" xfId="2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 wrapText="1"/>
    </xf>
    <xf numFmtId="0" fontId="27" fillId="0" borderId="1" xfId="2" applyFont="1" applyFill="1" applyBorder="1" applyAlignment="1">
      <alignment horizontal="center" wrapText="1"/>
    </xf>
    <xf numFmtId="0" fontId="3" fillId="0" borderId="40" xfId="2" applyFont="1" applyFill="1" applyBorder="1" applyAlignment="1">
      <alignment horizontal="center" vertical="center"/>
    </xf>
    <xf numFmtId="0" fontId="3" fillId="0" borderId="46" xfId="2" applyFont="1" applyFill="1" applyBorder="1" applyAlignment="1">
      <alignment horizontal="center" vertical="center"/>
    </xf>
    <xf numFmtId="0" fontId="13" fillId="0" borderId="12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9" applyNumberFormat="1" applyFont="1" applyFill="1" applyBorder="1" applyAlignment="1">
      <alignment vertical="distributed" wrapText="1"/>
    </xf>
    <xf numFmtId="0" fontId="5" fillId="0" borderId="1" xfId="2" applyFont="1" applyBorder="1" applyAlignment="1">
      <alignment horizontal="justify" vertical="justify" wrapText="1"/>
    </xf>
    <xf numFmtId="4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4" fillId="13" borderId="1" xfId="2" applyNumberFormat="1" applyFont="1" applyFill="1" applyBorder="1" applyAlignment="1">
      <alignment horizontal="center" vertical="center"/>
    </xf>
    <xf numFmtId="176" fontId="4" fillId="13" borderId="1" xfId="2" applyNumberFormat="1" applyFont="1" applyFill="1" applyBorder="1" applyAlignment="1">
      <alignment horizontal="center" vertical="center"/>
    </xf>
    <xf numFmtId="0" fontId="6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2" fontId="5" fillId="0" borderId="1" xfId="9" applyNumberFormat="1" applyFont="1" applyFill="1" applyBorder="1" applyAlignment="1">
      <alignment horizontal="center" vertical="distributed" wrapText="1"/>
    </xf>
    <xf numFmtId="2" fontId="5" fillId="0" borderId="1" xfId="2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distributed"/>
    </xf>
    <xf numFmtId="169" fontId="5" fillId="0" borderId="31" xfId="0" applyNumberFormat="1" applyFont="1" applyBorder="1" applyAlignment="1">
      <alignment horizontal="right" vertical="center"/>
    </xf>
    <xf numFmtId="165" fontId="4" fillId="4" borderId="39" xfId="9" applyFont="1" applyFill="1" applyBorder="1" applyAlignment="1">
      <alignment horizontal="right" vertical="distributed" wrapText="1"/>
    </xf>
    <xf numFmtId="170" fontId="4" fillId="13" borderId="31" xfId="9" applyNumberFormat="1" applyFont="1" applyFill="1" applyBorder="1" applyAlignment="1">
      <alignment horizontal="center" vertical="distributed" wrapText="1"/>
    </xf>
    <xf numFmtId="165" fontId="4" fillId="13" borderId="31" xfId="9" applyFont="1" applyFill="1" applyBorder="1" applyAlignment="1">
      <alignment horizontal="justify" vertical="distributed" wrapText="1"/>
    </xf>
    <xf numFmtId="165" fontId="4" fillId="13" borderId="31" xfId="9" applyFont="1" applyFill="1" applyBorder="1" applyAlignment="1">
      <alignment horizontal="center" vertical="distributed" wrapText="1"/>
    </xf>
    <xf numFmtId="165" fontId="4" fillId="13" borderId="31" xfId="9" applyFont="1" applyFill="1" applyBorder="1" applyAlignment="1">
      <alignment horizontal="right" vertical="distributed" wrapText="1"/>
    </xf>
    <xf numFmtId="49" fontId="5" fillId="0" borderId="1" xfId="2" applyNumberFormat="1" applyFont="1" applyBorder="1" applyAlignment="1">
      <alignment horizontal="center" vertical="center" wrapText="1"/>
    </xf>
    <xf numFmtId="0" fontId="68" fillId="0" borderId="1" xfId="2" applyFont="1" applyFill="1" applyBorder="1" applyAlignment="1">
      <alignment horizontal="right" vertical="justify"/>
    </xf>
    <xf numFmtId="49" fontId="5" fillId="0" borderId="1" xfId="0" applyNumberFormat="1" applyFont="1" applyFill="1" applyBorder="1" applyAlignment="1">
      <alignment horizontal="center" vertical="center"/>
    </xf>
    <xf numFmtId="9" fontId="64" fillId="16" borderId="1" xfId="1" applyFont="1" applyFill="1" applyBorder="1" applyAlignment="1">
      <alignment horizontal="center" vertical="center"/>
    </xf>
    <xf numFmtId="9" fontId="4" fillId="15" borderId="1" xfId="1" applyFont="1" applyFill="1" applyBorder="1" applyAlignment="1">
      <alignment horizontal="center"/>
    </xf>
    <xf numFmtId="165" fontId="4" fillId="4" borderId="31" xfId="9" applyFont="1" applyFill="1" applyBorder="1" applyAlignment="1">
      <alignment horizontal="justify" vertical="distributed" wrapText="1"/>
    </xf>
    <xf numFmtId="9" fontId="62" fillId="15" borderId="1" xfId="1" applyFont="1" applyFill="1" applyBorder="1" applyAlignment="1">
      <alignment horizontal="center"/>
    </xf>
    <xf numFmtId="171" fontId="17" fillId="15" borderId="1" xfId="49" applyNumberFormat="1" applyFont="1" applyFill="1" applyBorder="1" applyAlignment="1">
      <alignment horizontal="center" vertical="center"/>
    </xf>
    <xf numFmtId="9" fontId="5" fillId="15" borderId="1" xfId="1" applyFont="1" applyFill="1" applyBorder="1" applyAlignment="1">
      <alignment horizontal="center"/>
    </xf>
    <xf numFmtId="0" fontId="34" fillId="0" borderId="20" xfId="0" applyFont="1" applyBorder="1" applyAlignment="1">
      <alignment horizontal="left" vertical="center"/>
    </xf>
    <xf numFmtId="0" fontId="34" fillId="0" borderId="53" xfId="0" applyFont="1" applyBorder="1" applyAlignment="1">
      <alignment horizontal="left" vertical="center"/>
    </xf>
    <xf numFmtId="0" fontId="42" fillId="0" borderId="0" xfId="6" applyFont="1" applyBorder="1" applyAlignment="1">
      <alignment horizontal="justify" wrapText="1"/>
    </xf>
    <xf numFmtId="0" fontId="19" fillId="0" borderId="0" xfId="6" applyFont="1" applyBorder="1" applyAlignment="1">
      <alignment horizontal="justify" wrapText="1"/>
    </xf>
    <xf numFmtId="0" fontId="19" fillId="0" borderId="0" xfId="19" applyFont="1" applyFill="1" applyBorder="1" applyAlignment="1">
      <alignment horizontal="justify" wrapText="1"/>
    </xf>
    <xf numFmtId="0" fontId="46" fillId="0" borderId="21" xfId="0" applyFont="1" applyBorder="1" applyAlignment="1">
      <alignment horizontal="left" vertical="justify" wrapText="1"/>
    </xf>
    <xf numFmtId="0" fontId="46" fillId="0" borderId="23" xfId="0" applyFont="1" applyBorder="1" applyAlignment="1">
      <alignment horizontal="left" vertical="justify" wrapText="1"/>
    </xf>
    <xf numFmtId="0" fontId="46" fillId="0" borderId="22" xfId="0" applyFont="1" applyBorder="1" applyAlignment="1">
      <alignment horizontal="left" vertical="justify" wrapText="1"/>
    </xf>
    <xf numFmtId="0" fontId="35" fillId="0" borderId="0" xfId="0" applyFont="1" applyAlignment="1">
      <alignment horizontal="center"/>
    </xf>
    <xf numFmtId="0" fontId="38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left" vertical="top" wrapText="1"/>
    </xf>
    <xf numFmtId="0" fontId="55" fillId="0" borderId="2" xfId="2" applyFont="1" applyFill="1" applyBorder="1" applyAlignment="1">
      <alignment horizontal="center"/>
    </xf>
    <xf numFmtId="0" fontId="55" fillId="0" borderId="3" xfId="2" applyFont="1" applyFill="1" applyBorder="1" applyAlignment="1">
      <alignment horizontal="center"/>
    </xf>
    <xf numFmtId="0" fontId="55" fillId="0" borderId="4" xfId="2" applyFont="1" applyFill="1" applyBorder="1" applyAlignment="1">
      <alignment horizontal="center"/>
    </xf>
    <xf numFmtId="0" fontId="55" fillId="0" borderId="6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left" vertical="center" wrapText="1"/>
    </xf>
    <xf numFmtId="0" fontId="17" fillId="7" borderId="14" xfId="0" applyFont="1" applyFill="1" applyBorder="1" applyAlignment="1">
      <alignment horizontal="center" vertical="center"/>
    </xf>
    <xf numFmtId="0" fontId="27" fillId="0" borderId="5" xfId="2" applyFont="1" applyFill="1" applyBorder="1" applyAlignment="1">
      <alignment horizontal="center"/>
    </xf>
    <xf numFmtId="0" fontId="27" fillId="0" borderId="6" xfId="2" applyFont="1" applyFill="1" applyBorder="1" applyAlignment="1">
      <alignment horizontal="center"/>
    </xf>
    <xf numFmtId="0" fontId="27" fillId="0" borderId="7" xfId="2" applyFont="1" applyFill="1" applyBorder="1" applyAlignment="1">
      <alignment horizontal="center"/>
    </xf>
    <xf numFmtId="0" fontId="27" fillId="0" borderId="8" xfId="2" applyFont="1" applyFill="1" applyBorder="1" applyAlignment="1">
      <alignment horizontal="center"/>
    </xf>
    <xf numFmtId="0" fontId="27" fillId="0" borderId="9" xfId="2" applyFont="1" applyFill="1" applyBorder="1" applyAlignment="1">
      <alignment horizontal="center"/>
    </xf>
    <xf numFmtId="0" fontId="27" fillId="0" borderId="10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left" vertical="center" wrapText="1"/>
    </xf>
    <xf numFmtId="0" fontId="27" fillId="0" borderId="0" xfId="2" applyFont="1" applyFill="1" applyBorder="1" applyAlignment="1">
      <alignment horizontal="center"/>
    </xf>
    <xf numFmtId="0" fontId="28" fillId="0" borderId="0" xfId="51" applyFont="1" applyFill="1" applyBorder="1"/>
    <xf numFmtId="0" fontId="3" fillId="0" borderId="0" xfId="2" applyFont="1" applyFill="1" applyBorder="1" applyAlignment="1">
      <alignment horizontal="center"/>
    </xf>
    <xf numFmtId="0" fontId="8" fillId="4" borderId="47" xfId="2" applyFont="1" applyFill="1" applyBorder="1" applyAlignment="1">
      <alignment horizontal="left" vertical="center" wrapText="1"/>
    </xf>
    <xf numFmtId="0" fontId="8" fillId="4" borderId="48" xfId="2" applyFont="1" applyFill="1" applyBorder="1" applyAlignment="1">
      <alignment horizontal="left" vertical="center" wrapText="1"/>
    </xf>
    <xf numFmtId="0" fontId="8" fillId="4" borderId="49" xfId="2" applyFont="1" applyFill="1" applyBorder="1" applyAlignment="1">
      <alignment horizontal="left" vertical="center" wrapText="1"/>
    </xf>
    <xf numFmtId="0" fontId="10" fillId="0" borderId="0" xfId="51" applyFont="1" applyFill="1" applyBorder="1" applyAlignment="1">
      <alignment horizontal="center" vertical="center"/>
    </xf>
    <xf numFmtId="0" fontId="23" fillId="0" borderId="0" xfId="51" applyFont="1" applyFill="1" applyBorder="1" applyAlignment="1">
      <alignment horizontal="center" vertical="center"/>
    </xf>
    <xf numFmtId="0" fontId="27" fillId="0" borderId="2" xfId="2" applyFont="1" applyFill="1" applyBorder="1" applyAlignment="1">
      <alignment horizontal="center"/>
    </xf>
    <xf numFmtId="0" fontId="27" fillId="0" borderId="3" xfId="2" applyFont="1" applyFill="1" applyBorder="1" applyAlignment="1">
      <alignment horizontal="center"/>
    </xf>
    <xf numFmtId="0" fontId="27" fillId="0" borderId="4" xfId="2" applyFont="1" applyFill="1" applyBorder="1" applyAlignment="1">
      <alignment horizontal="center"/>
    </xf>
    <xf numFmtId="0" fontId="27" fillId="0" borderId="1" xfId="2" applyFont="1" applyFill="1" applyBorder="1" applyAlignment="1">
      <alignment horizontal="center"/>
    </xf>
    <xf numFmtId="0" fontId="64" fillId="16" borderId="1" xfId="0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left" vertical="center"/>
    </xf>
    <xf numFmtId="0" fontId="8" fillId="0" borderId="11" xfId="2" applyFont="1" applyFill="1" applyBorder="1" applyAlignment="1">
      <alignment horizontal="left" vertical="center"/>
    </xf>
    <xf numFmtId="0" fontId="8" fillId="0" borderId="12" xfId="2" applyFont="1" applyFill="1" applyBorder="1" applyAlignment="1">
      <alignment horizontal="left" vertical="center"/>
    </xf>
    <xf numFmtId="0" fontId="27" fillId="0" borderId="13" xfId="2" applyFont="1" applyFill="1" applyBorder="1" applyAlignment="1">
      <alignment horizontal="center"/>
    </xf>
    <xf numFmtId="0" fontId="27" fillId="0" borderId="11" xfId="2" applyFont="1" applyFill="1" applyBorder="1" applyAlignment="1">
      <alignment horizontal="center"/>
    </xf>
    <xf numFmtId="0" fontId="27" fillId="0" borderId="12" xfId="2" applyFont="1" applyFill="1" applyBorder="1" applyAlignment="1">
      <alignment horizontal="center"/>
    </xf>
    <xf numFmtId="0" fontId="3" fillId="0" borderId="13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49" fontId="8" fillId="15" borderId="13" xfId="0" applyNumberFormat="1" applyFont="1" applyFill="1" applyBorder="1" applyAlignment="1">
      <alignment horizontal="center"/>
    </xf>
    <xf numFmtId="49" fontId="8" fillId="15" borderId="11" xfId="0" applyNumberFormat="1" applyFont="1" applyFill="1" applyBorder="1" applyAlignment="1">
      <alignment horizontal="center"/>
    </xf>
    <xf numFmtId="49" fontId="8" fillId="15" borderId="12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justify"/>
    </xf>
    <xf numFmtId="0" fontId="14" fillId="0" borderId="0" xfId="0" applyFont="1" applyFill="1" applyBorder="1" applyAlignment="1">
      <alignment horizontal="center" vertical="justify"/>
    </xf>
    <xf numFmtId="0" fontId="14" fillId="0" borderId="0" xfId="0" applyFont="1" applyFill="1" applyBorder="1" applyAlignment="1">
      <alignment horizontal="center" vertical="center"/>
    </xf>
    <xf numFmtId="0" fontId="15" fillId="0" borderId="13" xfId="2" applyFont="1" applyFill="1" applyBorder="1" applyAlignment="1">
      <alignment horizontal="center" vertical="center" wrapText="1"/>
    </xf>
    <xf numFmtId="0" fontId="15" fillId="0" borderId="11" xfId="2" applyFont="1" applyFill="1" applyBorder="1" applyAlignment="1">
      <alignment horizontal="center" vertical="center" wrapText="1"/>
    </xf>
    <xf numFmtId="0" fontId="15" fillId="0" borderId="12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0" fontId="27" fillId="0" borderId="13" xfId="0" applyFont="1" applyFill="1" applyBorder="1" applyAlignment="1">
      <alignment horizontal="center" wrapText="1"/>
    </xf>
    <xf numFmtId="0" fontId="27" fillId="0" borderId="11" xfId="0" applyFont="1" applyFill="1" applyBorder="1" applyAlignment="1">
      <alignment horizontal="center" wrapText="1"/>
    </xf>
    <xf numFmtId="0" fontId="48" fillId="15" borderId="15" xfId="0" applyFont="1" applyFill="1" applyBorder="1" applyAlignment="1">
      <alignment horizontal="center"/>
    </xf>
    <xf numFmtId="0" fontId="48" fillId="15" borderId="16" xfId="0" applyFont="1" applyFill="1" applyBorder="1" applyAlignment="1">
      <alignment horizontal="center"/>
    </xf>
    <xf numFmtId="0" fontId="48" fillId="15" borderId="17" xfId="0" applyFont="1" applyFill="1" applyBorder="1" applyAlignment="1">
      <alignment horizontal="center"/>
    </xf>
    <xf numFmtId="4" fontId="49" fillId="0" borderId="24" xfId="0" applyNumberFormat="1" applyFont="1" applyBorder="1" applyAlignment="1">
      <alignment horizontal="left" vertical="top" wrapText="1"/>
    </xf>
    <xf numFmtId="4" fontId="49" fillId="0" borderId="18" xfId="0" applyNumberFormat="1" applyFont="1" applyBorder="1" applyAlignment="1">
      <alignment horizontal="left" vertical="top" wrapText="1"/>
    </xf>
    <xf numFmtId="0" fontId="49" fillId="0" borderId="18" xfId="0" applyFont="1" applyBorder="1" applyAlignment="1">
      <alignment horizontal="left" vertical="top" wrapText="1"/>
    </xf>
    <xf numFmtId="0" fontId="49" fillId="0" borderId="25" xfId="0" applyFont="1" applyBorder="1" applyAlignment="1">
      <alignment horizontal="left" vertical="top" wrapText="1"/>
    </xf>
    <xf numFmtId="4" fontId="49" fillId="0" borderId="26" xfId="0" applyNumberFormat="1" applyFont="1" applyBorder="1" applyAlignment="1">
      <alignment horizontal="left" vertical="top" wrapText="1"/>
    </xf>
    <xf numFmtId="4" fontId="49" fillId="0" borderId="0" xfId="0" applyNumberFormat="1" applyFont="1" applyAlignment="1">
      <alignment horizontal="left" vertical="top" wrapText="1"/>
    </xf>
    <xf numFmtId="4" fontId="49" fillId="0" borderId="27" xfId="0" applyNumberFormat="1" applyFont="1" applyBorder="1" applyAlignment="1">
      <alignment horizontal="left" vertical="top" wrapText="1"/>
    </xf>
    <xf numFmtId="0" fontId="67" fillId="4" borderId="28" xfId="0" applyFont="1" applyFill="1" applyBorder="1" applyAlignment="1">
      <alignment horizontal="left" vertical="top" wrapText="1"/>
    </xf>
    <xf numFmtId="0" fontId="67" fillId="4" borderId="29" xfId="0" applyFont="1" applyFill="1" applyBorder="1" applyAlignment="1">
      <alignment horizontal="left" vertical="top" wrapText="1"/>
    </xf>
    <xf numFmtId="0" fontId="67" fillId="4" borderId="30" xfId="0" applyFont="1" applyFill="1" applyBorder="1" applyAlignment="1">
      <alignment horizontal="left" vertical="top" wrapText="1"/>
    </xf>
    <xf numFmtId="165" fontId="4" fillId="4" borderId="37" xfId="9" applyFont="1" applyFill="1" applyBorder="1" applyAlignment="1">
      <alignment horizontal="left" vertical="distributed" wrapText="1"/>
    </xf>
    <xf numFmtId="165" fontId="4" fillId="4" borderId="46" xfId="9" applyFont="1" applyFill="1" applyBorder="1" applyAlignment="1">
      <alignment horizontal="left" vertical="distributed" wrapText="1"/>
    </xf>
    <xf numFmtId="165" fontId="4" fillId="4" borderId="38" xfId="9" applyFont="1" applyFill="1" applyBorder="1" applyAlignment="1">
      <alignment horizontal="left" vertical="distributed" wrapText="1"/>
    </xf>
    <xf numFmtId="0" fontId="4" fillId="15" borderId="31" xfId="9" applyNumberFormat="1" applyFont="1" applyFill="1" applyBorder="1" applyAlignment="1">
      <alignment horizontal="center" vertical="center" wrapText="1"/>
    </xf>
    <xf numFmtId="165" fontId="4" fillId="4" borderId="34" xfId="9" applyFont="1" applyFill="1" applyBorder="1" applyAlignment="1">
      <alignment horizontal="center" vertical="distributed" wrapText="1"/>
    </xf>
    <xf numFmtId="165" fontId="4" fillId="4" borderId="35" xfId="9" applyFont="1" applyFill="1" applyBorder="1" applyAlignment="1">
      <alignment horizontal="center" vertical="distributed" wrapText="1"/>
    </xf>
    <xf numFmtId="165" fontId="4" fillId="4" borderId="37" xfId="9" applyFont="1" applyFill="1" applyBorder="1" applyAlignment="1">
      <alignment horizontal="center" vertical="distributed" wrapText="1"/>
    </xf>
    <xf numFmtId="165" fontId="4" fillId="4" borderId="38" xfId="9" applyFont="1" applyFill="1" applyBorder="1" applyAlignment="1">
      <alignment horizontal="center" vertical="distributed" wrapText="1"/>
    </xf>
    <xf numFmtId="165" fontId="4" fillId="13" borderId="36" xfId="9" applyFont="1" applyFill="1" applyBorder="1" applyAlignment="1">
      <alignment horizontal="center" vertical="distributed" wrapText="1"/>
    </xf>
    <xf numFmtId="165" fontId="4" fillId="13" borderId="39" xfId="9" applyFont="1" applyFill="1" applyBorder="1" applyAlignment="1">
      <alignment horizontal="center" vertical="distributed" wrapText="1"/>
    </xf>
    <xf numFmtId="165" fontId="4" fillId="4" borderId="31" xfId="9" applyFont="1" applyFill="1" applyBorder="1" applyAlignment="1">
      <alignment horizontal="justify" vertical="distributed" wrapText="1"/>
    </xf>
    <xf numFmtId="0" fontId="24" fillId="15" borderId="14" xfId="0" applyFont="1" applyFill="1" applyBorder="1" applyAlignment="1">
      <alignment horizontal="center"/>
    </xf>
    <xf numFmtId="170" fontId="4" fillId="4" borderId="50" xfId="9" applyNumberFormat="1" applyFont="1" applyFill="1" applyBorder="1" applyAlignment="1">
      <alignment horizontal="center" vertical="distributed" wrapText="1"/>
    </xf>
    <xf numFmtId="170" fontId="4" fillId="4" borderId="51" xfId="9" applyNumberFormat="1" applyFont="1" applyFill="1" applyBorder="1" applyAlignment="1">
      <alignment horizontal="center" vertical="distributed" wrapText="1"/>
    </xf>
    <xf numFmtId="170" fontId="4" fillId="4" borderId="37" xfId="9" applyNumberFormat="1" applyFont="1" applyFill="1" applyBorder="1" applyAlignment="1">
      <alignment horizontal="center" vertical="distributed" wrapText="1"/>
    </xf>
    <xf numFmtId="170" fontId="4" fillId="4" borderId="38" xfId="9" applyNumberFormat="1" applyFont="1" applyFill="1" applyBorder="1" applyAlignment="1">
      <alignment horizontal="center" vertical="distributed" wrapText="1"/>
    </xf>
    <xf numFmtId="0" fontId="24" fillId="13" borderId="31" xfId="0" applyFont="1" applyFill="1" applyBorder="1" applyAlignment="1">
      <alignment horizontal="center"/>
    </xf>
    <xf numFmtId="170" fontId="4" fillId="4" borderId="34" xfId="9" applyNumberFormat="1" applyFont="1" applyFill="1" applyBorder="1" applyAlignment="1">
      <alignment horizontal="center" vertical="distributed" wrapText="1"/>
    </xf>
    <xf numFmtId="170" fontId="4" fillId="4" borderId="35" xfId="9" applyNumberFormat="1" applyFont="1" applyFill="1" applyBorder="1" applyAlignment="1">
      <alignment horizontal="center" vertical="distributed" wrapText="1"/>
    </xf>
    <xf numFmtId="165" fontId="4" fillId="4" borderId="32" xfId="9" applyFont="1" applyFill="1" applyBorder="1" applyAlignment="1">
      <alignment horizontal="left" vertical="distributed" wrapText="1"/>
    </xf>
    <xf numFmtId="165" fontId="4" fillId="4" borderId="11" xfId="9" applyFont="1" applyFill="1" applyBorder="1" applyAlignment="1">
      <alignment horizontal="left" vertical="distributed" wrapText="1"/>
    </xf>
    <xf numFmtId="165" fontId="4" fillId="4" borderId="33" xfId="9" applyFont="1" applyFill="1" applyBorder="1" applyAlignment="1">
      <alignment horizontal="left" vertical="distributed" wrapText="1"/>
    </xf>
    <xf numFmtId="0" fontId="4" fillId="12" borderId="31" xfId="9" applyNumberFormat="1" applyFont="1" applyFill="1" applyBorder="1" applyAlignment="1">
      <alignment horizontal="justify" vertical="top" wrapText="1"/>
    </xf>
    <xf numFmtId="165" fontId="4" fillId="11" borderId="36" xfId="9" applyFont="1" applyFill="1" applyBorder="1" applyAlignment="1">
      <alignment horizontal="center" vertical="distributed" wrapText="1"/>
    </xf>
    <xf numFmtId="165" fontId="4" fillId="11" borderId="39" xfId="9" applyFont="1" applyFill="1" applyBorder="1" applyAlignment="1">
      <alignment horizontal="center" vertical="distributed" wrapText="1"/>
    </xf>
    <xf numFmtId="0" fontId="4" fillId="12" borderId="31" xfId="9" applyNumberFormat="1" applyFont="1" applyFill="1" applyBorder="1" applyAlignment="1">
      <alignment horizontal="left" vertical="top" wrapText="1"/>
    </xf>
    <xf numFmtId="0" fontId="4" fillId="12" borderId="31" xfId="9" applyNumberFormat="1" applyFont="1" applyFill="1" applyBorder="1" applyAlignment="1">
      <alignment horizontal="justify" vertical="distributed" wrapText="1"/>
    </xf>
    <xf numFmtId="0" fontId="48" fillId="2" borderId="15" xfId="0" applyFont="1" applyFill="1" applyBorder="1" applyAlignment="1">
      <alignment horizontal="center"/>
    </xf>
    <xf numFmtId="0" fontId="48" fillId="2" borderId="16" xfId="0" applyFont="1" applyFill="1" applyBorder="1" applyAlignment="1">
      <alignment horizontal="center"/>
    </xf>
    <xf numFmtId="0" fontId="48" fillId="2" borderId="17" xfId="0" applyFont="1" applyFill="1" applyBorder="1" applyAlignment="1">
      <alignment horizontal="center"/>
    </xf>
    <xf numFmtId="4" fontId="49" fillId="0" borderId="24" xfId="0" applyNumberFormat="1" applyFont="1" applyFill="1" applyBorder="1" applyAlignment="1">
      <alignment horizontal="left" vertical="top" wrapText="1"/>
    </xf>
    <xf numFmtId="4" fontId="49" fillId="0" borderId="18" xfId="0" applyNumberFormat="1" applyFont="1" applyFill="1" applyBorder="1" applyAlignment="1">
      <alignment horizontal="left" vertical="top" wrapText="1"/>
    </xf>
    <xf numFmtId="0" fontId="49" fillId="0" borderId="18" xfId="0" applyFont="1" applyFill="1" applyBorder="1" applyAlignment="1">
      <alignment horizontal="left" vertical="top" wrapText="1"/>
    </xf>
    <xf numFmtId="0" fontId="49" fillId="0" borderId="25" xfId="0" applyFont="1" applyFill="1" applyBorder="1" applyAlignment="1">
      <alignment horizontal="left" vertical="top" wrapText="1"/>
    </xf>
    <xf numFmtId="4" fontId="49" fillId="0" borderId="26" xfId="0" applyNumberFormat="1" applyFont="1" applyFill="1" applyBorder="1" applyAlignment="1">
      <alignment horizontal="left" vertical="top" wrapText="1"/>
    </xf>
    <xf numFmtId="4" fontId="49" fillId="0" borderId="0" xfId="0" applyNumberFormat="1" applyFont="1" applyFill="1" applyBorder="1" applyAlignment="1">
      <alignment horizontal="left" vertical="top" wrapText="1"/>
    </xf>
    <xf numFmtId="4" fontId="49" fillId="0" borderId="27" xfId="0" applyNumberFormat="1" applyFont="1" applyFill="1" applyBorder="1" applyAlignment="1">
      <alignment horizontal="left" vertical="top" wrapText="1"/>
    </xf>
    <xf numFmtId="0" fontId="49" fillId="4" borderId="28" xfId="0" applyFont="1" applyFill="1" applyBorder="1" applyAlignment="1">
      <alignment horizontal="left" vertical="top" wrapText="1"/>
    </xf>
    <xf numFmtId="0" fontId="49" fillId="4" borderId="29" xfId="0" applyFont="1" applyFill="1" applyBorder="1" applyAlignment="1">
      <alignment horizontal="left" vertical="top" wrapText="1"/>
    </xf>
    <xf numFmtId="0" fontId="49" fillId="4" borderId="30" xfId="0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horizontal="left" wrapText="1"/>
    </xf>
    <xf numFmtId="0" fontId="27" fillId="0" borderId="1" xfId="2" applyFont="1" applyFill="1" applyBorder="1" applyAlignment="1">
      <alignment horizontal="center" wrapText="1"/>
    </xf>
    <xf numFmtId="0" fontId="3" fillId="0" borderId="42" xfId="2" applyFont="1" applyFill="1" applyBorder="1" applyAlignment="1">
      <alignment horizontal="center" vertical="center"/>
    </xf>
    <xf numFmtId="0" fontId="3" fillId="0" borderId="40" xfId="2" applyFont="1" applyFill="1" applyBorder="1" applyAlignment="1">
      <alignment horizontal="center" vertical="center"/>
    </xf>
    <xf numFmtId="0" fontId="3" fillId="0" borderId="64" xfId="2" applyFont="1" applyFill="1" applyBorder="1" applyAlignment="1">
      <alignment horizontal="center" vertical="center"/>
    </xf>
    <xf numFmtId="0" fontId="3" fillId="0" borderId="46" xfId="2" applyFont="1" applyFill="1" applyBorder="1" applyAlignment="1">
      <alignment horizontal="center" vertical="center"/>
    </xf>
    <xf numFmtId="0" fontId="4" fillId="15" borderId="1" xfId="2" applyFont="1" applyFill="1" applyBorder="1" applyAlignment="1">
      <alignment horizontal="center" vertical="top"/>
    </xf>
    <xf numFmtId="0" fontId="13" fillId="0" borderId="13" xfId="2" applyFont="1" applyFill="1" applyBorder="1" applyAlignment="1">
      <alignment horizontal="left" vertical="center" wrapText="1"/>
    </xf>
    <xf numFmtId="0" fontId="13" fillId="0" borderId="11" xfId="2" applyFont="1" applyFill="1" applyBorder="1" applyAlignment="1">
      <alignment horizontal="left" vertical="center" wrapText="1"/>
    </xf>
    <xf numFmtId="0" fontId="13" fillId="0" borderId="12" xfId="2" applyFont="1" applyFill="1" applyBorder="1" applyAlignment="1">
      <alignment horizontal="left" vertical="center" wrapText="1"/>
    </xf>
    <xf numFmtId="4" fontId="63" fillId="16" borderId="42" xfId="2" applyNumberFormat="1" applyFont="1" applyFill="1" applyBorder="1" applyAlignment="1">
      <alignment horizontal="center" vertical="center"/>
    </xf>
    <xf numFmtId="4" fontId="63" fillId="16" borderId="45" xfId="2" applyNumberFormat="1" applyFont="1" applyFill="1" applyBorder="1" applyAlignment="1">
      <alignment horizontal="center" vertical="center"/>
    </xf>
    <xf numFmtId="0" fontId="63" fillId="16" borderId="1" xfId="2" applyFont="1" applyFill="1" applyBorder="1" applyAlignment="1">
      <alignment horizontal="center" vertical="center"/>
    </xf>
    <xf numFmtId="0" fontId="63" fillId="16" borderId="1" xfId="2" applyFont="1" applyFill="1" applyBorder="1" applyAlignment="1">
      <alignment horizontal="center" vertical="center" wrapText="1"/>
    </xf>
    <xf numFmtId="0" fontId="17" fillId="15" borderId="13" xfId="2" applyFont="1" applyFill="1" applyBorder="1" applyAlignment="1">
      <alignment horizontal="center" vertical="center"/>
    </xf>
    <xf numFmtId="0" fontId="17" fillId="15" borderId="11" xfId="2" applyFont="1" applyFill="1" applyBorder="1" applyAlignment="1">
      <alignment horizontal="center" vertical="center"/>
    </xf>
    <xf numFmtId="0" fontId="17" fillId="15" borderId="12" xfId="2" applyFont="1" applyFill="1" applyBorder="1" applyAlignment="1">
      <alignment horizontal="center" vertical="center"/>
    </xf>
    <xf numFmtId="4" fontId="39" fillId="0" borderId="0" xfId="0" applyNumberFormat="1" applyFont="1" applyAlignment="1">
      <alignment horizontal="center" vertical="center" wrapText="1"/>
    </xf>
  </cellXfs>
  <cellStyles count="58">
    <cellStyle name="Moeda" xfId="49" builtinId="4"/>
    <cellStyle name="Moeda 2" xfId="10" xr:uid="{00000000-0005-0000-0000-000001000000}"/>
    <cellStyle name="Moeda 3" xfId="14" xr:uid="{00000000-0005-0000-0000-000002000000}"/>
    <cellStyle name="Moeda 4" xfId="15" xr:uid="{00000000-0005-0000-0000-000003000000}"/>
    <cellStyle name="Moeda 5" xfId="16" xr:uid="{00000000-0005-0000-0000-000004000000}"/>
    <cellStyle name="Normal" xfId="0" builtinId="0"/>
    <cellStyle name="Normal 19" xfId="52" xr:uid="{00000000-0005-0000-0000-000006000000}"/>
    <cellStyle name="Normal 2" xfId="3" xr:uid="{00000000-0005-0000-0000-000007000000}"/>
    <cellStyle name="Normal 2 2" xfId="5" xr:uid="{00000000-0005-0000-0000-000008000000}"/>
    <cellStyle name="Normal 2 3" xfId="17" xr:uid="{00000000-0005-0000-0000-000009000000}"/>
    <cellStyle name="Normal 2 3 2" xfId="13" xr:uid="{00000000-0005-0000-0000-00000A000000}"/>
    <cellStyle name="Normal 2 4" xfId="18" xr:uid="{00000000-0005-0000-0000-00000B000000}"/>
    <cellStyle name="Normal 2 5" xfId="51" xr:uid="{00000000-0005-0000-0000-00000C000000}"/>
    <cellStyle name="Normal 3" xfId="6" xr:uid="{00000000-0005-0000-0000-00000D000000}"/>
    <cellStyle name="Normal 3 2" xfId="19" xr:uid="{00000000-0005-0000-0000-00000E000000}"/>
    <cellStyle name="Normal 3 2 2" xfId="20" xr:uid="{00000000-0005-0000-0000-00000F000000}"/>
    <cellStyle name="Normal 3 2 3" xfId="21" xr:uid="{00000000-0005-0000-0000-000010000000}"/>
    <cellStyle name="Normal 3 3" xfId="22" xr:uid="{00000000-0005-0000-0000-000011000000}"/>
    <cellStyle name="Normal 4" xfId="11" xr:uid="{00000000-0005-0000-0000-000012000000}"/>
    <cellStyle name="Normal 4 2" xfId="23" xr:uid="{00000000-0005-0000-0000-000013000000}"/>
    <cellStyle name="Normal 4 2 2" xfId="24" xr:uid="{00000000-0005-0000-0000-000014000000}"/>
    <cellStyle name="Normal 4 3" xfId="25" xr:uid="{00000000-0005-0000-0000-000015000000}"/>
    <cellStyle name="Normal 5" xfId="26" xr:uid="{00000000-0005-0000-0000-000016000000}"/>
    <cellStyle name="Normal 5 2" xfId="27" xr:uid="{00000000-0005-0000-0000-000017000000}"/>
    <cellStyle name="Normal 5 3" xfId="28" xr:uid="{00000000-0005-0000-0000-000018000000}"/>
    <cellStyle name="Normal 6" xfId="29" xr:uid="{00000000-0005-0000-0000-000019000000}"/>
    <cellStyle name="Normal 6 2" xfId="30" xr:uid="{00000000-0005-0000-0000-00001A000000}"/>
    <cellStyle name="Normal 7" xfId="31" xr:uid="{00000000-0005-0000-0000-00001B000000}"/>
    <cellStyle name="Normal 7 2" xfId="32" xr:uid="{00000000-0005-0000-0000-00001C000000}"/>
    <cellStyle name="Normal 7 4" xfId="57" xr:uid="{00000000-0005-0000-0000-00001D000000}"/>
    <cellStyle name="Normal 8" xfId="33" xr:uid="{00000000-0005-0000-0000-00001E000000}"/>
    <cellStyle name="Normal_cronograma 6 meses 2" xfId="2" xr:uid="{00000000-0005-0000-0000-00001F000000}"/>
    <cellStyle name="Porcentagem" xfId="1" builtinId="5"/>
    <cellStyle name="Porcentagem 2" xfId="7" xr:uid="{00000000-0005-0000-0000-000021000000}"/>
    <cellStyle name="Porcentagem 2 2" xfId="34" xr:uid="{00000000-0005-0000-0000-000022000000}"/>
    <cellStyle name="Porcentagem 2 2 2" xfId="35" xr:uid="{00000000-0005-0000-0000-000023000000}"/>
    <cellStyle name="Porcentagem 3" xfId="36" xr:uid="{00000000-0005-0000-0000-000024000000}"/>
    <cellStyle name="Porcentagem 7" xfId="53" xr:uid="{00000000-0005-0000-0000-000025000000}"/>
    <cellStyle name="Separador de milhares 2" xfId="8" xr:uid="{00000000-0005-0000-0000-000026000000}"/>
    <cellStyle name="Separador de milhares 2 2" xfId="37" xr:uid="{00000000-0005-0000-0000-000027000000}"/>
    <cellStyle name="Separador de milhares 2 2 2" xfId="38" xr:uid="{00000000-0005-0000-0000-000028000000}"/>
    <cellStyle name="Separador de milhares 2 2 2 2" xfId="39" xr:uid="{00000000-0005-0000-0000-000029000000}"/>
    <cellStyle name="Separador de milhares 3" xfId="4" xr:uid="{00000000-0005-0000-0000-00002A000000}"/>
    <cellStyle name="Separador de milhares 3 2" xfId="40" xr:uid="{00000000-0005-0000-0000-00002B000000}"/>
    <cellStyle name="Separador de milhares 3 3" xfId="41" xr:uid="{00000000-0005-0000-0000-00002C000000}"/>
    <cellStyle name="Separador de milhares 4" xfId="42" xr:uid="{00000000-0005-0000-0000-00002D000000}"/>
    <cellStyle name="Separador de milhares 4 2" xfId="43" xr:uid="{00000000-0005-0000-0000-00002E000000}"/>
    <cellStyle name="Separador de milhares 4 3" xfId="44" xr:uid="{00000000-0005-0000-0000-00002F000000}"/>
    <cellStyle name="Separador de milhares 4 4" xfId="54" xr:uid="{00000000-0005-0000-0000-000030000000}"/>
    <cellStyle name="Separador de milhares 5" xfId="45" xr:uid="{00000000-0005-0000-0000-000031000000}"/>
    <cellStyle name="Vírgula" xfId="55" builtinId="3"/>
    <cellStyle name="Vírgula 2" xfId="9" xr:uid="{00000000-0005-0000-0000-000033000000}"/>
    <cellStyle name="Vírgula 2 2" xfId="12" xr:uid="{00000000-0005-0000-0000-000034000000}"/>
    <cellStyle name="Vírgula 2 2 2" xfId="50" xr:uid="{00000000-0005-0000-0000-000035000000}"/>
    <cellStyle name="Vírgula 2 3" xfId="46" xr:uid="{00000000-0005-0000-0000-000036000000}"/>
    <cellStyle name="Vírgula 3" xfId="47" xr:uid="{00000000-0005-0000-0000-000037000000}"/>
    <cellStyle name="Vírgula 4" xfId="48" xr:uid="{00000000-0005-0000-0000-000038000000}"/>
    <cellStyle name="Vírgula 4 2" xfId="56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61</xdr:row>
      <xdr:rowOff>11301</xdr:rowOff>
    </xdr:from>
    <xdr:to>
      <xdr:col>1</xdr:col>
      <xdr:colOff>4000501</xdr:colOff>
      <xdr:row>64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3351" y="14698851"/>
          <a:ext cx="3943350" cy="684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61</xdr:row>
      <xdr:rowOff>19050</xdr:rowOff>
    </xdr:from>
    <xdr:to>
      <xdr:col>1</xdr:col>
      <xdr:colOff>3190875</xdr:colOff>
      <xdr:row>64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57225" y="14706600"/>
          <a:ext cx="2609850" cy="6191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61</xdr:row>
      <xdr:rowOff>0</xdr:rowOff>
    </xdr:from>
    <xdr:to>
      <xdr:col>1</xdr:col>
      <xdr:colOff>3415393</xdr:colOff>
      <xdr:row>64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3400" y="14687550"/>
          <a:ext cx="2958193" cy="685799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62</xdr:row>
      <xdr:rowOff>95250</xdr:rowOff>
    </xdr:from>
    <xdr:to>
      <xdr:col>1</xdr:col>
      <xdr:colOff>2333625</xdr:colOff>
      <xdr:row>64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952625" y="14963775"/>
          <a:ext cx="457200" cy="32384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62</xdr:row>
      <xdr:rowOff>57150</xdr:rowOff>
    </xdr:from>
    <xdr:to>
      <xdr:col>1</xdr:col>
      <xdr:colOff>2419349</xdr:colOff>
      <xdr:row>64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647824" y="14925675"/>
          <a:ext cx="847725" cy="44767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33</xdr:row>
          <xdr:rowOff>0</xdr:rowOff>
        </xdr:from>
        <xdr:to>
          <xdr:col>1</xdr:col>
          <xdr:colOff>4671060</xdr:colOff>
          <xdr:row>37</xdr:row>
          <xdr:rowOff>7620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61</xdr:row>
      <xdr:rowOff>11301</xdr:rowOff>
    </xdr:from>
    <xdr:to>
      <xdr:col>1</xdr:col>
      <xdr:colOff>4000501</xdr:colOff>
      <xdr:row>64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133351" y="14698851"/>
          <a:ext cx="3943350" cy="684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61</xdr:row>
      <xdr:rowOff>19050</xdr:rowOff>
    </xdr:from>
    <xdr:to>
      <xdr:col>1</xdr:col>
      <xdr:colOff>3190875</xdr:colOff>
      <xdr:row>64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657225" y="14706600"/>
          <a:ext cx="2609850" cy="6191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61</xdr:row>
      <xdr:rowOff>0</xdr:rowOff>
    </xdr:from>
    <xdr:to>
      <xdr:col>1</xdr:col>
      <xdr:colOff>3415393</xdr:colOff>
      <xdr:row>64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533400" y="14687550"/>
          <a:ext cx="2958193" cy="685799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62</xdr:row>
      <xdr:rowOff>95250</xdr:rowOff>
    </xdr:from>
    <xdr:to>
      <xdr:col>1</xdr:col>
      <xdr:colOff>2333625</xdr:colOff>
      <xdr:row>64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1952625" y="14963775"/>
          <a:ext cx="457200" cy="32384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62</xdr:row>
      <xdr:rowOff>57150</xdr:rowOff>
    </xdr:from>
    <xdr:to>
      <xdr:col>1</xdr:col>
      <xdr:colOff>2419349</xdr:colOff>
      <xdr:row>64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1647824" y="14925675"/>
          <a:ext cx="847725" cy="44767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34</xdr:row>
          <xdr:rowOff>0</xdr:rowOff>
        </xdr:from>
        <xdr:to>
          <xdr:col>1</xdr:col>
          <xdr:colOff>4671060</xdr:colOff>
          <xdr:row>38</xdr:row>
          <xdr:rowOff>7620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C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O/Downloads/Sec.%20Direitos%20Humanos/Ger&#234;ncia%20de%20Projetos/UFRPE/44.003%20-%20Pr&#233;dio%20de%206%20pavimentos/CD%20-%20VERS&#195;O%20FINAL25-09-07/PR&#201;DIO%20DE%206%20PAVIMENTOS/OR&#199;AMENTOS/orca-elet-refinaria%20por%20blo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&#233;Carlos/Desktop/aux%20fossa/_____FOSSA+SUMIDOURO-OROBO/_MODELO_CODIGOS_SINAPI_CLUBE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ADM. LOCAL - NAO DESONERADO)"/>
      <sheetName val="ADM. LOCAL - DESONERADO"/>
      <sheetName val="GERAL - ORIGINAL"/>
      <sheetName val="__MEMORIA DE CALCULO__"/>
      <sheetName val="(GERAL - SINAPI COM DESON)"/>
      <sheetName val="ORÇAMENTO COM DESON"/>
      <sheetName val="COMPOSICOES - SINAPI COM DESON"/>
      <sheetName val="COMP_BDI_EDIF_SECID COM DESON"/>
      <sheetName val="BDI EDIFIC SECID COM DESON"/>
      <sheetName val="COMP_ENCARGOS_SOCIAIS_COM_DESON"/>
      <sheetName val="_RESUMO COMPARATIVO_"/>
      <sheetName val="COTACOES"/>
      <sheetName val="(GERAL - SINAPI SEM DESON)"/>
      <sheetName val="ORÇAMENTO SEM DESON"/>
      <sheetName val="COMPOSICOES - SINAPI SEM DESON"/>
      <sheetName val="RESUMO_SEM_DESON"/>
      <sheetName val="CRONOGRAMA_SEM_DESON"/>
      <sheetName val="COMP_BDI_EDIF_SECID SEM DESON"/>
      <sheetName val="BDI EDIFIC SECID SEM DESON"/>
      <sheetName val="COMP_ENCARGOS_SOCIAIS_SEM_DESON"/>
      <sheetName val="_QCI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15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F61"/>
  <sheetViews>
    <sheetView view="pageBreakPreview" zoomScaleSheetLayoutView="100" workbookViewId="0">
      <selection activeCell="B2" sqref="B2:D2"/>
    </sheetView>
  </sheetViews>
  <sheetFormatPr defaultColWidth="9.109375" defaultRowHeight="13.8" x14ac:dyDescent="0.25"/>
  <cols>
    <col min="1" max="1" width="1.109375" style="91" customWidth="1"/>
    <col min="2" max="2" width="75.6640625" style="91" customWidth="1"/>
    <col min="3" max="3" width="10.109375" style="102" bestFit="1" customWidth="1"/>
    <col min="4" max="4" width="12" style="102" customWidth="1"/>
    <col min="5" max="5" width="11.44140625" style="91" customWidth="1"/>
    <col min="6" max="6" width="62.5546875" style="91" customWidth="1"/>
    <col min="7" max="16384" width="9.109375" style="91"/>
  </cols>
  <sheetData>
    <row r="1" spans="1:6" s="57" customFormat="1" ht="6.75" customHeight="1" x14ac:dyDescent="0.25">
      <c r="C1" s="58"/>
      <c r="D1" s="58"/>
    </row>
    <row r="2" spans="1:6" s="57" customFormat="1" ht="17.399999999999999" x14ac:dyDescent="0.3">
      <c r="B2" s="591" t="s">
        <v>137</v>
      </c>
      <c r="C2" s="591"/>
      <c r="D2" s="591"/>
    </row>
    <row r="3" spans="1:6" s="59" customFormat="1" ht="10.199999999999999" x14ac:dyDescent="0.2">
      <c r="B3" s="60"/>
      <c r="C3" s="60"/>
      <c r="D3" s="60"/>
    </row>
    <row r="4" spans="1:6" s="57" customFormat="1" ht="13.2" x14ac:dyDescent="0.25">
      <c r="B4" s="592" t="s">
        <v>748</v>
      </c>
      <c r="C4" s="592"/>
      <c r="D4" s="592"/>
    </row>
    <row r="5" spans="1:6" s="57" customFormat="1" ht="13.2" x14ac:dyDescent="0.25">
      <c r="B5" s="61"/>
      <c r="C5" s="61"/>
      <c r="D5" s="61"/>
    </row>
    <row r="6" spans="1:6" s="17" customFormat="1" ht="30.75" customHeight="1" x14ac:dyDescent="0.25">
      <c r="B6" s="593" t="str">
        <f>'(PLANILHA GERAL COM DESON)'!B6</f>
        <v>OBRA: EXECUÇÃO DE REPAROS EMERGENCIAIS E REFORMA DOS PRÉDIOS DAS ESCOLAS MUNICIPAIS E DA SEDE DA SECRETARIA DE EDUCAÇÃO DO MUNICÍPIO DE LIMOEIRO/PE</v>
      </c>
      <c r="C6" s="593"/>
      <c r="D6" s="593"/>
    </row>
    <row r="7" spans="1:6" s="17" customFormat="1" x14ac:dyDescent="0.25">
      <c r="B7" s="593" t="str">
        <f>'(PLANILHA GERAL COM DESON)'!B7</f>
        <v>LOCALIZAÇÃO: DIVERSAS LOCALIDADES, LIMOEIRO - PE</v>
      </c>
      <c r="C7" s="593"/>
      <c r="D7" s="593"/>
    </row>
    <row r="8" spans="1:6" s="57" customFormat="1" x14ac:dyDescent="0.25">
      <c r="B8" s="594" t="str">
        <f>'(PLANILHA GERAL COM DESON)'!B9</f>
        <v>DATA: JULHO/2017</v>
      </c>
      <c r="C8" s="594"/>
      <c r="D8" s="594"/>
    </row>
    <row r="9" spans="1:6" s="57" customFormat="1" ht="13.2" x14ac:dyDescent="0.25">
      <c r="B9" s="62"/>
      <c r="C9" s="63"/>
      <c r="D9" s="63"/>
    </row>
    <row r="10" spans="1:6" s="57" customFormat="1" ht="22.5" customHeight="1" x14ac:dyDescent="0.25">
      <c r="B10" s="64" t="s">
        <v>110</v>
      </c>
      <c r="C10" s="65" t="s">
        <v>111</v>
      </c>
      <c r="D10" s="65" t="s">
        <v>112</v>
      </c>
      <c r="F10" s="66" t="s">
        <v>113</v>
      </c>
    </row>
    <row r="11" spans="1:6" s="70" customFormat="1" x14ac:dyDescent="0.25">
      <c r="A11" s="67"/>
      <c r="B11" s="68"/>
      <c r="C11" s="69"/>
      <c r="D11" s="69"/>
    </row>
    <row r="12" spans="1:6" s="57" customFormat="1" x14ac:dyDescent="0.25">
      <c r="B12" s="71" t="s">
        <v>114</v>
      </c>
      <c r="C12" s="72" t="s">
        <v>115</v>
      </c>
      <c r="D12" s="73">
        <v>0.04</v>
      </c>
      <c r="E12" s="57" t="s">
        <v>138</v>
      </c>
      <c r="F12" s="74" t="s">
        <v>139</v>
      </c>
    </row>
    <row r="13" spans="1:6" s="57" customFormat="1" x14ac:dyDescent="0.25">
      <c r="B13" s="71"/>
      <c r="C13" s="72"/>
      <c r="D13" s="75"/>
    </row>
    <row r="14" spans="1:6" s="57" customFormat="1" x14ac:dyDescent="0.25">
      <c r="B14" s="71" t="s">
        <v>116</v>
      </c>
      <c r="C14" s="72" t="s">
        <v>117</v>
      </c>
      <c r="D14" s="73">
        <v>1.23E-2</v>
      </c>
      <c r="E14" s="57" t="s">
        <v>138</v>
      </c>
      <c r="F14" s="74" t="s">
        <v>140</v>
      </c>
    </row>
    <row r="15" spans="1:6" s="57" customFormat="1" x14ac:dyDescent="0.25">
      <c r="B15" s="71"/>
      <c r="C15" s="72"/>
      <c r="D15" s="76"/>
    </row>
    <row r="16" spans="1:6" s="57" customFormat="1" x14ac:dyDescent="0.25">
      <c r="B16" s="71" t="s">
        <v>118</v>
      </c>
      <c r="C16" s="72" t="s">
        <v>119</v>
      </c>
      <c r="D16" s="73">
        <v>9.7000000000000003E-3</v>
      </c>
      <c r="E16" s="57" t="s">
        <v>138</v>
      </c>
      <c r="F16" s="74" t="s">
        <v>141</v>
      </c>
    </row>
    <row r="17" spans="2:6" s="57" customFormat="1" x14ac:dyDescent="0.25">
      <c r="B17" s="71"/>
      <c r="C17" s="72"/>
      <c r="D17" s="76"/>
    </row>
    <row r="18" spans="2:6" s="57" customFormat="1" x14ac:dyDescent="0.25">
      <c r="B18" s="77" t="s">
        <v>142</v>
      </c>
      <c r="C18" s="78" t="s">
        <v>143</v>
      </c>
      <c r="D18" s="79">
        <v>8.0000000000000002E-3</v>
      </c>
      <c r="E18" s="57" t="s">
        <v>144</v>
      </c>
      <c r="F18" s="583" t="s">
        <v>145</v>
      </c>
    </row>
    <row r="19" spans="2:6" s="57" customFormat="1" x14ac:dyDescent="0.25">
      <c r="B19" s="71"/>
      <c r="C19" s="72"/>
      <c r="D19" s="80"/>
      <c r="F19" s="584"/>
    </row>
    <row r="20" spans="2:6" s="57" customFormat="1" x14ac:dyDescent="0.25">
      <c r="B20" s="71" t="s">
        <v>120</v>
      </c>
      <c r="C20" s="72" t="s">
        <v>120</v>
      </c>
      <c r="D20" s="80">
        <v>0.03</v>
      </c>
    </row>
    <row r="21" spans="2:6" s="57" customFormat="1" x14ac:dyDescent="0.25">
      <c r="B21" s="71" t="s">
        <v>121</v>
      </c>
      <c r="C21" s="72" t="s">
        <v>122</v>
      </c>
      <c r="D21" s="80">
        <v>0.02</v>
      </c>
      <c r="E21" s="81">
        <f>0.05*0.4</f>
        <v>2.0000000000000004E-2</v>
      </c>
      <c r="F21" s="57" t="s">
        <v>155</v>
      </c>
    </row>
    <row r="22" spans="2:6" s="57" customFormat="1" x14ac:dyDescent="0.25">
      <c r="B22" s="71" t="s">
        <v>123</v>
      </c>
      <c r="C22" s="72" t="s">
        <v>123</v>
      </c>
      <c r="D22" s="80">
        <v>6.4999999999999997E-3</v>
      </c>
    </row>
    <row r="23" spans="2:6" s="57" customFormat="1" x14ac:dyDescent="0.25">
      <c r="B23" s="71" t="s">
        <v>124</v>
      </c>
      <c r="C23" s="72" t="s">
        <v>125</v>
      </c>
      <c r="D23" s="80">
        <v>4.4999999999999998E-2</v>
      </c>
      <c r="E23" s="57" t="s">
        <v>126</v>
      </c>
    </row>
    <row r="24" spans="2:6" s="57" customFormat="1" x14ac:dyDescent="0.25">
      <c r="B24" s="71" t="s">
        <v>146</v>
      </c>
      <c r="C24" s="72" t="s">
        <v>127</v>
      </c>
      <c r="D24" s="73">
        <f>SUM(D20:D23)</f>
        <v>0.10150000000000001</v>
      </c>
    </row>
    <row r="25" spans="2:6" s="57" customFormat="1" x14ac:dyDescent="0.25">
      <c r="B25" s="71"/>
      <c r="C25" s="72"/>
      <c r="D25" s="80"/>
    </row>
    <row r="26" spans="2:6" s="57" customFormat="1" x14ac:dyDescent="0.25">
      <c r="B26" s="71" t="s">
        <v>128</v>
      </c>
      <c r="C26" s="72" t="s">
        <v>129</v>
      </c>
      <c r="D26" s="73">
        <v>6.1800000000000001E-2</v>
      </c>
      <c r="E26" s="57" t="s">
        <v>147</v>
      </c>
      <c r="F26" s="74" t="s">
        <v>148</v>
      </c>
    </row>
    <row r="27" spans="2:6" s="67" customFormat="1" x14ac:dyDescent="0.25">
      <c r="B27" s="68"/>
      <c r="C27" s="69"/>
      <c r="D27" s="82"/>
    </row>
    <row r="28" spans="2:6" s="57" customFormat="1" x14ac:dyDescent="0.25">
      <c r="B28" s="83" t="s">
        <v>130</v>
      </c>
      <c r="C28" s="84"/>
      <c r="D28" s="73">
        <f>ROUND((((1+D12+D18+D16)*(1+D14)*(1+D26))/(1-D24))-1,4)</f>
        <v>0.26529999999999998</v>
      </c>
      <c r="E28" s="85" t="s">
        <v>149</v>
      </c>
    </row>
    <row r="29" spans="2:6" s="57" customFormat="1" ht="13.2" x14ac:dyDescent="0.25">
      <c r="C29" s="58"/>
      <c r="D29" s="86"/>
      <c r="F29" s="74" t="s">
        <v>150</v>
      </c>
    </row>
    <row r="30" spans="2:6" s="57" customFormat="1" ht="13.2" x14ac:dyDescent="0.25">
      <c r="C30" s="58"/>
      <c r="D30" s="58"/>
    </row>
    <row r="31" spans="2:6" s="57" customFormat="1" ht="13.2" x14ac:dyDescent="0.25">
      <c r="C31" s="58"/>
      <c r="D31" s="58"/>
    </row>
    <row r="32" spans="2:6" s="57" customFormat="1" ht="15" x14ac:dyDescent="0.25">
      <c r="B32" s="87" t="s">
        <v>131</v>
      </c>
      <c r="C32" s="58"/>
      <c r="D32" s="58"/>
    </row>
    <row r="33" spans="2:6" x14ac:dyDescent="0.25">
      <c r="B33" s="88"/>
      <c r="C33" s="89"/>
      <c r="D33" s="90"/>
    </row>
    <row r="34" spans="2:6" x14ac:dyDescent="0.25">
      <c r="B34" s="92"/>
      <c r="C34" s="93"/>
      <c r="D34" s="94"/>
    </row>
    <row r="35" spans="2:6" x14ac:dyDescent="0.25">
      <c r="B35" s="92"/>
      <c r="C35" s="93"/>
      <c r="D35" s="94"/>
    </row>
    <row r="36" spans="2:6" x14ac:dyDescent="0.25">
      <c r="B36" s="92"/>
      <c r="C36" s="93"/>
      <c r="D36" s="94"/>
    </row>
    <row r="37" spans="2:6" x14ac:dyDescent="0.25">
      <c r="B37" s="92"/>
      <c r="C37" s="93"/>
      <c r="D37" s="94"/>
    </row>
    <row r="38" spans="2:6" x14ac:dyDescent="0.25">
      <c r="B38" s="95"/>
      <c r="C38" s="96"/>
      <c r="D38" s="97"/>
    </row>
    <row r="39" spans="2:6" x14ac:dyDescent="0.25">
      <c r="B39" s="98"/>
      <c r="C39" s="93"/>
      <c r="D39" s="93"/>
    </row>
    <row r="40" spans="2:6" x14ac:dyDescent="0.25">
      <c r="B40" s="98" t="s">
        <v>132</v>
      </c>
      <c r="C40" s="93"/>
      <c r="D40" s="93"/>
    </row>
    <row r="41" spans="2:6" s="99" customFormat="1" x14ac:dyDescent="0.25">
      <c r="B41" s="585" t="s">
        <v>133</v>
      </c>
      <c r="C41" s="585"/>
      <c r="D41" s="585"/>
    </row>
    <row r="42" spans="2:6" s="99" customFormat="1" ht="48" customHeight="1" x14ac:dyDescent="0.25">
      <c r="B42" s="586" t="s">
        <v>156</v>
      </c>
      <c r="C42" s="586"/>
      <c r="D42" s="586"/>
    </row>
    <row r="43" spans="2:6" ht="98.25" customHeight="1" x14ac:dyDescent="0.25">
      <c r="B43" s="587" t="s">
        <v>151</v>
      </c>
      <c r="C43" s="587"/>
      <c r="D43" s="587"/>
      <c r="F43" s="100" t="s">
        <v>134</v>
      </c>
    </row>
    <row r="44" spans="2:6" x14ac:dyDescent="0.25">
      <c r="B44" s="101"/>
      <c r="C44" s="93"/>
      <c r="D44" s="93"/>
    </row>
    <row r="46" spans="2:6" x14ac:dyDescent="0.25">
      <c r="B46" s="91" t="s">
        <v>135</v>
      </c>
    </row>
    <row r="47" spans="2:6" ht="135" customHeight="1" x14ac:dyDescent="0.25">
      <c r="B47" s="588" t="s">
        <v>152</v>
      </c>
      <c r="C47" s="589"/>
      <c r="D47" s="590"/>
    </row>
    <row r="59" spans="2:4" s="57" customFormat="1" ht="13.2" x14ac:dyDescent="0.25">
      <c r="C59" s="58"/>
      <c r="D59" s="58"/>
    </row>
    <row r="60" spans="2:4" s="57" customFormat="1" ht="13.2" x14ac:dyDescent="0.25">
      <c r="C60" s="58"/>
      <c r="D60" s="58"/>
    </row>
    <row r="61" spans="2:4" x14ac:dyDescent="0.25">
      <c r="B61" s="91" t="s">
        <v>136</v>
      </c>
    </row>
  </sheetData>
  <mergeCells count="10">
    <mergeCell ref="B2:D2"/>
    <mergeCell ref="B4:D4"/>
    <mergeCell ref="B6:D6"/>
    <mergeCell ref="B7:D7"/>
    <mergeCell ref="B8:D8"/>
    <mergeCell ref="F18:F19"/>
    <mergeCell ref="B41:D41"/>
    <mergeCell ref="B42:D42"/>
    <mergeCell ref="B43:D43"/>
    <mergeCell ref="B47:D47"/>
  </mergeCells>
  <printOptions horizontalCentered="1"/>
  <pageMargins left="0.59055118110236227" right="0.59055118110236227" top="1.5748031496062993" bottom="0.59055118110236227" header="0.55118110236220474" footer="0.39370078740157483"/>
  <pageSetup paperSize="9" scale="88" orientation="portrait" horizontalDpi="300" verticalDpi="300" r:id="rId1"/>
  <headerFooter>
    <oddHeader>&amp;C&amp;G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2049" r:id="rId5">
          <objectPr defaultSize="0" autoPict="0" r:id="rId6">
            <anchor moveWithCells="1" sizeWithCells="1">
              <from>
                <xdr:col>1</xdr:col>
                <xdr:colOff>38100</xdr:colOff>
                <xdr:row>33</xdr:row>
                <xdr:rowOff>0</xdr:rowOff>
              </from>
              <to>
                <xdr:col>1</xdr:col>
                <xdr:colOff>4671060</xdr:colOff>
                <xdr:row>37</xdr:row>
                <xdr:rowOff>7620</xdr:rowOff>
              </to>
            </anchor>
          </objectPr>
        </oleObject>
      </mc:Choice>
      <mc:Fallback>
        <oleObject progId="Equation.3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14D3C-3371-493B-9D9E-F393C38F0AF9}">
  <sheetPr>
    <tabColor theme="5" tint="-0.249977111117893"/>
  </sheetPr>
  <dimension ref="A1:L383"/>
  <sheetViews>
    <sheetView view="pageBreakPreview" topLeftCell="A15" zoomScale="111" zoomScaleNormal="100" zoomScaleSheetLayoutView="111" workbookViewId="0">
      <pane ySplit="852" topLeftCell="A46" activePane="bottomLeft"/>
      <selection sqref="A1:XFD1048576"/>
      <selection pane="bottomLeft" activeCell="D58" sqref="D58"/>
    </sheetView>
  </sheetViews>
  <sheetFormatPr defaultRowHeight="10.199999999999999" x14ac:dyDescent="0.2"/>
  <cols>
    <col min="1" max="1" width="12.44140625" style="122" customWidth="1"/>
    <col min="2" max="2" width="10.88671875" style="122" customWidth="1"/>
    <col min="3" max="3" width="50.44140625" style="122" customWidth="1"/>
    <col min="4" max="4" width="8.88671875" style="122"/>
    <col min="5" max="5" width="9" style="122" customWidth="1"/>
    <col min="6" max="6" width="9.5546875" style="122" customWidth="1"/>
    <col min="7" max="7" width="12.88671875" style="122" bestFit="1" customWidth="1"/>
    <col min="8" max="257" width="8.88671875" style="122"/>
    <col min="258" max="258" width="17.5546875" style="122" customWidth="1"/>
    <col min="259" max="259" width="47.5546875" style="122" customWidth="1"/>
    <col min="260" max="260" width="8.88671875" style="122"/>
    <col min="261" max="261" width="10.33203125" style="122" customWidth="1"/>
    <col min="262" max="262" width="11.6640625" style="122" customWidth="1"/>
    <col min="263" max="263" width="15.88671875" style="122" customWidth="1"/>
    <col min="264" max="513" width="8.88671875" style="122"/>
    <col min="514" max="514" width="17.5546875" style="122" customWidth="1"/>
    <col min="515" max="515" width="47.5546875" style="122" customWidth="1"/>
    <col min="516" max="516" width="8.88671875" style="122"/>
    <col min="517" max="517" width="10.33203125" style="122" customWidth="1"/>
    <col min="518" max="518" width="11.6640625" style="122" customWidth="1"/>
    <col min="519" max="519" width="15.88671875" style="122" customWidth="1"/>
    <col min="520" max="769" width="8.88671875" style="122"/>
    <col min="770" max="770" width="17.5546875" style="122" customWidth="1"/>
    <col min="771" max="771" width="47.5546875" style="122" customWidth="1"/>
    <col min="772" max="772" width="8.88671875" style="122"/>
    <col min="773" max="773" width="10.33203125" style="122" customWidth="1"/>
    <col min="774" max="774" width="11.6640625" style="122" customWidth="1"/>
    <col min="775" max="775" width="15.88671875" style="122" customWidth="1"/>
    <col min="776" max="1025" width="8.88671875" style="122"/>
    <col min="1026" max="1026" width="17.5546875" style="122" customWidth="1"/>
    <col min="1027" max="1027" width="47.5546875" style="122" customWidth="1"/>
    <col min="1028" max="1028" width="8.88671875" style="122"/>
    <col min="1029" max="1029" width="10.33203125" style="122" customWidth="1"/>
    <col min="1030" max="1030" width="11.6640625" style="122" customWidth="1"/>
    <col min="1031" max="1031" width="15.88671875" style="122" customWidth="1"/>
    <col min="1032" max="1281" width="8.88671875" style="122"/>
    <col min="1282" max="1282" width="17.5546875" style="122" customWidth="1"/>
    <col min="1283" max="1283" width="47.5546875" style="122" customWidth="1"/>
    <col min="1284" max="1284" width="8.88671875" style="122"/>
    <col min="1285" max="1285" width="10.33203125" style="122" customWidth="1"/>
    <col min="1286" max="1286" width="11.6640625" style="122" customWidth="1"/>
    <col min="1287" max="1287" width="15.88671875" style="122" customWidth="1"/>
    <col min="1288" max="1537" width="8.88671875" style="122"/>
    <col min="1538" max="1538" width="17.5546875" style="122" customWidth="1"/>
    <col min="1539" max="1539" width="47.5546875" style="122" customWidth="1"/>
    <col min="1540" max="1540" width="8.88671875" style="122"/>
    <col min="1541" max="1541" width="10.33203125" style="122" customWidth="1"/>
    <col min="1542" max="1542" width="11.6640625" style="122" customWidth="1"/>
    <col min="1543" max="1543" width="15.88671875" style="122" customWidth="1"/>
    <col min="1544" max="1793" width="8.88671875" style="122"/>
    <col min="1794" max="1794" width="17.5546875" style="122" customWidth="1"/>
    <col min="1795" max="1795" width="47.5546875" style="122" customWidth="1"/>
    <col min="1796" max="1796" width="8.88671875" style="122"/>
    <col min="1797" max="1797" width="10.33203125" style="122" customWidth="1"/>
    <col min="1798" max="1798" width="11.6640625" style="122" customWidth="1"/>
    <col min="1799" max="1799" width="15.88671875" style="122" customWidth="1"/>
    <col min="1800" max="2049" width="8.88671875" style="122"/>
    <col min="2050" max="2050" width="17.5546875" style="122" customWidth="1"/>
    <col min="2051" max="2051" width="47.5546875" style="122" customWidth="1"/>
    <col min="2052" max="2052" width="8.88671875" style="122"/>
    <col min="2053" max="2053" width="10.33203125" style="122" customWidth="1"/>
    <col min="2054" max="2054" width="11.6640625" style="122" customWidth="1"/>
    <col min="2055" max="2055" width="15.88671875" style="122" customWidth="1"/>
    <col min="2056" max="2305" width="8.88671875" style="122"/>
    <col min="2306" max="2306" width="17.5546875" style="122" customWidth="1"/>
    <col min="2307" max="2307" width="47.5546875" style="122" customWidth="1"/>
    <col min="2308" max="2308" width="8.88671875" style="122"/>
    <col min="2309" max="2309" width="10.33203125" style="122" customWidth="1"/>
    <col min="2310" max="2310" width="11.6640625" style="122" customWidth="1"/>
    <col min="2311" max="2311" width="15.88671875" style="122" customWidth="1"/>
    <col min="2312" max="2561" width="8.88671875" style="122"/>
    <col min="2562" max="2562" width="17.5546875" style="122" customWidth="1"/>
    <col min="2563" max="2563" width="47.5546875" style="122" customWidth="1"/>
    <col min="2564" max="2564" width="8.88671875" style="122"/>
    <col min="2565" max="2565" width="10.33203125" style="122" customWidth="1"/>
    <col min="2566" max="2566" width="11.6640625" style="122" customWidth="1"/>
    <col min="2567" max="2567" width="15.88671875" style="122" customWidth="1"/>
    <col min="2568" max="2817" width="8.88671875" style="122"/>
    <col min="2818" max="2818" width="17.5546875" style="122" customWidth="1"/>
    <col min="2819" max="2819" width="47.5546875" style="122" customWidth="1"/>
    <col min="2820" max="2820" width="8.88671875" style="122"/>
    <col min="2821" max="2821" width="10.33203125" style="122" customWidth="1"/>
    <col min="2822" max="2822" width="11.6640625" style="122" customWidth="1"/>
    <col min="2823" max="2823" width="15.88671875" style="122" customWidth="1"/>
    <col min="2824" max="3073" width="8.88671875" style="122"/>
    <col min="3074" max="3074" width="17.5546875" style="122" customWidth="1"/>
    <col min="3075" max="3075" width="47.5546875" style="122" customWidth="1"/>
    <col min="3076" max="3076" width="8.88671875" style="122"/>
    <col min="3077" max="3077" width="10.33203125" style="122" customWidth="1"/>
    <col min="3078" max="3078" width="11.6640625" style="122" customWidth="1"/>
    <col min="3079" max="3079" width="15.88671875" style="122" customWidth="1"/>
    <col min="3080" max="3329" width="8.88671875" style="122"/>
    <col min="3330" max="3330" width="17.5546875" style="122" customWidth="1"/>
    <col min="3331" max="3331" width="47.5546875" style="122" customWidth="1"/>
    <col min="3332" max="3332" width="8.88671875" style="122"/>
    <col min="3333" max="3333" width="10.33203125" style="122" customWidth="1"/>
    <col min="3334" max="3334" width="11.6640625" style="122" customWidth="1"/>
    <col min="3335" max="3335" width="15.88671875" style="122" customWidth="1"/>
    <col min="3336" max="3585" width="8.88671875" style="122"/>
    <col min="3586" max="3586" width="17.5546875" style="122" customWidth="1"/>
    <col min="3587" max="3587" width="47.5546875" style="122" customWidth="1"/>
    <col min="3588" max="3588" width="8.88671875" style="122"/>
    <col min="3589" max="3589" width="10.33203125" style="122" customWidth="1"/>
    <col min="3590" max="3590" width="11.6640625" style="122" customWidth="1"/>
    <col min="3591" max="3591" width="15.88671875" style="122" customWidth="1"/>
    <col min="3592" max="3841" width="8.88671875" style="122"/>
    <col min="3842" max="3842" width="17.5546875" style="122" customWidth="1"/>
    <col min="3843" max="3843" width="47.5546875" style="122" customWidth="1"/>
    <col min="3844" max="3844" width="8.88671875" style="122"/>
    <col min="3845" max="3845" width="10.33203125" style="122" customWidth="1"/>
    <col min="3846" max="3846" width="11.6640625" style="122" customWidth="1"/>
    <col min="3847" max="3847" width="15.88671875" style="122" customWidth="1"/>
    <col min="3848" max="4097" width="8.88671875" style="122"/>
    <col min="4098" max="4098" width="17.5546875" style="122" customWidth="1"/>
    <col min="4099" max="4099" width="47.5546875" style="122" customWidth="1"/>
    <col min="4100" max="4100" width="8.88671875" style="122"/>
    <col min="4101" max="4101" width="10.33203125" style="122" customWidth="1"/>
    <col min="4102" max="4102" width="11.6640625" style="122" customWidth="1"/>
    <col min="4103" max="4103" width="15.88671875" style="122" customWidth="1"/>
    <col min="4104" max="4353" width="8.88671875" style="122"/>
    <col min="4354" max="4354" width="17.5546875" style="122" customWidth="1"/>
    <col min="4355" max="4355" width="47.5546875" style="122" customWidth="1"/>
    <col min="4356" max="4356" width="8.88671875" style="122"/>
    <col min="4357" max="4357" width="10.33203125" style="122" customWidth="1"/>
    <col min="4358" max="4358" width="11.6640625" style="122" customWidth="1"/>
    <col min="4359" max="4359" width="15.88671875" style="122" customWidth="1"/>
    <col min="4360" max="4609" width="8.88671875" style="122"/>
    <col min="4610" max="4610" width="17.5546875" style="122" customWidth="1"/>
    <col min="4611" max="4611" width="47.5546875" style="122" customWidth="1"/>
    <col min="4612" max="4612" width="8.88671875" style="122"/>
    <col min="4613" max="4613" width="10.33203125" style="122" customWidth="1"/>
    <col min="4614" max="4614" width="11.6640625" style="122" customWidth="1"/>
    <col min="4615" max="4615" width="15.88671875" style="122" customWidth="1"/>
    <col min="4616" max="4865" width="8.88671875" style="122"/>
    <col min="4866" max="4866" width="17.5546875" style="122" customWidth="1"/>
    <col min="4867" max="4867" width="47.5546875" style="122" customWidth="1"/>
    <col min="4868" max="4868" width="8.88671875" style="122"/>
    <col min="4869" max="4869" width="10.33203125" style="122" customWidth="1"/>
    <col min="4870" max="4870" width="11.6640625" style="122" customWidth="1"/>
    <col min="4871" max="4871" width="15.88671875" style="122" customWidth="1"/>
    <col min="4872" max="5121" width="8.88671875" style="122"/>
    <col min="5122" max="5122" width="17.5546875" style="122" customWidth="1"/>
    <col min="5123" max="5123" width="47.5546875" style="122" customWidth="1"/>
    <col min="5124" max="5124" width="8.88671875" style="122"/>
    <col min="5125" max="5125" width="10.33203125" style="122" customWidth="1"/>
    <col min="5126" max="5126" width="11.6640625" style="122" customWidth="1"/>
    <col min="5127" max="5127" width="15.88671875" style="122" customWidth="1"/>
    <col min="5128" max="5377" width="8.88671875" style="122"/>
    <col min="5378" max="5378" width="17.5546875" style="122" customWidth="1"/>
    <col min="5379" max="5379" width="47.5546875" style="122" customWidth="1"/>
    <col min="5380" max="5380" width="8.88671875" style="122"/>
    <col min="5381" max="5381" width="10.33203125" style="122" customWidth="1"/>
    <col min="5382" max="5382" width="11.6640625" style="122" customWidth="1"/>
    <col min="5383" max="5383" width="15.88671875" style="122" customWidth="1"/>
    <col min="5384" max="5633" width="8.88671875" style="122"/>
    <col min="5634" max="5634" width="17.5546875" style="122" customWidth="1"/>
    <col min="5635" max="5635" width="47.5546875" style="122" customWidth="1"/>
    <col min="5636" max="5636" width="8.88671875" style="122"/>
    <col min="5637" max="5637" width="10.33203125" style="122" customWidth="1"/>
    <col min="5638" max="5638" width="11.6640625" style="122" customWidth="1"/>
    <col min="5639" max="5639" width="15.88671875" style="122" customWidth="1"/>
    <col min="5640" max="5889" width="8.88671875" style="122"/>
    <col min="5890" max="5890" width="17.5546875" style="122" customWidth="1"/>
    <col min="5891" max="5891" width="47.5546875" style="122" customWidth="1"/>
    <col min="5892" max="5892" width="8.88671875" style="122"/>
    <col min="5893" max="5893" width="10.33203125" style="122" customWidth="1"/>
    <col min="5894" max="5894" width="11.6640625" style="122" customWidth="1"/>
    <col min="5895" max="5895" width="15.88671875" style="122" customWidth="1"/>
    <col min="5896" max="6145" width="8.88671875" style="122"/>
    <col min="6146" max="6146" width="17.5546875" style="122" customWidth="1"/>
    <col min="6147" max="6147" width="47.5546875" style="122" customWidth="1"/>
    <col min="6148" max="6148" width="8.88671875" style="122"/>
    <col min="6149" max="6149" width="10.33203125" style="122" customWidth="1"/>
    <col min="6150" max="6150" width="11.6640625" style="122" customWidth="1"/>
    <col min="6151" max="6151" width="15.88671875" style="122" customWidth="1"/>
    <col min="6152" max="6401" width="8.88671875" style="122"/>
    <col min="6402" max="6402" width="17.5546875" style="122" customWidth="1"/>
    <col min="6403" max="6403" width="47.5546875" style="122" customWidth="1"/>
    <col min="6404" max="6404" width="8.88671875" style="122"/>
    <col min="6405" max="6405" width="10.33203125" style="122" customWidth="1"/>
    <col min="6406" max="6406" width="11.6640625" style="122" customWidth="1"/>
    <col min="6407" max="6407" width="15.88671875" style="122" customWidth="1"/>
    <col min="6408" max="6657" width="8.88671875" style="122"/>
    <col min="6658" max="6658" width="17.5546875" style="122" customWidth="1"/>
    <col min="6659" max="6659" width="47.5546875" style="122" customWidth="1"/>
    <col min="6660" max="6660" width="8.88671875" style="122"/>
    <col min="6661" max="6661" width="10.33203125" style="122" customWidth="1"/>
    <col min="6662" max="6662" width="11.6640625" style="122" customWidth="1"/>
    <col min="6663" max="6663" width="15.88671875" style="122" customWidth="1"/>
    <col min="6664" max="6913" width="8.88671875" style="122"/>
    <col min="6914" max="6914" width="17.5546875" style="122" customWidth="1"/>
    <col min="6915" max="6915" width="47.5546875" style="122" customWidth="1"/>
    <col min="6916" max="6916" width="8.88671875" style="122"/>
    <col min="6917" max="6917" width="10.33203125" style="122" customWidth="1"/>
    <col min="6918" max="6918" width="11.6640625" style="122" customWidth="1"/>
    <col min="6919" max="6919" width="15.88671875" style="122" customWidth="1"/>
    <col min="6920" max="7169" width="8.88671875" style="122"/>
    <col min="7170" max="7170" width="17.5546875" style="122" customWidth="1"/>
    <col min="7171" max="7171" width="47.5546875" style="122" customWidth="1"/>
    <col min="7172" max="7172" width="8.88671875" style="122"/>
    <col min="7173" max="7173" width="10.33203125" style="122" customWidth="1"/>
    <col min="7174" max="7174" width="11.6640625" style="122" customWidth="1"/>
    <col min="7175" max="7175" width="15.88671875" style="122" customWidth="1"/>
    <col min="7176" max="7425" width="8.88671875" style="122"/>
    <col min="7426" max="7426" width="17.5546875" style="122" customWidth="1"/>
    <col min="7427" max="7427" width="47.5546875" style="122" customWidth="1"/>
    <col min="7428" max="7428" width="8.88671875" style="122"/>
    <col min="7429" max="7429" width="10.33203125" style="122" customWidth="1"/>
    <col min="7430" max="7430" width="11.6640625" style="122" customWidth="1"/>
    <col min="7431" max="7431" width="15.88671875" style="122" customWidth="1"/>
    <col min="7432" max="7681" width="8.88671875" style="122"/>
    <col min="7682" max="7682" width="17.5546875" style="122" customWidth="1"/>
    <col min="7683" max="7683" width="47.5546875" style="122" customWidth="1"/>
    <col min="7684" max="7684" width="8.88671875" style="122"/>
    <col min="7685" max="7685" width="10.33203125" style="122" customWidth="1"/>
    <col min="7686" max="7686" width="11.6640625" style="122" customWidth="1"/>
    <col min="7687" max="7687" width="15.88671875" style="122" customWidth="1"/>
    <col min="7688" max="7937" width="8.88671875" style="122"/>
    <col min="7938" max="7938" width="17.5546875" style="122" customWidth="1"/>
    <col min="7939" max="7939" width="47.5546875" style="122" customWidth="1"/>
    <col min="7940" max="7940" width="8.88671875" style="122"/>
    <col min="7941" max="7941" width="10.33203125" style="122" customWidth="1"/>
    <col min="7942" max="7942" width="11.6640625" style="122" customWidth="1"/>
    <col min="7943" max="7943" width="15.88671875" style="122" customWidth="1"/>
    <col min="7944" max="8193" width="8.88671875" style="122"/>
    <col min="8194" max="8194" width="17.5546875" style="122" customWidth="1"/>
    <col min="8195" max="8195" width="47.5546875" style="122" customWidth="1"/>
    <col min="8196" max="8196" width="8.88671875" style="122"/>
    <col min="8197" max="8197" width="10.33203125" style="122" customWidth="1"/>
    <col min="8198" max="8198" width="11.6640625" style="122" customWidth="1"/>
    <col min="8199" max="8199" width="15.88671875" style="122" customWidth="1"/>
    <col min="8200" max="8449" width="8.88671875" style="122"/>
    <col min="8450" max="8450" width="17.5546875" style="122" customWidth="1"/>
    <col min="8451" max="8451" width="47.5546875" style="122" customWidth="1"/>
    <col min="8452" max="8452" width="8.88671875" style="122"/>
    <col min="8453" max="8453" width="10.33203125" style="122" customWidth="1"/>
    <col min="8454" max="8454" width="11.6640625" style="122" customWidth="1"/>
    <col min="8455" max="8455" width="15.88671875" style="122" customWidth="1"/>
    <col min="8456" max="8705" width="8.88671875" style="122"/>
    <col min="8706" max="8706" width="17.5546875" style="122" customWidth="1"/>
    <col min="8707" max="8707" width="47.5546875" style="122" customWidth="1"/>
    <col min="8708" max="8708" width="8.88671875" style="122"/>
    <col min="8709" max="8709" width="10.33203125" style="122" customWidth="1"/>
    <col min="8710" max="8710" width="11.6640625" style="122" customWidth="1"/>
    <col min="8711" max="8711" width="15.88671875" style="122" customWidth="1"/>
    <col min="8712" max="8961" width="8.88671875" style="122"/>
    <col min="8962" max="8962" width="17.5546875" style="122" customWidth="1"/>
    <col min="8963" max="8963" width="47.5546875" style="122" customWidth="1"/>
    <col min="8964" max="8964" width="8.88671875" style="122"/>
    <col min="8965" max="8965" width="10.33203125" style="122" customWidth="1"/>
    <col min="8966" max="8966" width="11.6640625" style="122" customWidth="1"/>
    <col min="8967" max="8967" width="15.88671875" style="122" customWidth="1"/>
    <col min="8968" max="9217" width="8.88671875" style="122"/>
    <col min="9218" max="9218" width="17.5546875" style="122" customWidth="1"/>
    <col min="9219" max="9219" width="47.5546875" style="122" customWidth="1"/>
    <col min="9220" max="9220" width="8.88671875" style="122"/>
    <col min="9221" max="9221" width="10.33203125" style="122" customWidth="1"/>
    <col min="9222" max="9222" width="11.6640625" style="122" customWidth="1"/>
    <col min="9223" max="9223" width="15.88671875" style="122" customWidth="1"/>
    <col min="9224" max="9473" width="8.88671875" style="122"/>
    <col min="9474" max="9474" width="17.5546875" style="122" customWidth="1"/>
    <col min="9475" max="9475" width="47.5546875" style="122" customWidth="1"/>
    <col min="9476" max="9476" width="8.88671875" style="122"/>
    <col min="9477" max="9477" width="10.33203125" style="122" customWidth="1"/>
    <col min="9478" max="9478" width="11.6640625" style="122" customWidth="1"/>
    <col min="9479" max="9479" width="15.88671875" style="122" customWidth="1"/>
    <col min="9480" max="9729" width="8.88671875" style="122"/>
    <col min="9730" max="9730" width="17.5546875" style="122" customWidth="1"/>
    <col min="9731" max="9731" width="47.5546875" style="122" customWidth="1"/>
    <col min="9732" max="9732" width="8.88671875" style="122"/>
    <col min="9733" max="9733" width="10.33203125" style="122" customWidth="1"/>
    <col min="9734" max="9734" width="11.6640625" style="122" customWidth="1"/>
    <col min="9735" max="9735" width="15.88671875" style="122" customWidth="1"/>
    <col min="9736" max="9985" width="8.88671875" style="122"/>
    <col min="9986" max="9986" width="17.5546875" style="122" customWidth="1"/>
    <col min="9987" max="9987" width="47.5546875" style="122" customWidth="1"/>
    <col min="9988" max="9988" width="8.88671875" style="122"/>
    <col min="9989" max="9989" width="10.33203125" style="122" customWidth="1"/>
    <col min="9990" max="9990" width="11.6640625" style="122" customWidth="1"/>
    <col min="9991" max="9991" width="15.88671875" style="122" customWidth="1"/>
    <col min="9992" max="10241" width="8.88671875" style="122"/>
    <col min="10242" max="10242" width="17.5546875" style="122" customWidth="1"/>
    <col min="10243" max="10243" width="47.5546875" style="122" customWidth="1"/>
    <col min="10244" max="10244" width="8.88671875" style="122"/>
    <col min="10245" max="10245" width="10.33203125" style="122" customWidth="1"/>
    <col min="10246" max="10246" width="11.6640625" style="122" customWidth="1"/>
    <col min="10247" max="10247" width="15.88671875" style="122" customWidth="1"/>
    <col min="10248" max="10497" width="8.88671875" style="122"/>
    <col min="10498" max="10498" width="17.5546875" style="122" customWidth="1"/>
    <col min="10499" max="10499" width="47.5546875" style="122" customWidth="1"/>
    <col min="10500" max="10500" width="8.88671875" style="122"/>
    <col min="10501" max="10501" width="10.33203125" style="122" customWidth="1"/>
    <col min="10502" max="10502" width="11.6640625" style="122" customWidth="1"/>
    <col min="10503" max="10503" width="15.88671875" style="122" customWidth="1"/>
    <col min="10504" max="10753" width="8.88671875" style="122"/>
    <col min="10754" max="10754" width="17.5546875" style="122" customWidth="1"/>
    <col min="10755" max="10755" width="47.5546875" style="122" customWidth="1"/>
    <col min="10756" max="10756" width="8.88671875" style="122"/>
    <col min="10757" max="10757" width="10.33203125" style="122" customWidth="1"/>
    <col min="10758" max="10758" width="11.6640625" style="122" customWidth="1"/>
    <col min="10759" max="10759" width="15.88671875" style="122" customWidth="1"/>
    <col min="10760" max="11009" width="8.88671875" style="122"/>
    <col min="11010" max="11010" width="17.5546875" style="122" customWidth="1"/>
    <col min="11011" max="11011" width="47.5546875" style="122" customWidth="1"/>
    <col min="11012" max="11012" width="8.88671875" style="122"/>
    <col min="11013" max="11013" width="10.33203125" style="122" customWidth="1"/>
    <col min="11014" max="11014" width="11.6640625" style="122" customWidth="1"/>
    <col min="11015" max="11015" width="15.88671875" style="122" customWidth="1"/>
    <col min="11016" max="11265" width="8.88671875" style="122"/>
    <col min="11266" max="11266" width="17.5546875" style="122" customWidth="1"/>
    <col min="11267" max="11267" width="47.5546875" style="122" customWidth="1"/>
    <col min="11268" max="11268" width="8.88671875" style="122"/>
    <col min="11269" max="11269" width="10.33203125" style="122" customWidth="1"/>
    <col min="11270" max="11270" width="11.6640625" style="122" customWidth="1"/>
    <col min="11271" max="11271" width="15.88671875" style="122" customWidth="1"/>
    <col min="11272" max="11521" width="8.88671875" style="122"/>
    <col min="11522" max="11522" width="17.5546875" style="122" customWidth="1"/>
    <col min="11523" max="11523" width="47.5546875" style="122" customWidth="1"/>
    <col min="11524" max="11524" width="8.88671875" style="122"/>
    <col min="11525" max="11525" width="10.33203125" style="122" customWidth="1"/>
    <col min="11526" max="11526" width="11.6640625" style="122" customWidth="1"/>
    <col min="11527" max="11527" width="15.88671875" style="122" customWidth="1"/>
    <col min="11528" max="11777" width="8.88671875" style="122"/>
    <col min="11778" max="11778" width="17.5546875" style="122" customWidth="1"/>
    <col min="11779" max="11779" width="47.5546875" style="122" customWidth="1"/>
    <col min="11780" max="11780" width="8.88671875" style="122"/>
    <col min="11781" max="11781" width="10.33203125" style="122" customWidth="1"/>
    <col min="11782" max="11782" width="11.6640625" style="122" customWidth="1"/>
    <col min="11783" max="11783" width="15.88671875" style="122" customWidth="1"/>
    <col min="11784" max="12033" width="8.88671875" style="122"/>
    <col min="12034" max="12034" width="17.5546875" style="122" customWidth="1"/>
    <col min="12035" max="12035" width="47.5546875" style="122" customWidth="1"/>
    <col min="12036" max="12036" width="8.88671875" style="122"/>
    <col min="12037" max="12037" width="10.33203125" style="122" customWidth="1"/>
    <col min="12038" max="12038" width="11.6640625" style="122" customWidth="1"/>
    <col min="12039" max="12039" width="15.88671875" style="122" customWidth="1"/>
    <col min="12040" max="12289" width="8.88671875" style="122"/>
    <col min="12290" max="12290" width="17.5546875" style="122" customWidth="1"/>
    <col min="12291" max="12291" width="47.5546875" style="122" customWidth="1"/>
    <col min="12292" max="12292" width="8.88671875" style="122"/>
    <col min="12293" max="12293" width="10.33203125" style="122" customWidth="1"/>
    <col min="12294" max="12294" width="11.6640625" style="122" customWidth="1"/>
    <col min="12295" max="12295" width="15.88671875" style="122" customWidth="1"/>
    <col min="12296" max="12545" width="8.88671875" style="122"/>
    <col min="12546" max="12546" width="17.5546875" style="122" customWidth="1"/>
    <col min="12547" max="12547" width="47.5546875" style="122" customWidth="1"/>
    <col min="12548" max="12548" width="8.88671875" style="122"/>
    <col min="12549" max="12549" width="10.33203125" style="122" customWidth="1"/>
    <col min="12550" max="12550" width="11.6640625" style="122" customWidth="1"/>
    <col min="12551" max="12551" width="15.88671875" style="122" customWidth="1"/>
    <col min="12552" max="12801" width="8.88671875" style="122"/>
    <col min="12802" max="12802" width="17.5546875" style="122" customWidth="1"/>
    <col min="12803" max="12803" width="47.5546875" style="122" customWidth="1"/>
    <col min="12804" max="12804" width="8.88671875" style="122"/>
    <col min="12805" max="12805" width="10.33203125" style="122" customWidth="1"/>
    <col min="12806" max="12806" width="11.6640625" style="122" customWidth="1"/>
    <col min="12807" max="12807" width="15.88671875" style="122" customWidth="1"/>
    <col min="12808" max="13057" width="8.88671875" style="122"/>
    <col min="13058" max="13058" width="17.5546875" style="122" customWidth="1"/>
    <col min="13059" max="13059" width="47.5546875" style="122" customWidth="1"/>
    <col min="13060" max="13060" width="8.88671875" style="122"/>
    <col min="13061" max="13061" width="10.33203125" style="122" customWidth="1"/>
    <col min="13062" max="13062" width="11.6640625" style="122" customWidth="1"/>
    <col min="13063" max="13063" width="15.88671875" style="122" customWidth="1"/>
    <col min="13064" max="13313" width="8.88671875" style="122"/>
    <col min="13314" max="13314" width="17.5546875" style="122" customWidth="1"/>
    <col min="13315" max="13315" width="47.5546875" style="122" customWidth="1"/>
    <col min="13316" max="13316" width="8.88671875" style="122"/>
    <col min="13317" max="13317" width="10.33203125" style="122" customWidth="1"/>
    <col min="13318" max="13318" width="11.6640625" style="122" customWidth="1"/>
    <col min="13319" max="13319" width="15.88671875" style="122" customWidth="1"/>
    <col min="13320" max="13569" width="8.88671875" style="122"/>
    <col min="13570" max="13570" width="17.5546875" style="122" customWidth="1"/>
    <col min="13571" max="13571" width="47.5546875" style="122" customWidth="1"/>
    <col min="13572" max="13572" width="8.88671875" style="122"/>
    <col min="13573" max="13573" width="10.33203125" style="122" customWidth="1"/>
    <col min="13574" max="13574" width="11.6640625" style="122" customWidth="1"/>
    <col min="13575" max="13575" width="15.88671875" style="122" customWidth="1"/>
    <col min="13576" max="13825" width="8.88671875" style="122"/>
    <col min="13826" max="13826" width="17.5546875" style="122" customWidth="1"/>
    <col min="13827" max="13827" width="47.5546875" style="122" customWidth="1"/>
    <col min="13828" max="13828" width="8.88671875" style="122"/>
    <col min="13829" max="13829" width="10.33203125" style="122" customWidth="1"/>
    <col min="13830" max="13830" width="11.6640625" style="122" customWidth="1"/>
    <col min="13831" max="13831" width="15.88671875" style="122" customWidth="1"/>
    <col min="13832" max="14081" width="8.88671875" style="122"/>
    <col min="14082" max="14082" width="17.5546875" style="122" customWidth="1"/>
    <col min="14083" max="14083" width="47.5546875" style="122" customWidth="1"/>
    <col min="14084" max="14084" width="8.88671875" style="122"/>
    <col min="14085" max="14085" width="10.33203125" style="122" customWidth="1"/>
    <col min="14086" max="14086" width="11.6640625" style="122" customWidth="1"/>
    <col min="14087" max="14087" width="15.88671875" style="122" customWidth="1"/>
    <col min="14088" max="14337" width="8.88671875" style="122"/>
    <col min="14338" max="14338" width="17.5546875" style="122" customWidth="1"/>
    <col min="14339" max="14339" width="47.5546875" style="122" customWidth="1"/>
    <col min="14340" max="14340" width="8.88671875" style="122"/>
    <col min="14341" max="14341" width="10.33203125" style="122" customWidth="1"/>
    <col min="14342" max="14342" width="11.6640625" style="122" customWidth="1"/>
    <col min="14343" max="14343" width="15.88671875" style="122" customWidth="1"/>
    <col min="14344" max="14593" width="8.88671875" style="122"/>
    <col min="14594" max="14594" width="17.5546875" style="122" customWidth="1"/>
    <col min="14595" max="14595" width="47.5546875" style="122" customWidth="1"/>
    <col min="14596" max="14596" width="8.88671875" style="122"/>
    <col min="14597" max="14597" width="10.33203125" style="122" customWidth="1"/>
    <col min="14598" max="14598" width="11.6640625" style="122" customWidth="1"/>
    <col min="14599" max="14599" width="15.88671875" style="122" customWidth="1"/>
    <col min="14600" max="14849" width="8.88671875" style="122"/>
    <col min="14850" max="14850" width="17.5546875" style="122" customWidth="1"/>
    <col min="14851" max="14851" width="47.5546875" style="122" customWidth="1"/>
    <col min="14852" max="14852" width="8.88671875" style="122"/>
    <col min="14853" max="14853" width="10.33203125" style="122" customWidth="1"/>
    <col min="14854" max="14854" width="11.6640625" style="122" customWidth="1"/>
    <col min="14855" max="14855" width="15.88671875" style="122" customWidth="1"/>
    <col min="14856" max="15105" width="8.88671875" style="122"/>
    <col min="15106" max="15106" width="17.5546875" style="122" customWidth="1"/>
    <col min="15107" max="15107" width="47.5546875" style="122" customWidth="1"/>
    <col min="15108" max="15108" width="8.88671875" style="122"/>
    <col min="15109" max="15109" width="10.33203125" style="122" customWidth="1"/>
    <col min="15110" max="15110" width="11.6640625" style="122" customWidth="1"/>
    <col min="15111" max="15111" width="15.88671875" style="122" customWidth="1"/>
    <col min="15112" max="15361" width="8.88671875" style="122"/>
    <col min="15362" max="15362" width="17.5546875" style="122" customWidth="1"/>
    <col min="15363" max="15363" width="47.5546875" style="122" customWidth="1"/>
    <col min="15364" max="15364" width="8.88671875" style="122"/>
    <col min="15365" max="15365" width="10.33203125" style="122" customWidth="1"/>
    <col min="15366" max="15366" width="11.6640625" style="122" customWidth="1"/>
    <col min="15367" max="15367" width="15.88671875" style="122" customWidth="1"/>
    <col min="15368" max="15617" width="8.88671875" style="122"/>
    <col min="15618" max="15618" width="17.5546875" style="122" customWidth="1"/>
    <col min="15619" max="15619" width="47.5546875" style="122" customWidth="1"/>
    <col min="15620" max="15620" width="8.88671875" style="122"/>
    <col min="15621" max="15621" width="10.33203125" style="122" customWidth="1"/>
    <col min="15622" max="15622" width="11.6640625" style="122" customWidth="1"/>
    <col min="15623" max="15623" width="15.88671875" style="122" customWidth="1"/>
    <col min="15624" max="15873" width="8.88671875" style="122"/>
    <col min="15874" max="15874" width="17.5546875" style="122" customWidth="1"/>
    <col min="15875" max="15875" width="47.5546875" style="122" customWidth="1"/>
    <col min="15876" max="15876" width="8.88671875" style="122"/>
    <col min="15877" max="15877" width="10.33203125" style="122" customWidth="1"/>
    <col min="15878" max="15878" width="11.6640625" style="122" customWidth="1"/>
    <col min="15879" max="15879" width="15.88671875" style="122" customWidth="1"/>
    <col min="15880" max="16129" width="8.88671875" style="122"/>
    <col min="16130" max="16130" width="17.5546875" style="122" customWidth="1"/>
    <col min="16131" max="16131" width="47.5546875" style="122" customWidth="1"/>
    <col min="16132" max="16132" width="8.88671875" style="122"/>
    <col min="16133" max="16133" width="10.33203125" style="122" customWidth="1"/>
    <col min="16134" max="16134" width="11.6640625" style="122" customWidth="1"/>
    <col min="16135" max="16135" width="15.88671875" style="122" customWidth="1"/>
    <col min="16136" max="16384" width="8.88671875" style="122"/>
  </cols>
  <sheetData>
    <row r="1" spans="1:7" ht="10.8" thickBot="1" x14ac:dyDescent="0.25"/>
    <row r="2" spans="1:7" ht="20.399999999999999" thickBot="1" x14ac:dyDescent="0.45">
      <c r="A2" s="646" t="s">
        <v>76</v>
      </c>
      <c r="B2" s="647"/>
      <c r="C2" s="647"/>
      <c r="D2" s="647"/>
      <c r="E2" s="647"/>
      <c r="F2" s="647"/>
      <c r="G2" s="648"/>
    </row>
    <row r="3" spans="1:7" ht="15" thickBot="1" x14ac:dyDescent="0.35">
      <c r="A3" s="18"/>
      <c r="B3" s="18"/>
      <c r="C3" s="18"/>
      <c r="D3" s="18"/>
      <c r="E3" s="18"/>
      <c r="F3" s="18"/>
      <c r="G3" s="18"/>
    </row>
    <row r="4" spans="1:7" ht="23.4" customHeight="1" thickBot="1" x14ac:dyDescent="0.25">
      <c r="A4" s="649" t="str">
        <f>'ORÇAMENTO SEM DESON'!A1:I1</f>
        <v>REFORMA DO CENTRO DE CONVIVÊNCIA DOS IDOSOS DO MUNICÍPIO DE LIMOEIRO-PE</v>
      </c>
      <c r="B4" s="650" t="e">
        <f>'[3](GERAL - SINAPI COM DESON)'!B6</f>
        <v>#REF!</v>
      </c>
      <c r="C4" s="651"/>
      <c r="D4" s="651"/>
      <c r="E4" s="651"/>
      <c r="F4" s="651"/>
      <c r="G4" s="652"/>
    </row>
    <row r="5" spans="1:7" ht="23.4" customHeight="1" x14ac:dyDescent="0.2">
      <c r="A5" s="649" t="str">
        <f>'ORÇAMENTO SEM DESON'!A4</f>
        <v>LOCALIZAÇÃO: LIMOEIRO - PE</v>
      </c>
      <c r="B5" s="650" t="e">
        <f>'[3](GERAL - SINAPI COM DESON)'!B7</f>
        <v>#REF!</v>
      </c>
      <c r="C5" s="651"/>
      <c r="D5" s="651"/>
      <c r="E5" s="651"/>
      <c r="F5" s="651"/>
      <c r="G5" s="652"/>
    </row>
    <row r="6" spans="1:7" ht="15" customHeight="1" x14ac:dyDescent="0.2">
      <c r="A6" s="653" t="str">
        <f>'ORÇAMENTO SEM DESON'!A5</f>
        <v>FONTES DE PREÇOS: EMLURB 2018 / SINAPI JANEIRO-2022 / SEINFRA 027 MARÇO-2021 - SEM DESONERAÇÃO (BDI = 20,84%)</v>
      </c>
      <c r="B6" s="654"/>
      <c r="C6" s="654"/>
      <c r="D6" s="654"/>
      <c r="E6" s="654"/>
      <c r="F6" s="654"/>
      <c r="G6" s="655"/>
    </row>
    <row r="7" spans="1:7" ht="15" customHeight="1" x14ac:dyDescent="0.2">
      <c r="A7" s="653" t="str">
        <f>'ORÇAMENTO SEM DESON'!A6</f>
        <v>DATA: ABRIL/2022</v>
      </c>
      <c r="B7" s="654"/>
      <c r="C7" s="654"/>
      <c r="D7" s="654"/>
      <c r="E7" s="654"/>
      <c r="F7" s="654"/>
      <c r="G7" s="655"/>
    </row>
    <row r="8" spans="1:7" ht="15.75" customHeight="1" thickBot="1" x14ac:dyDescent="0.25">
      <c r="A8" s="656"/>
      <c r="B8" s="657"/>
      <c r="C8" s="657"/>
      <c r="D8" s="657"/>
      <c r="E8" s="657"/>
      <c r="F8" s="657"/>
      <c r="G8" s="658"/>
    </row>
    <row r="10" spans="1:7" s="19" customFormat="1" ht="15.6" x14ac:dyDescent="0.3">
      <c r="A10" s="670"/>
      <c r="B10" s="670"/>
      <c r="C10" s="670"/>
      <c r="D10" s="670"/>
      <c r="E10" s="670"/>
      <c r="F10" s="670"/>
      <c r="G10" s="670"/>
    </row>
    <row r="11" spans="1:7" s="19" customFormat="1" ht="11.25" customHeight="1" x14ac:dyDescent="0.2">
      <c r="A11" s="671" t="s">
        <v>180</v>
      </c>
      <c r="B11" s="672"/>
      <c r="C11" s="569"/>
      <c r="D11" s="659"/>
      <c r="E11" s="660"/>
      <c r="F11" s="660"/>
      <c r="G11" s="661"/>
    </row>
    <row r="12" spans="1:7" s="19" customFormat="1" ht="51.6" customHeight="1" x14ac:dyDescent="0.2">
      <c r="A12" s="671"/>
      <c r="B12" s="672"/>
      <c r="C12" s="204" t="s">
        <v>72</v>
      </c>
      <c r="D12" s="662" t="s">
        <v>1294</v>
      </c>
      <c r="E12" s="662"/>
      <c r="F12" s="662"/>
      <c r="G12" s="662"/>
    </row>
    <row r="13" spans="1:7" s="19" customFormat="1" ht="11.25" customHeight="1" x14ac:dyDescent="0.2">
      <c r="A13" s="671"/>
      <c r="B13" s="672"/>
      <c r="C13" s="204" t="s">
        <v>73</v>
      </c>
      <c r="D13" s="205" t="s">
        <v>33</v>
      </c>
      <c r="E13" s="663" t="s">
        <v>74</v>
      </c>
      <c r="F13" s="664"/>
      <c r="G13" s="667">
        <f>G21</f>
        <v>435.44</v>
      </c>
    </row>
    <row r="14" spans="1:7" s="19" customFormat="1" x14ac:dyDescent="0.2">
      <c r="A14" s="673"/>
      <c r="B14" s="674"/>
      <c r="C14" s="204" t="s">
        <v>70</v>
      </c>
      <c r="D14" s="205">
        <v>1</v>
      </c>
      <c r="E14" s="665"/>
      <c r="F14" s="666"/>
      <c r="G14" s="668"/>
    </row>
    <row r="15" spans="1:7" s="19" customFormat="1" x14ac:dyDescent="0.2">
      <c r="A15" s="206"/>
      <c r="B15" s="206"/>
      <c r="C15" s="548"/>
      <c r="D15" s="548"/>
      <c r="E15" s="669"/>
      <c r="F15" s="669"/>
      <c r="G15" s="209"/>
    </row>
    <row r="16" spans="1:7" s="19" customFormat="1" ht="21.75" customHeight="1" x14ac:dyDescent="0.2">
      <c r="A16" s="570" t="s">
        <v>522</v>
      </c>
      <c r="B16" s="570" t="s">
        <v>523</v>
      </c>
      <c r="C16" s="571" t="s">
        <v>75</v>
      </c>
      <c r="D16" s="571" t="s">
        <v>73</v>
      </c>
      <c r="E16" s="572" t="s">
        <v>524</v>
      </c>
      <c r="F16" s="572" t="s">
        <v>525</v>
      </c>
      <c r="G16" s="572" t="s">
        <v>526</v>
      </c>
    </row>
    <row r="17" spans="1:8" s="19" customFormat="1" ht="30.6" x14ac:dyDescent="0.2">
      <c r="A17" s="213" t="s">
        <v>89</v>
      </c>
      <c r="B17" s="213">
        <v>4351</v>
      </c>
      <c r="C17" s="214" t="s">
        <v>1295</v>
      </c>
      <c r="D17" s="567" t="s">
        <v>416</v>
      </c>
      <c r="E17" s="216">
        <v>12</v>
      </c>
      <c r="F17" s="568">
        <v>20.57</v>
      </c>
      <c r="G17" s="209">
        <f t="shared" ref="G17:G20" si="0">E17*F17</f>
        <v>246.84</v>
      </c>
    </row>
    <row r="18" spans="1:8" s="19" customFormat="1" x14ac:dyDescent="0.2">
      <c r="A18" s="218" t="s">
        <v>1298</v>
      </c>
      <c r="B18" s="218"/>
      <c r="C18" s="219" t="s">
        <v>1299</v>
      </c>
      <c r="D18" s="567" t="s">
        <v>416</v>
      </c>
      <c r="E18" s="216">
        <v>1</v>
      </c>
      <c r="F18" s="22">
        <f>(163.93+129+115.4)/3</f>
        <v>136.11000000000001</v>
      </c>
      <c r="G18" s="209">
        <f t="shared" si="0"/>
        <v>136.11000000000001</v>
      </c>
    </row>
    <row r="19" spans="1:8" s="19" customFormat="1" ht="20.399999999999999" x14ac:dyDescent="0.2">
      <c r="A19" s="218" t="s">
        <v>89</v>
      </c>
      <c r="B19" s="218" t="s">
        <v>1296</v>
      </c>
      <c r="C19" s="219" t="s">
        <v>1293</v>
      </c>
      <c r="D19" s="567" t="s">
        <v>531</v>
      </c>
      <c r="E19" s="216">
        <f>0.9485*2</f>
        <v>1.897</v>
      </c>
      <c r="F19" s="22">
        <v>21.94</v>
      </c>
      <c r="G19" s="209">
        <f t="shared" ref="G19" si="1">E19*F19</f>
        <v>41.620180000000005</v>
      </c>
    </row>
    <row r="20" spans="1:8" s="19" customFormat="1" x14ac:dyDescent="0.2">
      <c r="A20" s="218" t="s">
        <v>89</v>
      </c>
      <c r="B20" s="218" t="s">
        <v>1297</v>
      </c>
      <c r="C20" s="219" t="s">
        <v>532</v>
      </c>
      <c r="D20" s="567" t="s">
        <v>531</v>
      </c>
      <c r="E20" s="216">
        <f>0.2988*2</f>
        <v>0.59760000000000002</v>
      </c>
      <c r="F20" s="22">
        <v>18.190000000000001</v>
      </c>
      <c r="G20" s="209">
        <f t="shared" si="0"/>
        <v>10.870344000000001</v>
      </c>
    </row>
    <row r="21" spans="1:8" s="19" customFormat="1" x14ac:dyDescent="0.2">
      <c r="A21" s="21"/>
      <c r="B21" s="21"/>
      <c r="C21" s="220"/>
      <c r="D21" s="21"/>
      <c r="E21" s="21"/>
      <c r="F21" s="573" t="s">
        <v>35</v>
      </c>
      <c r="G21" s="571">
        <f>TRUNC(SUM(G17:G20),2)</f>
        <v>435.44</v>
      </c>
      <c r="H21" s="19" t="s">
        <v>533</v>
      </c>
    </row>
    <row r="22" spans="1:8" s="19" customFormat="1" x14ac:dyDescent="0.2"/>
    <row r="23" spans="1:8" s="19" customFormat="1" ht="15.6" x14ac:dyDescent="0.3">
      <c r="A23" s="670"/>
      <c r="B23" s="670"/>
      <c r="C23" s="670"/>
      <c r="D23" s="670"/>
      <c r="E23" s="670"/>
      <c r="F23" s="670"/>
      <c r="G23" s="670"/>
    </row>
    <row r="24" spans="1:8" s="19" customFormat="1" ht="11.25" customHeight="1" x14ac:dyDescent="0.2">
      <c r="A24" s="671" t="s">
        <v>539</v>
      </c>
      <c r="B24" s="672"/>
      <c r="C24" s="569"/>
      <c r="D24" s="659"/>
      <c r="E24" s="660"/>
      <c r="F24" s="660"/>
      <c r="G24" s="661"/>
    </row>
    <row r="25" spans="1:8" s="19" customFormat="1" ht="51.6" customHeight="1" x14ac:dyDescent="0.2">
      <c r="A25" s="671"/>
      <c r="B25" s="672"/>
      <c r="C25" s="204" t="s">
        <v>72</v>
      </c>
      <c r="D25" s="662" t="s">
        <v>1359</v>
      </c>
      <c r="E25" s="662"/>
      <c r="F25" s="662"/>
      <c r="G25" s="662"/>
    </row>
    <row r="26" spans="1:8" s="19" customFormat="1" ht="11.25" customHeight="1" x14ac:dyDescent="0.2">
      <c r="A26" s="671"/>
      <c r="B26" s="672"/>
      <c r="C26" s="204" t="s">
        <v>73</v>
      </c>
      <c r="D26" s="205" t="s">
        <v>33</v>
      </c>
      <c r="E26" s="663" t="s">
        <v>74</v>
      </c>
      <c r="F26" s="664"/>
      <c r="G26" s="667">
        <f>G40</f>
        <v>713.7</v>
      </c>
    </row>
    <row r="27" spans="1:8" s="19" customFormat="1" x14ac:dyDescent="0.2">
      <c r="A27" s="673"/>
      <c r="B27" s="674"/>
      <c r="C27" s="204" t="s">
        <v>70</v>
      </c>
      <c r="D27" s="205">
        <v>1</v>
      </c>
      <c r="E27" s="665"/>
      <c r="F27" s="666"/>
      <c r="G27" s="668"/>
    </row>
    <row r="28" spans="1:8" s="19" customFormat="1" x14ac:dyDescent="0.2">
      <c r="A28" s="206"/>
      <c r="B28" s="206"/>
      <c r="C28" s="548"/>
      <c r="D28" s="548"/>
      <c r="E28" s="669"/>
      <c r="F28" s="669"/>
      <c r="G28" s="209"/>
    </row>
    <row r="29" spans="1:8" s="19" customFormat="1" ht="21.75" customHeight="1" x14ac:dyDescent="0.2">
      <c r="A29" s="570" t="s">
        <v>522</v>
      </c>
      <c r="B29" s="570" t="s">
        <v>523</v>
      </c>
      <c r="C29" s="571" t="s">
        <v>75</v>
      </c>
      <c r="D29" s="571" t="s">
        <v>73</v>
      </c>
      <c r="E29" s="572" t="s">
        <v>524</v>
      </c>
      <c r="F29" s="572" t="s">
        <v>525</v>
      </c>
      <c r="G29" s="572" t="s">
        <v>526</v>
      </c>
    </row>
    <row r="30" spans="1:8" s="19" customFormat="1" ht="20.399999999999999" x14ac:dyDescent="0.2">
      <c r="A30" s="213" t="s">
        <v>89</v>
      </c>
      <c r="B30" s="213">
        <v>93358</v>
      </c>
      <c r="C30" s="214" t="s">
        <v>1189</v>
      </c>
      <c r="D30" s="567" t="s">
        <v>1291</v>
      </c>
      <c r="E30" s="216">
        <v>0.28999999999999998</v>
      </c>
      <c r="F30" s="568">
        <v>71.95</v>
      </c>
      <c r="G30" s="209">
        <f t="shared" ref="G30:G34" si="2">E30*F30</f>
        <v>20.865500000000001</v>
      </c>
    </row>
    <row r="31" spans="1:8" s="19" customFormat="1" ht="20.399999999999999" x14ac:dyDescent="0.2">
      <c r="A31" s="213" t="s">
        <v>89</v>
      </c>
      <c r="B31" s="218" t="s">
        <v>1345</v>
      </c>
      <c r="C31" s="219" t="s">
        <v>1346</v>
      </c>
      <c r="D31" s="567" t="s">
        <v>1291</v>
      </c>
      <c r="E31" s="216">
        <v>0.04</v>
      </c>
      <c r="F31" s="22">
        <v>518.83000000000004</v>
      </c>
      <c r="G31" s="209">
        <f t="shared" si="2"/>
        <v>20.753200000000003</v>
      </c>
    </row>
    <row r="32" spans="1:8" s="19" customFormat="1" ht="20.399999999999999" x14ac:dyDescent="0.2">
      <c r="A32" s="218" t="s">
        <v>89</v>
      </c>
      <c r="B32" s="218" t="s">
        <v>1347</v>
      </c>
      <c r="C32" s="219" t="s">
        <v>1316</v>
      </c>
      <c r="D32" s="567" t="s">
        <v>1291</v>
      </c>
      <c r="E32" s="216">
        <v>0.03</v>
      </c>
      <c r="F32" s="22">
        <v>33.47</v>
      </c>
      <c r="G32" s="209">
        <f t="shared" si="2"/>
        <v>1.0041</v>
      </c>
    </row>
    <row r="33" spans="1:8" s="19" customFormat="1" ht="20.399999999999999" x14ac:dyDescent="0.2">
      <c r="A33" s="218" t="s">
        <v>163</v>
      </c>
      <c r="B33" s="218" t="s">
        <v>1348</v>
      </c>
      <c r="C33" s="219" t="s">
        <v>1349</v>
      </c>
      <c r="D33" s="567" t="s">
        <v>1291</v>
      </c>
      <c r="E33" s="216">
        <v>0.78</v>
      </c>
      <c r="F33" s="22">
        <v>397.22</v>
      </c>
      <c r="G33" s="209">
        <f t="shared" si="2"/>
        <v>309.83160000000004</v>
      </c>
    </row>
    <row r="34" spans="1:8" s="19" customFormat="1" ht="30.6" x14ac:dyDescent="0.2">
      <c r="A34" s="218" t="s">
        <v>89</v>
      </c>
      <c r="B34" s="213">
        <v>87878</v>
      </c>
      <c r="C34" s="214" t="s">
        <v>1350</v>
      </c>
      <c r="D34" s="567" t="s">
        <v>1290</v>
      </c>
      <c r="E34" s="216">
        <v>3.08</v>
      </c>
      <c r="F34" s="568">
        <v>3.91</v>
      </c>
      <c r="G34" s="209">
        <f t="shared" si="2"/>
        <v>12.042800000000002</v>
      </c>
    </row>
    <row r="35" spans="1:8" s="19" customFormat="1" ht="20.399999999999999" x14ac:dyDescent="0.2">
      <c r="A35" s="218" t="s">
        <v>163</v>
      </c>
      <c r="B35" s="213" t="s">
        <v>1351</v>
      </c>
      <c r="C35" s="214" t="s">
        <v>1352</v>
      </c>
      <c r="D35" s="567" t="s">
        <v>1290</v>
      </c>
      <c r="E35" s="216">
        <v>3.08</v>
      </c>
      <c r="F35" s="568">
        <v>35.78</v>
      </c>
      <c r="G35" s="209">
        <f t="shared" ref="G35:G39" si="3">E35*F35</f>
        <v>110.20240000000001</v>
      </c>
    </row>
    <row r="36" spans="1:8" s="19" customFormat="1" ht="30.6" x14ac:dyDescent="0.2">
      <c r="A36" s="213" t="s">
        <v>89</v>
      </c>
      <c r="B36" s="218" t="s">
        <v>1353</v>
      </c>
      <c r="C36" s="219" t="s">
        <v>1354</v>
      </c>
      <c r="D36" s="567" t="s">
        <v>1290</v>
      </c>
      <c r="E36" s="216">
        <v>3.08</v>
      </c>
      <c r="F36" s="22">
        <v>4.08</v>
      </c>
      <c r="G36" s="209">
        <f t="shared" si="3"/>
        <v>12.5664</v>
      </c>
    </row>
    <row r="37" spans="1:8" s="19" customFormat="1" ht="20.399999999999999" x14ac:dyDescent="0.2">
      <c r="A37" s="213" t="s">
        <v>89</v>
      </c>
      <c r="B37" s="218" t="s">
        <v>1292</v>
      </c>
      <c r="C37" s="219" t="s">
        <v>989</v>
      </c>
      <c r="D37" s="567" t="s">
        <v>1290</v>
      </c>
      <c r="E37" s="216">
        <v>3.08</v>
      </c>
      <c r="F37" s="22">
        <v>14.62</v>
      </c>
      <c r="G37" s="209">
        <f t="shared" si="3"/>
        <v>45.029600000000002</v>
      </c>
    </row>
    <row r="38" spans="1:8" s="19" customFormat="1" ht="51" x14ac:dyDescent="0.2">
      <c r="A38" s="213" t="s">
        <v>163</v>
      </c>
      <c r="B38" s="218" t="s">
        <v>1234</v>
      </c>
      <c r="C38" s="219" t="s">
        <v>1235</v>
      </c>
      <c r="D38" s="567" t="s">
        <v>1290</v>
      </c>
      <c r="E38" s="216">
        <f>0.8*0.8</f>
        <v>0.64000000000000012</v>
      </c>
      <c r="F38" s="22">
        <v>60.25</v>
      </c>
      <c r="G38" s="209">
        <f t="shared" si="3"/>
        <v>38.560000000000009</v>
      </c>
    </row>
    <row r="39" spans="1:8" s="19" customFormat="1" ht="20.399999999999999" x14ac:dyDescent="0.2">
      <c r="A39" s="218" t="s">
        <v>163</v>
      </c>
      <c r="B39" s="218" t="s">
        <v>1355</v>
      </c>
      <c r="C39" s="219" t="s">
        <v>1356</v>
      </c>
      <c r="D39" s="567" t="s">
        <v>1290</v>
      </c>
      <c r="E39" s="216">
        <v>3.08</v>
      </c>
      <c r="F39" s="22">
        <v>46.38</v>
      </c>
      <c r="G39" s="209">
        <f t="shared" si="3"/>
        <v>142.85040000000001</v>
      </c>
    </row>
    <row r="40" spans="1:8" s="19" customFormat="1" x14ac:dyDescent="0.2">
      <c r="A40" s="21"/>
      <c r="B40" s="21"/>
      <c r="C40" s="220"/>
      <c r="D40" s="21"/>
      <c r="E40" s="21"/>
      <c r="F40" s="573" t="s">
        <v>35</v>
      </c>
      <c r="G40" s="571">
        <f>TRUNC(SUM(G30:G39),2)</f>
        <v>713.7</v>
      </c>
      <c r="H40" s="19" t="s">
        <v>533</v>
      </c>
    </row>
    <row r="41" spans="1:8" s="19" customFormat="1" x14ac:dyDescent="0.2"/>
    <row r="42" spans="1:8" s="19" customFormat="1" ht="15.6" x14ac:dyDescent="0.3">
      <c r="A42" s="670"/>
      <c r="B42" s="670"/>
      <c r="C42" s="670"/>
      <c r="D42" s="670"/>
      <c r="E42" s="670"/>
      <c r="F42" s="670"/>
      <c r="G42" s="670"/>
    </row>
    <row r="43" spans="1:8" s="19" customFormat="1" ht="11.25" customHeight="1" x14ac:dyDescent="0.2">
      <c r="A43" s="671" t="s">
        <v>556</v>
      </c>
      <c r="B43" s="672"/>
      <c r="C43" s="569"/>
      <c r="D43" s="659"/>
      <c r="E43" s="660"/>
      <c r="F43" s="660"/>
      <c r="G43" s="661"/>
    </row>
    <row r="44" spans="1:8" s="19" customFormat="1" ht="51.6" customHeight="1" x14ac:dyDescent="0.2">
      <c r="A44" s="671"/>
      <c r="B44" s="672"/>
      <c r="C44" s="204" t="s">
        <v>72</v>
      </c>
      <c r="D44" s="662" t="s">
        <v>1436</v>
      </c>
      <c r="E44" s="662"/>
      <c r="F44" s="662"/>
      <c r="G44" s="662"/>
    </row>
    <row r="45" spans="1:8" s="19" customFormat="1" ht="11.25" customHeight="1" x14ac:dyDescent="0.2">
      <c r="A45" s="671"/>
      <c r="B45" s="672"/>
      <c r="C45" s="204" t="s">
        <v>73</v>
      </c>
      <c r="D45" s="205" t="s">
        <v>33</v>
      </c>
      <c r="E45" s="663" t="s">
        <v>74</v>
      </c>
      <c r="F45" s="664"/>
      <c r="G45" s="667">
        <f>G53</f>
        <v>42.95</v>
      </c>
    </row>
    <row r="46" spans="1:8" s="19" customFormat="1" x14ac:dyDescent="0.2">
      <c r="A46" s="673"/>
      <c r="B46" s="674"/>
      <c r="C46" s="204" t="s">
        <v>70</v>
      </c>
      <c r="D46" s="205">
        <v>1</v>
      </c>
      <c r="E46" s="665"/>
      <c r="F46" s="666"/>
      <c r="G46" s="668"/>
    </row>
    <row r="47" spans="1:8" s="19" customFormat="1" x14ac:dyDescent="0.2">
      <c r="A47" s="206"/>
      <c r="B47" s="206"/>
      <c r="C47" s="548"/>
      <c r="D47" s="548"/>
      <c r="E47" s="669"/>
      <c r="F47" s="669"/>
      <c r="G47" s="209"/>
    </row>
    <row r="48" spans="1:8" s="19" customFormat="1" ht="21.75" customHeight="1" x14ac:dyDescent="0.2">
      <c r="A48" s="570" t="s">
        <v>522</v>
      </c>
      <c r="B48" s="570" t="s">
        <v>523</v>
      </c>
      <c r="C48" s="571" t="s">
        <v>75</v>
      </c>
      <c r="D48" s="571" t="s">
        <v>73</v>
      </c>
      <c r="E48" s="572" t="s">
        <v>524</v>
      </c>
      <c r="F48" s="572" t="s">
        <v>525</v>
      </c>
      <c r="G48" s="572" t="s">
        <v>526</v>
      </c>
    </row>
    <row r="49" spans="1:8" s="19" customFormat="1" x14ac:dyDescent="0.2">
      <c r="A49" s="213" t="s">
        <v>89</v>
      </c>
      <c r="B49" s="213">
        <v>88247</v>
      </c>
      <c r="C49" s="214" t="s">
        <v>575</v>
      </c>
      <c r="D49" s="567" t="s">
        <v>531</v>
      </c>
      <c r="E49" s="216">
        <v>0.22309999999999999</v>
      </c>
      <c r="F49" s="568">
        <v>17.66</v>
      </c>
      <c r="G49" s="209">
        <f t="shared" ref="G49:G52" si="4">E49*F49</f>
        <v>3.9399459999999999</v>
      </c>
    </row>
    <row r="50" spans="1:8" s="19" customFormat="1" x14ac:dyDescent="0.2">
      <c r="A50" s="218" t="s">
        <v>1298</v>
      </c>
      <c r="B50" s="218"/>
      <c r="C50" s="219" t="s">
        <v>1437</v>
      </c>
      <c r="D50" s="567" t="s">
        <v>416</v>
      </c>
      <c r="E50" s="216">
        <v>1</v>
      </c>
      <c r="F50" s="22">
        <f>(29.47+26.78+24.19)/3</f>
        <v>26.813333333333333</v>
      </c>
      <c r="G50" s="209">
        <f t="shared" si="4"/>
        <v>26.813333333333333</v>
      </c>
    </row>
    <row r="51" spans="1:8" s="19" customFormat="1" x14ac:dyDescent="0.2">
      <c r="A51" s="218" t="s">
        <v>89</v>
      </c>
      <c r="B51" s="218" t="s">
        <v>576</v>
      </c>
      <c r="C51" s="219" t="s">
        <v>577</v>
      </c>
      <c r="D51" s="567" t="s">
        <v>531</v>
      </c>
      <c r="E51" s="216">
        <v>0.53549999999999998</v>
      </c>
      <c r="F51" s="22">
        <v>22.79</v>
      </c>
      <c r="G51" s="209">
        <f t="shared" si="4"/>
        <v>12.204044999999999</v>
      </c>
    </row>
    <row r="52" spans="1:8" s="19" customFormat="1" x14ac:dyDescent="0.2">
      <c r="A52" s="218" t="s">
        <v>89</v>
      </c>
      <c r="B52" s="218"/>
      <c r="C52" s="219"/>
      <c r="D52" s="567" t="s">
        <v>531</v>
      </c>
      <c r="E52" s="216"/>
      <c r="F52" s="22"/>
      <c r="G52" s="209">
        <f t="shared" si="4"/>
        <v>0</v>
      </c>
    </row>
    <row r="53" spans="1:8" s="19" customFormat="1" x14ac:dyDescent="0.2">
      <c r="A53" s="21"/>
      <c r="B53" s="21"/>
      <c r="C53" s="220"/>
      <c r="D53" s="21"/>
      <c r="E53" s="21"/>
      <c r="F53" s="573" t="s">
        <v>35</v>
      </c>
      <c r="G53" s="571">
        <f>TRUNC(SUM(G49:G52),2)</f>
        <v>42.95</v>
      </c>
      <c r="H53" s="19" t="s">
        <v>533</v>
      </c>
    </row>
    <row r="54" spans="1:8" s="19" customFormat="1" x14ac:dyDescent="0.2"/>
    <row r="55" spans="1:8" s="19" customFormat="1" ht="15.6" x14ac:dyDescent="0.3">
      <c r="A55" s="670"/>
      <c r="B55" s="670"/>
      <c r="C55" s="670"/>
      <c r="D55" s="670"/>
      <c r="E55" s="670"/>
      <c r="F55" s="670"/>
      <c r="G55" s="670"/>
    </row>
    <row r="56" spans="1:8" s="19" customFormat="1" ht="11.25" customHeight="1" x14ac:dyDescent="0.2">
      <c r="A56" s="671" t="s">
        <v>560</v>
      </c>
      <c r="B56" s="672"/>
      <c r="C56" s="569"/>
      <c r="D56" s="659"/>
      <c r="E56" s="660"/>
      <c r="F56" s="660"/>
      <c r="G56" s="661"/>
    </row>
    <row r="57" spans="1:8" s="19" customFormat="1" ht="51.6" customHeight="1" x14ac:dyDescent="0.2">
      <c r="A57" s="671"/>
      <c r="B57" s="672"/>
      <c r="C57" s="204" t="s">
        <v>72</v>
      </c>
      <c r="D57" s="662" t="s">
        <v>1466</v>
      </c>
      <c r="E57" s="662"/>
      <c r="F57" s="662"/>
      <c r="G57" s="662"/>
    </row>
    <row r="58" spans="1:8" s="19" customFormat="1" ht="11.25" customHeight="1" x14ac:dyDescent="0.2">
      <c r="A58" s="671"/>
      <c r="B58" s="672"/>
      <c r="C58" s="204" t="s">
        <v>73</v>
      </c>
      <c r="D58" s="205" t="s">
        <v>33</v>
      </c>
      <c r="E58" s="663" t="s">
        <v>74</v>
      </c>
      <c r="F58" s="664"/>
      <c r="G58" s="667">
        <f>G65</f>
        <v>1491.59</v>
      </c>
    </row>
    <row r="59" spans="1:8" s="19" customFormat="1" x14ac:dyDescent="0.2">
      <c r="A59" s="673"/>
      <c r="B59" s="674"/>
      <c r="C59" s="204" t="s">
        <v>70</v>
      </c>
      <c r="D59" s="205">
        <v>1</v>
      </c>
      <c r="E59" s="665"/>
      <c r="F59" s="666"/>
      <c r="G59" s="668"/>
    </row>
    <row r="60" spans="1:8" s="19" customFormat="1" x14ac:dyDescent="0.2">
      <c r="A60" s="206"/>
      <c r="B60" s="206"/>
      <c r="C60" s="579"/>
      <c r="D60" s="579"/>
      <c r="E60" s="669"/>
      <c r="F60" s="669"/>
      <c r="G60" s="209"/>
    </row>
    <row r="61" spans="1:8" s="19" customFormat="1" ht="21.75" customHeight="1" x14ac:dyDescent="0.2">
      <c r="A61" s="570" t="s">
        <v>522</v>
      </c>
      <c r="B61" s="570" t="s">
        <v>523</v>
      </c>
      <c r="C61" s="571" t="s">
        <v>75</v>
      </c>
      <c r="D61" s="571" t="s">
        <v>73</v>
      </c>
      <c r="E61" s="572" t="s">
        <v>524</v>
      </c>
      <c r="F61" s="572" t="s">
        <v>525</v>
      </c>
      <c r="G61" s="572" t="s">
        <v>526</v>
      </c>
    </row>
    <row r="62" spans="1:8" s="19" customFormat="1" ht="20.399999999999999" x14ac:dyDescent="0.2">
      <c r="A62" s="213" t="s">
        <v>89</v>
      </c>
      <c r="B62" s="213">
        <v>4119</v>
      </c>
      <c r="C62" s="214" t="s">
        <v>1465</v>
      </c>
      <c r="D62" s="567" t="s">
        <v>529</v>
      </c>
      <c r="E62" s="216">
        <f>2.2*5</f>
        <v>11</v>
      </c>
      <c r="F62" s="568">
        <v>51.1</v>
      </c>
      <c r="G62" s="209">
        <f t="shared" ref="G62:G64" si="5">E62*F62</f>
        <v>562.1</v>
      </c>
    </row>
    <row r="63" spans="1:8" s="19" customFormat="1" ht="30.6" x14ac:dyDescent="0.2">
      <c r="A63" s="416" t="s">
        <v>163</v>
      </c>
      <c r="B63" s="414" t="s">
        <v>171</v>
      </c>
      <c r="C63" s="421" t="s">
        <v>1194</v>
      </c>
      <c r="D63" s="567" t="s">
        <v>1291</v>
      </c>
      <c r="E63" s="216">
        <f>(0.6*0.6*0.3)*5</f>
        <v>0.54</v>
      </c>
      <c r="F63" s="22">
        <v>1634.89</v>
      </c>
      <c r="G63" s="209">
        <f t="shared" si="5"/>
        <v>882.84060000000011</v>
      </c>
    </row>
    <row r="64" spans="1:8" s="19" customFormat="1" ht="20.399999999999999" x14ac:dyDescent="0.2">
      <c r="A64" s="416" t="s">
        <v>89</v>
      </c>
      <c r="B64" s="414">
        <v>95241</v>
      </c>
      <c r="C64" s="557" t="s">
        <v>1379</v>
      </c>
      <c r="D64" s="567" t="s">
        <v>1290</v>
      </c>
      <c r="E64" s="216">
        <f>(0.6*0.6)*5</f>
        <v>1.7999999999999998</v>
      </c>
      <c r="F64" s="411">
        <v>25.92</v>
      </c>
      <c r="G64" s="209">
        <f t="shared" si="5"/>
        <v>46.655999999999999</v>
      </c>
    </row>
    <row r="65" spans="1:8" s="19" customFormat="1" x14ac:dyDescent="0.2">
      <c r="A65" s="21"/>
      <c r="B65" s="21"/>
      <c r="C65" s="220"/>
      <c r="D65" s="21"/>
      <c r="E65" s="21"/>
      <c r="F65" s="573" t="s">
        <v>35</v>
      </c>
      <c r="G65" s="571">
        <f>TRUNC(SUM(G62:G64),2)</f>
        <v>1491.59</v>
      </c>
      <c r="H65" s="19" t="s">
        <v>533</v>
      </c>
    </row>
    <row r="66" spans="1:8" s="19" customFormat="1" x14ac:dyDescent="0.2"/>
    <row r="383" spans="12:12" x14ac:dyDescent="0.2">
      <c r="L383" s="224" t="e">
        <f>COMPOSICOES!#REF!</f>
        <v>#REF!</v>
      </c>
    </row>
  </sheetData>
  <autoFilter ref="A9:G22" xr:uid="{00000000-0009-0000-0000-00000B000000}"/>
  <mergeCells count="34">
    <mergeCell ref="E60:F60"/>
    <mergeCell ref="A55:G55"/>
    <mergeCell ref="A56:B59"/>
    <mergeCell ref="D56:G56"/>
    <mergeCell ref="D57:G57"/>
    <mergeCell ref="E58:F59"/>
    <mergeCell ref="G58:G59"/>
    <mergeCell ref="D44:G44"/>
    <mergeCell ref="E45:F46"/>
    <mergeCell ref="G45:G46"/>
    <mergeCell ref="E47:F47"/>
    <mergeCell ref="A10:G10"/>
    <mergeCell ref="A23:G23"/>
    <mergeCell ref="A24:B27"/>
    <mergeCell ref="D24:G24"/>
    <mergeCell ref="D25:G25"/>
    <mergeCell ref="E26:F27"/>
    <mergeCell ref="G26:G27"/>
    <mergeCell ref="A42:G42"/>
    <mergeCell ref="A43:B46"/>
    <mergeCell ref="D43:G43"/>
    <mergeCell ref="E28:F28"/>
    <mergeCell ref="A11:B14"/>
    <mergeCell ref="D11:G11"/>
    <mergeCell ref="D12:G12"/>
    <mergeCell ref="E13:F14"/>
    <mergeCell ref="G13:G14"/>
    <mergeCell ref="E15:F15"/>
    <mergeCell ref="A2:G2"/>
    <mergeCell ref="A4:G4"/>
    <mergeCell ref="A6:G6"/>
    <mergeCell ref="A7:G7"/>
    <mergeCell ref="A8:G8"/>
    <mergeCell ref="A5:G5"/>
  </mergeCells>
  <printOptions horizontalCentered="1"/>
  <pageMargins left="0.51181102362204722" right="0.51181102362204722" top="1.1811023622047245" bottom="1.5748031496062993" header="0.31496062992125984" footer="0.31496062992125984"/>
  <pageSetup paperSize="9" scale="75" orientation="portrait" horizontalDpi="360" verticalDpi="360" r:id="rId1"/>
  <headerFooter>
    <oddHeader>&amp;C&amp;G</oddHeader>
    <oddFooter>&amp;C&amp;G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1:L634"/>
  <sheetViews>
    <sheetView view="pageBreakPreview" topLeftCell="A15" zoomScale="115" zoomScaleNormal="100" zoomScaleSheetLayoutView="115" workbookViewId="0">
      <pane ySplit="876" activePane="bottomLeft"/>
      <selection activeCell="A15" sqref="A1:XFD1048576"/>
      <selection pane="bottomLeft" activeCell="A2" sqref="A2:G2"/>
    </sheetView>
  </sheetViews>
  <sheetFormatPr defaultRowHeight="10.199999999999999" x14ac:dyDescent="0.2"/>
  <cols>
    <col min="1" max="1" width="12.44140625" style="122" customWidth="1"/>
    <col min="2" max="2" width="10.88671875" style="122" customWidth="1"/>
    <col min="3" max="3" width="50.44140625" style="122" customWidth="1"/>
    <col min="4" max="4" width="9.109375" style="122"/>
    <col min="5" max="5" width="9" style="122" customWidth="1"/>
    <col min="6" max="6" width="9.5546875" style="122" customWidth="1"/>
    <col min="7" max="7" width="12.109375" style="122" customWidth="1"/>
    <col min="8" max="257" width="9.109375" style="122"/>
    <col min="258" max="258" width="17.5546875" style="122" customWidth="1"/>
    <col min="259" max="259" width="47.5546875" style="122" customWidth="1"/>
    <col min="260" max="260" width="9.109375" style="122"/>
    <col min="261" max="261" width="10.33203125" style="122" customWidth="1"/>
    <col min="262" max="262" width="11.6640625" style="122" customWidth="1"/>
    <col min="263" max="263" width="15.88671875" style="122" customWidth="1"/>
    <col min="264" max="513" width="9.109375" style="122"/>
    <col min="514" max="514" width="17.5546875" style="122" customWidth="1"/>
    <col min="515" max="515" width="47.5546875" style="122" customWidth="1"/>
    <col min="516" max="516" width="9.109375" style="122"/>
    <col min="517" max="517" width="10.33203125" style="122" customWidth="1"/>
    <col min="518" max="518" width="11.6640625" style="122" customWidth="1"/>
    <col min="519" max="519" width="15.88671875" style="122" customWidth="1"/>
    <col min="520" max="769" width="9.109375" style="122"/>
    <col min="770" max="770" width="17.5546875" style="122" customWidth="1"/>
    <col min="771" max="771" width="47.5546875" style="122" customWidth="1"/>
    <col min="772" max="772" width="9.109375" style="122"/>
    <col min="773" max="773" width="10.33203125" style="122" customWidth="1"/>
    <col min="774" max="774" width="11.6640625" style="122" customWidth="1"/>
    <col min="775" max="775" width="15.88671875" style="122" customWidth="1"/>
    <col min="776" max="1025" width="9.109375" style="122"/>
    <col min="1026" max="1026" width="17.5546875" style="122" customWidth="1"/>
    <col min="1027" max="1027" width="47.5546875" style="122" customWidth="1"/>
    <col min="1028" max="1028" width="9.109375" style="122"/>
    <col min="1029" max="1029" width="10.33203125" style="122" customWidth="1"/>
    <col min="1030" max="1030" width="11.6640625" style="122" customWidth="1"/>
    <col min="1031" max="1031" width="15.88671875" style="122" customWidth="1"/>
    <col min="1032" max="1281" width="9.109375" style="122"/>
    <col min="1282" max="1282" width="17.5546875" style="122" customWidth="1"/>
    <col min="1283" max="1283" width="47.5546875" style="122" customWidth="1"/>
    <col min="1284" max="1284" width="9.109375" style="122"/>
    <col min="1285" max="1285" width="10.33203125" style="122" customWidth="1"/>
    <col min="1286" max="1286" width="11.6640625" style="122" customWidth="1"/>
    <col min="1287" max="1287" width="15.88671875" style="122" customWidth="1"/>
    <col min="1288" max="1537" width="9.109375" style="122"/>
    <col min="1538" max="1538" width="17.5546875" style="122" customWidth="1"/>
    <col min="1539" max="1539" width="47.5546875" style="122" customWidth="1"/>
    <col min="1540" max="1540" width="9.109375" style="122"/>
    <col min="1541" max="1541" width="10.33203125" style="122" customWidth="1"/>
    <col min="1542" max="1542" width="11.6640625" style="122" customWidth="1"/>
    <col min="1543" max="1543" width="15.88671875" style="122" customWidth="1"/>
    <col min="1544" max="1793" width="9.109375" style="122"/>
    <col min="1794" max="1794" width="17.5546875" style="122" customWidth="1"/>
    <col min="1795" max="1795" width="47.5546875" style="122" customWidth="1"/>
    <col min="1796" max="1796" width="9.109375" style="122"/>
    <col min="1797" max="1797" width="10.33203125" style="122" customWidth="1"/>
    <col min="1798" max="1798" width="11.6640625" style="122" customWidth="1"/>
    <col min="1799" max="1799" width="15.88671875" style="122" customWidth="1"/>
    <col min="1800" max="2049" width="9.109375" style="122"/>
    <col min="2050" max="2050" width="17.5546875" style="122" customWidth="1"/>
    <col min="2051" max="2051" width="47.5546875" style="122" customWidth="1"/>
    <col min="2052" max="2052" width="9.109375" style="122"/>
    <col min="2053" max="2053" width="10.33203125" style="122" customWidth="1"/>
    <col min="2054" max="2054" width="11.6640625" style="122" customWidth="1"/>
    <col min="2055" max="2055" width="15.88671875" style="122" customWidth="1"/>
    <col min="2056" max="2305" width="9.109375" style="122"/>
    <col min="2306" max="2306" width="17.5546875" style="122" customWidth="1"/>
    <col min="2307" max="2307" width="47.5546875" style="122" customWidth="1"/>
    <col min="2308" max="2308" width="9.109375" style="122"/>
    <col min="2309" max="2309" width="10.33203125" style="122" customWidth="1"/>
    <col min="2310" max="2310" width="11.6640625" style="122" customWidth="1"/>
    <col min="2311" max="2311" width="15.88671875" style="122" customWidth="1"/>
    <col min="2312" max="2561" width="9.109375" style="122"/>
    <col min="2562" max="2562" width="17.5546875" style="122" customWidth="1"/>
    <col min="2563" max="2563" width="47.5546875" style="122" customWidth="1"/>
    <col min="2564" max="2564" width="9.109375" style="122"/>
    <col min="2565" max="2565" width="10.33203125" style="122" customWidth="1"/>
    <col min="2566" max="2566" width="11.6640625" style="122" customWidth="1"/>
    <col min="2567" max="2567" width="15.88671875" style="122" customWidth="1"/>
    <col min="2568" max="2817" width="9.109375" style="122"/>
    <col min="2818" max="2818" width="17.5546875" style="122" customWidth="1"/>
    <col min="2819" max="2819" width="47.5546875" style="122" customWidth="1"/>
    <col min="2820" max="2820" width="9.109375" style="122"/>
    <col min="2821" max="2821" width="10.33203125" style="122" customWidth="1"/>
    <col min="2822" max="2822" width="11.6640625" style="122" customWidth="1"/>
    <col min="2823" max="2823" width="15.88671875" style="122" customWidth="1"/>
    <col min="2824" max="3073" width="9.109375" style="122"/>
    <col min="3074" max="3074" width="17.5546875" style="122" customWidth="1"/>
    <col min="3075" max="3075" width="47.5546875" style="122" customWidth="1"/>
    <col min="3076" max="3076" width="9.109375" style="122"/>
    <col min="3077" max="3077" width="10.33203125" style="122" customWidth="1"/>
    <col min="3078" max="3078" width="11.6640625" style="122" customWidth="1"/>
    <col min="3079" max="3079" width="15.88671875" style="122" customWidth="1"/>
    <col min="3080" max="3329" width="9.109375" style="122"/>
    <col min="3330" max="3330" width="17.5546875" style="122" customWidth="1"/>
    <col min="3331" max="3331" width="47.5546875" style="122" customWidth="1"/>
    <col min="3332" max="3332" width="9.109375" style="122"/>
    <col min="3333" max="3333" width="10.33203125" style="122" customWidth="1"/>
    <col min="3334" max="3334" width="11.6640625" style="122" customWidth="1"/>
    <col min="3335" max="3335" width="15.88671875" style="122" customWidth="1"/>
    <col min="3336" max="3585" width="9.109375" style="122"/>
    <col min="3586" max="3586" width="17.5546875" style="122" customWidth="1"/>
    <col min="3587" max="3587" width="47.5546875" style="122" customWidth="1"/>
    <col min="3588" max="3588" width="9.109375" style="122"/>
    <col min="3589" max="3589" width="10.33203125" style="122" customWidth="1"/>
    <col min="3590" max="3590" width="11.6640625" style="122" customWidth="1"/>
    <col min="3591" max="3591" width="15.88671875" style="122" customWidth="1"/>
    <col min="3592" max="3841" width="9.109375" style="122"/>
    <col min="3842" max="3842" width="17.5546875" style="122" customWidth="1"/>
    <col min="3843" max="3843" width="47.5546875" style="122" customWidth="1"/>
    <col min="3844" max="3844" width="9.109375" style="122"/>
    <col min="3845" max="3845" width="10.33203125" style="122" customWidth="1"/>
    <col min="3846" max="3846" width="11.6640625" style="122" customWidth="1"/>
    <col min="3847" max="3847" width="15.88671875" style="122" customWidth="1"/>
    <col min="3848" max="4097" width="9.109375" style="122"/>
    <col min="4098" max="4098" width="17.5546875" style="122" customWidth="1"/>
    <col min="4099" max="4099" width="47.5546875" style="122" customWidth="1"/>
    <col min="4100" max="4100" width="9.109375" style="122"/>
    <col min="4101" max="4101" width="10.33203125" style="122" customWidth="1"/>
    <col min="4102" max="4102" width="11.6640625" style="122" customWidth="1"/>
    <col min="4103" max="4103" width="15.88671875" style="122" customWidth="1"/>
    <col min="4104" max="4353" width="9.109375" style="122"/>
    <col min="4354" max="4354" width="17.5546875" style="122" customWidth="1"/>
    <col min="4355" max="4355" width="47.5546875" style="122" customWidth="1"/>
    <col min="4356" max="4356" width="9.109375" style="122"/>
    <col min="4357" max="4357" width="10.33203125" style="122" customWidth="1"/>
    <col min="4358" max="4358" width="11.6640625" style="122" customWidth="1"/>
    <col min="4359" max="4359" width="15.88671875" style="122" customWidth="1"/>
    <col min="4360" max="4609" width="9.109375" style="122"/>
    <col min="4610" max="4610" width="17.5546875" style="122" customWidth="1"/>
    <col min="4611" max="4611" width="47.5546875" style="122" customWidth="1"/>
    <col min="4612" max="4612" width="9.109375" style="122"/>
    <col min="4613" max="4613" width="10.33203125" style="122" customWidth="1"/>
    <col min="4614" max="4614" width="11.6640625" style="122" customWidth="1"/>
    <col min="4615" max="4615" width="15.88671875" style="122" customWidth="1"/>
    <col min="4616" max="4865" width="9.109375" style="122"/>
    <col min="4866" max="4866" width="17.5546875" style="122" customWidth="1"/>
    <col min="4867" max="4867" width="47.5546875" style="122" customWidth="1"/>
    <col min="4868" max="4868" width="9.109375" style="122"/>
    <col min="4869" max="4869" width="10.33203125" style="122" customWidth="1"/>
    <col min="4870" max="4870" width="11.6640625" style="122" customWidth="1"/>
    <col min="4871" max="4871" width="15.88671875" style="122" customWidth="1"/>
    <col min="4872" max="5121" width="9.109375" style="122"/>
    <col min="5122" max="5122" width="17.5546875" style="122" customWidth="1"/>
    <col min="5123" max="5123" width="47.5546875" style="122" customWidth="1"/>
    <col min="5124" max="5124" width="9.109375" style="122"/>
    <col min="5125" max="5125" width="10.33203125" style="122" customWidth="1"/>
    <col min="5126" max="5126" width="11.6640625" style="122" customWidth="1"/>
    <col min="5127" max="5127" width="15.88671875" style="122" customWidth="1"/>
    <col min="5128" max="5377" width="9.109375" style="122"/>
    <col min="5378" max="5378" width="17.5546875" style="122" customWidth="1"/>
    <col min="5379" max="5379" width="47.5546875" style="122" customWidth="1"/>
    <col min="5380" max="5380" width="9.109375" style="122"/>
    <col min="5381" max="5381" width="10.33203125" style="122" customWidth="1"/>
    <col min="5382" max="5382" width="11.6640625" style="122" customWidth="1"/>
    <col min="5383" max="5383" width="15.88671875" style="122" customWidth="1"/>
    <col min="5384" max="5633" width="9.109375" style="122"/>
    <col min="5634" max="5634" width="17.5546875" style="122" customWidth="1"/>
    <col min="5635" max="5635" width="47.5546875" style="122" customWidth="1"/>
    <col min="5636" max="5636" width="9.109375" style="122"/>
    <col min="5637" max="5637" width="10.33203125" style="122" customWidth="1"/>
    <col min="5638" max="5638" width="11.6640625" style="122" customWidth="1"/>
    <col min="5639" max="5639" width="15.88671875" style="122" customWidth="1"/>
    <col min="5640" max="5889" width="9.109375" style="122"/>
    <col min="5890" max="5890" width="17.5546875" style="122" customWidth="1"/>
    <col min="5891" max="5891" width="47.5546875" style="122" customWidth="1"/>
    <col min="5892" max="5892" width="9.109375" style="122"/>
    <col min="5893" max="5893" width="10.33203125" style="122" customWidth="1"/>
    <col min="5894" max="5894" width="11.6640625" style="122" customWidth="1"/>
    <col min="5895" max="5895" width="15.88671875" style="122" customWidth="1"/>
    <col min="5896" max="6145" width="9.109375" style="122"/>
    <col min="6146" max="6146" width="17.5546875" style="122" customWidth="1"/>
    <col min="6147" max="6147" width="47.5546875" style="122" customWidth="1"/>
    <col min="6148" max="6148" width="9.109375" style="122"/>
    <col min="6149" max="6149" width="10.33203125" style="122" customWidth="1"/>
    <col min="6150" max="6150" width="11.6640625" style="122" customWidth="1"/>
    <col min="6151" max="6151" width="15.88671875" style="122" customWidth="1"/>
    <col min="6152" max="6401" width="9.109375" style="122"/>
    <col min="6402" max="6402" width="17.5546875" style="122" customWidth="1"/>
    <col min="6403" max="6403" width="47.5546875" style="122" customWidth="1"/>
    <col min="6404" max="6404" width="9.109375" style="122"/>
    <col min="6405" max="6405" width="10.33203125" style="122" customWidth="1"/>
    <col min="6406" max="6406" width="11.6640625" style="122" customWidth="1"/>
    <col min="6407" max="6407" width="15.88671875" style="122" customWidth="1"/>
    <col min="6408" max="6657" width="9.109375" style="122"/>
    <col min="6658" max="6658" width="17.5546875" style="122" customWidth="1"/>
    <col min="6659" max="6659" width="47.5546875" style="122" customWidth="1"/>
    <col min="6660" max="6660" width="9.109375" style="122"/>
    <col min="6661" max="6661" width="10.33203125" style="122" customWidth="1"/>
    <col min="6662" max="6662" width="11.6640625" style="122" customWidth="1"/>
    <col min="6663" max="6663" width="15.88671875" style="122" customWidth="1"/>
    <col min="6664" max="6913" width="9.109375" style="122"/>
    <col min="6914" max="6914" width="17.5546875" style="122" customWidth="1"/>
    <col min="6915" max="6915" width="47.5546875" style="122" customWidth="1"/>
    <col min="6916" max="6916" width="9.109375" style="122"/>
    <col min="6917" max="6917" width="10.33203125" style="122" customWidth="1"/>
    <col min="6918" max="6918" width="11.6640625" style="122" customWidth="1"/>
    <col min="6919" max="6919" width="15.88671875" style="122" customWidth="1"/>
    <col min="6920" max="7169" width="9.109375" style="122"/>
    <col min="7170" max="7170" width="17.5546875" style="122" customWidth="1"/>
    <col min="7171" max="7171" width="47.5546875" style="122" customWidth="1"/>
    <col min="7172" max="7172" width="9.109375" style="122"/>
    <col min="7173" max="7173" width="10.33203125" style="122" customWidth="1"/>
    <col min="7174" max="7174" width="11.6640625" style="122" customWidth="1"/>
    <col min="7175" max="7175" width="15.88671875" style="122" customWidth="1"/>
    <col min="7176" max="7425" width="9.109375" style="122"/>
    <col min="7426" max="7426" width="17.5546875" style="122" customWidth="1"/>
    <col min="7427" max="7427" width="47.5546875" style="122" customWidth="1"/>
    <col min="7428" max="7428" width="9.109375" style="122"/>
    <col min="7429" max="7429" width="10.33203125" style="122" customWidth="1"/>
    <col min="7430" max="7430" width="11.6640625" style="122" customWidth="1"/>
    <col min="7431" max="7431" width="15.88671875" style="122" customWidth="1"/>
    <col min="7432" max="7681" width="9.109375" style="122"/>
    <col min="7682" max="7682" width="17.5546875" style="122" customWidth="1"/>
    <col min="7683" max="7683" width="47.5546875" style="122" customWidth="1"/>
    <col min="7684" max="7684" width="9.109375" style="122"/>
    <col min="7685" max="7685" width="10.33203125" style="122" customWidth="1"/>
    <col min="7686" max="7686" width="11.6640625" style="122" customWidth="1"/>
    <col min="7687" max="7687" width="15.88671875" style="122" customWidth="1"/>
    <col min="7688" max="7937" width="9.109375" style="122"/>
    <col min="7938" max="7938" width="17.5546875" style="122" customWidth="1"/>
    <col min="7939" max="7939" width="47.5546875" style="122" customWidth="1"/>
    <col min="7940" max="7940" width="9.109375" style="122"/>
    <col min="7941" max="7941" width="10.33203125" style="122" customWidth="1"/>
    <col min="7942" max="7942" width="11.6640625" style="122" customWidth="1"/>
    <col min="7943" max="7943" width="15.88671875" style="122" customWidth="1"/>
    <col min="7944" max="8193" width="9.109375" style="122"/>
    <col min="8194" max="8194" width="17.5546875" style="122" customWidth="1"/>
    <col min="8195" max="8195" width="47.5546875" style="122" customWidth="1"/>
    <col min="8196" max="8196" width="9.109375" style="122"/>
    <col min="8197" max="8197" width="10.33203125" style="122" customWidth="1"/>
    <col min="8198" max="8198" width="11.6640625" style="122" customWidth="1"/>
    <col min="8199" max="8199" width="15.88671875" style="122" customWidth="1"/>
    <col min="8200" max="8449" width="9.109375" style="122"/>
    <col min="8450" max="8450" width="17.5546875" style="122" customWidth="1"/>
    <col min="8451" max="8451" width="47.5546875" style="122" customWidth="1"/>
    <col min="8452" max="8452" width="9.109375" style="122"/>
    <col min="8453" max="8453" width="10.33203125" style="122" customWidth="1"/>
    <col min="8454" max="8454" width="11.6640625" style="122" customWidth="1"/>
    <col min="8455" max="8455" width="15.88671875" style="122" customWidth="1"/>
    <col min="8456" max="8705" width="9.109375" style="122"/>
    <col min="8706" max="8706" width="17.5546875" style="122" customWidth="1"/>
    <col min="8707" max="8707" width="47.5546875" style="122" customWidth="1"/>
    <col min="8708" max="8708" width="9.109375" style="122"/>
    <col min="8709" max="8709" width="10.33203125" style="122" customWidth="1"/>
    <col min="8710" max="8710" width="11.6640625" style="122" customWidth="1"/>
    <col min="8711" max="8711" width="15.88671875" style="122" customWidth="1"/>
    <col min="8712" max="8961" width="9.109375" style="122"/>
    <col min="8962" max="8962" width="17.5546875" style="122" customWidth="1"/>
    <col min="8963" max="8963" width="47.5546875" style="122" customWidth="1"/>
    <col min="8964" max="8964" width="9.109375" style="122"/>
    <col min="8965" max="8965" width="10.33203125" style="122" customWidth="1"/>
    <col min="8966" max="8966" width="11.6640625" style="122" customWidth="1"/>
    <col min="8967" max="8967" width="15.88671875" style="122" customWidth="1"/>
    <col min="8968" max="9217" width="9.109375" style="122"/>
    <col min="9218" max="9218" width="17.5546875" style="122" customWidth="1"/>
    <col min="9219" max="9219" width="47.5546875" style="122" customWidth="1"/>
    <col min="9220" max="9220" width="9.109375" style="122"/>
    <col min="9221" max="9221" width="10.33203125" style="122" customWidth="1"/>
    <col min="9222" max="9222" width="11.6640625" style="122" customWidth="1"/>
    <col min="9223" max="9223" width="15.88671875" style="122" customWidth="1"/>
    <col min="9224" max="9473" width="9.109375" style="122"/>
    <col min="9474" max="9474" width="17.5546875" style="122" customWidth="1"/>
    <col min="9475" max="9475" width="47.5546875" style="122" customWidth="1"/>
    <col min="9476" max="9476" width="9.109375" style="122"/>
    <col min="9477" max="9477" width="10.33203125" style="122" customWidth="1"/>
    <col min="9478" max="9478" width="11.6640625" style="122" customWidth="1"/>
    <col min="9479" max="9479" width="15.88671875" style="122" customWidth="1"/>
    <col min="9480" max="9729" width="9.109375" style="122"/>
    <col min="9730" max="9730" width="17.5546875" style="122" customWidth="1"/>
    <col min="9731" max="9731" width="47.5546875" style="122" customWidth="1"/>
    <col min="9732" max="9732" width="9.109375" style="122"/>
    <col min="9733" max="9733" width="10.33203125" style="122" customWidth="1"/>
    <col min="9734" max="9734" width="11.6640625" style="122" customWidth="1"/>
    <col min="9735" max="9735" width="15.88671875" style="122" customWidth="1"/>
    <col min="9736" max="9985" width="9.109375" style="122"/>
    <col min="9986" max="9986" width="17.5546875" style="122" customWidth="1"/>
    <col min="9987" max="9987" width="47.5546875" style="122" customWidth="1"/>
    <col min="9988" max="9988" width="9.109375" style="122"/>
    <col min="9989" max="9989" width="10.33203125" style="122" customWidth="1"/>
    <col min="9990" max="9990" width="11.6640625" style="122" customWidth="1"/>
    <col min="9991" max="9991" width="15.88671875" style="122" customWidth="1"/>
    <col min="9992" max="10241" width="9.109375" style="122"/>
    <col min="10242" max="10242" width="17.5546875" style="122" customWidth="1"/>
    <col min="10243" max="10243" width="47.5546875" style="122" customWidth="1"/>
    <col min="10244" max="10244" width="9.109375" style="122"/>
    <col min="10245" max="10245" width="10.33203125" style="122" customWidth="1"/>
    <col min="10246" max="10246" width="11.6640625" style="122" customWidth="1"/>
    <col min="10247" max="10247" width="15.88671875" style="122" customWidth="1"/>
    <col min="10248" max="10497" width="9.109375" style="122"/>
    <col min="10498" max="10498" width="17.5546875" style="122" customWidth="1"/>
    <col min="10499" max="10499" width="47.5546875" style="122" customWidth="1"/>
    <col min="10500" max="10500" width="9.109375" style="122"/>
    <col min="10501" max="10501" width="10.33203125" style="122" customWidth="1"/>
    <col min="10502" max="10502" width="11.6640625" style="122" customWidth="1"/>
    <col min="10503" max="10503" width="15.88671875" style="122" customWidth="1"/>
    <col min="10504" max="10753" width="9.109375" style="122"/>
    <col min="10754" max="10754" width="17.5546875" style="122" customWidth="1"/>
    <col min="10755" max="10755" width="47.5546875" style="122" customWidth="1"/>
    <col min="10756" max="10756" width="9.109375" style="122"/>
    <col min="10757" max="10757" width="10.33203125" style="122" customWidth="1"/>
    <col min="10758" max="10758" width="11.6640625" style="122" customWidth="1"/>
    <col min="10759" max="10759" width="15.88671875" style="122" customWidth="1"/>
    <col min="10760" max="11009" width="9.109375" style="122"/>
    <col min="11010" max="11010" width="17.5546875" style="122" customWidth="1"/>
    <col min="11011" max="11011" width="47.5546875" style="122" customWidth="1"/>
    <col min="11012" max="11012" width="9.109375" style="122"/>
    <col min="11013" max="11013" width="10.33203125" style="122" customWidth="1"/>
    <col min="11014" max="11014" width="11.6640625" style="122" customWidth="1"/>
    <col min="11015" max="11015" width="15.88671875" style="122" customWidth="1"/>
    <col min="11016" max="11265" width="9.109375" style="122"/>
    <col min="11266" max="11266" width="17.5546875" style="122" customWidth="1"/>
    <col min="11267" max="11267" width="47.5546875" style="122" customWidth="1"/>
    <col min="11268" max="11268" width="9.109375" style="122"/>
    <col min="11269" max="11269" width="10.33203125" style="122" customWidth="1"/>
    <col min="11270" max="11270" width="11.6640625" style="122" customWidth="1"/>
    <col min="11271" max="11271" width="15.88671875" style="122" customWidth="1"/>
    <col min="11272" max="11521" width="9.109375" style="122"/>
    <col min="11522" max="11522" width="17.5546875" style="122" customWidth="1"/>
    <col min="11523" max="11523" width="47.5546875" style="122" customWidth="1"/>
    <col min="11524" max="11524" width="9.109375" style="122"/>
    <col min="11525" max="11525" width="10.33203125" style="122" customWidth="1"/>
    <col min="11526" max="11526" width="11.6640625" style="122" customWidth="1"/>
    <col min="11527" max="11527" width="15.88671875" style="122" customWidth="1"/>
    <col min="11528" max="11777" width="9.109375" style="122"/>
    <col min="11778" max="11778" width="17.5546875" style="122" customWidth="1"/>
    <col min="11779" max="11779" width="47.5546875" style="122" customWidth="1"/>
    <col min="11780" max="11780" width="9.109375" style="122"/>
    <col min="11781" max="11781" width="10.33203125" style="122" customWidth="1"/>
    <col min="11782" max="11782" width="11.6640625" style="122" customWidth="1"/>
    <col min="11783" max="11783" width="15.88671875" style="122" customWidth="1"/>
    <col min="11784" max="12033" width="9.109375" style="122"/>
    <col min="12034" max="12034" width="17.5546875" style="122" customWidth="1"/>
    <col min="12035" max="12035" width="47.5546875" style="122" customWidth="1"/>
    <col min="12036" max="12036" width="9.109375" style="122"/>
    <col min="12037" max="12037" width="10.33203125" style="122" customWidth="1"/>
    <col min="12038" max="12038" width="11.6640625" style="122" customWidth="1"/>
    <col min="12039" max="12039" width="15.88671875" style="122" customWidth="1"/>
    <col min="12040" max="12289" width="9.109375" style="122"/>
    <col min="12290" max="12290" width="17.5546875" style="122" customWidth="1"/>
    <col min="12291" max="12291" width="47.5546875" style="122" customWidth="1"/>
    <col min="12292" max="12292" width="9.109375" style="122"/>
    <col min="12293" max="12293" width="10.33203125" style="122" customWidth="1"/>
    <col min="12294" max="12294" width="11.6640625" style="122" customWidth="1"/>
    <col min="12295" max="12295" width="15.88671875" style="122" customWidth="1"/>
    <col min="12296" max="12545" width="9.109375" style="122"/>
    <col min="12546" max="12546" width="17.5546875" style="122" customWidth="1"/>
    <col min="12547" max="12547" width="47.5546875" style="122" customWidth="1"/>
    <col min="12548" max="12548" width="9.109375" style="122"/>
    <col min="12549" max="12549" width="10.33203125" style="122" customWidth="1"/>
    <col min="12550" max="12550" width="11.6640625" style="122" customWidth="1"/>
    <col min="12551" max="12551" width="15.88671875" style="122" customWidth="1"/>
    <col min="12552" max="12801" width="9.109375" style="122"/>
    <col min="12802" max="12802" width="17.5546875" style="122" customWidth="1"/>
    <col min="12803" max="12803" width="47.5546875" style="122" customWidth="1"/>
    <col min="12804" max="12804" width="9.109375" style="122"/>
    <col min="12805" max="12805" width="10.33203125" style="122" customWidth="1"/>
    <col min="12806" max="12806" width="11.6640625" style="122" customWidth="1"/>
    <col min="12807" max="12807" width="15.88671875" style="122" customWidth="1"/>
    <col min="12808" max="13057" width="9.109375" style="122"/>
    <col min="13058" max="13058" width="17.5546875" style="122" customWidth="1"/>
    <col min="13059" max="13059" width="47.5546875" style="122" customWidth="1"/>
    <col min="13060" max="13060" width="9.109375" style="122"/>
    <col min="13061" max="13061" width="10.33203125" style="122" customWidth="1"/>
    <col min="13062" max="13062" width="11.6640625" style="122" customWidth="1"/>
    <col min="13063" max="13063" width="15.88671875" style="122" customWidth="1"/>
    <col min="13064" max="13313" width="9.109375" style="122"/>
    <col min="13314" max="13314" width="17.5546875" style="122" customWidth="1"/>
    <col min="13315" max="13315" width="47.5546875" style="122" customWidth="1"/>
    <col min="13316" max="13316" width="9.109375" style="122"/>
    <col min="13317" max="13317" width="10.33203125" style="122" customWidth="1"/>
    <col min="13318" max="13318" width="11.6640625" style="122" customWidth="1"/>
    <col min="13319" max="13319" width="15.88671875" style="122" customWidth="1"/>
    <col min="13320" max="13569" width="9.109375" style="122"/>
    <col min="13570" max="13570" width="17.5546875" style="122" customWidth="1"/>
    <col min="13571" max="13571" width="47.5546875" style="122" customWidth="1"/>
    <col min="13572" max="13572" width="9.109375" style="122"/>
    <col min="13573" max="13573" width="10.33203125" style="122" customWidth="1"/>
    <col min="13574" max="13574" width="11.6640625" style="122" customWidth="1"/>
    <col min="13575" max="13575" width="15.88671875" style="122" customWidth="1"/>
    <col min="13576" max="13825" width="9.109375" style="122"/>
    <col min="13826" max="13826" width="17.5546875" style="122" customWidth="1"/>
    <col min="13827" max="13827" width="47.5546875" style="122" customWidth="1"/>
    <col min="13828" max="13828" width="9.109375" style="122"/>
    <col min="13829" max="13829" width="10.33203125" style="122" customWidth="1"/>
    <col min="13830" max="13830" width="11.6640625" style="122" customWidth="1"/>
    <col min="13831" max="13831" width="15.88671875" style="122" customWidth="1"/>
    <col min="13832" max="14081" width="9.109375" style="122"/>
    <col min="14082" max="14082" width="17.5546875" style="122" customWidth="1"/>
    <col min="14083" max="14083" width="47.5546875" style="122" customWidth="1"/>
    <col min="14084" max="14084" width="9.109375" style="122"/>
    <col min="14085" max="14085" width="10.33203125" style="122" customWidth="1"/>
    <col min="14086" max="14086" width="11.6640625" style="122" customWidth="1"/>
    <col min="14087" max="14087" width="15.88671875" style="122" customWidth="1"/>
    <col min="14088" max="14337" width="9.109375" style="122"/>
    <col min="14338" max="14338" width="17.5546875" style="122" customWidth="1"/>
    <col min="14339" max="14339" width="47.5546875" style="122" customWidth="1"/>
    <col min="14340" max="14340" width="9.109375" style="122"/>
    <col min="14341" max="14341" width="10.33203125" style="122" customWidth="1"/>
    <col min="14342" max="14342" width="11.6640625" style="122" customWidth="1"/>
    <col min="14343" max="14343" width="15.88671875" style="122" customWidth="1"/>
    <col min="14344" max="14593" width="9.109375" style="122"/>
    <col min="14594" max="14594" width="17.5546875" style="122" customWidth="1"/>
    <col min="14595" max="14595" width="47.5546875" style="122" customWidth="1"/>
    <col min="14596" max="14596" width="9.109375" style="122"/>
    <col min="14597" max="14597" width="10.33203125" style="122" customWidth="1"/>
    <col min="14598" max="14598" width="11.6640625" style="122" customWidth="1"/>
    <col min="14599" max="14599" width="15.88671875" style="122" customWidth="1"/>
    <col min="14600" max="14849" width="9.109375" style="122"/>
    <col min="14850" max="14850" width="17.5546875" style="122" customWidth="1"/>
    <col min="14851" max="14851" width="47.5546875" style="122" customWidth="1"/>
    <col min="14852" max="14852" width="9.109375" style="122"/>
    <col min="14853" max="14853" width="10.33203125" style="122" customWidth="1"/>
    <col min="14854" max="14854" width="11.6640625" style="122" customWidth="1"/>
    <col min="14855" max="14855" width="15.88671875" style="122" customWidth="1"/>
    <col min="14856" max="15105" width="9.109375" style="122"/>
    <col min="15106" max="15106" width="17.5546875" style="122" customWidth="1"/>
    <col min="15107" max="15107" width="47.5546875" style="122" customWidth="1"/>
    <col min="15108" max="15108" width="9.109375" style="122"/>
    <col min="15109" max="15109" width="10.33203125" style="122" customWidth="1"/>
    <col min="15110" max="15110" width="11.6640625" style="122" customWidth="1"/>
    <col min="15111" max="15111" width="15.88671875" style="122" customWidth="1"/>
    <col min="15112" max="15361" width="9.109375" style="122"/>
    <col min="15362" max="15362" width="17.5546875" style="122" customWidth="1"/>
    <col min="15363" max="15363" width="47.5546875" style="122" customWidth="1"/>
    <col min="15364" max="15364" width="9.109375" style="122"/>
    <col min="15365" max="15365" width="10.33203125" style="122" customWidth="1"/>
    <col min="15366" max="15366" width="11.6640625" style="122" customWidth="1"/>
    <col min="15367" max="15367" width="15.88671875" style="122" customWidth="1"/>
    <col min="15368" max="15617" width="9.109375" style="122"/>
    <col min="15618" max="15618" width="17.5546875" style="122" customWidth="1"/>
    <col min="15619" max="15619" width="47.5546875" style="122" customWidth="1"/>
    <col min="15620" max="15620" width="9.109375" style="122"/>
    <col min="15621" max="15621" width="10.33203125" style="122" customWidth="1"/>
    <col min="15622" max="15622" width="11.6640625" style="122" customWidth="1"/>
    <col min="15623" max="15623" width="15.88671875" style="122" customWidth="1"/>
    <col min="15624" max="15873" width="9.109375" style="122"/>
    <col min="15874" max="15874" width="17.5546875" style="122" customWidth="1"/>
    <col min="15875" max="15875" width="47.5546875" style="122" customWidth="1"/>
    <col min="15876" max="15876" width="9.109375" style="122"/>
    <col min="15877" max="15877" width="10.33203125" style="122" customWidth="1"/>
    <col min="15878" max="15878" width="11.6640625" style="122" customWidth="1"/>
    <col min="15879" max="15879" width="15.88671875" style="122" customWidth="1"/>
    <col min="15880" max="16129" width="9.109375" style="122"/>
    <col min="16130" max="16130" width="17.5546875" style="122" customWidth="1"/>
    <col min="16131" max="16131" width="47.5546875" style="122" customWidth="1"/>
    <col min="16132" max="16132" width="9.109375" style="122"/>
    <col min="16133" max="16133" width="10.33203125" style="122" customWidth="1"/>
    <col min="16134" max="16134" width="11.6640625" style="122" customWidth="1"/>
    <col min="16135" max="16135" width="15.88671875" style="122" customWidth="1"/>
    <col min="16136" max="16384" width="9.109375" style="122"/>
  </cols>
  <sheetData>
    <row r="1" spans="1:11" ht="10.8" thickBot="1" x14ac:dyDescent="0.25"/>
    <row r="2" spans="1:11" ht="20.399999999999999" thickBot="1" x14ac:dyDescent="0.45">
      <c r="A2" s="686" t="s">
        <v>76</v>
      </c>
      <c r="B2" s="687"/>
      <c r="C2" s="687"/>
      <c r="D2" s="687"/>
      <c r="E2" s="687"/>
      <c r="F2" s="687"/>
      <c r="G2" s="688"/>
    </row>
    <row r="3" spans="1:11" ht="15" thickBot="1" x14ac:dyDescent="0.35">
      <c r="A3" s="18"/>
      <c r="B3" s="18"/>
      <c r="C3" s="18"/>
      <c r="D3" s="18"/>
      <c r="E3" s="18"/>
      <c r="F3" s="18"/>
      <c r="G3" s="18"/>
    </row>
    <row r="4" spans="1:11" ht="28.5" customHeight="1" x14ac:dyDescent="0.2">
      <c r="A4" s="689" t="str">
        <f>'(PLANILHA GERAL COM DESON)'!B6</f>
        <v>OBRA: EXECUÇÃO DE REPAROS EMERGENCIAIS E REFORMA DOS PRÉDIOS DAS ESCOLAS MUNICIPAIS E DA SEDE DA SECRETARIA DE EDUCAÇÃO DO MUNICÍPIO DE LIMOEIRO/PE</v>
      </c>
      <c r="B4" s="690" t="e">
        <f>'[3](GERAL - SINAPI COM DESON)'!B6</f>
        <v>#REF!</v>
      </c>
      <c r="C4" s="691"/>
      <c r="D4" s="691"/>
      <c r="E4" s="691"/>
      <c r="F4" s="691"/>
      <c r="G4" s="692"/>
    </row>
    <row r="5" spans="1:11" ht="15" customHeight="1" x14ac:dyDescent="0.2">
      <c r="A5" s="693" t="str">
        <f>'(PLANILHA GERAL COM DESON)'!B7</f>
        <v>LOCALIZAÇÃO: DIVERSAS LOCALIDADES, LIMOEIRO - PE</v>
      </c>
      <c r="B5" s="694"/>
      <c r="C5" s="694"/>
      <c r="D5" s="694"/>
      <c r="E5" s="694"/>
      <c r="F5" s="694"/>
      <c r="G5" s="695"/>
    </row>
    <row r="6" spans="1:11" ht="15" customHeight="1" x14ac:dyDescent="0.2">
      <c r="A6" s="693" t="s">
        <v>738</v>
      </c>
      <c r="B6" s="694"/>
      <c r="C6" s="694"/>
      <c r="D6" s="694"/>
      <c r="E6" s="694"/>
      <c r="F6" s="694"/>
      <c r="G6" s="695"/>
      <c r="K6" s="223"/>
    </row>
    <row r="7" spans="1:11" ht="15.75" customHeight="1" thickBot="1" x14ac:dyDescent="0.25">
      <c r="A7" s="696" t="s">
        <v>737</v>
      </c>
      <c r="B7" s="697"/>
      <c r="C7" s="697"/>
      <c r="D7" s="697"/>
      <c r="E7" s="697"/>
      <c r="F7" s="697"/>
      <c r="G7" s="698"/>
    </row>
    <row r="9" spans="1:11" s="19" customFormat="1" ht="15.6" x14ac:dyDescent="0.3">
      <c r="A9" s="675" t="s">
        <v>534</v>
      </c>
      <c r="B9" s="675"/>
      <c r="C9" s="675"/>
      <c r="D9" s="675"/>
      <c r="E9" s="675"/>
      <c r="F9" s="675"/>
      <c r="G9" s="675"/>
    </row>
    <row r="10" spans="1:11" s="19" customFormat="1" ht="11.25" customHeight="1" x14ac:dyDescent="0.2">
      <c r="A10" s="676" t="s">
        <v>180</v>
      </c>
      <c r="B10" s="677"/>
      <c r="C10" s="204" t="s">
        <v>71</v>
      </c>
      <c r="D10" s="678" t="s">
        <v>535</v>
      </c>
      <c r="E10" s="679"/>
      <c r="F10" s="679"/>
      <c r="G10" s="680"/>
    </row>
    <row r="11" spans="1:11" s="19" customFormat="1" ht="34.5" customHeight="1" x14ac:dyDescent="0.2">
      <c r="A11" s="671"/>
      <c r="B11" s="672"/>
      <c r="C11" s="204" t="s">
        <v>72</v>
      </c>
      <c r="D11" s="685" t="s">
        <v>536</v>
      </c>
      <c r="E11" s="685"/>
      <c r="F11" s="685"/>
      <c r="G11" s="685"/>
    </row>
    <row r="12" spans="1:11" s="19" customFormat="1" ht="11.25" customHeight="1" x14ac:dyDescent="0.2">
      <c r="A12" s="671"/>
      <c r="B12" s="672"/>
      <c r="C12" s="204" t="s">
        <v>73</v>
      </c>
      <c r="D12" s="205" t="s">
        <v>9</v>
      </c>
      <c r="E12" s="663" t="s">
        <v>74</v>
      </c>
      <c r="F12" s="664"/>
      <c r="G12" s="682">
        <f>G18</f>
        <v>5.79</v>
      </c>
    </row>
    <row r="13" spans="1:11" s="19" customFormat="1" x14ac:dyDescent="0.2">
      <c r="A13" s="673"/>
      <c r="B13" s="674"/>
      <c r="C13" s="204" t="s">
        <v>70</v>
      </c>
      <c r="D13" s="205">
        <v>1</v>
      </c>
      <c r="E13" s="665"/>
      <c r="F13" s="666"/>
      <c r="G13" s="683"/>
    </row>
    <row r="14" spans="1:11" s="19" customFormat="1" x14ac:dyDescent="0.2">
      <c r="A14" s="206"/>
      <c r="B14" s="206"/>
      <c r="C14" s="207"/>
      <c r="D14" s="207"/>
      <c r="E14" s="669"/>
      <c r="F14" s="669"/>
      <c r="G14" s="209"/>
    </row>
    <row r="15" spans="1:11" s="19" customFormat="1" ht="21.75" customHeight="1" x14ac:dyDescent="0.2">
      <c r="A15" s="210" t="s">
        <v>522</v>
      </c>
      <c r="B15" s="210" t="s">
        <v>523</v>
      </c>
      <c r="C15" s="211" t="s">
        <v>75</v>
      </c>
      <c r="D15" s="211" t="s">
        <v>73</v>
      </c>
      <c r="E15" s="212" t="s">
        <v>524</v>
      </c>
      <c r="F15" s="212" t="s">
        <v>525</v>
      </c>
      <c r="G15" s="212" t="s">
        <v>526</v>
      </c>
    </row>
    <row r="16" spans="1:11" s="19" customFormat="1" x14ac:dyDescent="0.2">
      <c r="A16" s="213" t="s">
        <v>530</v>
      </c>
      <c r="B16" s="213">
        <v>88316</v>
      </c>
      <c r="C16" s="214" t="s">
        <v>532</v>
      </c>
      <c r="D16" s="215" t="s">
        <v>531</v>
      </c>
      <c r="E16" s="216">
        <v>0.3</v>
      </c>
      <c r="F16" s="20">
        <v>14.16</v>
      </c>
      <c r="G16" s="209">
        <f t="shared" ref="G16:G17" si="0">E16*F16</f>
        <v>4.2480000000000002</v>
      </c>
    </row>
    <row r="17" spans="1:9" s="19" customFormat="1" x14ac:dyDescent="0.2">
      <c r="A17" s="218" t="s">
        <v>530</v>
      </c>
      <c r="B17" s="218" t="s">
        <v>537</v>
      </c>
      <c r="C17" s="219" t="s">
        <v>538</v>
      </c>
      <c r="D17" s="215" t="s">
        <v>531</v>
      </c>
      <c r="E17" s="216">
        <v>0.1</v>
      </c>
      <c r="F17" s="22">
        <v>15.49</v>
      </c>
      <c r="G17" s="209">
        <f t="shared" si="0"/>
        <v>1.5490000000000002</v>
      </c>
    </row>
    <row r="18" spans="1:9" s="19" customFormat="1" x14ac:dyDescent="0.2">
      <c r="A18" s="21"/>
      <c r="B18" s="21"/>
      <c r="C18" s="220"/>
      <c r="D18" s="21"/>
      <c r="E18" s="21"/>
      <c r="F18" s="221" t="s">
        <v>35</v>
      </c>
      <c r="G18" s="222">
        <f>TRUNC(SUM(G16:G17),2)</f>
        <v>5.79</v>
      </c>
      <c r="H18" s="19" t="s">
        <v>533</v>
      </c>
    </row>
    <row r="19" spans="1:9" s="19" customFormat="1" x14ac:dyDescent="0.2"/>
    <row r="20" spans="1:9" s="19" customFormat="1" ht="15.6" x14ac:dyDescent="0.3">
      <c r="A20" s="675" t="s">
        <v>559</v>
      </c>
      <c r="B20" s="675"/>
      <c r="C20" s="675"/>
      <c r="D20" s="675"/>
      <c r="E20" s="675"/>
      <c r="F20" s="675"/>
      <c r="G20" s="675"/>
    </row>
    <row r="21" spans="1:9" s="19" customFormat="1" ht="11.25" customHeight="1" x14ac:dyDescent="0.2">
      <c r="A21" s="676" t="s">
        <v>539</v>
      </c>
      <c r="B21" s="677"/>
      <c r="C21" s="204" t="s">
        <v>71</v>
      </c>
      <c r="D21" s="678" t="s">
        <v>600</v>
      </c>
      <c r="E21" s="679"/>
      <c r="F21" s="679"/>
      <c r="G21" s="680"/>
    </row>
    <row r="22" spans="1:9" s="19" customFormat="1" ht="69" customHeight="1" x14ac:dyDescent="0.2">
      <c r="A22" s="671"/>
      <c r="B22" s="672"/>
      <c r="C22" s="204" t="s">
        <v>72</v>
      </c>
      <c r="D22" s="685" t="s">
        <v>561</v>
      </c>
      <c r="E22" s="685"/>
      <c r="F22" s="685"/>
      <c r="G22" s="685"/>
    </row>
    <row r="23" spans="1:9" s="19" customFormat="1" ht="11.25" customHeight="1" x14ac:dyDescent="0.2">
      <c r="A23" s="671"/>
      <c r="B23" s="672"/>
      <c r="C23" s="204" t="s">
        <v>73</v>
      </c>
      <c r="D23" s="205" t="s">
        <v>416</v>
      </c>
      <c r="E23" s="663" t="s">
        <v>74</v>
      </c>
      <c r="F23" s="664"/>
      <c r="G23" s="682" t="e">
        <f>G36</f>
        <v>#VALUE!</v>
      </c>
    </row>
    <row r="24" spans="1:9" s="19" customFormat="1" x14ac:dyDescent="0.2">
      <c r="A24" s="673"/>
      <c r="B24" s="674"/>
      <c r="C24" s="204" t="s">
        <v>70</v>
      </c>
      <c r="D24" s="205">
        <v>1</v>
      </c>
      <c r="E24" s="665"/>
      <c r="F24" s="666"/>
      <c r="G24" s="683"/>
    </row>
    <row r="25" spans="1:9" s="19" customFormat="1" x14ac:dyDescent="0.2">
      <c r="A25" s="206"/>
      <c r="B25" s="206"/>
      <c r="C25" s="207"/>
      <c r="D25" s="207"/>
      <c r="E25" s="669"/>
      <c r="F25" s="669"/>
      <c r="G25" s="209"/>
    </row>
    <row r="26" spans="1:9" s="19" customFormat="1" ht="21.75" customHeight="1" x14ac:dyDescent="0.2">
      <c r="A26" s="210" t="s">
        <v>522</v>
      </c>
      <c r="B26" s="210" t="s">
        <v>523</v>
      </c>
      <c r="C26" s="211" t="s">
        <v>75</v>
      </c>
      <c r="D26" s="211" t="s">
        <v>73</v>
      </c>
      <c r="E26" s="212" t="s">
        <v>524</v>
      </c>
      <c r="F26" s="212" t="s">
        <v>525</v>
      </c>
      <c r="G26" s="212" t="s">
        <v>526</v>
      </c>
      <c r="I26" s="212" t="s">
        <v>527</v>
      </c>
    </row>
    <row r="27" spans="1:9" s="19" customFormat="1" ht="20.399999999999999" x14ac:dyDescent="0.2">
      <c r="A27" s="213" t="s">
        <v>530</v>
      </c>
      <c r="B27" s="213" t="s">
        <v>540</v>
      </c>
      <c r="C27" s="214" t="s">
        <v>541</v>
      </c>
      <c r="D27" s="215" t="s">
        <v>529</v>
      </c>
      <c r="E27" s="216">
        <f>I27*0.1</f>
        <v>2200000</v>
      </c>
      <c r="F27" s="217">
        <v>4.24</v>
      </c>
      <c r="G27" s="209">
        <f t="shared" ref="G27:G35" si="1">E27*F27</f>
        <v>9328000</v>
      </c>
      <c r="I27" s="216" t="s">
        <v>542</v>
      </c>
    </row>
    <row r="28" spans="1:9" s="19" customFormat="1" ht="20.399999999999999" x14ac:dyDescent="0.2">
      <c r="A28" s="218" t="s">
        <v>530</v>
      </c>
      <c r="B28" s="218" t="s">
        <v>543</v>
      </c>
      <c r="C28" s="219" t="s">
        <v>544</v>
      </c>
      <c r="D28" s="215" t="s">
        <v>416</v>
      </c>
      <c r="E28" s="216">
        <f>I28*0.1</f>
        <v>1000000</v>
      </c>
      <c r="F28" s="217">
        <v>2.8</v>
      </c>
      <c r="G28" s="209">
        <f t="shared" si="1"/>
        <v>2800000</v>
      </c>
      <c r="I28" s="216" t="s">
        <v>545</v>
      </c>
    </row>
    <row r="29" spans="1:9" s="19" customFormat="1" ht="30.6" x14ac:dyDescent="0.2">
      <c r="A29" s="218" t="s">
        <v>530</v>
      </c>
      <c r="B29" s="218" t="s">
        <v>546</v>
      </c>
      <c r="C29" s="219" t="s">
        <v>547</v>
      </c>
      <c r="D29" s="215" t="s">
        <v>529</v>
      </c>
      <c r="E29" s="216">
        <f>I29*0.1</f>
        <v>2200000</v>
      </c>
      <c r="F29" s="217">
        <v>8.51</v>
      </c>
      <c r="G29" s="209">
        <f t="shared" si="1"/>
        <v>18722000</v>
      </c>
      <c r="I29" s="216" t="s">
        <v>542</v>
      </c>
    </row>
    <row r="30" spans="1:9" s="19" customFormat="1" ht="30.6" x14ac:dyDescent="0.2">
      <c r="A30" s="218" t="s">
        <v>530</v>
      </c>
      <c r="B30" s="218" t="s">
        <v>548</v>
      </c>
      <c r="C30" s="219" t="s">
        <v>549</v>
      </c>
      <c r="D30" s="215" t="s">
        <v>529</v>
      </c>
      <c r="E30" s="216">
        <f>I30*0.1</f>
        <v>2000000</v>
      </c>
      <c r="F30" s="217">
        <v>3.56</v>
      </c>
      <c r="G30" s="209">
        <f t="shared" si="1"/>
        <v>7120000</v>
      </c>
      <c r="I30" s="216" t="s">
        <v>550</v>
      </c>
    </row>
    <row r="31" spans="1:9" s="19" customFormat="1" ht="30.6" x14ac:dyDescent="0.2">
      <c r="A31" s="218" t="s">
        <v>530</v>
      </c>
      <c r="B31" s="218" t="s">
        <v>551</v>
      </c>
      <c r="C31" s="219" t="s">
        <v>552</v>
      </c>
      <c r="D31" s="215" t="s">
        <v>529</v>
      </c>
      <c r="E31" s="216">
        <f>I31*0.1</f>
        <v>2200000</v>
      </c>
      <c r="F31" s="217">
        <v>5.26</v>
      </c>
      <c r="G31" s="209">
        <f t="shared" si="1"/>
        <v>11572000</v>
      </c>
      <c r="I31" s="216" t="s">
        <v>542</v>
      </c>
    </row>
    <row r="32" spans="1:9" s="19" customFormat="1" ht="30.6" x14ac:dyDescent="0.2">
      <c r="A32" s="218" t="s">
        <v>530</v>
      </c>
      <c r="B32" s="218" t="s">
        <v>562</v>
      </c>
      <c r="C32" s="219" t="s">
        <v>563</v>
      </c>
      <c r="D32" s="215" t="s">
        <v>529</v>
      </c>
      <c r="E32" s="216">
        <v>12.6</v>
      </c>
      <c r="F32" s="217">
        <v>3.49</v>
      </c>
      <c r="G32" s="209">
        <f t="shared" si="1"/>
        <v>43.974000000000004</v>
      </c>
      <c r="I32" s="216" t="s">
        <v>564</v>
      </c>
    </row>
    <row r="33" spans="1:9" s="19" customFormat="1" ht="20.399999999999999" x14ac:dyDescent="0.2">
      <c r="A33" s="218" t="s">
        <v>530</v>
      </c>
      <c r="B33" s="218" t="s">
        <v>553</v>
      </c>
      <c r="C33" s="219" t="s">
        <v>554</v>
      </c>
      <c r="D33" s="215" t="s">
        <v>416</v>
      </c>
      <c r="E33" s="216" t="e">
        <f>I33*0.1</f>
        <v>#VALUE!</v>
      </c>
      <c r="F33" s="217">
        <v>7.8</v>
      </c>
      <c r="G33" s="209" t="e">
        <f t="shared" si="1"/>
        <v>#VALUE!</v>
      </c>
      <c r="I33" s="216" t="s">
        <v>555</v>
      </c>
    </row>
    <row r="34" spans="1:9" s="19" customFormat="1" ht="30.6" x14ac:dyDescent="0.2">
      <c r="A34" s="218" t="s">
        <v>530</v>
      </c>
      <c r="B34" s="218" t="s">
        <v>557</v>
      </c>
      <c r="C34" s="219" t="s">
        <v>558</v>
      </c>
      <c r="D34" s="215" t="s">
        <v>416</v>
      </c>
      <c r="E34" s="216">
        <f>I34*0.1</f>
        <v>1000000</v>
      </c>
      <c r="F34" s="217">
        <v>9.9499999999999993</v>
      </c>
      <c r="G34" s="209">
        <f t="shared" si="1"/>
        <v>9950000</v>
      </c>
      <c r="I34" s="216" t="s">
        <v>545</v>
      </c>
    </row>
    <row r="35" spans="1:9" s="19" customFormat="1" ht="20.399999999999999" x14ac:dyDescent="0.2">
      <c r="A35" s="218" t="s">
        <v>530</v>
      </c>
      <c r="B35" s="218" t="s">
        <v>957</v>
      </c>
      <c r="C35" s="219" t="s">
        <v>958</v>
      </c>
      <c r="D35" s="215" t="s">
        <v>416</v>
      </c>
      <c r="E35" s="216">
        <v>1</v>
      </c>
      <c r="F35" s="217">
        <v>21.51</v>
      </c>
      <c r="G35" s="209">
        <f t="shared" si="1"/>
        <v>21.51</v>
      </c>
      <c r="I35" s="216" t="s">
        <v>545</v>
      </c>
    </row>
    <row r="36" spans="1:9" s="19" customFormat="1" x14ac:dyDescent="0.2">
      <c r="A36" s="21"/>
      <c r="B36" s="21"/>
      <c r="C36" s="220"/>
      <c r="D36" s="21"/>
      <c r="E36" s="21"/>
      <c r="F36" s="221" t="s">
        <v>35</v>
      </c>
      <c r="G36" s="222" t="e">
        <f>TRUNC(SUM(G27:G35),2)</f>
        <v>#VALUE!</v>
      </c>
      <c r="H36" s="19" t="s">
        <v>533</v>
      </c>
    </row>
    <row r="38" spans="1:9" s="19" customFormat="1" ht="15.6" x14ac:dyDescent="0.3">
      <c r="A38" s="675" t="s">
        <v>565</v>
      </c>
      <c r="B38" s="675"/>
      <c r="C38" s="675"/>
      <c r="D38" s="675"/>
      <c r="E38" s="675"/>
      <c r="F38" s="675"/>
      <c r="G38" s="675"/>
    </row>
    <row r="39" spans="1:9" s="19" customFormat="1" ht="11.25" customHeight="1" x14ac:dyDescent="0.2">
      <c r="A39" s="676" t="s">
        <v>556</v>
      </c>
      <c r="B39" s="677"/>
      <c r="C39" s="204" t="s">
        <v>71</v>
      </c>
      <c r="D39" s="678" t="s">
        <v>579</v>
      </c>
      <c r="E39" s="679"/>
      <c r="F39" s="679"/>
      <c r="G39" s="680"/>
    </row>
    <row r="40" spans="1:9" s="19" customFormat="1" ht="34.5" customHeight="1" x14ac:dyDescent="0.2">
      <c r="A40" s="671"/>
      <c r="B40" s="672"/>
      <c r="C40" s="204" t="s">
        <v>72</v>
      </c>
      <c r="D40" s="685" t="s">
        <v>567</v>
      </c>
      <c r="E40" s="685"/>
      <c r="F40" s="685"/>
      <c r="G40" s="685"/>
    </row>
    <row r="41" spans="1:9" s="19" customFormat="1" ht="11.25" customHeight="1" x14ac:dyDescent="0.2">
      <c r="A41" s="671"/>
      <c r="B41" s="672"/>
      <c r="C41" s="204" t="s">
        <v>73</v>
      </c>
      <c r="D41" s="205" t="s">
        <v>416</v>
      </c>
      <c r="E41" s="663" t="s">
        <v>74</v>
      </c>
      <c r="F41" s="664"/>
      <c r="G41" s="682">
        <f>G50</f>
        <v>104.48</v>
      </c>
    </row>
    <row r="42" spans="1:9" s="19" customFormat="1" x14ac:dyDescent="0.2">
      <c r="A42" s="673"/>
      <c r="B42" s="674"/>
      <c r="C42" s="204" t="s">
        <v>70</v>
      </c>
      <c r="D42" s="205">
        <v>1</v>
      </c>
      <c r="E42" s="665"/>
      <c r="F42" s="666"/>
      <c r="G42" s="683"/>
    </row>
    <row r="43" spans="1:9" s="19" customFormat="1" x14ac:dyDescent="0.2">
      <c r="A43" s="206"/>
      <c r="B43" s="206"/>
      <c r="C43" s="207"/>
      <c r="D43" s="207"/>
      <c r="E43" s="669"/>
      <c r="F43" s="669"/>
      <c r="G43" s="209"/>
    </row>
    <row r="44" spans="1:9" s="19" customFormat="1" ht="21.75" customHeight="1" x14ac:dyDescent="0.2">
      <c r="A44" s="210" t="s">
        <v>522</v>
      </c>
      <c r="B44" s="210" t="s">
        <v>523</v>
      </c>
      <c r="C44" s="211" t="s">
        <v>75</v>
      </c>
      <c r="D44" s="211" t="s">
        <v>73</v>
      </c>
      <c r="E44" s="212" t="s">
        <v>524</v>
      </c>
      <c r="F44" s="212" t="s">
        <v>525</v>
      </c>
      <c r="G44" s="212" t="s">
        <v>526</v>
      </c>
    </row>
    <row r="45" spans="1:9" s="19" customFormat="1" ht="30.6" x14ac:dyDescent="0.2">
      <c r="A45" s="213" t="s">
        <v>528</v>
      </c>
      <c r="B45" s="213" t="s">
        <v>568</v>
      </c>
      <c r="C45" s="214" t="s">
        <v>569</v>
      </c>
      <c r="D45" s="215" t="s">
        <v>416</v>
      </c>
      <c r="E45" s="216">
        <v>1</v>
      </c>
      <c r="F45" s="217">
        <v>51.75</v>
      </c>
      <c r="G45" s="209">
        <f t="shared" ref="G45:G49" si="2">E45*F45</f>
        <v>51.75</v>
      </c>
      <c r="H45" s="318">
        <v>73</v>
      </c>
    </row>
    <row r="46" spans="1:9" s="19" customFormat="1" ht="20.399999999999999" x14ac:dyDescent="0.2">
      <c r="A46" s="213" t="s">
        <v>528</v>
      </c>
      <c r="B46" s="218" t="s">
        <v>570</v>
      </c>
      <c r="C46" s="219" t="s">
        <v>571</v>
      </c>
      <c r="D46" s="215" t="s">
        <v>416</v>
      </c>
      <c r="E46" s="216">
        <v>1</v>
      </c>
      <c r="F46" s="217">
        <v>36.75</v>
      </c>
      <c r="G46" s="209">
        <f>E46*F46</f>
        <v>36.75</v>
      </c>
    </row>
    <row r="47" spans="1:9" s="19" customFormat="1" ht="20.399999999999999" x14ac:dyDescent="0.2">
      <c r="A47" s="218" t="s">
        <v>528</v>
      </c>
      <c r="B47" s="218" t="s">
        <v>572</v>
      </c>
      <c r="C47" s="219" t="s">
        <v>573</v>
      </c>
      <c r="D47" s="215" t="s">
        <v>416</v>
      </c>
      <c r="E47" s="216">
        <v>0.06</v>
      </c>
      <c r="F47" s="217">
        <v>2.4</v>
      </c>
      <c r="G47" s="209">
        <f t="shared" si="2"/>
        <v>0.14399999999999999</v>
      </c>
    </row>
    <row r="48" spans="1:9" s="19" customFormat="1" x14ac:dyDescent="0.2">
      <c r="A48" s="218" t="s">
        <v>530</v>
      </c>
      <c r="B48" s="218" t="s">
        <v>574</v>
      </c>
      <c r="C48" s="219" t="s">
        <v>575</v>
      </c>
      <c r="D48" s="215" t="s">
        <v>531</v>
      </c>
      <c r="E48" s="216">
        <v>0.5</v>
      </c>
      <c r="F48" s="217">
        <v>14.24</v>
      </c>
      <c r="G48" s="209">
        <f t="shared" si="2"/>
        <v>7.12</v>
      </c>
    </row>
    <row r="49" spans="1:8" s="19" customFormat="1" x14ac:dyDescent="0.2">
      <c r="A49" s="218" t="s">
        <v>530</v>
      </c>
      <c r="B49" s="218" t="s">
        <v>576</v>
      </c>
      <c r="C49" s="219" t="s">
        <v>577</v>
      </c>
      <c r="D49" s="215" t="s">
        <v>531</v>
      </c>
      <c r="E49" s="216">
        <v>0.5</v>
      </c>
      <c r="F49" s="217">
        <v>17.45</v>
      </c>
      <c r="G49" s="209">
        <f t="shared" si="2"/>
        <v>8.7249999999999996</v>
      </c>
    </row>
    <row r="50" spans="1:8" s="19" customFormat="1" x14ac:dyDescent="0.2">
      <c r="A50" s="21"/>
      <c r="B50" s="21"/>
      <c r="C50" s="220"/>
      <c r="D50" s="21"/>
      <c r="E50" s="21"/>
      <c r="F50" s="221" t="s">
        <v>35</v>
      </c>
      <c r="G50" s="222">
        <f>TRUNC(SUM(G45:G49),2)</f>
        <v>104.48</v>
      </c>
      <c r="H50" s="19" t="s">
        <v>533</v>
      </c>
    </row>
    <row r="52" spans="1:8" s="19" customFormat="1" ht="15.6" x14ac:dyDescent="0.3">
      <c r="A52" s="675" t="s">
        <v>739</v>
      </c>
      <c r="B52" s="675"/>
      <c r="C52" s="675"/>
      <c r="D52" s="675"/>
      <c r="E52" s="675"/>
      <c r="F52" s="675"/>
      <c r="G52" s="675"/>
    </row>
    <row r="53" spans="1:8" s="19" customFormat="1" ht="11.25" customHeight="1" x14ac:dyDescent="0.2">
      <c r="A53" s="676" t="s">
        <v>560</v>
      </c>
      <c r="B53" s="677"/>
      <c r="C53" s="204" t="s">
        <v>71</v>
      </c>
      <c r="D53" s="678" t="s">
        <v>704</v>
      </c>
      <c r="E53" s="679"/>
      <c r="F53" s="679"/>
      <c r="G53" s="680"/>
    </row>
    <row r="54" spans="1:8" s="19" customFormat="1" ht="34.5" customHeight="1" x14ac:dyDescent="0.2">
      <c r="A54" s="671"/>
      <c r="B54" s="672"/>
      <c r="C54" s="204" t="s">
        <v>72</v>
      </c>
      <c r="D54" s="681" t="s">
        <v>711</v>
      </c>
      <c r="E54" s="681"/>
      <c r="F54" s="681"/>
      <c r="G54" s="681"/>
    </row>
    <row r="55" spans="1:8" s="19" customFormat="1" ht="11.25" customHeight="1" x14ac:dyDescent="0.2">
      <c r="A55" s="671"/>
      <c r="B55" s="672"/>
      <c r="C55" s="204" t="s">
        <v>73</v>
      </c>
      <c r="D55" s="205" t="s">
        <v>529</v>
      </c>
      <c r="E55" s="663" t="s">
        <v>74</v>
      </c>
      <c r="F55" s="664"/>
      <c r="G55" s="682">
        <f>G62</f>
        <v>3.61</v>
      </c>
    </row>
    <row r="56" spans="1:8" s="19" customFormat="1" x14ac:dyDescent="0.2">
      <c r="A56" s="673"/>
      <c r="B56" s="674"/>
      <c r="C56" s="204" t="s">
        <v>70</v>
      </c>
      <c r="D56" s="205">
        <v>1</v>
      </c>
      <c r="E56" s="665"/>
      <c r="F56" s="666"/>
      <c r="G56" s="683"/>
    </row>
    <row r="57" spans="1:8" s="19" customFormat="1" x14ac:dyDescent="0.2">
      <c r="A57" s="206"/>
      <c r="B57" s="206"/>
      <c r="C57" s="208"/>
      <c r="D57" s="208"/>
      <c r="E57" s="669"/>
      <c r="F57" s="669"/>
      <c r="G57" s="209"/>
    </row>
    <row r="58" spans="1:8" s="19" customFormat="1" ht="21.75" customHeight="1" x14ac:dyDescent="0.2">
      <c r="A58" s="210" t="s">
        <v>522</v>
      </c>
      <c r="B58" s="210" t="s">
        <v>523</v>
      </c>
      <c r="C58" s="211" t="s">
        <v>75</v>
      </c>
      <c r="D58" s="211" t="s">
        <v>73</v>
      </c>
      <c r="E58" s="212" t="s">
        <v>524</v>
      </c>
      <c r="F58" s="212" t="s">
        <v>525</v>
      </c>
      <c r="G58" s="212" t="s">
        <v>526</v>
      </c>
    </row>
    <row r="59" spans="1:8" s="19" customFormat="1" ht="20.399999999999999" x14ac:dyDescent="0.2">
      <c r="A59" s="213" t="s">
        <v>528</v>
      </c>
      <c r="B59" s="234" t="s">
        <v>702</v>
      </c>
      <c r="C59" s="214" t="s">
        <v>703</v>
      </c>
      <c r="D59" s="215" t="s">
        <v>43</v>
      </c>
      <c r="E59" s="216">
        <v>1</v>
      </c>
      <c r="F59" s="217">
        <v>2.0499999999999998</v>
      </c>
      <c r="G59" s="209">
        <f t="shared" ref="G59" si="3">E59*F59</f>
        <v>2.0499999999999998</v>
      </c>
    </row>
    <row r="60" spans="1:8" s="19" customFormat="1" x14ac:dyDescent="0.2">
      <c r="A60" s="213" t="s">
        <v>530</v>
      </c>
      <c r="B60" s="218">
        <v>88239</v>
      </c>
      <c r="C60" s="219" t="s">
        <v>700</v>
      </c>
      <c r="D60" s="215" t="s">
        <v>531</v>
      </c>
      <c r="E60" s="216">
        <v>0.05</v>
      </c>
      <c r="F60" s="217">
        <v>14.07</v>
      </c>
      <c r="G60" s="209">
        <f>E60*F60</f>
        <v>0.70350000000000001</v>
      </c>
    </row>
    <row r="61" spans="1:8" s="19" customFormat="1" x14ac:dyDescent="0.2">
      <c r="A61" s="218" t="s">
        <v>530</v>
      </c>
      <c r="B61" s="218">
        <v>88262</v>
      </c>
      <c r="C61" s="219" t="s">
        <v>701</v>
      </c>
      <c r="D61" s="215" t="s">
        <v>531</v>
      </c>
      <c r="E61" s="216">
        <v>0.05</v>
      </c>
      <c r="F61" s="217">
        <v>17.190000000000001</v>
      </c>
      <c r="G61" s="209">
        <f t="shared" ref="G61" si="4">E61*F61</f>
        <v>0.85950000000000015</v>
      </c>
    </row>
    <row r="62" spans="1:8" s="19" customFormat="1" x14ac:dyDescent="0.2">
      <c r="A62" s="21"/>
      <c r="B62" s="21"/>
      <c r="C62" s="220"/>
      <c r="D62" s="21"/>
      <c r="E62" s="21"/>
      <c r="F62" s="221" t="s">
        <v>35</v>
      </c>
      <c r="G62" s="222">
        <f>TRUNC(SUM(G59:G61),2)</f>
        <v>3.61</v>
      </c>
      <c r="H62" s="19" t="s">
        <v>533</v>
      </c>
    </row>
    <row r="63" spans="1:8" s="19" customFormat="1" x14ac:dyDescent="0.2"/>
    <row r="64" spans="1:8" s="19" customFormat="1" ht="15.6" x14ac:dyDescent="0.3">
      <c r="A64" s="675" t="s">
        <v>740</v>
      </c>
      <c r="B64" s="675"/>
      <c r="C64" s="675"/>
      <c r="D64" s="675"/>
      <c r="E64" s="675"/>
      <c r="F64" s="675"/>
      <c r="G64" s="675"/>
    </row>
    <row r="65" spans="1:8" s="19" customFormat="1" ht="11.25" customHeight="1" x14ac:dyDescent="0.2">
      <c r="A65" s="676" t="s">
        <v>566</v>
      </c>
      <c r="B65" s="677"/>
      <c r="C65" s="204" t="s">
        <v>71</v>
      </c>
      <c r="D65" s="678" t="s">
        <v>708</v>
      </c>
      <c r="E65" s="679"/>
      <c r="F65" s="679"/>
      <c r="G65" s="680"/>
    </row>
    <row r="66" spans="1:8" s="19" customFormat="1" ht="34.5" customHeight="1" x14ac:dyDescent="0.2">
      <c r="A66" s="671"/>
      <c r="B66" s="672"/>
      <c r="C66" s="204" t="s">
        <v>72</v>
      </c>
      <c r="D66" s="684" t="s">
        <v>741</v>
      </c>
      <c r="E66" s="684"/>
      <c r="F66" s="684"/>
      <c r="G66" s="684"/>
    </row>
    <row r="67" spans="1:8" s="19" customFormat="1" ht="11.25" customHeight="1" x14ac:dyDescent="0.2">
      <c r="A67" s="671"/>
      <c r="B67" s="672"/>
      <c r="C67" s="204" t="s">
        <v>73</v>
      </c>
      <c r="D67" s="205" t="s">
        <v>529</v>
      </c>
      <c r="E67" s="663" t="s">
        <v>74</v>
      </c>
      <c r="F67" s="664"/>
      <c r="G67" s="682">
        <f>G75</f>
        <v>14.06</v>
      </c>
    </row>
    <row r="68" spans="1:8" s="19" customFormat="1" x14ac:dyDescent="0.2">
      <c r="A68" s="673"/>
      <c r="B68" s="674"/>
      <c r="C68" s="204" t="s">
        <v>70</v>
      </c>
      <c r="D68" s="205">
        <v>1</v>
      </c>
      <c r="E68" s="665"/>
      <c r="F68" s="666"/>
      <c r="G68" s="683"/>
    </row>
    <row r="69" spans="1:8" s="19" customFormat="1" x14ac:dyDescent="0.2">
      <c r="A69" s="206"/>
      <c r="B69" s="206"/>
      <c r="C69" s="208"/>
      <c r="D69" s="208"/>
      <c r="E69" s="669"/>
      <c r="F69" s="669"/>
      <c r="G69" s="209"/>
    </row>
    <row r="70" spans="1:8" s="19" customFormat="1" ht="21.75" customHeight="1" x14ac:dyDescent="0.2">
      <c r="A70" s="210" t="s">
        <v>522</v>
      </c>
      <c r="B70" s="210" t="s">
        <v>523</v>
      </c>
      <c r="C70" s="211" t="s">
        <v>75</v>
      </c>
      <c r="D70" s="211" t="s">
        <v>73</v>
      </c>
      <c r="E70" s="212" t="s">
        <v>524</v>
      </c>
      <c r="F70" s="212" t="s">
        <v>525</v>
      </c>
      <c r="G70" s="212" t="s">
        <v>526</v>
      </c>
    </row>
    <row r="71" spans="1:8" s="19" customFormat="1" ht="20.399999999999999" x14ac:dyDescent="0.2">
      <c r="A71" s="213" t="s">
        <v>528</v>
      </c>
      <c r="B71" s="234">
        <v>4430</v>
      </c>
      <c r="C71" s="214" t="s">
        <v>707</v>
      </c>
      <c r="D71" s="215" t="s">
        <v>529</v>
      </c>
      <c r="E71" s="216">
        <v>1</v>
      </c>
      <c r="F71" s="217">
        <v>9.2899999999999991</v>
      </c>
      <c r="G71" s="209">
        <f t="shared" ref="G71" si="5">E71*F71</f>
        <v>9.2899999999999991</v>
      </c>
    </row>
    <row r="72" spans="1:8" s="19" customFormat="1" x14ac:dyDescent="0.2">
      <c r="A72" s="213" t="s">
        <v>528</v>
      </c>
      <c r="B72" s="234">
        <v>5061</v>
      </c>
      <c r="C72" s="214" t="s">
        <v>705</v>
      </c>
      <c r="D72" s="215" t="s">
        <v>706</v>
      </c>
      <c r="E72" s="216">
        <v>0.01</v>
      </c>
      <c r="F72" s="217">
        <v>9.0299999999999994</v>
      </c>
      <c r="G72" s="209">
        <f t="shared" ref="G72" si="6">E72*F72</f>
        <v>9.0299999999999991E-2</v>
      </c>
    </row>
    <row r="73" spans="1:8" s="19" customFormat="1" x14ac:dyDescent="0.2">
      <c r="A73" s="213" t="s">
        <v>530</v>
      </c>
      <c r="B73" s="218">
        <v>88239</v>
      </c>
      <c r="C73" s="219" t="s">
        <v>700</v>
      </c>
      <c r="D73" s="215" t="s">
        <v>531</v>
      </c>
      <c r="E73" s="216">
        <v>0.15</v>
      </c>
      <c r="F73" s="217">
        <v>14.07</v>
      </c>
      <c r="G73" s="209">
        <f>E73*F73</f>
        <v>2.1105</v>
      </c>
    </row>
    <row r="74" spans="1:8" s="19" customFormat="1" x14ac:dyDescent="0.2">
      <c r="A74" s="218" t="s">
        <v>530</v>
      </c>
      <c r="B74" s="218">
        <v>88262</v>
      </c>
      <c r="C74" s="219" t="s">
        <v>701</v>
      </c>
      <c r="D74" s="215" t="s">
        <v>531</v>
      </c>
      <c r="E74" s="216">
        <v>0.15</v>
      </c>
      <c r="F74" s="217">
        <v>17.190000000000001</v>
      </c>
      <c r="G74" s="209">
        <f t="shared" ref="G74" si="7">E74*F74</f>
        <v>2.5785</v>
      </c>
    </row>
    <row r="75" spans="1:8" s="19" customFormat="1" x14ac:dyDescent="0.2">
      <c r="A75" s="21"/>
      <c r="B75" s="21"/>
      <c r="C75" s="220"/>
      <c r="D75" s="21"/>
      <c r="E75" s="21"/>
      <c r="F75" s="221" t="s">
        <v>35</v>
      </c>
      <c r="G75" s="222">
        <f>TRUNC(SUM(G71:G74),2)</f>
        <v>14.06</v>
      </c>
      <c r="H75" s="19" t="s">
        <v>533</v>
      </c>
    </row>
    <row r="76" spans="1:8" s="19" customFormat="1" x14ac:dyDescent="0.2">
      <c r="A76" s="206"/>
      <c r="B76" s="206"/>
      <c r="C76" s="208"/>
      <c r="D76" s="208"/>
      <c r="E76" s="669"/>
      <c r="F76" s="669"/>
      <c r="G76" s="209"/>
    </row>
    <row r="77" spans="1:8" s="19" customFormat="1" ht="15.6" x14ac:dyDescent="0.3">
      <c r="A77" s="675" t="s">
        <v>742</v>
      </c>
      <c r="B77" s="675"/>
      <c r="C77" s="675"/>
      <c r="D77" s="675"/>
      <c r="E77" s="675"/>
      <c r="F77" s="675"/>
      <c r="G77" s="675"/>
    </row>
    <row r="78" spans="1:8" s="19" customFormat="1" ht="11.25" customHeight="1" x14ac:dyDescent="0.2">
      <c r="A78" s="676" t="s">
        <v>578</v>
      </c>
      <c r="B78" s="677"/>
      <c r="C78" s="204" t="s">
        <v>71</v>
      </c>
      <c r="D78" s="678" t="s">
        <v>708</v>
      </c>
      <c r="E78" s="679"/>
      <c r="F78" s="679"/>
      <c r="G78" s="680"/>
    </row>
    <row r="79" spans="1:8" s="19" customFormat="1" ht="47.25" customHeight="1" x14ac:dyDescent="0.2">
      <c r="A79" s="671"/>
      <c r="B79" s="672"/>
      <c r="C79" s="204" t="s">
        <v>72</v>
      </c>
      <c r="D79" s="684" t="s">
        <v>743</v>
      </c>
      <c r="E79" s="684"/>
      <c r="F79" s="684"/>
      <c r="G79" s="684"/>
    </row>
    <row r="80" spans="1:8" s="19" customFormat="1" ht="11.25" customHeight="1" x14ac:dyDescent="0.2">
      <c r="A80" s="671"/>
      <c r="B80" s="672"/>
      <c r="C80" s="204" t="s">
        <v>73</v>
      </c>
      <c r="D80" s="205" t="s">
        <v>416</v>
      </c>
      <c r="E80" s="663" t="s">
        <v>74</v>
      </c>
      <c r="F80" s="664"/>
      <c r="G80" s="682">
        <f>G88</f>
        <v>36.959299999999999</v>
      </c>
    </row>
    <row r="81" spans="1:8" s="19" customFormat="1" x14ac:dyDescent="0.2">
      <c r="A81" s="673"/>
      <c r="B81" s="674"/>
      <c r="C81" s="204" t="s">
        <v>70</v>
      </c>
      <c r="D81" s="205">
        <v>1</v>
      </c>
      <c r="E81" s="665"/>
      <c r="F81" s="666"/>
      <c r="G81" s="683"/>
    </row>
    <row r="82" spans="1:8" s="19" customFormat="1" x14ac:dyDescent="0.2">
      <c r="A82" s="206"/>
      <c r="B82" s="206"/>
      <c r="C82" s="208"/>
      <c r="D82" s="208"/>
      <c r="E82" s="669"/>
      <c r="F82" s="669"/>
      <c r="G82" s="209"/>
    </row>
    <row r="83" spans="1:8" s="19" customFormat="1" ht="21.75" customHeight="1" x14ac:dyDescent="0.2">
      <c r="A83" s="210" t="s">
        <v>522</v>
      </c>
      <c r="B83" s="210" t="s">
        <v>523</v>
      </c>
      <c r="C83" s="211" t="s">
        <v>75</v>
      </c>
      <c r="D83" s="211" t="s">
        <v>73</v>
      </c>
      <c r="E83" s="212" t="s">
        <v>524</v>
      </c>
      <c r="F83" s="212" t="s">
        <v>525</v>
      </c>
      <c r="G83" s="212" t="s">
        <v>526</v>
      </c>
    </row>
    <row r="84" spans="1:8" s="19" customFormat="1" ht="20.399999999999999" x14ac:dyDescent="0.2">
      <c r="A84" s="213" t="s">
        <v>528</v>
      </c>
      <c r="B84" s="234">
        <v>35272</v>
      </c>
      <c r="C84" s="214" t="s">
        <v>709</v>
      </c>
      <c r="D84" s="215" t="s">
        <v>529</v>
      </c>
      <c r="E84" s="216">
        <v>1</v>
      </c>
      <c r="F84" s="217">
        <v>32.18</v>
      </c>
      <c r="G84" s="209">
        <f t="shared" ref="G84:G85" si="8">E84*F84</f>
        <v>32.18</v>
      </c>
    </row>
    <row r="85" spans="1:8" s="19" customFormat="1" x14ac:dyDescent="0.2">
      <c r="A85" s="213" t="s">
        <v>528</v>
      </c>
      <c r="B85" s="234">
        <v>5061</v>
      </c>
      <c r="C85" s="214" t="s">
        <v>705</v>
      </c>
      <c r="D85" s="215" t="s">
        <v>706</v>
      </c>
      <c r="E85" s="216">
        <v>0.01</v>
      </c>
      <c r="F85" s="217">
        <v>9.0299999999999994</v>
      </c>
      <c r="G85" s="209">
        <f t="shared" si="8"/>
        <v>9.0299999999999991E-2</v>
      </c>
    </row>
    <row r="86" spans="1:8" s="19" customFormat="1" x14ac:dyDescent="0.2">
      <c r="A86" s="213" t="s">
        <v>530</v>
      </c>
      <c r="B86" s="218">
        <v>88239</v>
      </c>
      <c r="C86" s="219" t="s">
        <v>700</v>
      </c>
      <c r="D86" s="215" t="s">
        <v>531</v>
      </c>
      <c r="E86" s="216">
        <v>0.15</v>
      </c>
      <c r="F86" s="217">
        <v>14.07</v>
      </c>
      <c r="G86" s="209">
        <f>E86*F86</f>
        <v>2.1105</v>
      </c>
    </row>
    <row r="87" spans="1:8" s="19" customFormat="1" x14ac:dyDescent="0.2">
      <c r="A87" s="218" t="s">
        <v>530</v>
      </c>
      <c r="B87" s="218">
        <v>88262</v>
      </c>
      <c r="C87" s="219" t="s">
        <v>701</v>
      </c>
      <c r="D87" s="215" t="s">
        <v>531</v>
      </c>
      <c r="E87" s="216">
        <v>0.15</v>
      </c>
      <c r="F87" s="217">
        <v>17.190000000000001</v>
      </c>
      <c r="G87" s="209">
        <f t="shared" ref="G87" si="9">E87*F87</f>
        <v>2.5785</v>
      </c>
    </row>
    <row r="88" spans="1:8" s="19" customFormat="1" x14ac:dyDescent="0.2">
      <c r="A88" s="21"/>
      <c r="B88" s="21"/>
      <c r="C88" s="220"/>
      <c r="D88" s="21"/>
      <c r="E88" s="21"/>
      <c r="F88" s="221" t="s">
        <v>35</v>
      </c>
      <c r="G88" s="222">
        <f>SUM(G84:G87)</f>
        <v>36.959299999999999</v>
      </c>
      <c r="H88" s="19" t="s">
        <v>533</v>
      </c>
    </row>
    <row r="89" spans="1:8" s="19" customFormat="1" x14ac:dyDescent="0.2"/>
    <row r="90" spans="1:8" s="19" customFormat="1" x14ac:dyDescent="0.2"/>
    <row r="91" spans="1:8" s="19" customFormat="1" x14ac:dyDescent="0.2"/>
    <row r="92" spans="1:8" s="19" customFormat="1" x14ac:dyDescent="0.2"/>
    <row r="93" spans="1:8" s="19" customFormat="1" x14ac:dyDescent="0.2"/>
    <row r="94" spans="1:8" s="19" customFormat="1" x14ac:dyDescent="0.2"/>
    <row r="95" spans="1:8" s="19" customFormat="1" x14ac:dyDescent="0.2"/>
    <row r="96" spans="1:8" s="19" customFormat="1" x14ac:dyDescent="0.2"/>
    <row r="97" s="19" customFormat="1" x14ac:dyDescent="0.2"/>
    <row r="98" s="19" customFormat="1" x14ac:dyDescent="0.2"/>
    <row r="99" s="19" customFormat="1" x14ac:dyDescent="0.2"/>
    <row r="634" spans="12:12" x14ac:dyDescent="0.2">
      <c r="L634" s="224">
        <f>'COMPOSICOES - SINAPI COM DESON'!G50</f>
        <v>104.48</v>
      </c>
    </row>
  </sheetData>
  <autoFilter ref="A8:G89" xr:uid="{00000000-0009-0000-0000-00000A000000}"/>
  <mergeCells count="48">
    <mergeCell ref="G80:G81"/>
    <mergeCell ref="A64:G64"/>
    <mergeCell ref="A65:B68"/>
    <mergeCell ref="D65:G65"/>
    <mergeCell ref="D66:G66"/>
    <mergeCell ref="E67:F68"/>
    <mergeCell ref="G67:G68"/>
    <mergeCell ref="A2:G2"/>
    <mergeCell ref="A4:G4"/>
    <mergeCell ref="A5:G5"/>
    <mergeCell ref="A6:G6"/>
    <mergeCell ref="A7:G7"/>
    <mergeCell ref="A9:G9"/>
    <mergeCell ref="A10:B13"/>
    <mergeCell ref="D10:G10"/>
    <mergeCell ref="D11:G11"/>
    <mergeCell ref="E12:F13"/>
    <mergeCell ref="G12:G13"/>
    <mergeCell ref="E14:F14"/>
    <mergeCell ref="A20:G20"/>
    <mergeCell ref="A21:B24"/>
    <mergeCell ref="D21:G21"/>
    <mergeCell ref="D22:G22"/>
    <mergeCell ref="E23:F24"/>
    <mergeCell ref="G23:G24"/>
    <mergeCell ref="E25:F25"/>
    <mergeCell ref="A38:G38"/>
    <mergeCell ref="A39:B42"/>
    <mergeCell ref="D39:G39"/>
    <mergeCell ref="D40:G40"/>
    <mergeCell ref="E41:F42"/>
    <mergeCell ref="G41:G42"/>
    <mergeCell ref="E43:F43"/>
    <mergeCell ref="E57:F57"/>
    <mergeCell ref="E82:F82"/>
    <mergeCell ref="E76:F76"/>
    <mergeCell ref="E69:F69"/>
    <mergeCell ref="A52:G52"/>
    <mergeCell ref="A53:B56"/>
    <mergeCell ref="D53:G53"/>
    <mergeCell ref="D54:G54"/>
    <mergeCell ref="E55:F56"/>
    <mergeCell ref="G55:G56"/>
    <mergeCell ref="A77:G77"/>
    <mergeCell ref="A78:B81"/>
    <mergeCell ref="D78:G78"/>
    <mergeCell ref="D79:G79"/>
    <mergeCell ref="E80:F81"/>
  </mergeCells>
  <printOptions horizontalCentered="1"/>
  <pageMargins left="0.51181102362204722" right="0.51181102362204722" top="1.1811023622047245" bottom="0.6692913385826772" header="0.31496062992125984" footer="0.31496062992125984"/>
  <pageSetup paperSize="9" scale="75" orientation="portrait" horizontalDpi="360" verticalDpi="360" r:id="rId1"/>
  <headerFooter>
    <oddHeader>&amp;C&amp;G</oddHeader>
    <oddFooter>&amp;L&amp;10Composições de custos unitários - Versão COM desoneração&amp;RPág. &amp;P de 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-0.249977111117893"/>
    <pageSetUpPr fitToPage="1"/>
  </sheetPr>
  <dimension ref="A1:O52"/>
  <sheetViews>
    <sheetView view="pageBreakPreview" zoomScaleNormal="100" zoomScaleSheetLayoutView="100" workbookViewId="0">
      <selection activeCell="P8" sqref="P8"/>
    </sheetView>
  </sheetViews>
  <sheetFormatPr defaultColWidth="9.109375" defaultRowHeight="10.199999999999999" x14ac:dyDescent="0.2"/>
  <cols>
    <col min="1" max="1" width="6.88671875" style="439" customWidth="1"/>
    <col min="2" max="2" width="43.6640625" style="439" customWidth="1"/>
    <col min="3" max="3" width="12" style="439" customWidth="1"/>
    <col min="4" max="4" width="10.109375" style="439" customWidth="1"/>
    <col min="5" max="5" width="10.5546875" style="439" bestFit="1" customWidth="1"/>
    <col min="6" max="6" width="10.109375" style="439" customWidth="1"/>
    <col min="7" max="7" width="11.33203125" style="439" bestFit="1" customWidth="1"/>
    <col min="8" max="8" width="10.109375" style="439" customWidth="1"/>
    <col min="9" max="9" width="11.33203125" style="439" bestFit="1" customWidth="1"/>
    <col min="10" max="10" width="10.109375" style="439" customWidth="1"/>
    <col min="11" max="11" width="10.5546875" style="439" bestFit="1" customWidth="1"/>
    <col min="12" max="12" width="10.5546875" style="439" customWidth="1"/>
    <col min="13" max="13" width="11.33203125" style="439" bestFit="1" customWidth="1"/>
    <col min="14" max="14" width="10.109375" style="439" customWidth="1"/>
    <col min="15" max="15" width="14.21875" style="439" bestFit="1" customWidth="1"/>
    <col min="16" max="16384" width="9.109375" style="439"/>
  </cols>
  <sheetData>
    <row r="1" spans="1:15" s="437" customFormat="1" ht="43.2" customHeight="1" x14ac:dyDescent="0.3">
      <c r="A1" s="700" t="str">
        <f>'ORÇAMENTO SEM DESON'!A1:I1</f>
        <v>REFORMA DO CENTRO DE CONVIVÊNCIA DOS IDOSOS DO MUNICÍPIO DE LIMOEIRO-PE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  <c r="L1" s="551"/>
      <c r="M1" s="551"/>
      <c r="N1" s="551"/>
      <c r="O1" s="551"/>
    </row>
    <row r="2" spans="1:15" s="437" customFormat="1" ht="15.6" customHeight="1" x14ac:dyDescent="0.2">
      <c r="A2" s="701" t="s">
        <v>92</v>
      </c>
      <c r="B2" s="702"/>
      <c r="C2" s="702"/>
      <c r="D2" s="702"/>
      <c r="E2" s="702"/>
      <c r="F2" s="702"/>
      <c r="G2" s="702"/>
      <c r="H2" s="702"/>
      <c r="I2" s="702"/>
      <c r="J2" s="702"/>
      <c r="K2" s="702"/>
      <c r="L2" s="552"/>
      <c r="M2" s="552"/>
      <c r="N2" s="552"/>
      <c r="O2" s="552"/>
    </row>
    <row r="3" spans="1:15" ht="14.4" customHeight="1" x14ac:dyDescent="0.2">
      <c r="A3" s="703"/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553"/>
      <c r="M3" s="553"/>
      <c r="N3" s="553"/>
      <c r="O3" s="553"/>
    </row>
    <row r="4" spans="1:15" ht="25.5" customHeight="1" x14ac:dyDescent="0.25">
      <c r="A4" s="699" t="str">
        <f>'ORÇAMENTO SEM DESON'!A4</f>
        <v>LOCALIZAÇÃO: LIMOEIRO - PE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550"/>
      <c r="M4" s="550"/>
      <c r="N4" s="550"/>
      <c r="O4" s="550"/>
    </row>
    <row r="5" spans="1:15" ht="22.8" customHeight="1" x14ac:dyDescent="0.2">
      <c r="A5" s="706" t="str">
        <f>'ORÇAMENTO SEM DESON'!A5</f>
        <v>FONTES DE PREÇOS: EMLURB 2018 / SINAPI JANEIRO-2022 / SEINFRA 027 MARÇO-2021 - SEM DESONERAÇÃO (BDI = 20,84%)</v>
      </c>
      <c r="B5" s="707"/>
      <c r="C5" s="707"/>
      <c r="D5" s="707"/>
      <c r="E5" s="707"/>
      <c r="F5" s="707"/>
      <c r="G5" s="707"/>
      <c r="H5" s="707"/>
      <c r="I5" s="707"/>
      <c r="J5" s="707"/>
      <c r="K5" s="708"/>
      <c r="L5" s="554"/>
      <c r="M5" s="554"/>
      <c r="N5" s="554"/>
      <c r="O5" s="554"/>
    </row>
    <row r="6" spans="1:15" ht="13.2" x14ac:dyDescent="0.25">
      <c r="A6" s="468" t="str">
        <f>'ORÇAMENTO SEM DESON'!A6</f>
        <v>DATA: ABRIL/2022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</row>
    <row r="7" spans="1:15" x14ac:dyDescent="0.2">
      <c r="A7" s="434"/>
      <c r="B7" s="434"/>
      <c r="C7" s="430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</row>
    <row r="8" spans="1:15" s="433" customFormat="1" ht="12.75" customHeight="1" x14ac:dyDescent="0.2">
      <c r="A8" s="711" t="s">
        <v>93</v>
      </c>
      <c r="B8" s="711" t="s">
        <v>94</v>
      </c>
      <c r="C8" s="712" t="s">
        <v>95</v>
      </c>
      <c r="D8" s="709" t="s">
        <v>1457</v>
      </c>
      <c r="E8" s="710"/>
      <c r="F8" s="709" t="s">
        <v>1458</v>
      </c>
      <c r="G8" s="710"/>
      <c r="H8" s="709" t="s">
        <v>1459</v>
      </c>
      <c r="I8" s="710"/>
      <c r="J8" s="709" t="s">
        <v>1460</v>
      </c>
      <c r="K8" s="710"/>
      <c r="L8" s="709" t="s">
        <v>1461</v>
      </c>
      <c r="M8" s="710"/>
      <c r="N8" s="709" t="s">
        <v>1462</v>
      </c>
      <c r="O8" s="710"/>
    </row>
    <row r="9" spans="1:15" s="433" customFormat="1" ht="14.4" customHeight="1" x14ac:dyDescent="0.2">
      <c r="A9" s="711"/>
      <c r="B9" s="711"/>
      <c r="C9" s="712"/>
      <c r="D9" s="536" t="s">
        <v>1152</v>
      </c>
      <c r="E9" s="537" t="s">
        <v>1153</v>
      </c>
      <c r="F9" s="536" t="s">
        <v>1152</v>
      </c>
      <c r="G9" s="537" t="s">
        <v>1153</v>
      </c>
      <c r="H9" s="536" t="s">
        <v>1152</v>
      </c>
      <c r="I9" s="537" t="s">
        <v>1153</v>
      </c>
      <c r="J9" s="536" t="s">
        <v>1152</v>
      </c>
      <c r="K9" s="537" t="s">
        <v>1153</v>
      </c>
      <c r="L9" s="536" t="s">
        <v>1152</v>
      </c>
      <c r="M9" s="537" t="s">
        <v>1153</v>
      </c>
      <c r="N9" s="536" t="s">
        <v>1152</v>
      </c>
      <c r="O9" s="537" t="s">
        <v>1153</v>
      </c>
    </row>
    <row r="10" spans="1:15" s="436" customFormat="1" x14ac:dyDescent="0.2">
      <c r="A10" s="434"/>
      <c r="B10" s="434"/>
      <c r="C10" s="423"/>
      <c r="D10" s="435"/>
      <c r="E10" s="435"/>
      <c r="F10" s="435"/>
      <c r="G10" s="435"/>
      <c r="H10" s="435"/>
      <c r="I10" s="435"/>
      <c r="J10" s="435"/>
      <c r="K10" s="435"/>
      <c r="L10" s="435"/>
      <c r="M10" s="435"/>
      <c r="N10" s="435"/>
      <c r="O10" s="435"/>
    </row>
    <row r="11" spans="1:15" s="437" customFormat="1" x14ac:dyDescent="0.2">
      <c r="A11" s="526" t="str">
        <f>'RESUMO SEM DESON'!A10</f>
        <v>1.0</v>
      </c>
      <c r="B11" s="527" t="str">
        <f>'RESUMO SEM DESON'!B10</f>
        <v>SERVIÇOS PRELIMINARES</v>
      </c>
      <c r="C11" s="525">
        <f>'RESUMO SEM DESON'!C10</f>
        <v>45237.279999999999</v>
      </c>
      <c r="D11" s="578">
        <v>1</v>
      </c>
      <c r="E11" s="525">
        <f>D11*C11</f>
        <v>45237.279999999999</v>
      </c>
      <c r="F11" s="525"/>
      <c r="G11" s="525"/>
      <c r="H11" s="525"/>
      <c r="I11" s="525"/>
      <c r="J11" s="525"/>
      <c r="K11" s="525"/>
      <c r="L11" s="525"/>
      <c r="M11" s="525"/>
      <c r="N11" s="525"/>
      <c r="O11" s="525"/>
    </row>
    <row r="12" spans="1:15" s="436" customFormat="1" x14ac:dyDescent="0.2">
      <c r="A12" s="434"/>
      <c r="B12" s="434"/>
      <c r="C12" s="423"/>
      <c r="D12" s="435"/>
      <c r="E12" s="435"/>
      <c r="F12" s="435"/>
      <c r="G12" s="435"/>
      <c r="H12" s="435"/>
      <c r="I12" s="435"/>
      <c r="J12" s="435"/>
      <c r="K12" s="435"/>
      <c r="L12" s="435"/>
      <c r="M12" s="435"/>
      <c r="N12" s="435"/>
      <c r="O12" s="435"/>
    </row>
    <row r="13" spans="1:15" s="437" customFormat="1" x14ac:dyDescent="0.2">
      <c r="A13" s="528">
        <f>'RESUMO SEM DESON'!A12</f>
        <v>2</v>
      </c>
      <c r="B13" s="527" t="str">
        <f>'RESUMO SEM DESON'!B12</f>
        <v>MOVIMENTO DE TERRA</v>
      </c>
      <c r="C13" s="525">
        <f>'RESUMO SEM DESON'!C12</f>
        <v>3737.67</v>
      </c>
      <c r="D13" s="525"/>
      <c r="E13" s="525"/>
      <c r="F13" s="578">
        <v>1</v>
      </c>
      <c r="G13" s="525">
        <f>F13*C13</f>
        <v>3737.67</v>
      </c>
      <c r="H13" s="525"/>
      <c r="I13" s="525"/>
      <c r="J13" s="525"/>
      <c r="K13" s="525"/>
      <c r="L13" s="525"/>
      <c r="M13" s="525"/>
      <c r="N13" s="525"/>
      <c r="O13" s="525"/>
    </row>
    <row r="14" spans="1:15" s="436" customFormat="1" x14ac:dyDescent="0.2">
      <c r="A14" s="434"/>
      <c r="B14" s="434"/>
      <c r="C14" s="423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  <c r="O14" s="435"/>
    </row>
    <row r="15" spans="1:15" s="437" customFormat="1" x14ac:dyDescent="0.2">
      <c r="A15" s="528">
        <f>'RESUMO SEM DESON'!A14</f>
        <v>3</v>
      </c>
      <c r="B15" s="527" t="str">
        <f>'RESUMO SEM DESON'!B14</f>
        <v>FUNDAÇÃO</v>
      </c>
      <c r="C15" s="525">
        <f>'RESUMO SEM DESON'!C14</f>
        <v>49534.280000000006</v>
      </c>
      <c r="D15" s="525"/>
      <c r="E15" s="525"/>
      <c r="F15" s="578">
        <v>1</v>
      </c>
      <c r="G15" s="525">
        <f>F15*C15</f>
        <v>49534.280000000006</v>
      </c>
      <c r="H15" s="525"/>
      <c r="I15" s="525"/>
      <c r="J15" s="525"/>
      <c r="K15" s="525"/>
      <c r="L15" s="525"/>
      <c r="M15" s="525"/>
      <c r="N15" s="525"/>
      <c r="O15" s="525"/>
    </row>
    <row r="16" spans="1:15" s="436" customFormat="1" x14ac:dyDescent="0.2">
      <c r="A16" s="434"/>
      <c r="B16" s="434"/>
      <c r="C16" s="423"/>
      <c r="D16" s="435"/>
      <c r="E16" s="435"/>
      <c r="F16" s="435"/>
      <c r="G16" s="435"/>
      <c r="H16" s="435"/>
      <c r="I16" s="435"/>
      <c r="J16" s="435"/>
      <c r="K16" s="435"/>
      <c r="L16" s="435"/>
      <c r="M16" s="435"/>
      <c r="N16" s="435"/>
      <c r="O16" s="435"/>
    </row>
    <row r="17" spans="1:15" s="437" customFormat="1" x14ac:dyDescent="0.2">
      <c r="A17" s="528">
        <f>'RESUMO SEM DESON'!A16</f>
        <v>4</v>
      </c>
      <c r="B17" s="527" t="str">
        <f>'RESUMO SEM DESON'!B16</f>
        <v>ESTRUTURA</v>
      </c>
      <c r="C17" s="525">
        <f>'RESUMO SEM DESON'!C16</f>
        <v>29113.550000000003</v>
      </c>
      <c r="D17" s="525"/>
      <c r="E17" s="525"/>
      <c r="F17" s="525"/>
      <c r="G17" s="525"/>
      <c r="H17" s="578">
        <v>1</v>
      </c>
      <c r="I17" s="525">
        <f>H17*C17</f>
        <v>29113.550000000003</v>
      </c>
      <c r="J17" s="525"/>
      <c r="K17" s="525"/>
      <c r="L17" s="525"/>
      <c r="M17" s="525"/>
      <c r="N17" s="525"/>
      <c r="O17" s="525"/>
    </row>
    <row r="18" spans="1:15" s="436" customFormat="1" x14ac:dyDescent="0.2">
      <c r="A18" s="434"/>
      <c r="B18" s="434"/>
      <c r="C18" s="423"/>
      <c r="D18" s="435"/>
      <c r="E18" s="435"/>
      <c r="F18" s="435"/>
      <c r="G18" s="435"/>
      <c r="H18" s="435"/>
      <c r="I18" s="435"/>
      <c r="J18" s="435"/>
      <c r="K18" s="435"/>
      <c r="L18" s="435"/>
      <c r="M18" s="435"/>
      <c r="N18" s="435"/>
      <c r="O18" s="435"/>
    </row>
    <row r="19" spans="1:15" s="437" customFormat="1" x14ac:dyDescent="0.2">
      <c r="A19" s="528">
        <f>'RESUMO SEM DESON'!A18</f>
        <v>5</v>
      </c>
      <c r="B19" s="527" t="str">
        <f>'RESUMO SEM DESON'!B18</f>
        <v>PAREDES E PAINÉIS</v>
      </c>
      <c r="C19" s="525">
        <f>'RESUMO SEM DESON'!C18</f>
        <v>138203.85</v>
      </c>
      <c r="D19" s="525"/>
      <c r="E19" s="525"/>
      <c r="F19" s="578">
        <v>0.5</v>
      </c>
      <c r="G19" s="525">
        <f>F19*C19</f>
        <v>69101.925000000003</v>
      </c>
      <c r="H19" s="578">
        <v>0.5</v>
      </c>
      <c r="I19" s="525">
        <f>H19*C19</f>
        <v>69101.925000000003</v>
      </c>
      <c r="J19" s="578"/>
      <c r="K19" s="525"/>
      <c r="L19" s="525"/>
      <c r="M19" s="525"/>
      <c r="N19" s="578"/>
      <c r="O19" s="525"/>
    </row>
    <row r="20" spans="1:15" s="436" customFormat="1" x14ac:dyDescent="0.2">
      <c r="A20" s="434"/>
      <c r="B20" s="434"/>
      <c r="C20" s="423"/>
      <c r="D20" s="435"/>
      <c r="E20" s="435"/>
      <c r="F20" s="435"/>
      <c r="G20" s="435"/>
      <c r="H20" s="435"/>
      <c r="I20" s="435"/>
      <c r="J20" s="435"/>
      <c r="K20" s="435"/>
      <c r="L20" s="435"/>
      <c r="M20" s="435"/>
      <c r="N20" s="435"/>
      <c r="O20" s="435"/>
    </row>
    <row r="21" spans="1:15" s="437" customFormat="1" x14ac:dyDescent="0.2">
      <c r="A21" s="528">
        <f>'RESUMO SEM DESON'!A20</f>
        <v>6</v>
      </c>
      <c r="B21" s="527" t="str">
        <f>'RESUMO SEM DESON'!B20</f>
        <v>PINTURA</v>
      </c>
      <c r="C21" s="525">
        <f>'RESUMO SEM DESON'!C20</f>
        <v>49234.18</v>
      </c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78">
        <v>1</v>
      </c>
      <c r="O21" s="525">
        <f>N21*C21</f>
        <v>49234.18</v>
      </c>
    </row>
    <row r="22" spans="1:15" s="436" customFormat="1" x14ac:dyDescent="0.2">
      <c r="A22" s="434"/>
      <c r="B22" s="434"/>
      <c r="C22" s="423"/>
      <c r="D22" s="435"/>
      <c r="E22" s="435"/>
      <c r="F22" s="435"/>
      <c r="G22" s="435"/>
      <c r="H22" s="435"/>
      <c r="I22" s="435"/>
      <c r="J22" s="435"/>
      <c r="K22" s="435"/>
      <c r="L22" s="435"/>
      <c r="M22" s="435"/>
      <c r="N22" s="435"/>
      <c r="O22" s="435"/>
    </row>
    <row r="23" spans="1:15" s="437" customFormat="1" x14ac:dyDescent="0.2">
      <c r="A23" s="528">
        <f>'RESUMO SEM DESON'!A22</f>
        <v>7</v>
      </c>
      <c r="B23" s="527" t="str">
        <f>'RESUMO SEM DESON'!B22</f>
        <v>ESQUADRIAS</v>
      </c>
      <c r="C23" s="525">
        <f>'RESUMO SEM DESON'!C22</f>
        <v>89879.34</v>
      </c>
      <c r="D23" s="525"/>
      <c r="E23" s="525"/>
      <c r="F23" s="525"/>
      <c r="G23" s="525"/>
      <c r="H23" s="525"/>
      <c r="I23" s="525"/>
      <c r="J23" s="525"/>
      <c r="K23" s="525"/>
      <c r="L23" s="578">
        <v>1</v>
      </c>
      <c r="M23" s="525">
        <f>L23*C23</f>
        <v>89879.34</v>
      </c>
      <c r="N23" s="525"/>
      <c r="O23" s="525"/>
    </row>
    <row r="24" spans="1:15" s="436" customFormat="1" x14ac:dyDescent="0.2">
      <c r="A24" s="434"/>
      <c r="B24" s="434"/>
      <c r="C24" s="423"/>
      <c r="D24" s="435"/>
      <c r="E24" s="435"/>
      <c r="F24" s="435"/>
      <c r="G24" s="435"/>
      <c r="H24" s="435"/>
      <c r="I24" s="435"/>
      <c r="J24" s="435"/>
      <c r="K24" s="435"/>
      <c r="L24" s="435"/>
      <c r="M24" s="435"/>
      <c r="N24" s="435"/>
      <c r="O24" s="435"/>
    </row>
    <row r="25" spans="1:15" s="437" customFormat="1" x14ac:dyDescent="0.2">
      <c r="A25" s="528">
        <f>'RESUMO SEM DESON'!A24</f>
        <v>8</v>
      </c>
      <c r="B25" s="527" t="str">
        <f>'RESUMO SEM DESON'!B24</f>
        <v>FORRO</v>
      </c>
      <c r="C25" s="525">
        <f>'RESUMO SEM DESON'!C24</f>
        <v>8906.1299999999992</v>
      </c>
      <c r="D25" s="525"/>
      <c r="E25" s="525"/>
      <c r="F25" s="525"/>
      <c r="G25" s="525"/>
      <c r="H25" s="525"/>
      <c r="I25" s="525"/>
      <c r="J25" s="578">
        <v>1</v>
      </c>
      <c r="K25" s="525">
        <f>J25*C25</f>
        <v>8906.1299999999992</v>
      </c>
      <c r="L25" s="525"/>
      <c r="M25" s="525"/>
      <c r="N25" s="525"/>
      <c r="O25" s="525"/>
    </row>
    <row r="26" spans="1:15" s="436" customFormat="1" x14ac:dyDescent="0.2">
      <c r="A26" s="434"/>
      <c r="B26" s="434"/>
      <c r="C26" s="423"/>
      <c r="D26" s="435"/>
      <c r="E26" s="435"/>
      <c r="F26" s="435"/>
      <c r="G26" s="435"/>
      <c r="H26" s="435"/>
      <c r="I26" s="435"/>
      <c r="J26" s="435"/>
      <c r="K26" s="435"/>
      <c r="L26" s="435"/>
      <c r="M26" s="435"/>
      <c r="N26" s="435"/>
      <c r="O26" s="435"/>
    </row>
    <row r="27" spans="1:15" s="437" customFormat="1" x14ac:dyDescent="0.2">
      <c r="A27" s="528">
        <f>'RESUMO SEM DESON'!A26</f>
        <v>9</v>
      </c>
      <c r="B27" s="527" t="str">
        <f>'RESUMO SEM DESON'!B26</f>
        <v>PAVIMENTAÇÃO</v>
      </c>
      <c r="C27" s="525">
        <f>'RESUMO SEM DESON'!C26</f>
        <v>122298.60999999999</v>
      </c>
      <c r="D27" s="525"/>
      <c r="E27" s="525"/>
      <c r="F27" s="525"/>
      <c r="G27" s="525"/>
      <c r="H27" s="525"/>
      <c r="I27" s="525"/>
      <c r="J27" s="525"/>
      <c r="K27" s="525"/>
      <c r="L27" s="578">
        <v>0.5</v>
      </c>
      <c r="M27" s="525">
        <f>L27*C27</f>
        <v>61149.304999999993</v>
      </c>
      <c r="N27" s="578">
        <v>0.5</v>
      </c>
      <c r="O27" s="525">
        <f>N27*C27</f>
        <v>61149.304999999993</v>
      </c>
    </row>
    <row r="28" spans="1:15" s="436" customFormat="1" x14ac:dyDescent="0.2">
      <c r="A28" s="434"/>
      <c r="B28" s="434"/>
      <c r="C28" s="423"/>
      <c r="D28" s="435"/>
      <c r="E28" s="435"/>
      <c r="F28" s="435"/>
      <c r="G28" s="435"/>
      <c r="H28" s="435"/>
      <c r="I28" s="435"/>
      <c r="J28" s="435"/>
      <c r="K28" s="435"/>
      <c r="L28" s="435"/>
      <c r="M28" s="435"/>
      <c r="N28" s="435"/>
      <c r="O28" s="435"/>
    </row>
    <row r="29" spans="1:15" s="437" customFormat="1" x14ac:dyDescent="0.2">
      <c r="A29" s="528">
        <f>'RESUMO SEM DESON'!A28</f>
        <v>10</v>
      </c>
      <c r="B29" s="527" t="str">
        <f>'RESUMO SEM DESON'!B28</f>
        <v>LOUÇAS, METAIS E MARMOARIA</v>
      </c>
      <c r="C29" s="525">
        <f>'RESUMO SEM DESON'!C28</f>
        <v>33868.400000000001</v>
      </c>
      <c r="D29" s="525"/>
      <c r="E29" s="525"/>
      <c r="F29" s="525"/>
      <c r="G29" s="525"/>
      <c r="H29" s="525"/>
      <c r="I29" s="525"/>
      <c r="J29" s="578">
        <v>0.5</v>
      </c>
      <c r="K29" s="525">
        <f>C29*J29</f>
        <v>16934.2</v>
      </c>
      <c r="L29" s="525"/>
      <c r="M29" s="525"/>
      <c r="N29" s="578">
        <v>0.5</v>
      </c>
      <c r="O29" s="525">
        <f>N29*C29</f>
        <v>16934.2</v>
      </c>
    </row>
    <row r="30" spans="1:15" x14ac:dyDescent="0.2">
      <c r="A30" s="434"/>
      <c r="B30" s="496"/>
      <c r="C30" s="423"/>
      <c r="D30" s="435"/>
      <c r="E30" s="435"/>
      <c r="F30" s="435"/>
      <c r="G30" s="435"/>
      <c r="H30" s="435"/>
      <c r="I30" s="435"/>
      <c r="J30" s="435"/>
      <c r="K30" s="435"/>
      <c r="L30" s="435"/>
      <c r="M30" s="435"/>
      <c r="N30" s="435"/>
      <c r="O30" s="435"/>
    </row>
    <row r="31" spans="1:15" s="437" customFormat="1" x14ac:dyDescent="0.2">
      <c r="A31" s="528">
        <f>'RESUMO SEM DESON'!A30</f>
        <v>11</v>
      </c>
      <c r="B31" s="527" t="str">
        <f>'RESUMO SEM DESON'!B30</f>
        <v>PISO</v>
      </c>
      <c r="C31" s="525">
        <f>'RESUMO SEM DESON'!C30</f>
        <v>72899.199999999997</v>
      </c>
      <c r="D31" s="525"/>
      <c r="E31" s="525"/>
      <c r="F31" s="525"/>
      <c r="G31" s="525"/>
      <c r="H31" s="578">
        <v>0.75</v>
      </c>
      <c r="I31" s="525">
        <f>H31*C31</f>
        <v>54674.399999999994</v>
      </c>
      <c r="J31" s="578">
        <v>0.25</v>
      </c>
      <c r="K31" s="525">
        <f>J31*C31</f>
        <v>18224.8</v>
      </c>
      <c r="L31" s="525"/>
      <c r="M31" s="525"/>
      <c r="N31" s="525"/>
      <c r="O31" s="525"/>
    </row>
    <row r="32" spans="1:15" s="436" customFormat="1" x14ac:dyDescent="0.2">
      <c r="A32" s="434"/>
      <c r="B32" s="434"/>
      <c r="C32" s="423"/>
      <c r="D32" s="435"/>
      <c r="E32" s="435"/>
      <c r="F32" s="435"/>
      <c r="G32" s="435"/>
      <c r="H32" s="435"/>
      <c r="I32" s="435"/>
      <c r="J32" s="435"/>
      <c r="K32" s="435"/>
      <c r="L32" s="435"/>
      <c r="M32" s="435"/>
      <c r="N32" s="435"/>
      <c r="O32" s="435"/>
    </row>
    <row r="33" spans="1:15" s="437" customFormat="1" x14ac:dyDescent="0.2">
      <c r="A33" s="528">
        <f>'RESUMO SEM DESON'!A32</f>
        <v>12</v>
      </c>
      <c r="B33" s="527" t="str">
        <f>'RESUMO SEM DESON'!B32</f>
        <v>INSTALAÇÕES ELÉTRICAS</v>
      </c>
      <c r="C33" s="525">
        <f>'RESUMO SEM DESON'!C32</f>
        <v>24808.76</v>
      </c>
      <c r="D33" s="525"/>
      <c r="E33" s="525"/>
      <c r="F33" s="525"/>
      <c r="G33" s="525"/>
      <c r="H33" s="578">
        <v>0.5</v>
      </c>
      <c r="I33" s="525">
        <f>H33*C33</f>
        <v>12404.38</v>
      </c>
      <c r="J33" s="578">
        <v>0.25</v>
      </c>
      <c r="K33" s="525">
        <f>J33*C33</f>
        <v>6202.19</v>
      </c>
      <c r="L33" s="578">
        <v>0.25</v>
      </c>
      <c r="M33" s="525">
        <f>L33*C33</f>
        <v>6202.19</v>
      </c>
      <c r="N33" s="525"/>
      <c r="O33" s="525"/>
    </row>
    <row r="34" spans="1:15" s="436" customFormat="1" x14ac:dyDescent="0.2">
      <c r="A34" s="434"/>
      <c r="B34" s="434"/>
      <c r="C34" s="423"/>
      <c r="D34" s="435"/>
      <c r="E34" s="435"/>
      <c r="F34" s="435"/>
      <c r="G34" s="435"/>
      <c r="H34" s="435"/>
      <c r="I34" s="435"/>
      <c r="J34" s="435"/>
      <c r="K34" s="435"/>
      <c r="L34" s="435"/>
      <c r="M34" s="435"/>
      <c r="N34" s="435"/>
      <c r="O34" s="435"/>
    </row>
    <row r="35" spans="1:15" s="437" customFormat="1" x14ac:dyDescent="0.2">
      <c r="A35" s="528">
        <f>'RESUMO SEM DESON'!A34</f>
        <v>13</v>
      </c>
      <c r="B35" s="527" t="str">
        <f>'RESUMO SEM DESON'!B34</f>
        <v>INSTALAÇÕES HIDROSSANITÁRIAS</v>
      </c>
      <c r="C35" s="525">
        <f>'RESUMO SEM DESON'!C34</f>
        <v>22374.639999999999</v>
      </c>
      <c r="D35" s="525"/>
      <c r="E35" s="525"/>
      <c r="F35" s="525"/>
      <c r="G35" s="525"/>
      <c r="H35" s="578">
        <v>0.5</v>
      </c>
      <c r="I35" s="525">
        <f>H35*C35</f>
        <v>11187.32</v>
      </c>
      <c r="J35" s="578">
        <v>0.25</v>
      </c>
      <c r="K35" s="525">
        <f>J35*C35</f>
        <v>5593.66</v>
      </c>
      <c r="L35" s="578">
        <v>0.25</v>
      </c>
      <c r="M35" s="525">
        <f>L35*C35</f>
        <v>5593.66</v>
      </c>
      <c r="N35" s="525"/>
      <c r="O35" s="525"/>
    </row>
    <row r="36" spans="1:15" s="436" customFormat="1" x14ac:dyDescent="0.2">
      <c r="A36" s="434"/>
      <c r="B36" s="434"/>
      <c r="C36" s="423"/>
      <c r="D36" s="435"/>
      <c r="E36" s="435"/>
      <c r="F36" s="435"/>
      <c r="G36" s="435"/>
      <c r="H36" s="435"/>
      <c r="I36" s="435"/>
      <c r="J36" s="435"/>
      <c r="K36" s="435"/>
      <c r="L36" s="435"/>
      <c r="M36" s="435"/>
      <c r="N36" s="435"/>
      <c r="O36" s="435"/>
    </row>
    <row r="37" spans="1:15" s="437" customFormat="1" x14ac:dyDescent="0.2">
      <c r="A37" s="528">
        <f>'RESUMO SEM DESON'!A36</f>
        <v>14</v>
      </c>
      <c r="B37" s="527" t="str">
        <f>'RESUMO SEM DESON'!B36</f>
        <v>PAISAGISMO</v>
      </c>
      <c r="C37" s="525">
        <f>'RESUMO SEM DESON'!C36</f>
        <v>9918.61</v>
      </c>
      <c r="D37" s="525"/>
      <c r="E37" s="525"/>
      <c r="F37" s="525"/>
      <c r="G37" s="525"/>
      <c r="H37" s="525"/>
      <c r="I37" s="525"/>
      <c r="J37" s="525"/>
      <c r="K37" s="525"/>
      <c r="L37" s="525"/>
      <c r="M37" s="525"/>
      <c r="N37" s="578">
        <v>1</v>
      </c>
      <c r="O37" s="525">
        <f>N37*C37</f>
        <v>9918.61</v>
      </c>
    </row>
    <row r="38" spans="1:15" s="436" customFormat="1" x14ac:dyDescent="0.2">
      <c r="A38" s="434"/>
      <c r="B38" s="434"/>
      <c r="C38" s="423"/>
      <c r="D38" s="435"/>
      <c r="E38" s="435"/>
      <c r="F38" s="435"/>
      <c r="G38" s="435"/>
      <c r="H38" s="435"/>
      <c r="I38" s="435"/>
      <c r="J38" s="435"/>
      <c r="K38" s="435"/>
      <c r="L38" s="435"/>
      <c r="M38" s="435"/>
      <c r="N38" s="435"/>
      <c r="O38" s="435"/>
    </row>
    <row r="39" spans="1:15" s="437" customFormat="1" x14ac:dyDescent="0.2">
      <c r="A39" s="528">
        <f>'RESUMO SEM DESON'!A38</f>
        <v>15</v>
      </c>
      <c r="B39" s="527" t="str">
        <f>'RESUMO SEM DESON'!B38</f>
        <v>SERVIÇOS COMPLEMENTARES</v>
      </c>
      <c r="C39" s="525">
        <f>'RESUMO SEM DESON'!C38</f>
        <v>35609.31</v>
      </c>
      <c r="D39" s="525"/>
      <c r="E39" s="525"/>
      <c r="F39" s="525"/>
      <c r="G39" s="525"/>
      <c r="H39" s="525"/>
      <c r="I39" s="525"/>
      <c r="J39" s="525"/>
      <c r="K39" s="525"/>
      <c r="L39" s="525"/>
      <c r="M39" s="525"/>
      <c r="N39" s="578">
        <v>1</v>
      </c>
      <c r="O39" s="525">
        <f>N39*C39</f>
        <v>35609.31</v>
      </c>
    </row>
    <row r="40" spans="1:15" s="436" customFormat="1" x14ac:dyDescent="0.2">
      <c r="A40" s="434"/>
      <c r="B40" s="434"/>
      <c r="C40" s="423"/>
      <c r="D40" s="435"/>
      <c r="E40" s="435"/>
      <c r="F40" s="435"/>
      <c r="G40" s="435"/>
      <c r="H40" s="435"/>
      <c r="I40" s="435"/>
      <c r="J40" s="435"/>
      <c r="K40" s="435"/>
      <c r="L40" s="435"/>
      <c r="M40" s="435"/>
      <c r="N40" s="435"/>
      <c r="O40" s="435"/>
    </row>
    <row r="41" spans="1:15" s="470" customFormat="1" x14ac:dyDescent="0.2">
      <c r="A41" s="705" t="s">
        <v>96</v>
      </c>
      <c r="B41" s="705"/>
      <c r="C41" s="705"/>
      <c r="D41" s="530">
        <f>E41/O$47</f>
        <v>6.1495127516332015E-2</v>
      </c>
      <c r="E41" s="529">
        <f>E11+E13+E15+E17+E19+E21+E23+E25+E27+E29+E31+E33+E35+E37+E39</f>
        <v>45237.279999999999</v>
      </c>
      <c r="F41" s="530">
        <f>G41/O47</f>
        <v>0.16635387998112783</v>
      </c>
      <c r="G41" s="529">
        <f>G11+G13+G15+G17+G19+G21+G23+G25+G27+G29+G31+G33+G35+G37+G39</f>
        <v>122373.875</v>
      </c>
      <c r="H41" s="530">
        <f>I41/O47</f>
        <v>0.23990737194871384</v>
      </c>
      <c r="I41" s="529">
        <f>I11+I13+I15+I17+I19+I21+I23+I25+I27+I29+I31+I33+I35+I37+I39</f>
        <v>176481.57500000001</v>
      </c>
      <c r="J41" s="530">
        <f>K41/O47</f>
        <v>7.5936884098408944E-2</v>
      </c>
      <c r="K41" s="529">
        <f>K11+K13+K15+K17+K19+K21+K23+K25+K27+K29+K31+K33+K35+K37+K39</f>
        <v>55860.98000000001</v>
      </c>
      <c r="L41" s="582">
        <f>M41/O47</f>
        <v>0.22134206748963167</v>
      </c>
      <c r="M41" s="529">
        <f>M11+M13+M15+M17+M19+M21+M23+M25+M27+M29+M31+M33+M35+M37+M39</f>
        <v>162824.495</v>
      </c>
      <c r="N41" s="580">
        <f>O41/O47</f>
        <v>0.23496466896578561</v>
      </c>
      <c r="O41" s="529">
        <f>O11+O13+O15+O17+O19+O21+O23+O25+O27+O29+O31+O33+O35+O37+O39</f>
        <v>172845.60499999998</v>
      </c>
    </row>
    <row r="42" spans="1:15" s="471" customFormat="1" x14ac:dyDescent="0.2">
      <c r="A42" s="434"/>
      <c r="B42" s="434"/>
      <c r="C42" s="434"/>
      <c r="D42" s="530"/>
      <c r="E42" s="530"/>
      <c r="F42" s="530"/>
      <c r="G42" s="530"/>
      <c r="H42" s="530"/>
      <c r="I42" s="530"/>
      <c r="J42" s="530"/>
      <c r="K42" s="530"/>
      <c r="L42" s="530"/>
      <c r="M42" s="530"/>
      <c r="N42" s="530"/>
      <c r="O42" s="530"/>
    </row>
    <row r="43" spans="1:15" s="471" customFormat="1" x14ac:dyDescent="0.2">
      <c r="A43" s="434"/>
      <c r="B43" s="434"/>
      <c r="C43" s="434"/>
      <c r="D43" s="435"/>
      <c r="E43" s="435"/>
      <c r="F43" s="435"/>
      <c r="G43" s="435"/>
      <c r="H43" s="435"/>
      <c r="I43" s="435"/>
      <c r="J43" s="435"/>
      <c r="K43" s="435"/>
      <c r="L43" s="435"/>
      <c r="M43" s="435"/>
      <c r="N43" s="435"/>
      <c r="O43" s="435"/>
    </row>
    <row r="44" spans="1:15" s="470" customFormat="1" x14ac:dyDescent="0.2">
      <c r="A44" s="705" t="s">
        <v>97</v>
      </c>
      <c r="B44" s="705"/>
      <c r="C44" s="705"/>
      <c r="D44" s="525"/>
      <c r="E44" s="525">
        <f>E41</f>
        <v>45237.279999999999</v>
      </c>
      <c r="F44" s="525"/>
      <c r="G44" s="525">
        <f>G41+E44</f>
        <v>167611.155</v>
      </c>
      <c r="H44" s="525"/>
      <c r="I44" s="525">
        <f>G44+I41</f>
        <v>344092.73</v>
      </c>
      <c r="J44" s="525"/>
      <c r="K44" s="525">
        <f>I44+K41</f>
        <v>399953.70999999996</v>
      </c>
      <c r="L44" s="525"/>
      <c r="M44" s="525">
        <f>K44+M41</f>
        <v>562778.20499999996</v>
      </c>
      <c r="N44" s="525"/>
      <c r="O44" s="525">
        <f>M44+O41</f>
        <v>735623.80999999994</v>
      </c>
    </row>
    <row r="45" spans="1:15" s="471" customFormat="1" x14ac:dyDescent="0.2">
      <c r="A45" s="434"/>
      <c r="B45" s="434"/>
      <c r="C45" s="434"/>
      <c r="D45" s="530"/>
      <c r="E45" s="530">
        <f>E44/O47</f>
        <v>6.1495127516332015E-2</v>
      </c>
      <c r="F45" s="530"/>
      <c r="G45" s="530">
        <f>G44/O47</f>
        <v>0.22784900749745987</v>
      </c>
      <c r="H45" s="530"/>
      <c r="I45" s="530">
        <f>I44/O47</f>
        <v>0.46775637944617365</v>
      </c>
      <c r="J45" s="530"/>
      <c r="K45" s="530">
        <f>K44/O47</f>
        <v>0.54369326354458258</v>
      </c>
      <c r="L45" s="530"/>
      <c r="M45" s="530">
        <f>M44/O47</f>
        <v>0.76503533103421428</v>
      </c>
      <c r="N45" s="530"/>
      <c r="O45" s="530">
        <f>O44/O47</f>
        <v>0.99999999999999989</v>
      </c>
    </row>
    <row r="46" spans="1:15" s="471" customFormat="1" x14ac:dyDescent="0.2">
      <c r="A46" s="434"/>
      <c r="B46" s="434"/>
      <c r="C46" s="434"/>
      <c r="D46" s="435"/>
      <c r="E46" s="435"/>
      <c r="F46" s="435"/>
      <c r="G46" s="435"/>
      <c r="H46" s="435"/>
      <c r="I46" s="435"/>
      <c r="J46" s="435"/>
      <c r="K46" s="435"/>
      <c r="L46" s="435"/>
      <c r="M46" s="435"/>
      <c r="N46" s="435"/>
      <c r="O46" s="435"/>
    </row>
    <row r="47" spans="1:15" s="472" customFormat="1" ht="14.4" customHeight="1" x14ac:dyDescent="0.2">
      <c r="A47" s="713" t="s">
        <v>90</v>
      </c>
      <c r="B47" s="714"/>
      <c r="C47" s="714"/>
      <c r="D47" s="714"/>
      <c r="E47" s="714"/>
      <c r="F47" s="714"/>
      <c r="G47" s="714"/>
      <c r="H47" s="714"/>
      <c r="I47" s="714"/>
      <c r="J47" s="714"/>
      <c r="K47" s="714"/>
      <c r="L47" s="714"/>
      <c r="M47" s="714"/>
      <c r="N47" s="715"/>
      <c r="O47" s="581">
        <f>C11+C13+C15+C17+C19+C21+C23+C25+C27+C29+C31+C33+C35+C37+C39</f>
        <v>735623.81</v>
      </c>
    </row>
    <row r="48" spans="1:15" x14ac:dyDescent="0.2">
      <c r="C48" s="438"/>
      <c r="D48" s="438"/>
      <c r="E48" s="438"/>
      <c r="F48" s="438"/>
      <c r="G48" s="438"/>
      <c r="H48" s="438"/>
      <c r="I48" s="438"/>
      <c r="J48" s="438"/>
      <c r="K48" s="438"/>
      <c r="L48" s="438"/>
      <c r="M48" s="438"/>
      <c r="N48" s="438"/>
      <c r="O48" s="438"/>
    </row>
    <row r="49" spans="2:15" x14ac:dyDescent="0.2">
      <c r="C49" s="438"/>
      <c r="D49" s="438"/>
      <c r="E49" s="438"/>
      <c r="F49" s="438"/>
      <c r="G49" s="438"/>
      <c r="H49" s="438"/>
      <c r="I49" s="438"/>
      <c r="J49" s="438"/>
      <c r="K49" s="438"/>
      <c r="L49" s="438"/>
      <c r="M49" s="438"/>
      <c r="N49" s="438"/>
      <c r="O49" s="438"/>
    </row>
    <row r="50" spans="2:15" x14ac:dyDescent="0.2">
      <c r="B50" s="473"/>
      <c r="C50" s="474"/>
      <c r="D50" s="438"/>
      <c r="E50" s="438"/>
      <c r="F50" s="438"/>
      <c r="G50" s="438"/>
      <c r="H50" s="438"/>
      <c r="I50" s="438"/>
      <c r="J50" s="438"/>
      <c r="K50" s="438"/>
      <c r="L50" s="438"/>
      <c r="M50" s="438"/>
      <c r="N50" s="438"/>
      <c r="O50" s="438"/>
    </row>
    <row r="51" spans="2:15" x14ac:dyDescent="0.2">
      <c r="C51" s="438"/>
      <c r="D51" s="475"/>
      <c r="E51" s="475"/>
      <c r="F51" s="475"/>
      <c r="G51" s="475"/>
      <c r="H51" s="475"/>
      <c r="I51" s="475"/>
      <c r="J51" s="475"/>
      <c r="K51" s="475"/>
      <c r="L51" s="475"/>
      <c r="M51" s="475"/>
      <c r="N51" s="475"/>
      <c r="O51" s="475"/>
    </row>
    <row r="52" spans="2:15" x14ac:dyDescent="0.2">
      <c r="D52" s="438"/>
      <c r="E52" s="438"/>
      <c r="F52" s="438"/>
      <c r="G52" s="438"/>
      <c r="H52" s="438"/>
      <c r="I52" s="438"/>
      <c r="J52" s="438"/>
      <c r="K52" s="438"/>
      <c r="L52" s="438"/>
      <c r="M52" s="438"/>
      <c r="N52" s="438"/>
      <c r="O52" s="438"/>
    </row>
  </sheetData>
  <mergeCells count="16">
    <mergeCell ref="A47:N47"/>
    <mergeCell ref="N8:O8"/>
    <mergeCell ref="L8:M8"/>
    <mergeCell ref="A44:C44"/>
    <mergeCell ref="A8:A9"/>
    <mergeCell ref="B8:B9"/>
    <mergeCell ref="C8:C9"/>
    <mergeCell ref="A4:K4"/>
    <mergeCell ref="A1:K1"/>
    <mergeCell ref="A2:K3"/>
    <mergeCell ref="A41:C41"/>
    <mergeCell ref="A5:K5"/>
    <mergeCell ref="J8:K8"/>
    <mergeCell ref="H8:I8"/>
    <mergeCell ref="F8:G8"/>
    <mergeCell ref="D8:E8"/>
  </mergeCells>
  <printOptions horizontalCentered="1"/>
  <pageMargins left="0.51181102362204722" right="0.51181102362204722" top="1.2598425196850394" bottom="1.2598425196850394" header="0.31496062992125984" footer="0.31496062992125984"/>
  <pageSetup paperSize="9" scale="70" fitToHeight="3" orientation="landscape" r:id="rId1"/>
  <headerFooter>
    <oddHeader>&amp;C&amp;G</oddHeader>
    <oddFooter>&amp;C&amp;G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-0.249977111117893"/>
  </sheetPr>
  <dimension ref="A1:F61"/>
  <sheetViews>
    <sheetView view="pageBreakPreview" topLeftCell="B1" zoomScaleNormal="100" zoomScaleSheetLayoutView="100" workbookViewId="0">
      <selection activeCell="F25" sqref="F25"/>
    </sheetView>
  </sheetViews>
  <sheetFormatPr defaultColWidth="9.109375" defaultRowHeight="13.8" x14ac:dyDescent="0.25"/>
  <cols>
    <col min="1" max="1" width="1.109375" style="91" hidden="1" customWidth="1"/>
    <col min="2" max="2" width="75.6640625" style="91" customWidth="1"/>
    <col min="3" max="3" width="10.109375" style="102" bestFit="1" customWidth="1"/>
    <col min="4" max="4" width="16.88671875" style="102" customWidth="1"/>
    <col min="5" max="5" width="11.44140625" style="91" customWidth="1"/>
    <col min="6" max="6" width="62.5546875" style="91" customWidth="1"/>
    <col min="7" max="16384" width="9.109375" style="91"/>
  </cols>
  <sheetData>
    <row r="1" spans="1:6" s="57" customFormat="1" ht="6.75" customHeight="1" x14ac:dyDescent="0.25">
      <c r="C1" s="58"/>
      <c r="D1" s="58"/>
    </row>
    <row r="2" spans="1:6" s="57" customFormat="1" ht="17.399999999999999" x14ac:dyDescent="0.3">
      <c r="B2" s="591" t="s">
        <v>137</v>
      </c>
      <c r="C2" s="591"/>
      <c r="D2" s="591"/>
    </row>
    <row r="3" spans="1:6" s="59" customFormat="1" ht="10.199999999999999" x14ac:dyDescent="0.2">
      <c r="B3" s="60"/>
      <c r="C3" s="60"/>
      <c r="D3" s="60"/>
    </row>
    <row r="4" spans="1:6" s="57" customFormat="1" ht="13.2" x14ac:dyDescent="0.25">
      <c r="B4" s="592" t="s">
        <v>749</v>
      </c>
      <c r="C4" s="592"/>
      <c r="D4" s="592"/>
    </row>
    <row r="5" spans="1:6" s="57" customFormat="1" ht="13.2" x14ac:dyDescent="0.25">
      <c r="B5" s="61"/>
      <c r="C5" s="61"/>
      <c r="D5" s="61"/>
    </row>
    <row r="6" spans="1:6" s="57" customFormat="1" ht="20.399999999999999" customHeight="1" x14ac:dyDescent="0.25">
      <c r="B6" s="716" t="str">
        <f>COMPOSICOES!A4</f>
        <v>REFORMA DO CENTRO DE CONVIVÊNCIA DOS IDOSOS DO MUNICÍPIO DE LIMOEIRO-PE</v>
      </c>
      <c r="C6" s="716"/>
      <c r="D6" s="716"/>
    </row>
    <row r="7" spans="1:6" s="17" customFormat="1" ht="16.2" customHeight="1" x14ac:dyDescent="0.25">
      <c r="B7" s="593" t="str">
        <f>'ORÇAMENTO SEM DESON'!A4</f>
        <v>LOCALIZAÇÃO: LIMOEIRO - PE</v>
      </c>
      <c r="C7" s="593"/>
      <c r="D7" s="593"/>
    </row>
    <row r="8" spans="1:6" s="17" customFormat="1" ht="31.2" customHeight="1" x14ac:dyDescent="0.25">
      <c r="B8" s="593" t="str">
        <f>'ORÇAMENTO SEM DESON'!A5</f>
        <v>FONTES DE PREÇOS: EMLURB 2018 / SINAPI JANEIRO-2022 / SEINFRA 027 MARÇO-2021 - SEM DESONERAÇÃO (BDI = 20,84%)</v>
      </c>
      <c r="C8" s="593"/>
      <c r="D8" s="593"/>
    </row>
    <row r="9" spans="1:6" s="57" customFormat="1" ht="18.75" customHeight="1" x14ac:dyDescent="0.25">
      <c r="B9" s="594" t="str">
        <f>'ORÇAMENTO SEM DESON'!A6</f>
        <v>DATA: ABRIL/2022</v>
      </c>
      <c r="C9" s="594"/>
      <c r="D9" s="594"/>
    </row>
    <row r="10" spans="1:6" s="57" customFormat="1" ht="13.2" x14ac:dyDescent="0.25">
      <c r="B10" s="62"/>
      <c r="C10" s="63"/>
      <c r="D10" s="63"/>
    </row>
    <row r="11" spans="1:6" s="57" customFormat="1" ht="22.5" customHeight="1" x14ac:dyDescent="0.25">
      <c r="B11" s="547" t="s">
        <v>110</v>
      </c>
      <c r="C11" s="547" t="s">
        <v>111</v>
      </c>
      <c r="D11" s="547" t="s">
        <v>112</v>
      </c>
      <c r="F11" s="66" t="s">
        <v>113</v>
      </c>
    </row>
    <row r="12" spans="1:6" s="70" customFormat="1" x14ac:dyDescent="0.25">
      <c r="A12" s="67"/>
      <c r="B12" s="68"/>
      <c r="C12" s="69"/>
      <c r="D12" s="69"/>
    </row>
    <row r="13" spans="1:6" s="57" customFormat="1" x14ac:dyDescent="0.25">
      <c r="B13" s="71" t="s">
        <v>114</v>
      </c>
      <c r="C13" s="72" t="s">
        <v>115</v>
      </c>
      <c r="D13" s="73">
        <v>0.04</v>
      </c>
      <c r="E13" s="57" t="s">
        <v>138</v>
      </c>
      <c r="F13" s="74" t="s">
        <v>139</v>
      </c>
    </row>
    <row r="14" spans="1:6" s="57" customFormat="1" x14ac:dyDescent="0.25">
      <c r="B14" s="71"/>
      <c r="C14" s="72"/>
      <c r="D14" s="75"/>
    </row>
    <row r="15" spans="1:6" s="57" customFormat="1" x14ac:dyDescent="0.25">
      <c r="B15" s="71" t="s">
        <v>116</v>
      </c>
      <c r="C15" s="72" t="s">
        <v>117</v>
      </c>
      <c r="D15" s="73">
        <v>1.23E-2</v>
      </c>
      <c r="E15" s="57" t="s">
        <v>138</v>
      </c>
      <c r="F15" s="74" t="s">
        <v>140</v>
      </c>
    </row>
    <row r="16" spans="1:6" s="57" customFormat="1" x14ac:dyDescent="0.25">
      <c r="B16" s="71"/>
      <c r="C16" s="72"/>
      <c r="D16" s="76"/>
    </row>
    <row r="17" spans="2:6" s="57" customFormat="1" x14ac:dyDescent="0.25">
      <c r="B17" s="71" t="s">
        <v>118</v>
      </c>
      <c r="C17" s="72" t="s">
        <v>119</v>
      </c>
      <c r="D17" s="73">
        <v>1.2699999999999999E-2</v>
      </c>
      <c r="E17" s="57" t="s">
        <v>138</v>
      </c>
      <c r="F17" s="74" t="s">
        <v>141</v>
      </c>
    </row>
    <row r="18" spans="2:6" s="57" customFormat="1" x14ac:dyDescent="0.25">
      <c r="B18" s="71"/>
      <c r="C18" s="72"/>
      <c r="D18" s="76"/>
    </row>
    <row r="19" spans="2:6" s="57" customFormat="1" x14ac:dyDescent="0.25">
      <c r="B19" s="77" t="s">
        <v>142</v>
      </c>
      <c r="C19" s="78" t="s">
        <v>143</v>
      </c>
      <c r="D19" s="79">
        <v>8.0000000000000002E-3</v>
      </c>
      <c r="E19" s="57" t="s">
        <v>144</v>
      </c>
      <c r="F19" s="583" t="s">
        <v>145</v>
      </c>
    </row>
    <row r="20" spans="2:6" s="57" customFormat="1" x14ac:dyDescent="0.25">
      <c r="B20" s="71"/>
      <c r="C20" s="72"/>
      <c r="D20" s="80"/>
      <c r="F20" s="584"/>
    </row>
    <row r="21" spans="2:6" s="57" customFormat="1" x14ac:dyDescent="0.25">
      <c r="B21" s="71" t="s">
        <v>120</v>
      </c>
      <c r="C21" s="72" t="s">
        <v>120</v>
      </c>
      <c r="D21" s="80">
        <v>0.03</v>
      </c>
    </row>
    <row r="22" spans="2:6" s="57" customFormat="1" x14ac:dyDescent="0.25">
      <c r="B22" s="71" t="s">
        <v>121</v>
      </c>
      <c r="C22" s="72" t="s">
        <v>122</v>
      </c>
      <c r="D22" s="80">
        <v>0.02</v>
      </c>
      <c r="E22" s="81">
        <f>0.05*0.4</f>
        <v>2.0000000000000004E-2</v>
      </c>
    </row>
    <row r="23" spans="2:6" s="57" customFormat="1" x14ac:dyDescent="0.25">
      <c r="B23" s="71" t="s">
        <v>123</v>
      </c>
      <c r="C23" s="72" t="s">
        <v>123</v>
      </c>
      <c r="D23" s="80">
        <v>6.4999999999999997E-3</v>
      </c>
    </row>
    <row r="24" spans="2:6" s="280" customFormat="1" hidden="1" x14ac:dyDescent="0.25">
      <c r="B24" s="277" t="s">
        <v>124</v>
      </c>
      <c r="C24" s="278" t="s">
        <v>125</v>
      </c>
      <c r="D24" s="279"/>
      <c r="E24" s="280" t="s">
        <v>126</v>
      </c>
    </row>
    <row r="25" spans="2:6" s="57" customFormat="1" x14ac:dyDescent="0.25">
      <c r="B25" s="71" t="s">
        <v>146</v>
      </c>
      <c r="C25" s="72" t="s">
        <v>127</v>
      </c>
      <c r="D25" s="73">
        <f>SUM(D21:D24)</f>
        <v>5.6500000000000002E-2</v>
      </c>
    </row>
    <row r="26" spans="2:6" s="57" customFormat="1" x14ac:dyDescent="0.25">
      <c r="B26" s="71"/>
      <c r="C26" s="72"/>
      <c r="D26" s="80"/>
    </row>
    <row r="27" spans="2:6" s="57" customFormat="1" x14ac:dyDescent="0.25">
      <c r="B27" s="71" t="s">
        <v>128</v>
      </c>
      <c r="C27" s="72" t="s">
        <v>129</v>
      </c>
      <c r="D27" s="73">
        <v>6.1800000000000001E-2</v>
      </c>
      <c r="E27" s="57" t="s">
        <v>147</v>
      </c>
      <c r="F27" s="74" t="s">
        <v>148</v>
      </c>
    </row>
    <row r="28" spans="2:6" s="67" customFormat="1" x14ac:dyDescent="0.25">
      <c r="B28" s="68"/>
      <c r="C28" s="69"/>
      <c r="D28" s="82"/>
    </row>
    <row r="29" spans="2:6" s="57" customFormat="1" x14ac:dyDescent="0.25">
      <c r="B29" s="83" t="s">
        <v>130</v>
      </c>
      <c r="C29" s="84"/>
      <c r="D29" s="73">
        <f>ROUND((((1+D13+D19+D17)*(1+D15)*(1+D27))/(1-D25))-1,4)</f>
        <v>0.2084</v>
      </c>
      <c r="E29" s="85" t="s">
        <v>747</v>
      </c>
    </row>
    <row r="30" spans="2:6" s="57" customFormat="1" ht="13.2" x14ac:dyDescent="0.25">
      <c r="C30" s="58"/>
      <c r="D30" s="86"/>
      <c r="F30" s="74" t="s">
        <v>150</v>
      </c>
    </row>
    <row r="31" spans="2:6" s="57" customFormat="1" ht="13.2" x14ac:dyDescent="0.25">
      <c r="C31" s="58"/>
      <c r="D31" s="58"/>
    </row>
    <row r="32" spans="2:6" s="57" customFormat="1" ht="13.2" x14ac:dyDescent="0.25">
      <c r="C32" s="58"/>
      <c r="D32" s="58"/>
    </row>
    <row r="33" spans="2:4" s="57" customFormat="1" ht="15" x14ac:dyDescent="0.25">
      <c r="B33" s="87" t="s">
        <v>131</v>
      </c>
      <c r="C33" s="58"/>
      <c r="D33" s="58"/>
    </row>
    <row r="34" spans="2:4" x14ac:dyDescent="0.25">
      <c r="B34" s="88"/>
      <c r="C34" s="89"/>
      <c r="D34" s="90"/>
    </row>
    <row r="35" spans="2:4" x14ac:dyDescent="0.25">
      <c r="B35" s="92"/>
      <c r="C35" s="93"/>
      <c r="D35" s="94"/>
    </row>
    <row r="36" spans="2:4" x14ac:dyDescent="0.25">
      <c r="B36" s="92"/>
      <c r="C36" s="93"/>
      <c r="D36" s="94"/>
    </row>
    <row r="37" spans="2:4" x14ac:dyDescent="0.25">
      <c r="B37" s="92"/>
      <c r="C37" s="93"/>
      <c r="D37" s="94"/>
    </row>
    <row r="38" spans="2:4" x14ac:dyDescent="0.25">
      <c r="B38" s="92"/>
      <c r="C38" s="93"/>
      <c r="D38" s="94"/>
    </row>
    <row r="39" spans="2:4" x14ac:dyDescent="0.25">
      <c r="B39" s="95"/>
      <c r="C39" s="96"/>
      <c r="D39" s="97"/>
    </row>
    <row r="40" spans="2:4" x14ac:dyDescent="0.25">
      <c r="B40" s="98"/>
      <c r="C40" s="93"/>
      <c r="D40" s="93"/>
    </row>
    <row r="41" spans="2:4" x14ac:dyDescent="0.25">
      <c r="B41" s="98" t="s">
        <v>132</v>
      </c>
      <c r="C41" s="93"/>
      <c r="D41" s="93"/>
    </row>
    <row r="42" spans="2:4" s="99" customFormat="1" x14ac:dyDescent="0.25">
      <c r="B42" s="585" t="s">
        <v>133</v>
      </c>
      <c r="C42" s="585"/>
      <c r="D42" s="585"/>
    </row>
    <row r="43" spans="2:4" s="99" customFormat="1" ht="48" customHeight="1" x14ac:dyDescent="0.25">
      <c r="B43" s="586" t="s">
        <v>156</v>
      </c>
      <c r="C43" s="586"/>
      <c r="D43" s="586"/>
    </row>
    <row r="44" spans="2:4" x14ac:dyDescent="0.25">
      <c r="B44" s="101"/>
      <c r="C44" s="93"/>
      <c r="D44" s="93"/>
    </row>
    <row r="46" spans="2:4" x14ac:dyDescent="0.25">
      <c r="B46" s="91" t="s">
        <v>135</v>
      </c>
    </row>
    <row r="47" spans="2:4" ht="135" customHeight="1" x14ac:dyDescent="0.25">
      <c r="B47" s="588" t="s">
        <v>152</v>
      </c>
      <c r="C47" s="589"/>
      <c r="D47" s="590"/>
    </row>
    <row r="59" spans="2:4" s="57" customFormat="1" ht="13.2" x14ac:dyDescent="0.25">
      <c r="C59" s="58"/>
      <c r="D59" s="58"/>
    </row>
    <row r="60" spans="2:4" s="57" customFormat="1" ht="13.2" x14ac:dyDescent="0.25">
      <c r="C60" s="58"/>
      <c r="D60" s="58"/>
    </row>
    <row r="61" spans="2:4" x14ac:dyDescent="0.25">
      <c r="B61" s="91" t="s">
        <v>136</v>
      </c>
    </row>
  </sheetData>
  <mergeCells count="10">
    <mergeCell ref="F19:F20"/>
    <mergeCell ref="B42:D42"/>
    <mergeCell ref="B43:D43"/>
    <mergeCell ref="B47:D47"/>
    <mergeCell ref="B2:D2"/>
    <mergeCell ref="B4:D4"/>
    <mergeCell ref="B7:D7"/>
    <mergeCell ref="B8:D8"/>
    <mergeCell ref="B9:D9"/>
    <mergeCell ref="B6:D6"/>
  </mergeCells>
  <printOptions horizontalCentered="1"/>
  <pageMargins left="0.59055118110236227" right="0.59055118110236227" top="1.5748031496062993" bottom="0.9055118110236221" header="0.39370078740157483" footer="0.39370078740157483"/>
  <pageSetup paperSize="9" scale="87" orientation="portrait" horizontalDpi="300" verticalDpi="300" r:id="rId1"/>
  <headerFooter>
    <oddHeader>&amp;C&amp;G</oddHeader>
    <oddFooter>&amp;C
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3073" r:id="rId5">
          <objectPr defaultSize="0" autoPict="0" r:id="rId6">
            <anchor moveWithCells="1" sizeWithCells="1">
              <from>
                <xdr:col>1</xdr:col>
                <xdr:colOff>38100</xdr:colOff>
                <xdr:row>34</xdr:row>
                <xdr:rowOff>0</xdr:rowOff>
              </from>
              <to>
                <xdr:col>1</xdr:col>
                <xdr:colOff>4671060</xdr:colOff>
                <xdr:row>38</xdr:row>
                <xdr:rowOff>7620</xdr:rowOff>
              </to>
            </anchor>
          </objectPr>
        </oleObject>
      </mc:Choice>
      <mc:Fallback>
        <oleObject progId="Equation.3" shapeId="3073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V401"/>
  <sheetViews>
    <sheetView view="pageBreakPreview" topLeftCell="A8" zoomScale="110" zoomScaleNormal="100" zoomScaleSheetLayoutView="110" workbookViewId="0">
      <pane ySplit="852" topLeftCell="A48" activePane="bottomLeft"/>
      <selection activeCell="F1" sqref="F1:F1048576"/>
      <selection pane="bottomLeft" activeCell="A49" sqref="A49:XFD54"/>
    </sheetView>
  </sheetViews>
  <sheetFormatPr defaultColWidth="9.109375" defaultRowHeight="10.199999999999999" x14ac:dyDescent="0.2"/>
  <cols>
    <col min="1" max="1" width="6.44140625" style="162" customWidth="1"/>
    <col min="2" max="2" width="12" style="162" customWidth="1"/>
    <col min="3" max="3" width="10" style="163" bestFit="1" customWidth="1"/>
    <col min="4" max="4" width="45.6640625" style="164" customWidth="1"/>
    <col min="5" max="5" width="4.88671875" style="162" bestFit="1" customWidth="1"/>
    <col min="6" max="6" width="7.5546875" style="162" customWidth="1"/>
    <col min="7" max="7" width="9.6640625" style="162" customWidth="1"/>
    <col min="8" max="8" width="9.44140625" style="162" customWidth="1"/>
    <col min="9" max="9" width="13.6640625" style="162" customWidth="1"/>
    <col min="10" max="10" width="5" style="167" bestFit="1" customWidth="1"/>
    <col min="11" max="11" width="4.109375" style="114" customWidth="1"/>
    <col min="12" max="12" width="12.6640625" style="167" bestFit="1" customWidth="1"/>
    <col min="13" max="13" width="13.109375" style="114" bestFit="1" customWidth="1"/>
    <col min="14" max="16384" width="9.109375" style="114"/>
  </cols>
  <sheetData>
    <row r="1" spans="1:19" s="111" customFormat="1" ht="18.600000000000001" thickTop="1" thickBot="1" x14ac:dyDescent="0.35">
      <c r="A1" s="595" t="s">
        <v>23</v>
      </c>
      <c r="B1" s="596"/>
      <c r="C1" s="596"/>
      <c r="D1" s="596"/>
      <c r="E1" s="596"/>
      <c r="F1" s="596"/>
      <c r="G1" s="596"/>
      <c r="H1" s="596"/>
      <c r="I1" s="597"/>
      <c r="J1" s="167"/>
      <c r="L1" s="104"/>
    </row>
    <row r="2" spans="1:19" s="111" customFormat="1" ht="18" thickTop="1" x14ac:dyDescent="0.3">
      <c r="A2" s="598"/>
      <c r="B2" s="598"/>
      <c r="C2" s="598"/>
      <c r="D2" s="598"/>
      <c r="E2" s="598"/>
      <c r="F2" s="323"/>
      <c r="G2" s="323"/>
      <c r="H2" s="323"/>
      <c r="I2" s="323"/>
      <c r="J2" s="167"/>
    </row>
    <row r="3" spans="1:19" s="119" customFormat="1" ht="27.75" customHeight="1" x14ac:dyDescent="0.25">
      <c r="A3" s="324"/>
      <c r="B3" s="599" t="s">
        <v>963</v>
      </c>
      <c r="C3" s="599"/>
      <c r="D3" s="599"/>
      <c r="E3" s="599"/>
      <c r="F3" s="599"/>
      <c r="G3" s="599"/>
      <c r="H3" s="599"/>
      <c r="I3" s="599"/>
      <c r="J3" s="281"/>
      <c r="L3" s="275" t="s">
        <v>722</v>
      </c>
      <c r="M3" s="275" t="s">
        <v>723</v>
      </c>
    </row>
    <row r="4" spans="1:19" s="119" customFormat="1" ht="13.8" x14ac:dyDescent="0.25">
      <c r="A4" s="324"/>
      <c r="B4" s="325" t="s">
        <v>81</v>
      </c>
      <c r="C4" s="326"/>
      <c r="D4" s="164"/>
      <c r="E4" s="324"/>
      <c r="F4" s="324"/>
      <c r="G4" s="324"/>
      <c r="H4" s="324"/>
      <c r="I4" s="324"/>
      <c r="J4" s="281"/>
      <c r="L4" s="274">
        <v>0.26529999999999998</v>
      </c>
      <c r="M4" s="274">
        <v>0.2084</v>
      </c>
    </row>
    <row r="5" spans="1:19" s="119" customFormat="1" ht="13.2" x14ac:dyDescent="0.25">
      <c r="A5" s="324"/>
      <c r="B5" s="327" t="s">
        <v>964</v>
      </c>
      <c r="C5" s="326"/>
      <c r="D5" s="164"/>
      <c r="E5" s="324"/>
      <c r="F5" s="324"/>
      <c r="G5" s="324"/>
      <c r="H5" s="324"/>
      <c r="I5" s="324"/>
      <c r="J5" s="281"/>
      <c r="L5" s="128"/>
    </row>
    <row r="6" spans="1:19" s="119" customFormat="1" ht="15" customHeight="1" x14ac:dyDescent="0.25">
      <c r="A6" s="324"/>
      <c r="B6" s="325" t="s">
        <v>737</v>
      </c>
      <c r="C6" s="326"/>
      <c r="D6" s="164"/>
      <c r="E6" s="324"/>
      <c r="F6" s="324"/>
      <c r="G6" s="324"/>
      <c r="H6" s="324"/>
      <c r="I6" s="324"/>
      <c r="J6" s="281"/>
      <c r="L6" s="128"/>
    </row>
    <row r="7" spans="1:19" s="111" customFormat="1" x14ac:dyDescent="0.2">
      <c r="A7" s="36"/>
      <c r="B7" s="36"/>
      <c r="C7" s="307"/>
      <c r="D7" s="308"/>
      <c r="E7" s="307"/>
      <c r="F7" s="329"/>
      <c r="G7" s="309"/>
      <c r="H7" s="309"/>
      <c r="I7" s="309"/>
      <c r="J7" s="167"/>
    </row>
    <row r="8" spans="1:19" s="135" customFormat="1" ht="20.399999999999999" x14ac:dyDescent="0.2">
      <c r="A8" s="9" t="s">
        <v>1</v>
      </c>
      <c r="B8" s="9" t="s">
        <v>87</v>
      </c>
      <c r="C8" s="13" t="s">
        <v>22</v>
      </c>
      <c r="D8" s="9" t="s">
        <v>88</v>
      </c>
      <c r="E8" s="9" t="s">
        <v>2</v>
      </c>
      <c r="F8" s="131" t="s">
        <v>720</v>
      </c>
      <c r="G8" s="226" t="s">
        <v>254</v>
      </c>
      <c r="H8" s="226" t="s">
        <v>255</v>
      </c>
      <c r="I8" s="169" t="s">
        <v>162</v>
      </c>
      <c r="J8" s="282"/>
      <c r="K8" s="134"/>
      <c r="L8" s="134"/>
      <c r="M8" s="134"/>
      <c r="N8" s="134"/>
      <c r="O8" s="134"/>
      <c r="P8" s="134"/>
      <c r="Q8" s="134"/>
      <c r="R8" s="134"/>
      <c r="S8" s="134"/>
    </row>
    <row r="9" spans="1:19" s="241" customFormat="1" ht="13.2" x14ac:dyDescent="0.25">
      <c r="A9" s="236" t="s">
        <v>6</v>
      </c>
      <c r="B9" s="236"/>
      <c r="C9" s="237"/>
      <c r="D9" s="289" t="s">
        <v>7</v>
      </c>
      <c r="E9" s="236"/>
      <c r="F9" s="316"/>
      <c r="G9" s="238"/>
      <c r="H9" s="238"/>
      <c r="I9" s="239">
        <f>I10</f>
        <v>1552.86</v>
      </c>
      <c r="J9" s="284"/>
      <c r="K9" s="240"/>
      <c r="L9" s="240"/>
      <c r="M9" s="240"/>
      <c r="N9" s="240"/>
      <c r="O9" s="240"/>
      <c r="P9" s="240"/>
      <c r="Q9" s="240"/>
      <c r="R9" s="240"/>
    </row>
    <row r="10" spans="1:19" s="145" customFormat="1" x14ac:dyDescent="0.2">
      <c r="A10" s="140" t="s">
        <v>8</v>
      </c>
      <c r="B10" s="140"/>
      <c r="C10" s="141"/>
      <c r="D10" s="112" t="s">
        <v>82</v>
      </c>
      <c r="E10" s="140"/>
      <c r="F10" s="194"/>
      <c r="G10" s="194"/>
      <c r="H10" s="142"/>
      <c r="I10" s="143">
        <f>I11</f>
        <v>1552.86</v>
      </c>
      <c r="J10" s="285"/>
      <c r="K10" s="144"/>
      <c r="L10" s="144"/>
      <c r="M10" s="144"/>
      <c r="N10" s="144"/>
      <c r="O10" s="144"/>
      <c r="P10" s="144"/>
      <c r="Q10" s="144"/>
      <c r="R10" s="144"/>
    </row>
    <row r="11" spans="1:19" s="118" customFormat="1" ht="20.399999999999999" x14ac:dyDescent="0.2">
      <c r="A11" s="148" t="s">
        <v>61</v>
      </c>
      <c r="B11" s="148" t="s">
        <v>421</v>
      </c>
      <c r="C11" s="14">
        <v>4813</v>
      </c>
      <c r="D11" s="322" t="s">
        <v>962</v>
      </c>
      <c r="E11" s="148" t="s">
        <v>9</v>
      </c>
      <c r="F11" s="137">
        <v>4.5</v>
      </c>
      <c r="G11" s="137">
        <v>285.57</v>
      </c>
      <c r="H11" s="137">
        <f>ROUND(G11*(1+$M$4),2)</f>
        <v>345.08</v>
      </c>
      <c r="I11" s="138">
        <f>TRUNC(F11*H11,2)</f>
        <v>1552.86</v>
      </c>
      <c r="J11" s="167"/>
      <c r="K11" s="111"/>
      <c r="L11" s="111"/>
      <c r="M11" s="111"/>
      <c r="N11" s="111"/>
      <c r="O11" s="111"/>
      <c r="P11" s="111"/>
      <c r="Q11" s="111"/>
      <c r="R11" s="111"/>
    </row>
    <row r="12" spans="1:19" s="241" customFormat="1" ht="13.2" x14ac:dyDescent="0.25">
      <c r="A12" s="236" t="s">
        <v>10</v>
      </c>
      <c r="B12" s="236"/>
      <c r="C12" s="237"/>
      <c r="D12" s="289" t="s">
        <v>969</v>
      </c>
      <c r="E12" s="236"/>
      <c r="F12" s="316"/>
      <c r="G12" s="316"/>
      <c r="H12" s="238"/>
      <c r="I12" s="239">
        <f>SUM(I13)</f>
        <v>5237.53</v>
      </c>
      <c r="J12" s="284"/>
      <c r="K12" s="240"/>
      <c r="L12" s="240"/>
      <c r="M12" s="240"/>
      <c r="N12" s="240"/>
      <c r="O12" s="240"/>
      <c r="P12" s="240"/>
      <c r="Q12" s="240"/>
      <c r="R12" s="240"/>
    </row>
    <row r="13" spans="1:19" s="145" customFormat="1" x14ac:dyDescent="0.2">
      <c r="A13" s="140" t="s">
        <v>11</v>
      </c>
      <c r="B13" s="140"/>
      <c r="C13" s="141"/>
      <c r="D13" s="112" t="s">
        <v>29</v>
      </c>
      <c r="E13" s="140"/>
      <c r="F13" s="194"/>
      <c r="G13" s="194"/>
      <c r="H13" s="142"/>
      <c r="I13" s="143">
        <f>SUM(I15:I18)</f>
        <v>5237.53</v>
      </c>
      <c r="J13" s="285"/>
      <c r="K13" s="144"/>
      <c r="L13" s="144"/>
      <c r="M13" s="144"/>
      <c r="N13" s="144"/>
      <c r="O13" s="144"/>
      <c r="P13" s="144"/>
      <c r="Q13" s="144"/>
      <c r="R13" s="144"/>
    </row>
    <row r="14" spans="1:19" s="145" customFormat="1" ht="20.399999999999999" x14ac:dyDescent="0.2">
      <c r="A14" s="148" t="s">
        <v>582</v>
      </c>
      <c r="B14" s="148" t="s">
        <v>89</v>
      </c>
      <c r="C14" s="14">
        <v>88485</v>
      </c>
      <c r="D14" s="328" t="s">
        <v>988</v>
      </c>
      <c r="E14" s="372" t="s">
        <v>9</v>
      </c>
      <c r="F14" s="376">
        <f>'MEMÓRIA PINTURA'!J37</f>
        <v>237.74999999999997</v>
      </c>
      <c r="G14" s="376">
        <v>2.3199999999999998</v>
      </c>
      <c r="H14" s="137">
        <f>ROUND(G14*(1+$M$4),2)</f>
        <v>2.8</v>
      </c>
      <c r="I14" s="138">
        <f>TRUNC(F14*H14,2)</f>
        <v>665.7</v>
      </c>
      <c r="J14" s="285"/>
      <c r="K14" s="144"/>
      <c r="L14" s="144"/>
      <c r="M14" s="144"/>
      <c r="N14" s="144"/>
      <c r="O14" s="144"/>
      <c r="P14" s="144"/>
      <c r="Q14" s="144"/>
      <c r="R14" s="144"/>
    </row>
    <row r="15" spans="1:19" s="118" customFormat="1" ht="39" customHeight="1" x14ac:dyDescent="0.2">
      <c r="A15" s="148" t="s">
        <v>583</v>
      </c>
      <c r="B15" s="148" t="s">
        <v>89</v>
      </c>
      <c r="C15" s="14">
        <v>100724</v>
      </c>
      <c r="D15" s="385" t="s">
        <v>991</v>
      </c>
      <c r="E15" s="356" t="s">
        <v>9</v>
      </c>
      <c r="F15" s="373">
        <f>'MEMÓRIA PINTURA'!J43</f>
        <v>17.61</v>
      </c>
      <c r="G15" s="374">
        <v>10.44</v>
      </c>
      <c r="H15" s="137">
        <f>ROUND(G15*(1+$M$4),2)</f>
        <v>12.62</v>
      </c>
      <c r="I15" s="138">
        <f>TRUNC(F15*H15,2)</f>
        <v>222.23</v>
      </c>
      <c r="J15" s="167"/>
      <c r="K15" s="111"/>
      <c r="L15" s="111"/>
      <c r="M15" s="111"/>
      <c r="N15" s="111"/>
      <c r="O15" s="111"/>
      <c r="P15" s="111"/>
      <c r="Q15" s="111"/>
      <c r="R15" s="111"/>
    </row>
    <row r="16" spans="1:19" s="118" customFormat="1" ht="36.6" customHeight="1" x14ac:dyDescent="0.2">
      <c r="A16" s="148" t="s">
        <v>993</v>
      </c>
      <c r="B16" s="148" t="s">
        <v>89</v>
      </c>
      <c r="C16" s="14">
        <v>88489</v>
      </c>
      <c r="D16" s="386" t="s">
        <v>989</v>
      </c>
      <c r="E16" s="148" t="s">
        <v>9</v>
      </c>
      <c r="F16" s="137">
        <f>'MEMÓRIA PINTURA'!J60</f>
        <v>237.74999999999997</v>
      </c>
      <c r="G16" s="137">
        <v>13.67</v>
      </c>
      <c r="H16" s="137">
        <f>ROUND(G16*(1+$M$4),2)</f>
        <v>16.52</v>
      </c>
      <c r="I16" s="138">
        <f>TRUNC(F16*H16,2)</f>
        <v>3927.63</v>
      </c>
      <c r="J16" s="167"/>
      <c r="K16" s="111"/>
      <c r="L16" s="111"/>
      <c r="M16" s="111"/>
      <c r="N16" s="111"/>
      <c r="O16" s="111"/>
      <c r="P16" s="111"/>
      <c r="Q16" s="111"/>
      <c r="R16" s="111"/>
    </row>
    <row r="17" spans="1:18" s="118" customFormat="1" ht="36.6" customHeight="1" x14ac:dyDescent="0.2">
      <c r="A17" s="148" t="s">
        <v>994</v>
      </c>
      <c r="B17" s="148" t="s">
        <v>89</v>
      </c>
      <c r="C17" s="377">
        <v>88488</v>
      </c>
      <c r="D17" s="384" t="s">
        <v>990</v>
      </c>
      <c r="E17" s="148" t="s">
        <v>9</v>
      </c>
      <c r="F17" s="137">
        <f>'MEMÓRIA PINTURA'!J68</f>
        <v>40.959999999999994</v>
      </c>
      <c r="G17" s="137">
        <v>15.31</v>
      </c>
      <c r="H17" s="137">
        <f t="shared" ref="H17:H18" si="0">ROUND(G17*(1+$M$4),2)</f>
        <v>18.5</v>
      </c>
      <c r="I17" s="138">
        <f t="shared" ref="I17:I18" si="1">TRUNC(F17*H17,2)</f>
        <v>757.76</v>
      </c>
      <c r="J17" s="167"/>
      <c r="K17" s="111"/>
      <c r="L17" s="111"/>
      <c r="M17" s="111"/>
      <c r="N17" s="111"/>
      <c r="O17" s="111"/>
      <c r="P17" s="111"/>
      <c r="Q17" s="111"/>
      <c r="R17" s="111"/>
    </row>
    <row r="18" spans="1:18" s="118" customFormat="1" ht="36.6" customHeight="1" x14ac:dyDescent="0.2">
      <c r="A18" s="148" t="s">
        <v>1000</v>
      </c>
      <c r="B18" s="148" t="s">
        <v>89</v>
      </c>
      <c r="C18" s="14">
        <v>102217</v>
      </c>
      <c r="D18" s="383" t="s">
        <v>992</v>
      </c>
      <c r="E18" s="148" t="s">
        <v>9</v>
      </c>
      <c r="F18" s="137">
        <f>'MEMÓRIA PINTURA'!J72</f>
        <v>21</v>
      </c>
      <c r="G18" s="137">
        <v>13</v>
      </c>
      <c r="H18" s="137">
        <f t="shared" si="0"/>
        <v>15.71</v>
      </c>
      <c r="I18" s="138">
        <f t="shared" si="1"/>
        <v>329.91</v>
      </c>
      <c r="J18" s="167"/>
      <c r="K18" s="111"/>
      <c r="L18" s="111"/>
      <c r="M18" s="111"/>
      <c r="N18" s="111"/>
      <c r="O18" s="111"/>
      <c r="P18" s="111"/>
      <c r="Q18" s="111"/>
      <c r="R18" s="111"/>
    </row>
    <row r="19" spans="1:18" s="241" customFormat="1" ht="13.2" x14ac:dyDescent="0.25">
      <c r="A19" s="236" t="s">
        <v>13</v>
      </c>
      <c r="B19" s="236"/>
      <c r="C19" s="237"/>
      <c r="D19" s="382" t="s">
        <v>970</v>
      </c>
      <c r="E19" s="236"/>
      <c r="F19" s="316"/>
      <c r="G19" s="316"/>
      <c r="H19" s="238"/>
      <c r="I19" s="239">
        <f>SUM(I20)</f>
        <v>12965.89</v>
      </c>
      <c r="J19" s="284" t="e">
        <f>I19/$I$392</f>
        <v>#DIV/0!</v>
      </c>
      <c r="K19" s="240"/>
      <c r="L19" s="240"/>
      <c r="M19" s="240"/>
      <c r="N19" s="240"/>
      <c r="O19" s="240"/>
      <c r="P19" s="240"/>
      <c r="Q19" s="240"/>
      <c r="R19" s="240"/>
    </row>
    <row r="20" spans="1:18" s="145" customFormat="1" x14ac:dyDescent="0.2">
      <c r="A20" s="140" t="s">
        <v>14</v>
      </c>
      <c r="B20" s="140"/>
      <c r="C20" s="141"/>
      <c r="D20" s="112" t="s">
        <v>29</v>
      </c>
      <c r="E20" s="140"/>
      <c r="F20" s="194"/>
      <c r="G20" s="194"/>
      <c r="H20" s="142"/>
      <c r="I20" s="143">
        <f>SUM(I21:I25)</f>
        <v>12965.89</v>
      </c>
      <c r="J20" s="285"/>
      <c r="K20" s="144"/>
      <c r="L20" s="144"/>
      <c r="M20" s="144"/>
      <c r="N20" s="144"/>
      <c r="O20" s="144"/>
      <c r="P20" s="144"/>
      <c r="Q20" s="144"/>
      <c r="R20" s="144"/>
    </row>
    <row r="21" spans="1:18" s="145" customFormat="1" ht="20.399999999999999" x14ac:dyDescent="0.2">
      <c r="A21" s="148" t="s">
        <v>355</v>
      </c>
      <c r="B21" s="148" t="s">
        <v>89</v>
      </c>
      <c r="C21" s="377">
        <v>88485</v>
      </c>
      <c r="D21" s="379" t="s">
        <v>988</v>
      </c>
      <c r="E21" s="372" t="s">
        <v>9</v>
      </c>
      <c r="F21" s="376">
        <f>'MEMÓRIA PINTURA'!J116</f>
        <v>449.34999999999997</v>
      </c>
      <c r="G21" s="376">
        <v>2.3199999999999998</v>
      </c>
      <c r="H21" s="137">
        <f>ROUND(G21*(1+$M$4),2)</f>
        <v>2.8</v>
      </c>
      <c r="I21" s="138">
        <f>TRUNC(F21*H21,2)</f>
        <v>1258.18</v>
      </c>
      <c r="J21" s="285"/>
      <c r="K21" s="144"/>
      <c r="L21" s="144"/>
      <c r="M21" s="144"/>
      <c r="N21" s="144"/>
      <c r="O21" s="144"/>
      <c r="P21" s="144"/>
      <c r="Q21" s="144"/>
      <c r="R21" s="144"/>
    </row>
    <row r="22" spans="1:18" s="118" customFormat="1" ht="39" customHeight="1" x14ac:dyDescent="0.2">
      <c r="A22" s="148" t="s">
        <v>356</v>
      </c>
      <c r="B22" s="148" t="s">
        <v>89</v>
      </c>
      <c r="C22" s="377">
        <v>100724</v>
      </c>
      <c r="D22" s="381" t="s">
        <v>991</v>
      </c>
      <c r="E22" s="356" t="s">
        <v>9</v>
      </c>
      <c r="F22" s="373">
        <f>'MEMÓRIA PINTURA'!J126</f>
        <v>35.919999999999995</v>
      </c>
      <c r="G22" s="374">
        <v>10.44</v>
      </c>
      <c r="H22" s="137">
        <f>ROUND(G22*(1+$M$4),2)</f>
        <v>12.62</v>
      </c>
      <c r="I22" s="138">
        <f>TRUNC(F22*H22,2)</f>
        <v>453.31</v>
      </c>
      <c r="J22" s="167"/>
      <c r="K22" s="111"/>
      <c r="L22" s="111"/>
      <c r="M22" s="111"/>
      <c r="N22" s="111"/>
      <c r="O22" s="111"/>
      <c r="P22" s="111"/>
      <c r="Q22" s="111"/>
      <c r="R22" s="111"/>
    </row>
    <row r="23" spans="1:18" s="118" customFormat="1" ht="36.6" customHeight="1" x14ac:dyDescent="0.2">
      <c r="A23" s="148" t="s">
        <v>363</v>
      </c>
      <c r="B23" s="148" t="s">
        <v>89</v>
      </c>
      <c r="C23" s="377">
        <v>88489</v>
      </c>
      <c r="D23" s="381" t="s">
        <v>989</v>
      </c>
      <c r="E23" s="378" t="s">
        <v>9</v>
      </c>
      <c r="F23" s="137">
        <f>'MEMÓRIA PINTURA'!J168</f>
        <v>449.34999999999997</v>
      </c>
      <c r="G23" s="137">
        <v>13.67</v>
      </c>
      <c r="H23" s="137">
        <f>ROUND(G23*(1+$M$4),2)</f>
        <v>16.52</v>
      </c>
      <c r="I23" s="138">
        <f>TRUNC(F23*H23,2)</f>
        <v>7423.26</v>
      </c>
      <c r="J23" s="167"/>
      <c r="K23" s="111"/>
      <c r="L23" s="111"/>
      <c r="M23" s="111"/>
      <c r="N23" s="111"/>
      <c r="O23" s="111"/>
      <c r="P23" s="111"/>
      <c r="Q23" s="111"/>
      <c r="R23" s="111"/>
    </row>
    <row r="24" spans="1:18" s="118" customFormat="1" ht="36.6" customHeight="1" x14ac:dyDescent="0.2">
      <c r="A24" s="148" t="s">
        <v>364</v>
      </c>
      <c r="B24" s="148" t="s">
        <v>89</v>
      </c>
      <c r="C24" s="377">
        <v>88488</v>
      </c>
      <c r="D24" s="380" t="s">
        <v>990</v>
      </c>
      <c r="E24" s="378" t="s">
        <v>9</v>
      </c>
      <c r="F24" s="137">
        <f>'MEMÓRIA PINTURA'!J188</f>
        <v>161.08000000000001</v>
      </c>
      <c r="G24" s="137">
        <v>15.31</v>
      </c>
      <c r="H24" s="137">
        <f t="shared" ref="H24:H25" si="2">ROUND(G24*(1+$M$4),2)</f>
        <v>18.5</v>
      </c>
      <c r="I24" s="138">
        <f t="shared" ref="I24:I25" si="3">TRUNC(F24*H24,2)</f>
        <v>2979.98</v>
      </c>
      <c r="J24" s="167"/>
      <c r="K24" s="111"/>
      <c r="L24" s="111"/>
      <c r="M24" s="111"/>
      <c r="N24" s="111"/>
      <c r="O24" s="111"/>
      <c r="P24" s="111"/>
      <c r="Q24" s="111"/>
      <c r="R24" s="111"/>
    </row>
    <row r="25" spans="1:18" s="118" customFormat="1" ht="36.6" customHeight="1" x14ac:dyDescent="0.2">
      <c r="A25" s="148" t="s">
        <v>731</v>
      </c>
      <c r="B25" s="148" t="s">
        <v>89</v>
      </c>
      <c r="C25" s="377">
        <v>102217</v>
      </c>
      <c r="D25" s="381" t="s">
        <v>992</v>
      </c>
      <c r="E25" s="148" t="s">
        <v>9</v>
      </c>
      <c r="F25" s="137">
        <f>'MEMÓRIA PINTURA'!J195</f>
        <v>54.180000000000007</v>
      </c>
      <c r="G25" s="137">
        <v>13</v>
      </c>
      <c r="H25" s="137">
        <f t="shared" si="2"/>
        <v>15.71</v>
      </c>
      <c r="I25" s="138">
        <f t="shared" si="3"/>
        <v>851.16</v>
      </c>
      <c r="J25" s="167"/>
      <c r="K25" s="111"/>
      <c r="L25" s="111"/>
      <c r="M25" s="111"/>
      <c r="N25" s="111"/>
      <c r="O25" s="111"/>
      <c r="P25" s="111"/>
      <c r="Q25" s="111"/>
      <c r="R25" s="111"/>
    </row>
    <row r="26" spans="1:18" s="241" customFormat="1" ht="26.4" x14ac:dyDescent="0.25">
      <c r="A26" s="236" t="s">
        <v>16</v>
      </c>
      <c r="B26" s="236"/>
      <c r="C26" s="237"/>
      <c r="D26" s="382" t="s">
        <v>974</v>
      </c>
      <c r="E26" s="236"/>
      <c r="F26" s="316"/>
      <c r="G26" s="316"/>
      <c r="H26" s="238"/>
      <c r="I26" s="239">
        <f>SUM(I27)</f>
        <v>9585.5199999999986</v>
      </c>
      <c r="J26" s="284" t="e">
        <f>I26/$I$392</f>
        <v>#DIV/0!</v>
      </c>
      <c r="K26" s="240"/>
      <c r="L26" s="240"/>
      <c r="M26" s="240"/>
      <c r="N26" s="240"/>
      <c r="O26" s="240"/>
      <c r="P26" s="240"/>
      <c r="Q26" s="240"/>
      <c r="R26" s="240"/>
    </row>
    <row r="27" spans="1:18" s="145" customFormat="1" x14ac:dyDescent="0.2">
      <c r="A27" s="140" t="s">
        <v>17</v>
      </c>
      <c r="B27" s="140"/>
      <c r="C27" s="141"/>
      <c r="D27" s="112" t="s">
        <v>987</v>
      </c>
      <c r="E27" s="140"/>
      <c r="F27" s="194"/>
      <c r="G27" s="194"/>
      <c r="H27" s="142"/>
      <c r="I27" s="143">
        <f>SUM(I28:I32)</f>
        <v>9585.5199999999986</v>
      </c>
      <c r="J27" s="285"/>
      <c r="K27" s="144"/>
      <c r="L27" s="144"/>
      <c r="M27" s="144"/>
      <c r="N27" s="144"/>
      <c r="O27" s="144"/>
      <c r="P27" s="144"/>
      <c r="Q27" s="144"/>
      <c r="R27" s="144"/>
    </row>
    <row r="28" spans="1:18" s="118" customFormat="1" ht="33.6" customHeight="1" x14ac:dyDescent="0.2">
      <c r="A28" s="148" t="s">
        <v>405</v>
      </c>
      <c r="B28" s="148" t="s">
        <v>89</v>
      </c>
      <c r="C28" s="14">
        <v>88485</v>
      </c>
      <c r="D28" s="387" t="s">
        <v>988</v>
      </c>
      <c r="E28" s="372" t="s">
        <v>9</v>
      </c>
      <c r="F28" s="376">
        <f>'MEMÓRIA PINTURA'!J213</f>
        <v>412.18999999999994</v>
      </c>
      <c r="G28" s="356">
        <v>2.3199999999999998</v>
      </c>
      <c r="H28" s="137">
        <f>ROUND(G28*(1+$M$4),2)</f>
        <v>2.8</v>
      </c>
      <c r="I28" s="138">
        <f>TRUNC(F28*H28,2)</f>
        <v>1154.1300000000001</v>
      </c>
      <c r="J28" s="167"/>
      <c r="K28" s="111"/>
      <c r="L28" s="111"/>
      <c r="M28" s="111"/>
      <c r="N28" s="111"/>
      <c r="O28" s="111"/>
      <c r="P28" s="111"/>
      <c r="Q28" s="111"/>
      <c r="R28" s="111"/>
    </row>
    <row r="29" spans="1:18" s="118" customFormat="1" ht="41.4" customHeight="1" x14ac:dyDescent="0.2">
      <c r="A29" s="148" t="s">
        <v>406</v>
      </c>
      <c r="B29" s="148" t="s">
        <v>89</v>
      </c>
      <c r="C29" s="377">
        <v>100724</v>
      </c>
      <c r="D29" s="381" t="s">
        <v>991</v>
      </c>
      <c r="E29" s="356" t="s">
        <v>9</v>
      </c>
      <c r="F29" s="373">
        <f>'MEMÓRIA PINTURA'!J216</f>
        <v>1.2</v>
      </c>
      <c r="G29" s="137">
        <v>10.44</v>
      </c>
      <c r="H29" s="137">
        <f>ROUND(G29*(1+$M$4),2)</f>
        <v>12.62</v>
      </c>
      <c r="I29" s="138">
        <f>TRUNC(F29*H29,2)</f>
        <v>15.14</v>
      </c>
      <c r="J29" s="167"/>
      <c r="K29" s="111"/>
      <c r="L29" s="111"/>
      <c r="M29" s="111"/>
      <c r="N29" s="111"/>
      <c r="O29" s="111"/>
      <c r="P29" s="111"/>
      <c r="Q29" s="111"/>
      <c r="R29" s="111"/>
    </row>
    <row r="30" spans="1:18" s="118" customFormat="1" ht="36.6" customHeight="1" x14ac:dyDescent="0.2">
      <c r="A30" s="148" t="s">
        <v>407</v>
      </c>
      <c r="B30" s="148" t="s">
        <v>89</v>
      </c>
      <c r="C30" s="377">
        <v>88489</v>
      </c>
      <c r="D30" s="381" t="s">
        <v>989</v>
      </c>
      <c r="E30" s="378" t="s">
        <v>9</v>
      </c>
      <c r="F30" s="137">
        <f>'MEMÓRIA PINTURA'!J230</f>
        <v>412.18999999999994</v>
      </c>
      <c r="G30" s="137">
        <v>13.67</v>
      </c>
      <c r="H30" s="137">
        <f t="shared" ref="H30:H32" si="4">ROUND(G30*(1+$M$4),2)</f>
        <v>16.52</v>
      </c>
      <c r="I30" s="138">
        <f t="shared" ref="I30:I32" si="5">TRUNC(F30*H30,2)</f>
        <v>6809.37</v>
      </c>
      <c r="J30" s="167"/>
      <c r="K30" s="111"/>
      <c r="L30" s="111"/>
      <c r="M30" s="111"/>
      <c r="N30" s="111"/>
      <c r="O30" s="111"/>
      <c r="P30" s="111"/>
      <c r="Q30" s="111"/>
      <c r="R30" s="111"/>
    </row>
    <row r="31" spans="1:18" s="118" customFormat="1" ht="36.6" customHeight="1" x14ac:dyDescent="0.2">
      <c r="A31" s="148" t="s">
        <v>408</v>
      </c>
      <c r="B31" s="148" t="s">
        <v>89</v>
      </c>
      <c r="C31" s="377">
        <v>88488</v>
      </c>
      <c r="D31" s="381" t="s">
        <v>990</v>
      </c>
      <c r="E31" s="148" t="s">
        <v>9</v>
      </c>
      <c r="F31" s="137">
        <f>'MEMÓRIA PINTURA'!J234</f>
        <v>48</v>
      </c>
      <c r="G31" s="137">
        <v>15.31</v>
      </c>
      <c r="H31" s="137">
        <f t="shared" si="4"/>
        <v>18.5</v>
      </c>
      <c r="I31" s="138">
        <f t="shared" si="5"/>
        <v>888</v>
      </c>
      <c r="J31" s="167"/>
      <c r="K31" s="111"/>
      <c r="L31" s="111"/>
      <c r="M31" s="111"/>
      <c r="N31" s="111"/>
      <c r="O31" s="111"/>
      <c r="P31" s="111"/>
      <c r="Q31" s="111"/>
      <c r="R31" s="111"/>
    </row>
    <row r="32" spans="1:18" s="118" customFormat="1" ht="20.399999999999999" x14ac:dyDescent="0.2">
      <c r="A32" s="148" t="s">
        <v>593</v>
      </c>
      <c r="B32" s="148" t="s">
        <v>89</v>
      </c>
      <c r="C32" s="377">
        <v>102217</v>
      </c>
      <c r="D32" s="381" t="s">
        <v>992</v>
      </c>
      <c r="E32" s="148" t="s">
        <v>9</v>
      </c>
      <c r="F32" s="137">
        <f>'MEMÓRIA PINTURA'!J241</f>
        <v>45.76</v>
      </c>
      <c r="G32" s="137">
        <v>13</v>
      </c>
      <c r="H32" s="137">
        <f t="shared" si="4"/>
        <v>15.71</v>
      </c>
      <c r="I32" s="138">
        <f t="shared" si="5"/>
        <v>718.88</v>
      </c>
      <c r="J32" s="167"/>
      <c r="K32" s="111"/>
      <c r="L32" s="111"/>
      <c r="M32" s="111"/>
      <c r="N32" s="111"/>
      <c r="O32" s="111"/>
      <c r="P32" s="111"/>
      <c r="Q32" s="111"/>
      <c r="R32" s="111"/>
    </row>
    <row r="33" spans="1:18" s="118" customFormat="1" x14ac:dyDescent="0.2">
      <c r="A33" s="148"/>
      <c r="B33" s="148"/>
      <c r="C33" s="14"/>
      <c r="D33" s="314"/>
      <c r="E33" s="148"/>
      <c r="F33" s="151"/>
      <c r="G33" s="137"/>
      <c r="H33" s="137"/>
      <c r="I33" s="138"/>
      <c r="J33" s="167"/>
      <c r="K33" s="111"/>
      <c r="L33" s="111"/>
      <c r="M33" s="111"/>
      <c r="N33" s="111"/>
      <c r="O33" s="111"/>
      <c r="P33" s="111"/>
      <c r="Q33" s="111"/>
      <c r="R33" s="111"/>
    </row>
    <row r="34" spans="1:18" s="241" customFormat="1" ht="26.4" x14ac:dyDescent="0.25">
      <c r="A34" s="236" t="s">
        <v>19</v>
      </c>
      <c r="B34" s="236"/>
      <c r="C34" s="237"/>
      <c r="D34" s="289" t="s">
        <v>1025</v>
      </c>
      <c r="E34" s="236"/>
      <c r="F34" s="316"/>
      <c r="G34" s="316"/>
      <c r="H34" s="238"/>
      <c r="I34" s="239"/>
      <c r="J34" s="284" t="e">
        <f>I34/$I$392</f>
        <v>#DIV/0!</v>
      </c>
      <c r="K34" s="240"/>
      <c r="L34" s="240"/>
      <c r="M34" s="240"/>
      <c r="N34" s="240"/>
      <c r="O34" s="240"/>
      <c r="P34" s="240"/>
      <c r="Q34" s="240"/>
      <c r="R34" s="240"/>
    </row>
    <row r="35" spans="1:18" s="145" customFormat="1" x14ac:dyDescent="0.2">
      <c r="A35" s="140" t="s">
        <v>20</v>
      </c>
      <c r="B35" s="140"/>
      <c r="C35" s="141"/>
      <c r="D35" s="112" t="s">
        <v>987</v>
      </c>
      <c r="E35" s="140"/>
      <c r="F35" s="194"/>
      <c r="G35" s="194"/>
      <c r="H35" s="142"/>
      <c r="I35" s="143"/>
      <c r="J35" s="285"/>
      <c r="K35" s="144"/>
      <c r="L35" s="144"/>
      <c r="M35" s="144"/>
      <c r="N35" s="144"/>
      <c r="O35" s="144"/>
      <c r="P35" s="144"/>
      <c r="Q35" s="144"/>
      <c r="R35" s="144"/>
    </row>
    <row r="36" spans="1:18" s="118" customFormat="1" ht="20.399999999999999" x14ac:dyDescent="0.2">
      <c r="A36" s="148" t="s">
        <v>601</v>
      </c>
      <c r="B36" s="148" t="s">
        <v>89</v>
      </c>
      <c r="C36" s="14">
        <v>88485</v>
      </c>
      <c r="D36" s="387" t="s">
        <v>988</v>
      </c>
      <c r="E36" s="372" t="s">
        <v>9</v>
      </c>
      <c r="F36" s="376">
        <f>'MEMÓRIA PINTURA'!J285</f>
        <v>383.42999999999995</v>
      </c>
      <c r="G36" s="356">
        <v>2.3199999999999998</v>
      </c>
      <c r="H36" s="137">
        <f>ROUND(G36*(1+$M$4),2)</f>
        <v>2.8</v>
      </c>
      <c r="I36" s="138">
        <f>TRUNC(F36*H36,2)</f>
        <v>1073.5999999999999</v>
      </c>
      <c r="J36" s="167"/>
      <c r="K36" s="111"/>
      <c r="L36" s="111"/>
      <c r="M36" s="111"/>
      <c r="N36" s="111"/>
      <c r="O36" s="111"/>
      <c r="P36" s="111"/>
      <c r="Q36" s="111"/>
      <c r="R36" s="111"/>
    </row>
    <row r="37" spans="1:18" s="118" customFormat="1" ht="40.799999999999997" x14ac:dyDescent="0.2">
      <c r="A37" s="148" t="s">
        <v>602</v>
      </c>
      <c r="B37" s="148" t="s">
        <v>89</v>
      </c>
      <c r="C37" s="377">
        <v>100724</v>
      </c>
      <c r="D37" s="381" t="s">
        <v>991</v>
      </c>
      <c r="E37" s="356" t="s">
        <v>9</v>
      </c>
      <c r="F37" s="373">
        <f>'MEMÓRIA PINTURA'!J294</f>
        <v>20.420000000000002</v>
      </c>
      <c r="G37" s="137">
        <v>10.44</v>
      </c>
      <c r="H37" s="137">
        <f>ROUND(G37*(1+$M$4),2)</f>
        <v>12.62</v>
      </c>
      <c r="I37" s="138">
        <f>TRUNC(F37*H37,2)</f>
        <v>257.7</v>
      </c>
      <c r="J37" s="167"/>
      <c r="K37" s="111"/>
      <c r="L37" s="111"/>
      <c r="M37" s="111"/>
      <c r="N37" s="111"/>
      <c r="O37" s="111"/>
      <c r="P37" s="111"/>
      <c r="Q37" s="111"/>
      <c r="R37" s="111"/>
    </row>
    <row r="38" spans="1:18" s="118" customFormat="1" ht="20.399999999999999" x14ac:dyDescent="0.2">
      <c r="A38" s="148" t="s">
        <v>603</v>
      </c>
      <c r="B38" s="148" t="s">
        <v>89</v>
      </c>
      <c r="C38" s="377">
        <v>88489</v>
      </c>
      <c r="D38" s="381" t="s">
        <v>989</v>
      </c>
      <c r="E38" s="378" t="s">
        <v>9</v>
      </c>
      <c r="F38" s="137">
        <f>'MEMÓRIA PINTURA'!J338</f>
        <v>383.42999999999995</v>
      </c>
      <c r="G38" s="137">
        <v>13.67</v>
      </c>
      <c r="H38" s="137">
        <f t="shared" ref="H38:H40" si="6">ROUND(G38*(1+$M$4),2)</f>
        <v>16.52</v>
      </c>
      <c r="I38" s="138">
        <f t="shared" ref="I38:I40" si="7">TRUNC(F38*H38,2)</f>
        <v>6334.26</v>
      </c>
      <c r="J38" s="167"/>
      <c r="K38" s="111"/>
      <c r="L38" s="111"/>
      <c r="M38" s="111"/>
      <c r="N38" s="111"/>
      <c r="O38" s="111"/>
      <c r="P38" s="111"/>
      <c r="Q38" s="111"/>
      <c r="R38" s="111"/>
    </row>
    <row r="39" spans="1:18" s="118" customFormat="1" ht="20.399999999999999" x14ac:dyDescent="0.2">
      <c r="A39" s="148" t="s">
        <v>752</v>
      </c>
      <c r="B39" s="148" t="s">
        <v>89</v>
      </c>
      <c r="C39" s="377">
        <v>88488</v>
      </c>
      <c r="D39" s="381" t="s">
        <v>990</v>
      </c>
      <c r="E39" s="148" t="s">
        <v>9</v>
      </c>
      <c r="F39" s="137">
        <f>'MEMÓRIA PINTURA'!J360</f>
        <v>118.79000000000002</v>
      </c>
      <c r="G39" s="137">
        <v>15.31</v>
      </c>
      <c r="H39" s="137">
        <f t="shared" si="6"/>
        <v>18.5</v>
      </c>
      <c r="I39" s="138">
        <f t="shared" si="7"/>
        <v>2197.61</v>
      </c>
      <c r="J39" s="167"/>
      <c r="K39" s="111"/>
      <c r="L39" s="111"/>
      <c r="M39" s="111"/>
      <c r="N39" s="111"/>
      <c r="O39" s="111"/>
      <c r="P39" s="111"/>
      <c r="Q39" s="111"/>
      <c r="R39" s="111"/>
    </row>
    <row r="40" spans="1:18" s="118" customFormat="1" ht="20.399999999999999" x14ac:dyDescent="0.2">
      <c r="A40" s="148" t="s">
        <v>753</v>
      </c>
      <c r="B40" s="148" t="s">
        <v>89</v>
      </c>
      <c r="C40" s="377">
        <v>102217</v>
      </c>
      <c r="D40" s="381" t="s">
        <v>992</v>
      </c>
      <c r="E40" s="148" t="s">
        <v>9</v>
      </c>
      <c r="F40" s="137">
        <f>'MEMÓRIA PINTURA'!J365</f>
        <v>50.4</v>
      </c>
      <c r="G40" s="137">
        <v>13</v>
      </c>
      <c r="H40" s="137">
        <f t="shared" si="6"/>
        <v>15.71</v>
      </c>
      <c r="I40" s="138">
        <f t="shared" si="7"/>
        <v>791.78</v>
      </c>
      <c r="J40" s="167"/>
      <c r="K40" s="111"/>
      <c r="L40" s="111"/>
      <c r="M40" s="111"/>
      <c r="N40" s="111"/>
      <c r="O40" s="111"/>
      <c r="P40" s="111"/>
      <c r="Q40" s="111"/>
      <c r="R40" s="111"/>
    </row>
    <row r="41" spans="1:18" s="241" customFormat="1" ht="13.2" x14ac:dyDescent="0.25">
      <c r="A41" s="236" t="s">
        <v>44</v>
      </c>
      <c r="B41" s="236"/>
      <c r="C41" s="237"/>
      <c r="D41" s="289" t="s">
        <v>1051</v>
      </c>
      <c r="E41" s="236"/>
      <c r="F41" s="316"/>
      <c r="G41" s="316"/>
      <c r="H41" s="238"/>
      <c r="I41" s="239">
        <f>SUM(I42)</f>
        <v>10172.51</v>
      </c>
      <c r="J41" s="284" t="e">
        <f>I41/$I$392</f>
        <v>#DIV/0!</v>
      </c>
      <c r="K41" s="240"/>
      <c r="L41" s="240"/>
      <c r="M41" s="240"/>
      <c r="N41" s="240"/>
      <c r="O41" s="240"/>
      <c r="P41" s="240"/>
      <c r="Q41" s="240"/>
      <c r="R41" s="240"/>
    </row>
    <row r="42" spans="1:18" s="145" customFormat="1" x14ac:dyDescent="0.2">
      <c r="A42" s="140" t="s">
        <v>45</v>
      </c>
      <c r="B42" s="140"/>
      <c r="C42" s="141"/>
      <c r="D42" s="112" t="s">
        <v>987</v>
      </c>
      <c r="E42" s="140"/>
      <c r="F42" s="194"/>
      <c r="G42" s="194"/>
      <c r="H42" s="142"/>
      <c r="I42" s="143">
        <f>SUM(I43:I47)</f>
        <v>10172.51</v>
      </c>
      <c r="J42" s="285"/>
      <c r="K42" s="144"/>
      <c r="L42" s="144"/>
      <c r="M42" s="144"/>
      <c r="N42" s="144"/>
      <c r="O42" s="144"/>
      <c r="P42" s="144"/>
      <c r="Q42" s="144"/>
      <c r="R42" s="144"/>
    </row>
    <row r="43" spans="1:18" s="118" customFormat="1" ht="20.399999999999999" x14ac:dyDescent="0.2">
      <c r="A43" s="148" t="s">
        <v>608</v>
      </c>
      <c r="B43" s="148" t="s">
        <v>89</v>
      </c>
      <c r="C43" s="14">
        <v>88485</v>
      </c>
      <c r="D43" s="387" t="s">
        <v>988</v>
      </c>
      <c r="E43" s="372" t="s">
        <v>9</v>
      </c>
      <c r="F43" s="376">
        <f>'MEMÓRIA PINTURA'!J409</f>
        <v>306.50999999999982</v>
      </c>
      <c r="G43" s="356">
        <v>2.3199999999999998</v>
      </c>
      <c r="H43" s="137">
        <f>ROUND(G43*(1+$M$4),2)</f>
        <v>2.8</v>
      </c>
      <c r="I43" s="138">
        <f>TRUNC(F43*H43,2)</f>
        <v>858.22</v>
      </c>
      <c r="J43" s="167"/>
      <c r="K43" s="111"/>
      <c r="L43" s="111"/>
      <c r="M43" s="111"/>
      <c r="N43" s="111"/>
      <c r="O43" s="111"/>
      <c r="P43" s="111"/>
      <c r="Q43" s="111"/>
      <c r="R43" s="111"/>
    </row>
    <row r="44" spans="1:18" s="118" customFormat="1" ht="40.799999999999997" x14ac:dyDescent="0.2">
      <c r="A44" s="148" t="s">
        <v>609</v>
      </c>
      <c r="B44" s="148" t="s">
        <v>89</v>
      </c>
      <c r="C44" s="377">
        <v>100724</v>
      </c>
      <c r="D44" s="381" t="s">
        <v>991</v>
      </c>
      <c r="E44" s="356" t="s">
        <v>9</v>
      </c>
      <c r="F44" s="373">
        <f>'MEMÓRIA PINTURA'!J415</f>
        <v>18.37</v>
      </c>
      <c r="G44" s="137">
        <v>10.44</v>
      </c>
      <c r="H44" s="137">
        <f>ROUND(G44*(1+$M$4),2)</f>
        <v>12.62</v>
      </c>
      <c r="I44" s="138">
        <f>TRUNC(F44*H44,2)</f>
        <v>231.82</v>
      </c>
      <c r="J44" s="167"/>
      <c r="K44" s="111"/>
      <c r="L44" s="111"/>
      <c r="M44" s="111"/>
      <c r="N44" s="111"/>
      <c r="O44" s="111"/>
      <c r="P44" s="111"/>
      <c r="Q44" s="111"/>
      <c r="R44" s="111"/>
    </row>
    <row r="45" spans="1:18" s="118" customFormat="1" ht="20.399999999999999" x14ac:dyDescent="0.2">
      <c r="A45" s="148" t="s">
        <v>758</v>
      </c>
      <c r="B45" s="148" t="s">
        <v>89</v>
      </c>
      <c r="C45" s="377">
        <v>88489</v>
      </c>
      <c r="D45" s="381" t="s">
        <v>989</v>
      </c>
      <c r="E45" s="378" t="s">
        <v>9</v>
      </c>
      <c r="F45" s="137">
        <f>'MEMÓRIA PINTURA'!J458</f>
        <v>360.50999999999982</v>
      </c>
      <c r="G45" s="137">
        <v>13.67</v>
      </c>
      <c r="H45" s="137">
        <f t="shared" ref="H45:H47" si="8">ROUND(G45*(1+$M$4),2)</f>
        <v>16.52</v>
      </c>
      <c r="I45" s="138">
        <f t="shared" ref="I45:I47" si="9">TRUNC(F45*H45,2)</f>
        <v>5955.62</v>
      </c>
      <c r="J45" s="167"/>
      <c r="K45" s="111"/>
      <c r="L45" s="111"/>
      <c r="M45" s="111"/>
      <c r="N45" s="111"/>
      <c r="O45" s="111"/>
      <c r="P45" s="111"/>
      <c r="Q45" s="111"/>
      <c r="R45" s="111"/>
    </row>
    <row r="46" spans="1:18" s="118" customFormat="1" ht="20.399999999999999" x14ac:dyDescent="0.2">
      <c r="A46" s="148" t="s">
        <v>610</v>
      </c>
      <c r="B46" s="148" t="s">
        <v>89</v>
      </c>
      <c r="C46" s="377">
        <v>88488</v>
      </c>
      <c r="D46" s="381" t="s">
        <v>990</v>
      </c>
      <c r="E46" s="148" t="s">
        <v>9</v>
      </c>
      <c r="F46" s="137">
        <f>'MEMÓRIA PINTURA'!J475</f>
        <v>139.06</v>
      </c>
      <c r="G46" s="137">
        <v>15.31</v>
      </c>
      <c r="H46" s="137">
        <f t="shared" si="8"/>
        <v>18.5</v>
      </c>
      <c r="I46" s="138">
        <f t="shared" si="9"/>
        <v>2572.61</v>
      </c>
      <c r="J46" s="167"/>
      <c r="K46" s="111"/>
      <c r="L46" s="111"/>
      <c r="M46" s="111"/>
      <c r="N46" s="111"/>
      <c r="O46" s="111"/>
      <c r="P46" s="111"/>
      <c r="Q46" s="111"/>
      <c r="R46" s="111"/>
    </row>
    <row r="47" spans="1:18" s="118" customFormat="1" ht="20.399999999999999" x14ac:dyDescent="0.2">
      <c r="A47" s="148" t="s">
        <v>611</v>
      </c>
      <c r="B47" s="148" t="s">
        <v>89</v>
      </c>
      <c r="C47" s="377">
        <v>102217</v>
      </c>
      <c r="D47" s="381" t="s">
        <v>992</v>
      </c>
      <c r="E47" s="148" t="s">
        <v>9</v>
      </c>
      <c r="F47" s="137">
        <f>'MEMÓRIA PINTURA'!J479</f>
        <v>35.28</v>
      </c>
      <c r="G47" s="137">
        <v>13</v>
      </c>
      <c r="H47" s="137">
        <f t="shared" si="8"/>
        <v>15.71</v>
      </c>
      <c r="I47" s="138">
        <f t="shared" si="9"/>
        <v>554.24</v>
      </c>
      <c r="J47" s="167"/>
      <c r="K47" s="111"/>
      <c r="L47" s="111"/>
      <c r="M47" s="111"/>
      <c r="N47" s="111"/>
      <c r="O47" s="111"/>
      <c r="P47" s="111"/>
      <c r="Q47" s="111"/>
      <c r="R47" s="111"/>
    </row>
    <row r="48" spans="1:18" s="241" customFormat="1" ht="13.2" x14ac:dyDescent="0.25">
      <c r="A48" s="236" t="s">
        <v>24</v>
      </c>
      <c r="B48" s="236"/>
      <c r="C48" s="237"/>
      <c r="D48" s="289" t="s">
        <v>1068</v>
      </c>
      <c r="E48" s="236"/>
      <c r="F48" s="316"/>
      <c r="G48" s="316"/>
      <c r="H48" s="238"/>
      <c r="I48" s="239">
        <f>SUM(I49)</f>
        <v>11065.439999999999</v>
      </c>
      <c r="J48" s="284" t="e">
        <f>I48/$I$392</f>
        <v>#DIV/0!</v>
      </c>
      <c r="K48" s="240"/>
      <c r="L48" s="240"/>
      <c r="M48" s="240"/>
      <c r="N48" s="240"/>
      <c r="O48" s="240"/>
      <c r="P48" s="240"/>
      <c r="Q48" s="240"/>
      <c r="R48" s="240"/>
    </row>
    <row r="49" spans="1:18" s="145" customFormat="1" x14ac:dyDescent="0.2">
      <c r="A49" s="140" t="s">
        <v>25</v>
      </c>
      <c r="B49" s="140"/>
      <c r="C49" s="141"/>
      <c r="D49" s="112" t="s">
        <v>987</v>
      </c>
      <c r="E49" s="140"/>
      <c r="F49" s="194"/>
      <c r="G49" s="194"/>
      <c r="H49" s="142"/>
      <c r="I49" s="143">
        <f>SUM(I50:I54)</f>
        <v>11065.439999999999</v>
      </c>
      <c r="J49" s="285"/>
      <c r="K49" s="144"/>
      <c r="L49" s="144"/>
      <c r="M49" s="144"/>
      <c r="N49" s="144"/>
      <c r="O49" s="144"/>
      <c r="P49" s="144"/>
      <c r="Q49" s="144"/>
      <c r="R49" s="144"/>
    </row>
    <row r="50" spans="1:18" s="118" customFormat="1" ht="20.399999999999999" x14ac:dyDescent="0.2">
      <c r="A50" s="148" t="s">
        <v>762</v>
      </c>
      <c r="B50" s="148" t="s">
        <v>89</v>
      </c>
      <c r="C50" s="14">
        <v>88485</v>
      </c>
      <c r="D50" s="387" t="s">
        <v>988</v>
      </c>
      <c r="E50" s="372" t="s">
        <v>9</v>
      </c>
      <c r="F50" s="376">
        <f>'MEMÓRIA PINTURA'!J510</f>
        <v>438.87</v>
      </c>
      <c r="G50" s="356">
        <v>2.3199999999999998</v>
      </c>
      <c r="H50" s="137">
        <f>ROUND(G50*(1+$M$4),2)</f>
        <v>2.8</v>
      </c>
      <c r="I50" s="138">
        <f>TRUNC(F50*H50,2)</f>
        <v>1228.83</v>
      </c>
      <c r="J50" s="167"/>
      <c r="K50" s="111"/>
      <c r="L50" s="111"/>
      <c r="M50" s="111"/>
      <c r="N50" s="111"/>
      <c r="O50" s="111"/>
      <c r="P50" s="111"/>
      <c r="Q50" s="111"/>
      <c r="R50" s="111"/>
    </row>
    <row r="51" spans="1:18" s="118" customFormat="1" ht="40.799999999999997" x14ac:dyDescent="0.2">
      <c r="A51" s="148" t="s">
        <v>768</v>
      </c>
      <c r="B51" s="148" t="s">
        <v>89</v>
      </c>
      <c r="C51" s="377">
        <v>100724</v>
      </c>
      <c r="D51" s="381" t="s">
        <v>991</v>
      </c>
      <c r="E51" s="356" t="s">
        <v>9</v>
      </c>
      <c r="F51" s="373">
        <f>'MEMÓRIA PINTURA'!J523</f>
        <v>39.410000000000004</v>
      </c>
      <c r="G51" s="137">
        <v>10.44</v>
      </c>
      <c r="H51" s="137">
        <f>ROUND(G51*(1+$M$4),2)</f>
        <v>12.62</v>
      </c>
      <c r="I51" s="138">
        <f>TRUNC(F51*H51,2)</f>
        <v>497.35</v>
      </c>
      <c r="J51" s="167"/>
      <c r="K51" s="111"/>
      <c r="L51" s="111"/>
      <c r="M51" s="111"/>
      <c r="N51" s="111"/>
      <c r="O51" s="111"/>
      <c r="P51" s="111"/>
      <c r="Q51" s="111"/>
      <c r="R51" s="111"/>
    </row>
    <row r="52" spans="1:18" s="118" customFormat="1" ht="20.399999999999999" x14ac:dyDescent="0.2">
      <c r="A52" s="148" t="s">
        <v>769</v>
      </c>
      <c r="B52" s="148" t="s">
        <v>89</v>
      </c>
      <c r="C52" s="377">
        <v>88489</v>
      </c>
      <c r="D52" s="381" t="s">
        <v>989</v>
      </c>
      <c r="E52" s="378" t="s">
        <v>9</v>
      </c>
      <c r="F52" s="137">
        <f>'MEMÓRIA PINTURA'!J552</f>
        <v>438.87</v>
      </c>
      <c r="G52" s="137">
        <v>13.67</v>
      </c>
      <c r="H52" s="137">
        <f t="shared" ref="H52:H54" si="10">ROUND(G52*(1+$M$4),2)</f>
        <v>16.52</v>
      </c>
      <c r="I52" s="138">
        <f t="shared" ref="I52:I54" si="11">TRUNC(F52*H52,2)</f>
        <v>7250.13</v>
      </c>
      <c r="J52" s="167"/>
      <c r="K52" s="111"/>
      <c r="L52" s="111"/>
      <c r="M52" s="111"/>
      <c r="N52" s="111"/>
      <c r="O52" s="111"/>
      <c r="P52" s="111"/>
      <c r="Q52" s="111"/>
      <c r="R52" s="111"/>
    </row>
    <row r="53" spans="1:18" s="118" customFormat="1" ht="20.399999999999999" x14ac:dyDescent="0.2">
      <c r="A53" s="148" t="s">
        <v>770</v>
      </c>
      <c r="B53" s="148" t="s">
        <v>89</v>
      </c>
      <c r="C53" s="377">
        <v>88488</v>
      </c>
      <c r="D53" s="381" t="s">
        <v>990</v>
      </c>
      <c r="E53" s="148" t="s">
        <v>9</v>
      </c>
      <c r="F53" s="137">
        <f>'MEMÓRIA PINTURA'!J559</f>
        <v>100.80000000000001</v>
      </c>
      <c r="G53" s="137">
        <v>15.31</v>
      </c>
      <c r="H53" s="137">
        <f t="shared" si="10"/>
        <v>18.5</v>
      </c>
      <c r="I53" s="138">
        <f t="shared" si="11"/>
        <v>1864.8</v>
      </c>
      <c r="J53" s="167"/>
      <c r="K53" s="111"/>
      <c r="L53" s="111"/>
      <c r="M53" s="111"/>
      <c r="N53" s="111"/>
      <c r="O53" s="111"/>
      <c r="P53" s="111"/>
      <c r="Q53" s="111"/>
      <c r="R53" s="111"/>
    </row>
    <row r="54" spans="1:18" s="118" customFormat="1" ht="20.399999999999999" x14ac:dyDescent="0.2">
      <c r="A54" s="148" t="s">
        <v>771</v>
      </c>
      <c r="B54" s="148" t="s">
        <v>89</v>
      </c>
      <c r="C54" s="377">
        <v>102217</v>
      </c>
      <c r="D54" s="381" t="s">
        <v>992</v>
      </c>
      <c r="E54" s="148" t="s">
        <v>9</v>
      </c>
      <c r="F54" s="137">
        <f>'MEMÓRIA PINTURA'!J563</f>
        <v>14.28</v>
      </c>
      <c r="G54" s="137">
        <v>13</v>
      </c>
      <c r="H54" s="137">
        <f t="shared" si="10"/>
        <v>15.71</v>
      </c>
      <c r="I54" s="138">
        <f t="shared" si="11"/>
        <v>224.33</v>
      </c>
      <c r="J54" s="167"/>
      <c r="K54" s="111"/>
      <c r="L54" s="111"/>
      <c r="M54" s="111"/>
      <c r="N54" s="111"/>
      <c r="O54" s="111"/>
      <c r="P54" s="111"/>
      <c r="Q54" s="111"/>
      <c r="R54" s="111"/>
    </row>
    <row r="55" spans="1:18" s="241" customFormat="1" ht="13.2" x14ac:dyDescent="0.25">
      <c r="A55" s="236" t="s">
        <v>157</v>
      </c>
      <c r="B55" s="236"/>
      <c r="C55" s="237"/>
      <c r="D55" s="289" t="s">
        <v>1093</v>
      </c>
      <c r="E55" s="236"/>
      <c r="F55" s="316"/>
      <c r="G55" s="316"/>
      <c r="H55" s="238"/>
      <c r="I55" s="239">
        <f>SUM(I56)</f>
        <v>10580.79</v>
      </c>
      <c r="J55" s="284" t="e">
        <f>I55/$I$392</f>
        <v>#DIV/0!</v>
      </c>
      <c r="K55" s="240"/>
      <c r="L55" s="240"/>
      <c r="M55" s="240"/>
      <c r="N55" s="240"/>
      <c r="O55" s="240"/>
      <c r="P55" s="240"/>
      <c r="Q55" s="240"/>
      <c r="R55" s="240"/>
    </row>
    <row r="56" spans="1:18" s="145" customFormat="1" x14ac:dyDescent="0.2">
      <c r="A56" s="140" t="s">
        <v>26</v>
      </c>
      <c r="B56" s="140"/>
      <c r="C56" s="141"/>
      <c r="D56" s="112" t="s">
        <v>987</v>
      </c>
      <c r="E56" s="140"/>
      <c r="F56" s="194"/>
      <c r="G56" s="194"/>
      <c r="H56" s="142"/>
      <c r="I56" s="143">
        <f>SUM(I57:I61)</f>
        <v>10580.79</v>
      </c>
      <c r="J56" s="285"/>
      <c r="K56" s="144"/>
      <c r="L56" s="144"/>
      <c r="M56" s="144"/>
      <c r="N56" s="144"/>
      <c r="O56" s="144"/>
      <c r="P56" s="144"/>
      <c r="Q56" s="144"/>
      <c r="R56" s="144"/>
    </row>
    <row r="57" spans="1:18" s="118" customFormat="1" ht="20.399999999999999" x14ac:dyDescent="0.2">
      <c r="A57" s="148" t="s">
        <v>48</v>
      </c>
      <c r="B57" s="148" t="s">
        <v>89</v>
      </c>
      <c r="C57" s="14">
        <v>88485</v>
      </c>
      <c r="D57" s="387" t="s">
        <v>988</v>
      </c>
      <c r="E57" s="372" t="s">
        <v>9</v>
      </c>
      <c r="F57" s="376">
        <f>'MEMÓRIA PINTURA'!J604</f>
        <v>346.42999999999989</v>
      </c>
      <c r="G57" s="356">
        <v>2.3199999999999998</v>
      </c>
      <c r="H57" s="137">
        <f>ROUND(G57*(1+$M$4),2)</f>
        <v>2.8</v>
      </c>
      <c r="I57" s="138">
        <f>TRUNC(F57*H57,2)</f>
        <v>970</v>
      </c>
      <c r="J57" s="167"/>
      <c r="K57" s="111"/>
      <c r="L57" s="111"/>
      <c r="M57" s="111"/>
      <c r="N57" s="111"/>
      <c r="O57" s="111"/>
      <c r="P57" s="111"/>
      <c r="Q57" s="111"/>
      <c r="R57" s="111"/>
    </row>
    <row r="58" spans="1:18" s="118" customFormat="1" ht="40.799999999999997" x14ac:dyDescent="0.2">
      <c r="A58" s="148" t="s">
        <v>49</v>
      </c>
      <c r="B58" s="148" t="s">
        <v>89</v>
      </c>
      <c r="C58" s="377">
        <v>100724</v>
      </c>
      <c r="D58" s="381" t="s">
        <v>991</v>
      </c>
      <c r="E58" s="356" t="s">
        <v>9</v>
      </c>
      <c r="F58" s="373">
        <f>'MEMÓRIA PINTURA'!J614</f>
        <v>41.18</v>
      </c>
      <c r="G58" s="137">
        <v>10.44</v>
      </c>
      <c r="H58" s="137">
        <f>ROUND(G58*(1+$M$4),2)</f>
        <v>12.62</v>
      </c>
      <c r="I58" s="138">
        <f>TRUNC(F58*H58,2)</f>
        <v>519.69000000000005</v>
      </c>
      <c r="J58" s="167"/>
      <c r="K58" s="111"/>
      <c r="L58" s="111"/>
      <c r="M58" s="111"/>
      <c r="N58" s="111"/>
      <c r="O58" s="111"/>
      <c r="P58" s="111"/>
      <c r="Q58" s="111"/>
      <c r="R58" s="111"/>
    </row>
    <row r="59" spans="1:18" s="118" customFormat="1" ht="20.399999999999999" x14ac:dyDescent="0.2">
      <c r="A59" s="148" t="s">
        <v>50</v>
      </c>
      <c r="B59" s="148" t="s">
        <v>89</v>
      </c>
      <c r="C59" s="377">
        <v>88489</v>
      </c>
      <c r="D59" s="381" t="s">
        <v>989</v>
      </c>
      <c r="E59" s="378" t="s">
        <v>9</v>
      </c>
      <c r="F59" s="137">
        <f>'MEMÓRIA PINTURA'!J653</f>
        <v>346.42999999999989</v>
      </c>
      <c r="G59" s="137">
        <v>13.67</v>
      </c>
      <c r="H59" s="137">
        <f t="shared" ref="H59:H61" si="12">ROUND(G59*(1+$M$4),2)</f>
        <v>16.52</v>
      </c>
      <c r="I59" s="138">
        <f t="shared" ref="I59:I61" si="13">TRUNC(F59*H59,2)</f>
        <v>5723.02</v>
      </c>
      <c r="J59" s="167"/>
      <c r="K59" s="111"/>
      <c r="L59" s="111"/>
      <c r="M59" s="111"/>
      <c r="N59" s="111"/>
      <c r="O59" s="111"/>
      <c r="P59" s="111"/>
      <c r="Q59" s="111"/>
      <c r="R59" s="111"/>
    </row>
    <row r="60" spans="1:18" s="118" customFormat="1" ht="20.399999999999999" x14ac:dyDescent="0.2">
      <c r="A60" s="148" t="s">
        <v>51</v>
      </c>
      <c r="B60" s="148" t="s">
        <v>89</v>
      </c>
      <c r="C60" s="377">
        <v>88488</v>
      </c>
      <c r="D60" s="381" t="s">
        <v>990</v>
      </c>
      <c r="E60" s="148" t="s">
        <v>9</v>
      </c>
      <c r="F60" s="137">
        <f>'MEMÓRIA PINTURA'!J669</f>
        <v>145.16999999999999</v>
      </c>
      <c r="G60" s="137">
        <v>15.31</v>
      </c>
      <c r="H60" s="137">
        <f t="shared" si="12"/>
        <v>18.5</v>
      </c>
      <c r="I60" s="138">
        <f t="shared" si="13"/>
        <v>2685.64</v>
      </c>
      <c r="J60" s="167"/>
      <c r="K60" s="111"/>
      <c r="L60" s="111"/>
      <c r="M60" s="111"/>
      <c r="N60" s="111"/>
      <c r="O60" s="111"/>
      <c r="P60" s="111"/>
      <c r="Q60" s="111"/>
      <c r="R60" s="111"/>
    </row>
    <row r="61" spans="1:18" s="118" customFormat="1" ht="20.399999999999999" x14ac:dyDescent="0.2">
      <c r="A61" s="148" t="s">
        <v>52</v>
      </c>
      <c r="B61" s="148" t="s">
        <v>89</v>
      </c>
      <c r="C61" s="377">
        <v>102217</v>
      </c>
      <c r="D61" s="381" t="s">
        <v>992</v>
      </c>
      <c r="E61" s="148" t="s">
        <v>9</v>
      </c>
      <c r="F61" s="137">
        <f>'MEMÓRIA PINTURA'!J677</f>
        <v>43.44</v>
      </c>
      <c r="G61" s="137">
        <v>13</v>
      </c>
      <c r="H61" s="137">
        <f t="shared" si="12"/>
        <v>15.71</v>
      </c>
      <c r="I61" s="138">
        <f t="shared" si="13"/>
        <v>682.44</v>
      </c>
      <c r="J61" s="167"/>
      <c r="K61" s="111"/>
      <c r="L61" s="111"/>
      <c r="M61" s="111"/>
      <c r="N61" s="111"/>
      <c r="O61" s="111"/>
      <c r="P61" s="111"/>
      <c r="Q61" s="111"/>
      <c r="R61" s="111"/>
    </row>
    <row r="62" spans="1:18" s="118" customFormat="1" x14ac:dyDescent="0.2">
      <c r="A62" s="148"/>
      <c r="B62" s="148"/>
      <c r="C62" s="14"/>
      <c r="D62" s="314"/>
      <c r="E62" s="148"/>
      <c r="F62" s="151"/>
      <c r="G62" s="137"/>
      <c r="H62" s="137"/>
      <c r="I62" s="138"/>
      <c r="J62" s="167"/>
      <c r="K62" s="111"/>
      <c r="L62" s="111"/>
      <c r="M62" s="111"/>
      <c r="N62" s="111"/>
      <c r="O62" s="111"/>
      <c r="P62" s="111"/>
      <c r="Q62" s="111"/>
      <c r="R62" s="111"/>
    </row>
    <row r="63" spans="1:18" s="118" customFormat="1" x14ac:dyDescent="0.2">
      <c r="A63" s="148"/>
      <c r="B63" s="148"/>
      <c r="C63" s="14"/>
      <c r="D63" s="314"/>
      <c r="E63" s="148"/>
      <c r="F63" s="151"/>
      <c r="G63" s="137"/>
      <c r="H63" s="137"/>
      <c r="I63" s="138"/>
      <c r="J63" s="167"/>
      <c r="K63" s="111"/>
      <c r="L63" s="111"/>
      <c r="M63" s="111"/>
      <c r="N63" s="111"/>
      <c r="O63" s="111"/>
      <c r="P63" s="111"/>
      <c r="Q63" s="111"/>
      <c r="R63" s="111"/>
    </row>
    <row r="64" spans="1:18" s="118" customFormat="1" x14ac:dyDescent="0.2">
      <c r="A64" s="148"/>
      <c r="B64" s="148"/>
      <c r="C64" s="14"/>
      <c r="D64" s="314"/>
      <c r="E64" s="148"/>
      <c r="F64" s="151"/>
      <c r="G64" s="137"/>
      <c r="H64" s="137"/>
      <c r="I64" s="138"/>
      <c r="J64" s="167"/>
      <c r="K64" s="111"/>
      <c r="L64" s="111"/>
      <c r="M64" s="111"/>
      <c r="N64" s="111"/>
      <c r="O64" s="111"/>
      <c r="P64" s="111"/>
      <c r="Q64" s="111"/>
      <c r="R64" s="111"/>
    </row>
    <row r="65" spans="1:18" s="145" customFormat="1" x14ac:dyDescent="0.2">
      <c r="A65" s="140"/>
      <c r="B65" s="140"/>
      <c r="C65" s="141"/>
      <c r="D65" s="112"/>
      <c r="E65" s="140"/>
      <c r="F65" s="194"/>
      <c r="G65" s="194"/>
      <c r="H65" s="142"/>
      <c r="I65" s="143"/>
      <c r="J65" s="285"/>
      <c r="K65" s="144"/>
      <c r="L65" s="144"/>
      <c r="M65" s="144"/>
      <c r="N65" s="144"/>
      <c r="O65" s="144"/>
      <c r="P65" s="144"/>
      <c r="Q65" s="144"/>
      <c r="R65" s="144"/>
    </row>
    <row r="66" spans="1:18" s="118" customFormat="1" x14ac:dyDescent="0.2">
      <c r="A66" s="148"/>
      <c r="B66" s="148"/>
      <c r="C66" s="14"/>
      <c r="D66" s="314"/>
      <c r="E66" s="148"/>
      <c r="F66" s="151"/>
      <c r="G66" s="137"/>
      <c r="H66" s="137"/>
      <c r="I66" s="138"/>
      <c r="J66" s="167"/>
      <c r="K66" s="111"/>
      <c r="L66" s="111"/>
      <c r="M66" s="111"/>
      <c r="N66" s="111"/>
      <c r="O66" s="111"/>
      <c r="P66" s="111"/>
      <c r="Q66" s="111"/>
      <c r="R66" s="111"/>
    </row>
    <row r="67" spans="1:18" s="118" customFormat="1" x14ac:dyDescent="0.2">
      <c r="A67" s="148"/>
      <c r="B67" s="148"/>
      <c r="C67" s="14"/>
      <c r="D67" s="314"/>
      <c r="E67" s="148"/>
      <c r="F67" s="151"/>
      <c r="G67" s="137"/>
      <c r="H67" s="137"/>
      <c r="I67" s="138"/>
      <c r="J67" s="167"/>
      <c r="K67" s="111"/>
      <c r="L67" s="111"/>
      <c r="M67" s="111"/>
      <c r="N67" s="111"/>
      <c r="O67" s="111"/>
      <c r="P67" s="111"/>
      <c r="Q67" s="111"/>
      <c r="R67" s="111"/>
    </row>
    <row r="68" spans="1:18" s="145" customFormat="1" x14ac:dyDescent="0.2">
      <c r="A68" s="140"/>
      <c r="B68" s="140"/>
      <c r="C68" s="141"/>
      <c r="D68" s="112"/>
      <c r="E68" s="140"/>
      <c r="F68" s="194"/>
      <c r="G68" s="194"/>
      <c r="H68" s="142"/>
      <c r="I68" s="143"/>
      <c r="J68" s="285"/>
      <c r="K68" s="144"/>
      <c r="L68" s="144"/>
      <c r="M68" s="144"/>
      <c r="N68" s="144"/>
      <c r="O68" s="144"/>
      <c r="P68" s="144"/>
      <c r="Q68" s="144"/>
      <c r="R68" s="144"/>
    </row>
    <row r="69" spans="1:18" s="118" customFormat="1" x14ac:dyDescent="0.2">
      <c r="A69" s="148"/>
      <c r="B69" s="148"/>
      <c r="C69" s="14"/>
      <c r="D69" s="314"/>
      <c r="E69" s="148"/>
      <c r="F69" s="151"/>
      <c r="G69" s="137"/>
      <c r="H69" s="137"/>
      <c r="I69" s="138"/>
      <c r="J69" s="167"/>
      <c r="K69" s="111"/>
      <c r="L69" s="111"/>
      <c r="M69" s="111"/>
      <c r="N69" s="111"/>
      <c r="O69" s="111"/>
      <c r="P69" s="111"/>
      <c r="Q69" s="111"/>
      <c r="R69" s="111"/>
    </row>
    <row r="70" spans="1:18" s="145" customFormat="1" x14ac:dyDescent="0.2">
      <c r="A70" s="140"/>
      <c r="B70" s="140"/>
      <c r="C70" s="141"/>
      <c r="D70" s="112"/>
      <c r="E70" s="140"/>
      <c r="F70" s="194"/>
      <c r="G70" s="194"/>
      <c r="H70" s="142"/>
      <c r="I70" s="143"/>
      <c r="J70" s="285"/>
      <c r="K70" s="144"/>
      <c r="L70" s="144"/>
      <c r="M70" s="144"/>
      <c r="N70" s="144"/>
      <c r="O70" s="144"/>
      <c r="P70" s="144"/>
      <c r="Q70" s="144"/>
      <c r="R70" s="144"/>
    </row>
    <row r="71" spans="1:18" s="118" customFormat="1" x14ac:dyDescent="0.2">
      <c r="A71" s="148"/>
      <c r="B71" s="148"/>
      <c r="C71" s="14"/>
      <c r="D71" s="314"/>
      <c r="E71" s="148"/>
      <c r="F71" s="151"/>
      <c r="G71" s="137"/>
      <c r="H71" s="137"/>
      <c r="I71" s="138"/>
      <c r="J71" s="167"/>
      <c r="K71" s="111"/>
      <c r="L71" s="111"/>
      <c r="M71" s="111"/>
      <c r="N71" s="111"/>
      <c r="O71" s="111"/>
      <c r="P71" s="111"/>
      <c r="Q71" s="111"/>
      <c r="R71" s="111"/>
    </row>
    <row r="72" spans="1:18" s="145" customFormat="1" x14ac:dyDescent="0.2">
      <c r="A72" s="140"/>
      <c r="B72" s="140"/>
      <c r="C72" s="141"/>
      <c r="D72" s="112"/>
      <c r="E72" s="140"/>
      <c r="F72" s="194"/>
      <c r="G72" s="194"/>
      <c r="H72" s="142"/>
      <c r="I72" s="143"/>
      <c r="J72" s="285"/>
      <c r="K72" s="144"/>
      <c r="L72" s="144"/>
      <c r="M72" s="144"/>
      <c r="N72" s="144"/>
      <c r="O72" s="144"/>
      <c r="P72" s="144"/>
      <c r="Q72" s="144"/>
      <c r="R72" s="144"/>
    </row>
    <row r="73" spans="1:18" s="118" customFormat="1" x14ac:dyDescent="0.2">
      <c r="A73" s="148"/>
      <c r="B73" s="148"/>
      <c r="C73" s="14"/>
      <c r="D73" s="314"/>
      <c r="E73" s="148"/>
      <c r="F73" s="151"/>
      <c r="G73" s="137"/>
      <c r="H73" s="137"/>
      <c r="I73" s="138"/>
      <c r="J73" s="167"/>
      <c r="K73" s="111"/>
      <c r="L73" s="111"/>
      <c r="M73" s="111"/>
      <c r="N73" s="111"/>
      <c r="O73" s="111"/>
      <c r="P73" s="111"/>
      <c r="Q73" s="111"/>
      <c r="R73" s="111"/>
    </row>
    <row r="74" spans="1:18" s="118" customFormat="1" x14ac:dyDescent="0.2">
      <c r="A74" s="148"/>
      <c r="B74" s="148"/>
      <c r="C74" s="14"/>
      <c r="D74" s="314"/>
      <c r="E74" s="148"/>
      <c r="F74" s="151"/>
      <c r="G74" s="137"/>
      <c r="H74" s="137"/>
      <c r="I74" s="138"/>
      <c r="J74" s="167"/>
      <c r="K74" s="111"/>
      <c r="L74" s="111"/>
      <c r="M74" s="111"/>
      <c r="N74" s="111"/>
      <c r="O74" s="111"/>
      <c r="P74" s="111"/>
      <c r="Q74" s="111"/>
      <c r="R74" s="111"/>
    </row>
    <row r="75" spans="1:18" s="118" customFormat="1" x14ac:dyDescent="0.2">
      <c r="A75" s="148"/>
      <c r="B75" s="148"/>
      <c r="C75" s="14"/>
      <c r="D75" s="314"/>
      <c r="E75" s="148"/>
      <c r="F75" s="151"/>
      <c r="G75" s="151"/>
      <c r="H75" s="137"/>
      <c r="I75" s="138"/>
      <c r="J75" s="167"/>
      <c r="K75" s="111"/>
      <c r="L75" s="111"/>
      <c r="M75" s="111"/>
      <c r="N75" s="111"/>
      <c r="O75" s="111"/>
      <c r="P75" s="111"/>
      <c r="Q75" s="111"/>
      <c r="R75" s="111"/>
    </row>
    <row r="76" spans="1:18" s="241" customFormat="1" ht="13.2" x14ac:dyDescent="0.25">
      <c r="A76" s="236"/>
      <c r="B76" s="236"/>
      <c r="C76" s="237"/>
      <c r="D76" s="289"/>
      <c r="E76" s="236"/>
      <c r="F76" s="316"/>
      <c r="G76" s="316"/>
      <c r="H76" s="238"/>
      <c r="I76" s="239"/>
      <c r="J76" s="284" t="e">
        <f>I76/$I$392</f>
        <v>#DIV/0!</v>
      </c>
      <c r="K76" s="240"/>
      <c r="L76" s="240"/>
      <c r="M76" s="240"/>
      <c r="N76" s="240"/>
      <c r="O76" s="240"/>
      <c r="P76" s="240"/>
      <c r="Q76" s="240"/>
      <c r="R76" s="240"/>
    </row>
    <row r="77" spans="1:18" s="145" customFormat="1" x14ac:dyDescent="0.2">
      <c r="A77" s="140"/>
      <c r="B77" s="140"/>
      <c r="C77" s="141"/>
      <c r="D77" s="112"/>
      <c r="E77" s="140"/>
      <c r="F77" s="194"/>
      <c r="G77" s="194"/>
      <c r="H77" s="142"/>
      <c r="I77" s="143"/>
      <c r="J77" s="285"/>
      <c r="K77" s="144"/>
      <c r="L77" s="144"/>
      <c r="M77" s="144"/>
      <c r="N77" s="144"/>
      <c r="O77" s="144"/>
      <c r="P77" s="144"/>
      <c r="Q77" s="144"/>
      <c r="R77" s="144"/>
    </row>
    <row r="78" spans="1:18" s="118" customFormat="1" x14ac:dyDescent="0.2">
      <c r="A78" s="148"/>
      <c r="B78" s="148"/>
      <c r="C78" s="14"/>
      <c r="D78" s="314"/>
      <c r="E78" s="148"/>
      <c r="F78" s="151"/>
      <c r="G78" s="137"/>
      <c r="H78" s="137"/>
      <c r="I78" s="138"/>
      <c r="J78" s="167"/>
      <c r="K78" s="111"/>
      <c r="L78" s="111"/>
      <c r="M78" s="111"/>
      <c r="N78" s="111"/>
      <c r="O78" s="111"/>
      <c r="P78" s="111"/>
      <c r="Q78" s="111"/>
      <c r="R78" s="111"/>
    </row>
    <row r="79" spans="1:18" s="145" customFormat="1" x14ac:dyDescent="0.2">
      <c r="A79" s="140"/>
      <c r="B79" s="140"/>
      <c r="C79" s="141"/>
      <c r="D79" s="112"/>
      <c r="E79" s="140"/>
      <c r="F79" s="194"/>
      <c r="G79" s="194"/>
      <c r="H79" s="142"/>
      <c r="I79" s="143"/>
      <c r="J79" s="285"/>
      <c r="K79" s="144"/>
      <c r="L79" s="144"/>
      <c r="M79" s="144"/>
      <c r="N79" s="144"/>
      <c r="O79" s="144"/>
      <c r="P79" s="144"/>
      <c r="Q79" s="144"/>
      <c r="R79" s="144"/>
    </row>
    <row r="80" spans="1:18" s="118" customFormat="1" x14ac:dyDescent="0.2">
      <c r="A80" s="148"/>
      <c r="B80" s="148"/>
      <c r="C80" s="14"/>
      <c r="D80" s="314"/>
      <c r="E80" s="148"/>
      <c r="F80" s="151"/>
      <c r="G80" s="137"/>
      <c r="H80" s="137"/>
      <c r="I80" s="138"/>
      <c r="J80" s="167"/>
      <c r="K80" s="111"/>
      <c r="L80" s="111"/>
      <c r="M80" s="111"/>
      <c r="N80" s="111"/>
      <c r="O80" s="111"/>
      <c r="P80" s="111"/>
      <c r="Q80" s="111"/>
      <c r="R80" s="111"/>
    </row>
    <row r="81" spans="1:18" s="145" customFormat="1" x14ac:dyDescent="0.2">
      <c r="A81" s="140"/>
      <c r="B81" s="140"/>
      <c r="C81" s="141"/>
      <c r="D81" s="112"/>
      <c r="E81" s="140"/>
      <c r="F81" s="194"/>
      <c r="G81" s="194"/>
      <c r="H81" s="142"/>
      <c r="I81" s="143"/>
      <c r="J81" s="285"/>
      <c r="K81" s="144"/>
      <c r="L81" s="144"/>
      <c r="M81" s="144"/>
      <c r="N81" s="144"/>
      <c r="O81" s="144"/>
      <c r="P81" s="144"/>
      <c r="Q81" s="144"/>
      <c r="R81" s="144"/>
    </row>
    <row r="82" spans="1:18" s="118" customFormat="1" x14ac:dyDescent="0.2">
      <c r="A82" s="148"/>
      <c r="B82" s="148"/>
      <c r="C82" s="14"/>
      <c r="D82" s="314"/>
      <c r="E82" s="148"/>
      <c r="F82" s="151"/>
      <c r="G82" s="137"/>
      <c r="H82" s="137"/>
      <c r="I82" s="138"/>
      <c r="J82" s="167"/>
      <c r="K82" s="111"/>
      <c r="L82" s="111"/>
      <c r="M82" s="111"/>
      <c r="N82" s="111"/>
      <c r="O82" s="111"/>
      <c r="P82" s="111"/>
      <c r="Q82" s="111"/>
      <c r="R82" s="111"/>
    </row>
    <row r="83" spans="1:18" s="118" customFormat="1" x14ac:dyDescent="0.2">
      <c r="A83" s="148"/>
      <c r="B83" s="148"/>
      <c r="C83" s="14"/>
      <c r="D83" s="314"/>
      <c r="E83" s="148"/>
      <c r="F83" s="151"/>
      <c r="G83" s="137"/>
      <c r="H83" s="137"/>
      <c r="I83" s="138"/>
      <c r="J83" s="167"/>
      <c r="K83" s="111"/>
      <c r="L83" s="111"/>
      <c r="M83" s="111"/>
      <c r="N83" s="111"/>
      <c r="O83" s="111"/>
      <c r="P83" s="111"/>
      <c r="Q83" s="111"/>
      <c r="R83" s="111"/>
    </row>
    <row r="84" spans="1:18" s="118" customFormat="1" x14ac:dyDescent="0.2">
      <c r="A84" s="148"/>
      <c r="B84" s="148"/>
      <c r="C84" s="14"/>
      <c r="D84" s="314"/>
      <c r="E84" s="148"/>
      <c r="F84" s="151"/>
      <c r="G84" s="137"/>
      <c r="H84" s="137"/>
      <c r="I84" s="138"/>
      <c r="J84" s="167"/>
      <c r="K84" s="111"/>
      <c r="L84" s="111"/>
      <c r="M84" s="111"/>
      <c r="N84" s="111"/>
      <c r="O84" s="111"/>
      <c r="P84" s="111"/>
      <c r="Q84" s="111"/>
      <c r="R84" s="111"/>
    </row>
    <row r="85" spans="1:18" s="118" customFormat="1" x14ac:dyDescent="0.2">
      <c r="A85" s="148"/>
      <c r="B85" s="148"/>
      <c r="C85" s="14"/>
      <c r="D85" s="314"/>
      <c r="E85" s="148"/>
      <c r="F85" s="151"/>
      <c r="G85" s="137"/>
      <c r="H85" s="137"/>
      <c r="I85" s="138"/>
      <c r="J85" s="167"/>
      <c r="K85" s="111"/>
      <c r="L85" s="111"/>
      <c r="M85" s="111"/>
      <c r="N85" s="111"/>
      <c r="O85" s="111"/>
      <c r="P85" s="111"/>
      <c r="Q85" s="111"/>
      <c r="R85" s="111"/>
    </row>
    <row r="86" spans="1:18" s="118" customFormat="1" x14ac:dyDescent="0.2">
      <c r="A86" s="148"/>
      <c r="B86" s="148"/>
      <c r="C86" s="14"/>
      <c r="D86" s="314"/>
      <c r="E86" s="148"/>
      <c r="F86" s="151"/>
      <c r="G86" s="137"/>
      <c r="H86" s="137"/>
      <c r="I86" s="138"/>
      <c r="J86" s="167"/>
      <c r="K86" s="111"/>
      <c r="L86" s="111"/>
      <c r="M86" s="111"/>
      <c r="N86" s="111"/>
      <c r="O86" s="111"/>
      <c r="P86" s="111"/>
      <c r="Q86" s="111"/>
      <c r="R86" s="111"/>
    </row>
    <row r="87" spans="1:18" s="118" customFormat="1" x14ac:dyDescent="0.2">
      <c r="A87" s="148"/>
      <c r="B87" s="148"/>
      <c r="C87" s="14"/>
      <c r="D87" s="314"/>
      <c r="E87" s="148"/>
      <c r="F87" s="151"/>
      <c r="G87" s="137"/>
      <c r="H87" s="137"/>
      <c r="I87" s="138"/>
      <c r="J87" s="167"/>
      <c r="K87" s="111"/>
      <c r="L87" s="111"/>
      <c r="M87" s="111"/>
      <c r="N87" s="111"/>
      <c r="O87" s="111"/>
      <c r="P87" s="111"/>
      <c r="Q87" s="111"/>
      <c r="R87" s="111"/>
    </row>
    <row r="88" spans="1:18" s="118" customFormat="1" x14ac:dyDescent="0.2">
      <c r="A88" s="148"/>
      <c r="B88" s="148"/>
      <c r="C88" s="14"/>
      <c r="D88" s="314"/>
      <c r="E88" s="148"/>
      <c r="F88" s="151"/>
      <c r="G88" s="137"/>
      <c r="H88" s="137"/>
      <c r="I88" s="138"/>
      <c r="J88" s="167"/>
      <c r="K88" s="111"/>
      <c r="L88" s="111"/>
      <c r="M88" s="111"/>
      <c r="N88" s="111"/>
      <c r="O88" s="111"/>
      <c r="P88" s="111"/>
      <c r="Q88" s="111"/>
      <c r="R88" s="111"/>
    </row>
    <row r="89" spans="1:18" s="145" customFormat="1" x14ac:dyDescent="0.2">
      <c r="A89" s="140"/>
      <c r="B89" s="140"/>
      <c r="C89" s="141"/>
      <c r="D89" s="112"/>
      <c r="E89" s="140"/>
      <c r="F89" s="194"/>
      <c r="G89" s="194"/>
      <c r="H89" s="142"/>
      <c r="I89" s="143"/>
      <c r="J89" s="285"/>
      <c r="K89" s="144"/>
      <c r="L89" s="144"/>
      <c r="M89" s="144"/>
      <c r="N89" s="144"/>
      <c r="O89" s="144"/>
      <c r="P89" s="144"/>
      <c r="Q89" s="144"/>
      <c r="R89" s="144"/>
    </row>
    <row r="90" spans="1:18" s="118" customFormat="1" x14ac:dyDescent="0.2">
      <c r="A90" s="148"/>
      <c r="B90" s="148"/>
      <c r="C90" s="14"/>
      <c r="D90" s="314"/>
      <c r="E90" s="148"/>
      <c r="F90" s="151"/>
      <c r="G90" s="137"/>
      <c r="H90" s="137"/>
      <c r="I90" s="138"/>
      <c r="J90" s="167"/>
      <c r="K90" s="111"/>
      <c r="L90" s="111"/>
      <c r="M90" s="111"/>
      <c r="N90" s="111"/>
      <c r="O90" s="111"/>
      <c r="P90" s="111"/>
      <c r="Q90" s="111"/>
      <c r="R90" s="111"/>
    </row>
    <row r="91" spans="1:18" s="118" customFormat="1" x14ac:dyDescent="0.2">
      <c r="A91" s="148"/>
      <c r="B91" s="148"/>
      <c r="C91" s="14"/>
      <c r="D91" s="314"/>
      <c r="E91" s="148"/>
      <c r="F91" s="151"/>
      <c r="G91" s="137"/>
      <c r="H91" s="137"/>
      <c r="I91" s="138"/>
      <c r="J91" s="167"/>
      <c r="K91" s="111"/>
      <c r="L91" s="111"/>
      <c r="M91" s="111"/>
      <c r="N91" s="111"/>
      <c r="O91" s="111"/>
      <c r="P91" s="111"/>
      <c r="Q91" s="111"/>
      <c r="R91" s="111"/>
    </row>
    <row r="92" spans="1:18" s="145" customFormat="1" x14ac:dyDescent="0.2">
      <c r="A92" s="140"/>
      <c r="B92" s="140"/>
      <c r="C92" s="141"/>
      <c r="D92" s="112"/>
      <c r="E92" s="140"/>
      <c r="F92" s="194"/>
      <c r="G92" s="194"/>
      <c r="H92" s="142"/>
      <c r="I92" s="143"/>
      <c r="J92" s="285"/>
      <c r="K92" s="144"/>
      <c r="L92" s="144"/>
      <c r="M92" s="144"/>
      <c r="N92" s="144"/>
      <c r="O92" s="144"/>
      <c r="P92" s="144"/>
      <c r="Q92" s="144"/>
      <c r="R92" s="144"/>
    </row>
    <row r="93" spans="1:18" s="118" customFormat="1" x14ac:dyDescent="0.2">
      <c r="A93" s="148"/>
      <c r="B93" s="148"/>
      <c r="C93" s="14"/>
      <c r="D93" s="314"/>
      <c r="E93" s="148"/>
      <c r="F93" s="151"/>
      <c r="G93" s="137"/>
      <c r="H93" s="137"/>
      <c r="I93" s="138"/>
      <c r="J93" s="167"/>
      <c r="K93" s="111"/>
      <c r="L93" s="111"/>
      <c r="M93" s="111"/>
      <c r="N93" s="111"/>
      <c r="O93" s="111"/>
      <c r="P93" s="111"/>
      <c r="Q93" s="111"/>
      <c r="R93" s="111"/>
    </row>
    <row r="94" spans="1:18" s="118" customFormat="1" x14ac:dyDescent="0.2">
      <c r="A94" s="148"/>
      <c r="B94" s="148"/>
      <c r="C94" s="14"/>
      <c r="D94" s="314"/>
      <c r="E94" s="148"/>
      <c r="F94" s="151"/>
      <c r="G94" s="137"/>
      <c r="H94" s="137"/>
      <c r="I94" s="138"/>
      <c r="J94" s="167"/>
      <c r="K94" s="111"/>
      <c r="L94" s="111"/>
      <c r="M94" s="111"/>
      <c r="N94" s="111"/>
      <c r="O94" s="111"/>
      <c r="P94" s="111"/>
      <c r="Q94" s="111"/>
      <c r="R94" s="111"/>
    </row>
    <row r="95" spans="1:18" s="118" customFormat="1" x14ac:dyDescent="0.2">
      <c r="A95" s="148"/>
      <c r="B95" s="148"/>
      <c r="C95" s="14"/>
      <c r="D95" s="314"/>
      <c r="E95" s="148"/>
      <c r="F95" s="151"/>
      <c r="G95" s="151"/>
      <c r="H95" s="137"/>
      <c r="I95" s="138"/>
      <c r="J95" s="167"/>
      <c r="K95" s="111"/>
      <c r="L95" s="111"/>
      <c r="M95" s="111"/>
      <c r="N95" s="111"/>
      <c r="O95" s="111"/>
      <c r="P95" s="111"/>
      <c r="Q95" s="111"/>
      <c r="R95" s="111"/>
    </row>
    <row r="96" spans="1:18" s="241" customFormat="1" ht="13.2" x14ac:dyDescent="0.25">
      <c r="A96" s="236"/>
      <c r="B96" s="236"/>
      <c r="C96" s="237"/>
      <c r="D96" s="289"/>
      <c r="E96" s="236"/>
      <c r="F96" s="316"/>
      <c r="G96" s="316"/>
      <c r="H96" s="238"/>
      <c r="I96" s="239"/>
      <c r="J96" s="284" t="e">
        <f>I96/$I$392</f>
        <v>#DIV/0!</v>
      </c>
      <c r="K96" s="240"/>
      <c r="L96" s="240"/>
      <c r="M96" s="240"/>
      <c r="N96" s="240"/>
      <c r="O96" s="240"/>
      <c r="P96" s="240"/>
      <c r="Q96" s="240"/>
      <c r="R96" s="240"/>
    </row>
    <row r="97" spans="1:18" s="145" customFormat="1" x14ac:dyDescent="0.2">
      <c r="A97" s="140"/>
      <c r="B97" s="140"/>
      <c r="C97" s="141"/>
      <c r="D97" s="112"/>
      <c r="E97" s="140"/>
      <c r="F97" s="194"/>
      <c r="G97" s="194"/>
      <c r="H97" s="142"/>
      <c r="I97" s="143"/>
      <c r="J97" s="285"/>
      <c r="K97" s="144"/>
      <c r="L97" s="144"/>
      <c r="M97" s="144"/>
      <c r="N97" s="144"/>
      <c r="O97" s="144"/>
      <c r="P97" s="144"/>
      <c r="Q97" s="144"/>
      <c r="R97" s="144"/>
    </row>
    <row r="98" spans="1:18" s="118" customFormat="1" x14ac:dyDescent="0.2">
      <c r="A98" s="148"/>
      <c r="B98" s="148"/>
      <c r="C98" s="14"/>
      <c r="D98" s="314"/>
      <c r="E98" s="148"/>
      <c r="F98" s="151"/>
      <c r="G98" s="137"/>
      <c r="H98" s="137"/>
      <c r="I98" s="138"/>
      <c r="J98" s="167"/>
      <c r="K98" s="111"/>
      <c r="L98" s="111"/>
      <c r="M98" s="111"/>
      <c r="N98" s="111"/>
      <c r="O98" s="111"/>
      <c r="P98" s="111"/>
      <c r="Q98" s="111"/>
      <c r="R98" s="111"/>
    </row>
    <row r="99" spans="1:18" s="118" customFormat="1" x14ac:dyDescent="0.2">
      <c r="A99" s="148"/>
      <c r="B99" s="148"/>
      <c r="C99" s="14"/>
      <c r="D99" s="314"/>
      <c r="E99" s="148"/>
      <c r="F99" s="151"/>
      <c r="G99" s="137"/>
      <c r="H99" s="137"/>
      <c r="I99" s="138"/>
      <c r="J99" s="167"/>
      <c r="K99" s="111"/>
      <c r="L99" s="111"/>
      <c r="M99" s="111"/>
      <c r="N99" s="111"/>
      <c r="O99" s="111"/>
      <c r="P99" s="111"/>
      <c r="Q99" s="111"/>
      <c r="R99" s="111"/>
    </row>
    <row r="100" spans="1:18" s="118" customFormat="1" x14ac:dyDescent="0.2">
      <c r="A100" s="148"/>
      <c r="B100" s="148"/>
      <c r="C100" s="14"/>
      <c r="D100" s="314"/>
      <c r="E100" s="148"/>
      <c r="F100" s="151"/>
      <c r="G100" s="137"/>
      <c r="H100" s="137"/>
      <c r="I100" s="138"/>
      <c r="J100" s="167"/>
      <c r="K100" s="111"/>
      <c r="L100" s="111"/>
      <c r="M100" s="111"/>
      <c r="N100" s="111"/>
      <c r="O100" s="111"/>
      <c r="P100" s="111"/>
      <c r="Q100" s="111"/>
      <c r="R100" s="111"/>
    </row>
    <row r="101" spans="1:18" s="118" customFormat="1" x14ac:dyDescent="0.2">
      <c r="A101" s="148"/>
      <c r="B101" s="148"/>
      <c r="C101" s="14"/>
      <c r="D101" s="314"/>
      <c r="E101" s="148"/>
      <c r="F101" s="151"/>
      <c r="G101" s="137"/>
      <c r="H101" s="137"/>
      <c r="I101" s="138"/>
      <c r="J101" s="167"/>
      <c r="K101" s="111"/>
      <c r="L101" s="111"/>
      <c r="M101" s="111"/>
      <c r="N101" s="111"/>
      <c r="O101" s="111"/>
      <c r="P101" s="111"/>
      <c r="Q101" s="111"/>
      <c r="R101" s="111"/>
    </row>
    <row r="102" spans="1:18" s="118" customFormat="1" x14ac:dyDescent="0.2">
      <c r="A102" s="148"/>
      <c r="B102" s="148"/>
      <c r="C102" s="14"/>
      <c r="D102" s="314"/>
      <c r="E102" s="148"/>
      <c r="F102" s="151"/>
      <c r="G102" s="137"/>
      <c r="H102" s="137"/>
      <c r="I102" s="138"/>
      <c r="J102" s="167"/>
      <c r="K102" s="111"/>
      <c r="L102" s="111"/>
      <c r="M102" s="111"/>
      <c r="N102" s="111"/>
      <c r="O102" s="111"/>
      <c r="P102" s="111"/>
      <c r="Q102" s="111"/>
      <c r="R102" s="111"/>
    </row>
    <row r="103" spans="1:18" s="145" customFormat="1" x14ac:dyDescent="0.2">
      <c r="A103" s="140"/>
      <c r="B103" s="140"/>
      <c r="C103" s="141"/>
      <c r="D103" s="112"/>
      <c r="E103" s="140"/>
      <c r="F103" s="194"/>
      <c r="G103" s="194"/>
      <c r="H103" s="142"/>
      <c r="I103" s="143"/>
      <c r="J103" s="285"/>
      <c r="K103" s="144"/>
      <c r="L103" s="144"/>
      <c r="M103" s="144"/>
      <c r="N103" s="144"/>
      <c r="O103" s="144"/>
      <c r="P103" s="144"/>
      <c r="Q103" s="144"/>
      <c r="R103" s="144"/>
    </row>
    <row r="104" spans="1:18" s="118" customFormat="1" x14ac:dyDescent="0.2">
      <c r="A104" s="148"/>
      <c r="B104" s="148"/>
      <c r="C104" s="14"/>
      <c r="D104" s="314"/>
      <c r="E104" s="148"/>
      <c r="F104" s="151"/>
      <c r="G104" s="137"/>
      <c r="H104" s="137"/>
      <c r="I104" s="138"/>
      <c r="J104" s="167"/>
      <c r="K104" s="111"/>
      <c r="L104" s="111"/>
      <c r="M104" s="111"/>
      <c r="N104" s="111"/>
      <c r="O104" s="111"/>
      <c r="P104" s="111"/>
      <c r="Q104" s="111"/>
      <c r="R104" s="111"/>
    </row>
    <row r="105" spans="1:18" s="145" customFormat="1" x14ac:dyDescent="0.2">
      <c r="A105" s="140"/>
      <c r="B105" s="140"/>
      <c r="C105" s="141"/>
      <c r="D105" s="112"/>
      <c r="E105" s="140"/>
      <c r="F105" s="194"/>
      <c r="G105" s="194"/>
      <c r="H105" s="142"/>
      <c r="I105" s="143"/>
      <c r="J105" s="285"/>
      <c r="K105" s="144"/>
      <c r="L105" s="144"/>
      <c r="M105" s="144"/>
      <c r="N105" s="144"/>
      <c r="O105" s="144"/>
      <c r="P105" s="144"/>
      <c r="Q105" s="144"/>
      <c r="R105" s="144"/>
    </row>
    <row r="106" spans="1:18" s="118" customFormat="1" x14ac:dyDescent="0.2">
      <c r="A106" s="148"/>
      <c r="B106" s="148"/>
      <c r="C106" s="14"/>
      <c r="D106" s="314"/>
      <c r="E106" s="148"/>
      <c r="F106" s="151"/>
      <c r="G106" s="137"/>
      <c r="H106" s="137"/>
      <c r="I106" s="138"/>
      <c r="J106" s="167"/>
      <c r="K106" s="111"/>
      <c r="L106" s="111"/>
      <c r="M106" s="111"/>
      <c r="N106" s="111"/>
      <c r="O106" s="111"/>
      <c r="P106" s="111"/>
      <c r="Q106" s="111"/>
      <c r="R106" s="111"/>
    </row>
    <row r="107" spans="1:18" s="118" customFormat="1" x14ac:dyDescent="0.2">
      <c r="A107" s="148"/>
      <c r="B107" s="148"/>
      <c r="C107" s="14"/>
      <c r="D107" s="314"/>
      <c r="E107" s="148"/>
      <c r="F107" s="151"/>
      <c r="G107" s="151"/>
      <c r="H107" s="137"/>
      <c r="I107" s="138"/>
      <c r="J107" s="167"/>
      <c r="K107" s="111"/>
      <c r="L107" s="111"/>
      <c r="M107" s="111"/>
      <c r="N107" s="111"/>
      <c r="O107" s="111"/>
      <c r="P107" s="111"/>
      <c r="Q107" s="111"/>
      <c r="R107" s="111"/>
    </row>
    <row r="108" spans="1:18" s="241" customFormat="1" ht="13.2" x14ac:dyDescent="0.25">
      <c r="A108" s="236"/>
      <c r="B108" s="236"/>
      <c r="C108" s="237"/>
      <c r="D108" s="289"/>
      <c r="E108" s="236"/>
      <c r="F108" s="316"/>
      <c r="G108" s="316"/>
      <c r="H108" s="238"/>
      <c r="I108" s="239"/>
      <c r="J108" s="284" t="e">
        <f>I108/$I$392</f>
        <v>#DIV/0!</v>
      </c>
      <c r="K108" s="240"/>
      <c r="L108" s="240"/>
      <c r="M108" s="240"/>
      <c r="N108" s="240"/>
      <c r="O108" s="240"/>
      <c r="P108" s="240"/>
      <c r="Q108" s="240"/>
      <c r="R108" s="240"/>
    </row>
    <row r="109" spans="1:18" s="145" customFormat="1" x14ac:dyDescent="0.2">
      <c r="A109" s="140"/>
      <c r="B109" s="140"/>
      <c r="C109" s="141"/>
      <c r="D109" s="112"/>
      <c r="E109" s="140"/>
      <c r="F109" s="194"/>
      <c r="G109" s="194"/>
      <c r="H109" s="142"/>
      <c r="I109" s="143"/>
      <c r="J109" s="285"/>
      <c r="K109" s="144"/>
      <c r="L109" s="144"/>
      <c r="M109" s="144"/>
      <c r="N109" s="144"/>
      <c r="O109" s="144"/>
      <c r="P109" s="144"/>
      <c r="Q109" s="144"/>
      <c r="R109" s="144"/>
    </row>
    <row r="110" spans="1:18" s="118" customFormat="1" x14ac:dyDescent="0.2">
      <c r="A110" s="148"/>
      <c r="B110" s="148"/>
      <c r="C110" s="14"/>
      <c r="D110" s="314"/>
      <c r="E110" s="148"/>
      <c r="F110" s="151"/>
      <c r="G110" s="137"/>
      <c r="H110" s="137"/>
      <c r="I110" s="138"/>
      <c r="J110" s="167"/>
      <c r="K110" s="111"/>
      <c r="L110" s="111"/>
      <c r="M110" s="111"/>
      <c r="N110" s="111"/>
      <c r="O110" s="111"/>
      <c r="P110" s="111"/>
      <c r="Q110" s="111"/>
      <c r="R110" s="111"/>
    </row>
    <row r="111" spans="1:18" s="118" customFormat="1" x14ac:dyDescent="0.2">
      <c r="A111" s="148"/>
      <c r="B111" s="148"/>
      <c r="C111" s="14"/>
      <c r="D111" s="314"/>
      <c r="E111" s="148"/>
      <c r="F111" s="151"/>
      <c r="G111" s="137"/>
      <c r="H111" s="137"/>
      <c r="I111" s="138"/>
      <c r="J111" s="167"/>
      <c r="K111" s="111"/>
      <c r="L111" s="111"/>
      <c r="M111" s="111"/>
      <c r="N111" s="111"/>
      <c r="O111" s="111"/>
      <c r="P111" s="111"/>
      <c r="Q111" s="111"/>
      <c r="R111" s="111"/>
    </row>
    <row r="112" spans="1:18" s="118" customFormat="1" x14ac:dyDescent="0.2">
      <c r="A112" s="148"/>
      <c r="B112" s="148"/>
      <c r="C112" s="14"/>
      <c r="D112" s="314"/>
      <c r="E112" s="148"/>
      <c r="F112" s="151"/>
      <c r="G112" s="137"/>
      <c r="H112" s="137"/>
      <c r="I112" s="138"/>
      <c r="J112" s="167"/>
      <c r="K112" s="111"/>
      <c r="L112" s="111"/>
      <c r="M112" s="111"/>
      <c r="N112" s="111"/>
      <c r="O112" s="111"/>
      <c r="P112" s="111"/>
      <c r="Q112" s="111"/>
      <c r="R112" s="111"/>
    </row>
    <row r="113" spans="1:18" s="118" customFormat="1" x14ac:dyDescent="0.2">
      <c r="A113" s="148"/>
      <c r="B113" s="148"/>
      <c r="C113" s="14"/>
      <c r="D113" s="314"/>
      <c r="E113" s="148"/>
      <c r="F113" s="151"/>
      <c r="G113" s="137"/>
      <c r="H113" s="137"/>
      <c r="I113" s="138"/>
      <c r="J113" s="167"/>
      <c r="K113" s="111"/>
      <c r="L113" s="111"/>
      <c r="M113" s="111"/>
      <c r="N113" s="111"/>
      <c r="O113" s="111"/>
      <c r="P113" s="111"/>
      <c r="Q113" s="111"/>
      <c r="R113" s="111"/>
    </row>
    <row r="114" spans="1:18" s="118" customFormat="1" x14ac:dyDescent="0.2">
      <c r="A114" s="148"/>
      <c r="B114" s="148"/>
      <c r="C114" s="14"/>
      <c r="D114" s="314"/>
      <c r="E114" s="148"/>
      <c r="F114" s="151"/>
      <c r="G114" s="137"/>
      <c r="H114" s="137"/>
      <c r="I114" s="138"/>
      <c r="J114" s="167"/>
      <c r="K114" s="111"/>
      <c r="L114" s="111"/>
      <c r="M114" s="111"/>
      <c r="N114" s="111"/>
      <c r="O114" s="111"/>
      <c r="P114" s="111"/>
      <c r="Q114" s="111"/>
      <c r="R114" s="111"/>
    </row>
    <row r="115" spans="1:18" s="118" customFormat="1" x14ac:dyDescent="0.2">
      <c r="A115" s="148"/>
      <c r="B115" s="148"/>
      <c r="C115" s="14"/>
      <c r="D115" s="314"/>
      <c r="E115" s="148"/>
      <c r="F115" s="151"/>
      <c r="G115" s="137"/>
      <c r="H115" s="137"/>
      <c r="I115" s="138"/>
      <c r="J115" s="167"/>
      <c r="K115" s="111"/>
      <c r="L115" s="111"/>
      <c r="M115" s="111"/>
      <c r="N115" s="111"/>
      <c r="O115" s="111"/>
      <c r="P115" s="111"/>
      <c r="Q115" s="111"/>
      <c r="R115" s="111"/>
    </row>
    <row r="116" spans="1:18" s="118" customFormat="1" x14ac:dyDescent="0.2">
      <c r="A116" s="148"/>
      <c r="B116" s="148"/>
      <c r="C116" s="14"/>
      <c r="D116" s="314"/>
      <c r="E116" s="148"/>
      <c r="F116" s="151"/>
      <c r="G116" s="137"/>
      <c r="H116" s="137"/>
      <c r="I116" s="138"/>
      <c r="J116" s="167"/>
      <c r="K116" s="111"/>
      <c r="L116" s="111"/>
      <c r="M116" s="111"/>
      <c r="N116" s="111"/>
      <c r="O116" s="111"/>
      <c r="P116" s="111"/>
      <c r="Q116" s="111"/>
      <c r="R116" s="111"/>
    </row>
    <row r="117" spans="1:18" s="118" customFormat="1" x14ac:dyDescent="0.2">
      <c r="A117" s="148"/>
      <c r="B117" s="148"/>
      <c r="C117" s="14"/>
      <c r="D117" s="314"/>
      <c r="E117" s="148"/>
      <c r="F117" s="151"/>
      <c r="G117" s="137"/>
      <c r="H117" s="137"/>
      <c r="I117" s="138"/>
      <c r="J117" s="167"/>
      <c r="K117" s="111"/>
      <c r="L117" s="111"/>
      <c r="M117" s="111"/>
      <c r="N117" s="111"/>
      <c r="O117" s="111"/>
      <c r="P117" s="111"/>
      <c r="Q117" s="111"/>
      <c r="R117" s="111"/>
    </row>
    <row r="118" spans="1:18" s="145" customFormat="1" x14ac:dyDescent="0.2">
      <c r="A118" s="140"/>
      <c r="B118" s="140"/>
      <c r="C118" s="141"/>
      <c r="D118" s="112"/>
      <c r="E118" s="140"/>
      <c r="F118" s="194"/>
      <c r="G118" s="194"/>
      <c r="H118" s="142"/>
      <c r="I118" s="143"/>
      <c r="J118" s="285"/>
      <c r="K118" s="144"/>
      <c r="L118" s="144"/>
      <c r="M118" s="144"/>
      <c r="N118" s="144"/>
      <c r="O118" s="144"/>
      <c r="P118" s="144"/>
      <c r="Q118" s="144"/>
      <c r="R118" s="144"/>
    </row>
    <row r="119" spans="1:18" s="118" customFormat="1" x14ac:dyDescent="0.2">
      <c r="A119" s="148"/>
      <c r="B119" s="148"/>
      <c r="C119" s="14"/>
      <c r="D119" s="314"/>
      <c r="E119" s="148"/>
      <c r="F119" s="151"/>
      <c r="G119" s="137"/>
      <c r="H119" s="137"/>
      <c r="I119" s="138"/>
      <c r="J119" s="167"/>
      <c r="K119" s="111"/>
      <c r="L119" s="111"/>
      <c r="M119" s="111"/>
      <c r="N119" s="111"/>
      <c r="O119" s="111"/>
      <c r="P119" s="111"/>
      <c r="Q119" s="111"/>
      <c r="R119" s="111"/>
    </row>
    <row r="120" spans="1:18" s="118" customFormat="1" x14ac:dyDescent="0.2">
      <c r="A120" s="148"/>
      <c r="B120" s="148"/>
      <c r="C120" s="14"/>
      <c r="D120" s="314"/>
      <c r="E120" s="148"/>
      <c r="F120" s="151"/>
      <c r="G120" s="137"/>
      <c r="H120" s="137"/>
      <c r="I120" s="138"/>
      <c r="J120" s="167"/>
      <c r="K120" s="111"/>
      <c r="L120" s="111"/>
      <c r="M120" s="111"/>
      <c r="N120" s="111"/>
      <c r="O120" s="111"/>
      <c r="P120" s="111"/>
      <c r="Q120" s="111"/>
      <c r="R120" s="111"/>
    </row>
    <row r="121" spans="1:18" s="118" customFormat="1" x14ac:dyDescent="0.2">
      <c r="A121" s="148"/>
      <c r="B121" s="148"/>
      <c r="C121" s="14"/>
      <c r="D121" s="314"/>
      <c r="E121" s="148"/>
      <c r="F121" s="151"/>
      <c r="G121" s="137"/>
      <c r="H121" s="137"/>
      <c r="I121" s="138"/>
      <c r="J121" s="167"/>
      <c r="K121" s="111"/>
      <c r="L121" s="111"/>
      <c r="M121" s="111"/>
      <c r="N121" s="111"/>
      <c r="O121" s="111"/>
      <c r="P121" s="111"/>
      <c r="Q121" s="111"/>
      <c r="R121" s="111"/>
    </row>
    <row r="122" spans="1:18" s="196" customFormat="1" x14ac:dyDescent="0.2">
      <c r="A122" s="140"/>
      <c r="B122" s="192"/>
      <c r="C122" s="193"/>
      <c r="D122" s="112"/>
      <c r="E122" s="192"/>
      <c r="F122" s="194"/>
      <c r="G122" s="194"/>
      <c r="H122" s="194"/>
      <c r="I122" s="143"/>
      <c r="J122" s="285"/>
      <c r="K122" s="195"/>
      <c r="L122" s="195"/>
      <c r="M122" s="195"/>
      <c r="N122" s="195"/>
      <c r="O122" s="195"/>
      <c r="P122" s="195"/>
      <c r="Q122" s="195"/>
      <c r="R122" s="195"/>
    </row>
    <row r="123" spans="1:18" s="118" customFormat="1" x14ac:dyDescent="0.2">
      <c r="A123" s="148"/>
      <c r="B123" s="148"/>
      <c r="C123" s="14"/>
      <c r="D123" s="314"/>
      <c r="E123" s="148"/>
      <c r="F123" s="151"/>
      <c r="G123" s="137"/>
      <c r="H123" s="137"/>
      <c r="I123" s="138"/>
      <c r="J123" s="167"/>
      <c r="K123" s="111"/>
      <c r="L123" s="111"/>
      <c r="M123" s="111"/>
      <c r="N123" s="111"/>
      <c r="O123" s="111"/>
      <c r="P123" s="111"/>
      <c r="Q123" s="111"/>
      <c r="R123" s="111"/>
    </row>
    <row r="124" spans="1:18" s="118" customFormat="1" x14ac:dyDescent="0.2">
      <c r="A124" s="148"/>
      <c r="B124" s="148"/>
      <c r="C124" s="14"/>
      <c r="D124" s="314"/>
      <c r="E124" s="148"/>
      <c r="F124" s="151"/>
      <c r="G124" s="137"/>
      <c r="H124" s="137"/>
      <c r="I124" s="138"/>
      <c r="J124" s="167"/>
      <c r="K124" s="111"/>
      <c r="L124" s="111"/>
      <c r="M124" s="111"/>
      <c r="N124" s="111"/>
      <c r="O124" s="111"/>
      <c r="P124" s="111"/>
      <c r="Q124" s="111"/>
      <c r="R124" s="111"/>
    </row>
    <row r="125" spans="1:18" s="145" customFormat="1" x14ac:dyDescent="0.2">
      <c r="A125" s="140"/>
      <c r="B125" s="140"/>
      <c r="C125" s="141"/>
      <c r="D125" s="112"/>
      <c r="E125" s="140"/>
      <c r="F125" s="194"/>
      <c r="G125" s="194"/>
      <c r="H125" s="142"/>
      <c r="I125" s="143"/>
      <c r="J125" s="285"/>
      <c r="K125" s="144"/>
      <c r="L125" s="144"/>
      <c r="M125" s="144"/>
      <c r="N125" s="144"/>
      <c r="O125" s="144"/>
      <c r="P125" s="144"/>
      <c r="Q125" s="144"/>
      <c r="R125" s="144"/>
    </row>
    <row r="126" spans="1:18" s="118" customFormat="1" x14ac:dyDescent="0.2">
      <c r="A126" s="148"/>
      <c r="B126" s="148"/>
      <c r="C126" s="14"/>
      <c r="D126" s="314"/>
      <c r="E126" s="148"/>
      <c r="F126" s="151"/>
      <c r="G126" s="137"/>
      <c r="H126" s="137"/>
      <c r="I126" s="138"/>
      <c r="J126" s="167"/>
      <c r="K126" s="111"/>
      <c r="L126" s="111"/>
      <c r="M126" s="111"/>
      <c r="N126" s="111"/>
      <c r="O126" s="111"/>
      <c r="P126" s="111"/>
      <c r="Q126" s="111"/>
      <c r="R126" s="111"/>
    </row>
    <row r="127" spans="1:18" s="118" customFormat="1" x14ac:dyDescent="0.2">
      <c r="A127" s="148"/>
      <c r="B127" s="148"/>
      <c r="C127" s="14"/>
      <c r="D127" s="314"/>
      <c r="E127" s="148"/>
      <c r="F127" s="151"/>
      <c r="G127" s="137"/>
      <c r="H127" s="137"/>
      <c r="I127" s="138"/>
      <c r="J127" s="167"/>
      <c r="K127" s="111"/>
      <c r="L127" s="111"/>
      <c r="M127" s="111"/>
      <c r="N127" s="111"/>
      <c r="O127" s="111"/>
      <c r="P127" s="111"/>
      <c r="Q127" s="111"/>
      <c r="R127" s="111"/>
    </row>
    <row r="128" spans="1:18" s="118" customFormat="1" x14ac:dyDescent="0.2">
      <c r="A128" s="148"/>
      <c r="B128" s="148"/>
      <c r="C128" s="14"/>
      <c r="D128" s="314"/>
      <c r="E128" s="148"/>
      <c r="F128" s="151"/>
      <c r="G128" s="137"/>
      <c r="H128" s="137"/>
      <c r="I128" s="138"/>
      <c r="J128" s="167"/>
      <c r="K128" s="111"/>
      <c r="L128" s="111"/>
      <c r="M128" s="111"/>
      <c r="N128" s="111"/>
      <c r="O128" s="111"/>
      <c r="P128" s="111"/>
      <c r="Q128" s="111"/>
      <c r="R128" s="111"/>
    </row>
    <row r="129" spans="1:18" s="118" customFormat="1" x14ac:dyDescent="0.2">
      <c r="A129" s="148"/>
      <c r="B129" s="148"/>
      <c r="C129" s="14"/>
      <c r="D129" s="314"/>
      <c r="E129" s="148"/>
      <c r="F129" s="151"/>
      <c r="G129" s="137"/>
      <c r="H129" s="137"/>
      <c r="I129" s="138"/>
      <c r="J129" s="167"/>
      <c r="K129" s="111"/>
      <c r="L129" s="111"/>
      <c r="M129" s="111"/>
      <c r="N129" s="111"/>
      <c r="O129" s="111"/>
      <c r="P129" s="111"/>
      <c r="Q129" s="111"/>
      <c r="R129" s="111"/>
    </row>
    <row r="130" spans="1:18" s="118" customFormat="1" x14ac:dyDescent="0.2">
      <c r="A130" s="148"/>
      <c r="B130" s="148"/>
      <c r="C130" s="14"/>
      <c r="D130" s="314"/>
      <c r="E130" s="148"/>
      <c r="F130" s="151"/>
      <c r="G130" s="137"/>
      <c r="H130" s="137"/>
      <c r="I130" s="138"/>
      <c r="J130" s="167"/>
      <c r="K130" s="111"/>
      <c r="L130" s="111"/>
      <c r="M130" s="111"/>
      <c r="N130" s="111"/>
      <c r="O130" s="111"/>
      <c r="P130" s="111"/>
      <c r="Q130" s="111"/>
      <c r="R130" s="111"/>
    </row>
    <row r="131" spans="1:18" s="145" customFormat="1" x14ac:dyDescent="0.2">
      <c r="A131" s="140"/>
      <c r="B131" s="140"/>
      <c r="C131" s="141"/>
      <c r="D131" s="112"/>
      <c r="E131" s="140"/>
      <c r="F131" s="194"/>
      <c r="G131" s="194"/>
      <c r="H131" s="142"/>
      <c r="I131" s="143"/>
      <c r="J131" s="285"/>
      <c r="K131" s="144"/>
      <c r="L131" s="144"/>
      <c r="M131" s="144"/>
      <c r="N131" s="144"/>
      <c r="O131" s="144"/>
      <c r="P131" s="144"/>
      <c r="Q131" s="144"/>
      <c r="R131" s="144"/>
    </row>
    <row r="132" spans="1:18" s="118" customFormat="1" x14ac:dyDescent="0.2">
      <c r="A132" s="148"/>
      <c r="B132" s="148"/>
      <c r="C132" s="14"/>
      <c r="D132" s="314"/>
      <c r="E132" s="148"/>
      <c r="F132" s="151"/>
      <c r="G132" s="137"/>
      <c r="H132" s="137"/>
      <c r="I132" s="138"/>
      <c r="J132" s="167"/>
      <c r="K132" s="111"/>
      <c r="L132" s="111"/>
      <c r="M132" s="111"/>
      <c r="N132" s="111"/>
      <c r="O132" s="111"/>
      <c r="P132" s="111"/>
      <c r="Q132" s="111"/>
      <c r="R132" s="111"/>
    </row>
    <row r="133" spans="1:18" s="118" customFormat="1" x14ac:dyDescent="0.2">
      <c r="A133" s="148"/>
      <c r="B133" s="148"/>
      <c r="C133" s="14"/>
      <c r="D133" s="314"/>
      <c r="E133" s="148"/>
      <c r="F133" s="151"/>
      <c r="G133" s="151"/>
      <c r="H133" s="137"/>
      <c r="I133" s="138"/>
      <c r="J133" s="167"/>
      <c r="K133" s="111"/>
      <c r="L133" s="111"/>
      <c r="M133" s="111"/>
      <c r="N133" s="111"/>
      <c r="O133" s="111"/>
      <c r="P133" s="111"/>
      <c r="Q133" s="111"/>
      <c r="R133" s="111"/>
    </row>
    <row r="134" spans="1:18" s="241" customFormat="1" ht="13.2" x14ac:dyDescent="0.25">
      <c r="A134" s="236"/>
      <c r="B134" s="236"/>
      <c r="C134" s="237"/>
      <c r="D134" s="289"/>
      <c r="E134" s="236"/>
      <c r="F134" s="316"/>
      <c r="G134" s="316"/>
      <c r="H134" s="238"/>
      <c r="I134" s="239"/>
      <c r="J134" s="284" t="e">
        <f>I134/$I$392</f>
        <v>#DIV/0!</v>
      </c>
      <c r="K134" s="240"/>
      <c r="L134" s="240"/>
      <c r="M134" s="240"/>
      <c r="N134" s="240"/>
      <c r="O134" s="240"/>
      <c r="P134" s="240"/>
      <c r="Q134" s="240"/>
      <c r="R134" s="240"/>
    </row>
    <row r="135" spans="1:18" s="145" customFormat="1" x14ac:dyDescent="0.2">
      <c r="A135" s="140"/>
      <c r="B135" s="140"/>
      <c r="C135" s="141"/>
      <c r="D135" s="112"/>
      <c r="E135" s="140"/>
      <c r="F135" s="194"/>
      <c r="G135" s="194"/>
      <c r="H135" s="142"/>
      <c r="I135" s="143"/>
      <c r="J135" s="285"/>
      <c r="K135" s="144"/>
      <c r="L135" s="144"/>
      <c r="M135" s="144"/>
      <c r="N135" s="144"/>
      <c r="O135" s="144"/>
      <c r="P135" s="144"/>
      <c r="Q135" s="144"/>
      <c r="R135" s="144"/>
    </row>
    <row r="136" spans="1:18" s="118" customFormat="1" x14ac:dyDescent="0.2">
      <c r="A136" s="148"/>
      <c r="B136" s="148"/>
      <c r="C136" s="14"/>
      <c r="D136" s="314"/>
      <c r="E136" s="148"/>
      <c r="F136" s="151"/>
      <c r="G136" s="137"/>
      <c r="H136" s="137"/>
      <c r="I136" s="138"/>
      <c r="J136" s="167"/>
      <c r="K136" s="111"/>
      <c r="L136" s="111"/>
      <c r="M136" s="111"/>
      <c r="N136" s="111"/>
      <c r="O136" s="111"/>
      <c r="P136" s="111"/>
      <c r="Q136" s="111"/>
      <c r="R136" s="111"/>
    </row>
    <row r="137" spans="1:18" s="118" customFormat="1" x14ac:dyDescent="0.2">
      <c r="A137" s="148"/>
      <c r="B137" s="148"/>
      <c r="C137" s="14"/>
      <c r="D137" s="314"/>
      <c r="E137" s="148"/>
      <c r="F137" s="151"/>
      <c r="G137" s="137"/>
      <c r="H137" s="137"/>
      <c r="I137" s="138"/>
      <c r="J137" s="167"/>
      <c r="K137" s="111"/>
      <c r="L137" s="111"/>
      <c r="M137" s="111"/>
      <c r="N137" s="111"/>
      <c r="O137" s="111"/>
      <c r="P137" s="111"/>
      <c r="Q137" s="111"/>
      <c r="R137" s="111"/>
    </row>
    <row r="138" spans="1:18" s="118" customFormat="1" x14ac:dyDescent="0.2">
      <c r="A138" s="148"/>
      <c r="B138" s="148"/>
      <c r="C138" s="14"/>
      <c r="D138" s="314"/>
      <c r="E138" s="148"/>
      <c r="F138" s="151"/>
      <c r="G138" s="137"/>
      <c r="H138" s="137"/>
      <c r="I138" s="138"/>
      <c r="J138" s="167"/>
      <c r="K138" s="111"/>
      <c r="L138" s="111"/>
      <c r="M138" s="111"/>
      <c r="N138" s="111"/>
      <c r="O138" s="111"/>
      <c r="P138" s="111"/>
      <c r="Q138" s="111"/>
      <c r="R138" s="111"/>
    </row>
    <row r="139" spans="1:18" s="118" customFormat="1" x14ac:dyDescent="0.2">
      <c r="A139" s="148"/>
      <c r="B139" s="148"/>
      <c r="C139" s="14"/>
      <c r="D139" s="314"/>
      <c r="E139" s="148"/>
      <c r="F139" s="151"/>
      <c r="G139" s="137"/>
      <c r="H139" s="137"/>
      <c r="I139" s="138"/>
      <c r="J139" s="167"/>
      <c r="K139" s="111"/>
      <c r="L139" s="111"/>
      <c r="M139" s="111"/>
      <c r="N139" s="111"/>
      <c r="O139" s="111"/>
      <c r="P139" s="111"/>
      <c r="Q139" s="111"/>
      <c r="R139" s="111"/>
    </row>
    <row r="140" spans="1:18" s="118" customFormat="1" x14ac:dyDescent="0.2">
      <c r="A140" s="148"/>
      <c r="B140" s="148"/>
      <c r="C140" s="14"/>
      <c r="D140" s="314"/>
      <c r="E140" s="148"/>
      <c r="F140" s="151"/>
      <c r="G140" s="137"/>
      <c r="H140" s="137"/>
      <c r="I140" s="138"/>
      <c r="J140" s="167"/>
      <c r="K140" s="111"/>
      <c r="L140" s="111"/>
      <c r="M140" s="111"/>
      <c r="N140" s="111"/>
      <c r="O140" s="111"/>
      <c r="P140" s="111"/>
      <c r="Q140" s="111"/>
      <c r="R140" s="111"/>
    </row>
    <row r="141" spans="1:18" s="118" customFormat="1" x14ac:dyDescent="0.2">
      <c r="A141" s="148"/>
      <c r="B141" s="148"/>
      <c r="C141" s="14"/>
      <c r="D141" s="314"/>
      <c r="E141" s="148"/>
      <c r="F141" s="151"/>
      <c r="G141" s="137"/>
      <c r="H141" s="137"/>
      <c r="I141" s="138"/>
      <c r="J141" s="167"/>
      <c r="K141" s="111"/>
      <c r="L141" s="111"/>
      <c r="M141" s="111"/>
      <c r="N141" s="111"/>
      <c r="O141" s="111"/>
      <c r="P141" s="111"/>
      <c r="Q141" s="111"/>
      <c r="R141" s="111"/>
    </row>
    <row r="142" spans="1:18" s="118" customFormat="1" x14ac:dyDescent="0.2">
      <c r="A142" s="148"/>
      <c r="B142" s="148"/>
      <c r="C142" s="14"/>
      <c r="D142" s="314"/>
      <c r="E142" s="148"/>
      <c r="F142" s="151"/>
      <c r="G142" s="137"/>
      <c r="H142" s="137"/>
      <c r="I142" s="138"/>
      <c r="J142" s="167"/>
      <c r="K142" s="111"/>
      <c r="L142" s="111"/>
      <c r="M142" s="111"/>
      <c r="N142" s="111"/>
      <c r="O142" s="111"/>
      <c r="P142" s="111"/>
      <c r="Q142" s="111"/>
      <c r="R142" s="111"/>
    </row>
    <row r="143" spans="1:18" s="145" customFormat="1" x14ac:dyDescent="0.2">
      <c r="A143" s="140"/>
      <c r="B143" s="140"/>
      <c r="C143" s="141"/>
      <c r="D143" s="112"/>
      <c r="E143" s="140"/>
      <c r="F143" s="194"/>
      <c r="G143" s="194"/>
      <c r="H143" s="142"/>
      <c r="I143" s="143"/>
      <c r="J143" s="285"/>
      <c r="K143" s="144"/>
      <c r="L143" s="144"/>
      <c r="M143" s="144"/>
      <c r="N143" s="144"/>
      <c r="O143" s="144"/>
      <c r="P143" s="144"/>
      <c r="Q143" s="144"/>
      <c r="R143" s="144"/>
    </row>
    <row r="144" spans="1:18" s="118" customFormat="1" x14ac:dyDescent="0.2">
      <c r="A144" s="148"/>
      <c r="B144" s="148"/>
      <c r="C144" s="14"/>
      <c r="D144" s="314"/>
      <c r="E144" s="148"/>
      <c r="F144" s="151"/>
      <c r="G144" s="137"/>
      <c r="H144" s="137"/>
      <c r="I144" s="138"/>
      <c r="J144" s="167"/>
      <c r="K144" s="111"/>
      <c r="L144" s="111"/>
      <c r="M144" s="111"/>
      <c r="N144" s="111"/>
      <c r="O144" s="111"/>
      <c r="P144" s="111"/>
      <c r="Q144" s="111"/>
      <c r="R144" s="111"/>
    </row>
    <row r="145" spans="1:18" s="118" customFormat="1" x14ac:dyDescent="0.2">
      <c r="A145" s="148"/>
      <c r="B145" s="148"/>
      <c r="C145" s="14"/>
      <c r="D145" s="314"/>
      <c r="E145" s="148"/>
      <c r="F145" s="151"/>
      <c r="G145" s="137"/>
      <c r="H145" s="137"/>
      <c r="I145" s="138"/>
      <c r="J145" s="167"/>
      <c r="K145" s="111"/>
      <c r="L145" s="111"/>
      <c r="M145" s="111"/>
      <c r="N145" s="111"/>
      <c r="O145" s="111"/>
      <c r="P145" s="111"/>
      <c r="Q145" s="111"/>
      <c r="R145" s="111"/>
    </row>
    <row r="146" spans="1:18" s="118" customFormat="1" x14ac:dyDescent="0.2">
      <c r="A146" s="148"/>
      <c r="B146" s="148"/>
      <c r="C146" s="14"/>
      <c r="D146" s="314"/>
      <c r="E146" s="148"/>
      <c r="F146" s="151"/>
      <c r="G146" s="137"/>
      <c r="H146" s="137"/>
      <c r="I146" s="138"/>
      <c r="J146" s="167"/>
      <c r="K146" s="111"/>
      <c r="L146" s="111"/>
      <c r="M146" s="111"/>
      <c r="N146" s="111"/>
      <c r="O146" s="111"/>
      <c r="P146" s="111"/>
      <c r="Q146" s="111"/>
      <c r="R146" s="111"/>
    </row>
    <row r="147" spans="1:18" s="145" customFormat="1" x14ac:dyDescent="0.2">
      <c r="A147" s="140"/>
      <c r="B147" s="140"/>
      <c r="C147" s="141"/>
      <c r="D147" s="112"/>
      <c r="E147" s="140"/>
      <c r="F147" s="194"/>
      <c r="G147" s="194"/>
      <c r="H147" s="142"/>
      <c r="I147" s="143"/>
      <c r="J147" s="285"/>
      <c r="K147" s="144"/>
      <c r="L147" s="144"/>
      <c r="M147" s="144"/>
      <c r="N147" s="144"/>
      <c r="O147" s="144"/>
      <c r="P147" s="144"/>
      <c r="Q147" s="144"/>
      <c r="R147" s="144"/>
    </row>
    <row r="148" spans="1:18" s="118" customFormat="1" x14ac:dyDescent="0.2">
      <c r="A148" s="148"/>
      <c r="B148" s="148"/>
      <c r="C148" s="14"/>
      <c r="D148" s="314"/>
      <c r="E148" s="148"/>
      <c r="F148" s="151"/>
      <c r="G148" s="137"/>
      <c r="H148" s="137"/>
      <c r="I148" s="138"/>
      <c r="J148" s="167"/>
      <c r="K148" s="111"/>
      <c r="L148" s="111"/>
      <c r="M148" s="111"/>
      <c r="N148" s="111"/>
      <c r="O148" s="111"/>
      <c r="P148" s="111"/>
      <c r="Q148" s="111"/>
      <c r="R148" s="111"/>
    </row>
    <row r="149" spans="1:18" s="118" customFormat="1" x14ac:dyDescent="0.2">
      <c r="A149" s="148"/>
      <c r="B149" s="148"/>
      <c r="C149" s="14"/>
      <c r="D149" s="314"/>
      <c r="E149" s="148"/>
      <c r="F149" s="151"/>
      <c r="G149" s="137"/>
      <c r="H149" s="137"/>
      <c r="I149" s="138"/>
      <c r="J149" s="167"/>
      <c r="K149" s="111"/>
      <c r="L149" s="111"/>
      <c r="M149" s="111"/>
      <c r="N149" s="111"/>
      <c r="O149" s="111"/>
      <c r="P149" s="111"/>
      <c r="Q149" s="111"/>
      <c r="R149" s="111"/>
    </row>
    <row r="150" spans="1:18" s="118" customFormat="1" x14ac:dyDescent="0.2">
      <c r="A150" s="148"/>
      <c r="B150" s="148"/>
      <c r="C150" s="14"/>
      <c r="D150" s="314"/>
      <c r="E150" s="148"/>
      <c r="F150" s="151"/>
      <c r="G150" s="151"/>
      <c r="H150" s="137"/>
      <c r="I150" s="138"/>
      <c r="J150" s="167"/>
      <c r="K150" s="111"/>
      <c r="L150" s="111"/>
      <c r="M150" s="111"/>
      <c r="N150" s="111"/>
      <c r="O150" s="111"/>
      <c r="P150" s="111"/>
      <c r="Q150" s="111"/>
      <c r="R150" s="111"/>
    </row>
    <row r="151" spans="1:18" s="241" customFormat="1" ht="13.2" x14ac:dyDescent="0.25">
      <c r="A151" s="236"/>
      <c r="B151" s="236"/>
      <c r="C151" s="237"/>
      <c r="D151" s="289"/>
      <c r="E151" s="236"/>
      <c r="F151" s="316"/>
      <c r="G151" s="316"/>
      <c r="H151" s="238"/>
      <c r="I151" s="239"/>
      <c r="J151" s="284" t="e">
        <f>I151/$I$392</f>
        <v>#DIV/0!</v>
      </c>
      <c r="K151" s="240"/>
      <c r="L151" s="240"/>
      <c r="M151" s="240"/>
      <c r="N151" s="240"/>
      <c r="O151" s="240"/>
      <c r="P151" s="240"/>
      <c r="Q151" s="240"/>
      <c r="R151" s="240"/>
    </row>
    <row r="152" spans="1:18" s="145" customFormat="1" x14ac:dyDescent="0.2">
      <c r="A152" s="140"/>
      <c r="B152" s="140"/>
      <c r="C152" s="141"/>
      <c r="D152" s="112"/>
      <c r="E152" s="140"/>
      <c r="F152" s="194"/>
      <c r="G152" s="194"/>
      <c r="H152" s="142"/>
      <c r="I152" s="143"/>
      <c r="J152" s="285"/>
      <c r="K152" s="144"/>
      <c r="L152" s="144"/>
      <c r="M152" s="144"/>
      <c r="N152" s="144"/>
      <c r="O152" s="144"/>
      <c r="P152" s="144"/>
      <c r="Q152" s="144"/>
      <c r="R152" s="144"/>
    </row>
    <row r="153" spans="1:18" s="118" customFormat="1" x14ac:dyDescent="0.2">
      <c r="A153" s="148"/>
      <c r="B153" s="148"/>
      <c r="C153" s="14"/>
      <c r="D153" s="314"/>
      <c r="E153" s="148"/>
      <c r="F153" s="151"/>
      <c r="G153" s="137"/>
      <c r="H153" s="137"/>
      <c r="I153" s="138"/>
      <c r="J153" s="167"/>
      <c r="K153" s="111"/>
      <c r="L153" s="111"/>
      <c r="M153" s="111"/>
      <c r="N153" s="111"/>
      <c r="O153" s="111"/>
      <c r="P153" s="111"/>
      <c r="Q153" s="111"/>
      <c r="R153" s="111"/>
    </row>
    <row r="154" spans="1:18" s="118" customFormat="1" x14ac:dyDescent="0.2">
      <c r="A154" s="148"/>
      <c r="B154" s="148"/>
      <c r="C154" s="14"/>
      <c r="D154" s="314"/>
      <c r="E154" s="148"/>
      <c r="F154" s="151"/>
      <c r="G154" s="137"/>
      <c r="H154" s="137"/>
      <c r="I154" s="138"/>
      <c r="J154" s="167"/>
      <c r="K154" s="111"/>
      <c r="L154" s="111"/>
      <c r="M154" s="111"/>
      <c r="N154" s="111"/>
      <c r="O154" s="111"/>
      <c r="P154" s="111"/>
      <c r="Q154" s="111"/>
      <c r="R154" s="111"/>
    </row>
    <row r="155" spans="1:18" s="118" customFormat="1" x14ac:dyDescent="0.2">
      <c r="A155" s="148"/>
      <c r="B155" s="148"/>
      <c r="C155" s="14"/>
      <c r="D155" s="314"/>
      <c r="E155" s="148"/>
      <c r="F155" s="151"/>
      <c r="G155" s="137"/>
      <c r="H155" s="137"/>
      <c r="I155" s="138"/>
      <c r="J155" s="167"/>
      <c r="K155" s="111"/>
      <c r="L155" s="111"/>
      <c r="M155" s="111"/>
      <c r="N155" s="111"/>
      <c r="O155" s="111"/>
      <c r="P155" s="111"/>
      <c r="Q155" s="111"/>
      <c r="R155" s="111"/>
    </row>
    <row r="156" spans="1:18" s="118" customFormat="1" x14ac:dyDescent="0.2">
      <c r="A156" s="148"/>
      <c r="B156" s="148"/>
      <c r="C156" s="14"/>
      <c r="D156" s="314"/>
      <c r="E156" s="148"/>
      <c r="F156" s="151"/>
      <c r="G156" s="137"/>
      <c r="H156" s="137"/>
      <c r="I156" s="138"/>
      <c r="J156" s="167"/>
      <c r="K156" s="111"/>
      <c r="L156" s="111"/>
      <c r="M156" s="111"/>
      <c r="N156" s="111"/>
      <c r="O156" s="111"/>
      <c r="P156" s="111"/>
      <c r="Q156" s="111"/>
      <c r="R156" s="111"/>
    </row>
    <row r="157" spans="1:18" s="118" customFormat="1" x14ac:dyDescent="0.2">
      <c r="A157" s="148"/>
      <c r="B157" s="148"/>
      <c r="C157" s="14"/>
      <c r="D157" s="314"/>
      <c r="E157" s="148"/>
      <c r="F157" s="151"/>
      <c r="G157" s="137"/>
      <c r="H157" s="137"/>
      <c r="I157" s="138"/>
      <c r="J157" s="167"/>
      <c r="K157" s="111"/>
      <c r="L157" s="111"/>
      <c r="M157" s="111"/>
      <c r="N157" s="111"/>
      <c r="O157" s="111"/>
      <c r="P157" s="111"/>
      <c r="Q157" s="111"/>
      <c r="R157" s="111"/>
    </row>
    <row r="158" spans="1:18" s="118" customFormat="1" x14ac:dyDescent="0.2">
      <c r="A158" s="148"/>
      <c r="B158" s="148"/>
      <c r="C158" s="14"/>
      <c r="D158" s="314"/>
      <c r="E158" s="148"/>
      <c r="F158" s="151"/>
      <c r="G158" s="137"/>
      <c r="H158" s="137"/>
      <c r="I158" s="138"/>
      <c r="J158" s="167"/>
      <c r="K158" s="111"/>
      <c r="L158" s="111"/>
      <c r="M158" s="111"/>
      <c r="N158" s="111"/>
      <c r="O158" s="111"/>
      <c r="P158" s="111"/>
      <c r="Q158" s="111"/>
      <c r="R158" s="111"/>
    </row>
    <row r="159" spans="1:18" s="118" customFormat="1" x14ac:dyDescent="0.2">
      <c r="A159" s="148"/>
      <c r="B159" s="148"/>
      <c r="C159" s="14"/>
      <c r="D159" s="314"/>
      <c r="E159" s="148"/>
      <c r="F159" s="151"/>
      <c r="G159" s="137"/>
      <c r="H159" s="137"/>
      <c r="I159" s="138"/>
      <c r="J159" s="167"/>
      <c r="K159" s="111"/>
      <c r="L159" s="111"/>
      <c r="M159" s="111"/>
      <c r="N159" s="111"/>
      <c r="O159" s="111"/>
      <c r="P159" s="111"/>
      <c r="Q159" s="111"/>
      <c r="R159" s="111"/>
    </row>
    <row r="160" spans="1:18" s="118" customFormat="1" x14ac:dyDescent="0.2">
      <c r="A160" s="148"/>
      <c r="B160" s="148"/>
      <c r="C160" s="14"/>
      <c r="D160" s="314"/>
      <c r="E160" s="148"/>
      <c r="F160" s="151"/>
      <c r="G160" s="137"/>
      <c r="H160" s="137"/>
      <c r="I160" s="138"/>
      <c r="J160" s="167"/>
      <c r="K160" s="111"/>
      <c r="L160" s="111"/>
      <c r="M160" s="111"/>
      <c r="N160" s="111"/>
      <c r="O160" s="111"/>
      <c r="P160" s="111"/>
      <c r="Q160" s="111"/>
      <c r="R160" s="111"/>
    </row>
    <row r="161" spans="1:18" s="145" customFormat="1" x14ac:dyDescent="0.2">
      <c r="A161" s="140"/>
      <c r="B161" s="140"/>
      <c r="C161" s="141"/>
      <c r="D161" s="112"/>
      <c r="E161" s="140"/>
      <c r="F161" s="194"/>
      <c r="G161" s="194"/>
      <c r="H161" s="142"/>
      <c r="I161" s="143"/>
      <c r="J161" s="285"/>
      <c r="K161" s="144"/>
      <c r="L161" s="144"/>
      <c r="M161" s="144"/>
      <c r="N161" s="144"/>
      <c r="O161" s="144"/>
      <c r="P161" s="144"/>
      <c r="Q161" s="144"/>
      <c r="R161" s="144"/>
    </row>
    <row r="162" spans="1:18" s="118" customFormat="1" x14ac:dyDescent="0.2">
      <c r="A162" s="148"/>
      <c r="B162" s="148"/>
      <c r="C162" s="14"/>
      <c r="D162" s="314"/>
      <c r="E162" s="148"/>
      <c r="F162" s="151"/>
      <c r="G162" s="137"/>
      <c r="H162" s="137"/>
      <c r="I162" s="138"/>
      <c r="J162" s="167"/>
      <c r="K162" s="111"/>
      <c r="L162" s="111"/>
      <c r="M162" s="111"/>
      <c r="N162" s="111"/>
      <c r="O162" s="111"/>
      <c r="P162" s="111"/>
      <c r="Q162" s="111"/>
      <c r="R162" s="111"/>
    </row>
    <row r="163" spans="1:18" s="118" customFormat="1" x14ac:dyDescent="0.2">
      <c r="A163" s="148"/>
      <c r="B163" s="148"/>
      <c r="C163" s="14"/>
      <c r="D163" s="314"/>
      <c r="E163" s="148"/>
      <c r="F163" s="151"/>
      <c r="G163" s="137"/>
      <c r="H163" s="137"/>
      <c r="I163" s="138"/>
      <c r="J163" s="167"/>
      <c r="K163" s="111"/>
      <c r="L163" s="111"/>
      <c r="M163" s="111"/>
      <c r="N163" s="111"/>
      <c r="O163" s="111"/>
      <c r="P163" s="111"/>
      <c r="Q163" s="111"/>
      <c r="R163" s="111"/>
    </row>
    <row r="164" spans="1:18" s="118" customFormat="1" x14ac:dyDescent="0.2">
      <c r="A164" s="148"/>
      <c r="B164" s="148"/>
      <c r="C164" s="14"/>
      <c r="D164" s="314"/>
      <c r="E164" s="148"/>
      <c r="F164" s="151"/>
      <c r="G164" s="137"/>
      <c r="H164" s="137"/>
      <c r="I164" s="138"/>
      <c r="J164" s="167"/>
      <c r="K164" s="111"/>
      <c r="L164" s="111"/>
      <c r="M164" s="111"/>
      <c r="N164" s="111"/>
      <c r="O164" s="111"/>
      <c r="P164" s="111"/>
      <c r="Q164" s="111"/>
      <c r="R164" s="111"/>
    </row>
    <row r="165" spans="1:18" s="145" customFormat="1" x14ac:dyDescent="0.2">
      <c r="A165" s="140"/>
      <c r="B165" s="140"/>
      <c r="C165" s="141"/>
      <c r="D165" s="112"/>
      <c r="E165" s="140"/>
      <c r="F165" s="194"/>
      <c r="G165" s="194"/>
      <c r="H165" s="142"/>
      <c r="I165" s="143"/>
      <c r="J165" s="285"/>
      <c r="K165" s="144"/>
      <c r="L165" s="144"/>
      <c r="M165" s="144"/>
      <c r="N165" s="144"/>
      <c r="O165" s="144"/>
      <c r="P165" s="144"/>
      <c r="Q165" s="144"/>
      <c r="R165" s="144"/>
    </row>
    <row r="166" spans="1:18" s="118" customFormat="1" x14ac:dyDescent="0.2">
      <c r="A166" s="148"/>
      <c r="B166" s="148"/>
      <c r="C166" s="14"/>
      <c r="D166" s="314"/>
      <c r="E166" s="148"/>
      <c r="F166" s="151"/>
      <c r="G166" s="137"/>
      <c r="H166" s="137"/>
      <c r="I166" s="138"/>
      <c r="J166" s="167"/>
      <c r="K166" s="111"/>
      <c r="L166" s="111"/>
      <c r="M166" s="111"/>
      <c r="N166" s="111"/>
      <c r="O166" s="111"/>
      <c r="P166" s="111"/>
      <c r="Q166" s="111"/>
      <c r="R166" s="111"/>
    </row>
    <row r="167" spans="1:18" s="118" customFormat="1" x14ac:dyDescent="0.2">
      <c r="A167" s="148"/>
      <c r="B167" s="148"/>
      <c r="C167" s="14"/>
      <c r="D167" s="314"/>
      <c r="E167" s="148"/>
      <c r="F167" s="151"/>
      <c r="G167" s="137"/>
      <c r="H167" s="137"/>
      <c r="I167" s="138"/>
      <c r="J167" s="167"/>
      <c r="K167" s="111"/>
      <c r="L167" s="111"/>
      <c r="M167" s="111"/>
      <c r="N167" s="111"/>
      <c r="O167" s="111"/>
      <c r="P167" s="111"/>
      <c r="Q167" s="111"/>
      <c r="R167" s="111"/>
    </row>
    <row r="168" spans="1:18" s="118" customFormat="1" x14ac:dyDescent="0.2">
      <c r="A168" s="148"/>
      <c r="B168" s="148"/>
      <c r="C168" s="14"/>
      <c r="D168" s="314"/>
      <c r="E168" s="148"/>
      <c r="F168" s="151"/>
      <c r="G168" s="137"/>
      <c r="H168" s="137"/>
      <c r="I168" s="138"/>
      <c r="J168" s="167"/>
      <c r="K168" s="111"/>
      <c r="L168" s="111"/>
      <c r="M168" s="111"/>
      <c r="N168" s="111"/>
      <c r="O168" s="111"/>
      <c r="P168" s="111"/>
      <c r="Q168" s="111"/>
      <c r="R168" s="111"/>
    </row>
    <row r="169" spans="1:18" s="145" customFormat="1" x14ac:dyDescent="0.2">
      <c r="A169" s="140"/>
      <c r="B169" s="140"/>
      <c r="C169" s="141"/>
      <c r="D169" s="112"/>
      <c r="E169" s="140"/>
      <c r="F169" s="194"/>
      <c r="G169" s="194"/>
      <c r="H169" s="142"/>
      <c r="I169" s="143"/>
      <c r="J169" s="285"/>
      <c r="K169" s="144"/>
      <c r="L169" s="144"/>
      <c r="M169" s="144"/>
      <c r="N169" s="144"/>
      <c r="O169" s="144"/>
      <c r="P169" s="144"/>
      <c r="Q169" s="144"/>
      <c r="R169" s="144"/>
    </row>
    <row r="170" spans="1:18" s="118" customFormat="1" x14ac:dyDescent="0.2">
      <c r="A170" s="148"/>
      <c r="B170" s="148"/>
      <c r="C170" s="14"/>
      <c r="D170" s="314"/>
      <c r="E170" s="148"/>
      <c r="F170" s="151"/>
      <c r="G170" s="137"/>
      <c r="H170" s="137"/>
      <c r="I170" s="138"/>
      <c r="J170" s="167"/>
      <c r="K170" s="111"/>
      <c r="L170" s="111"/>
      <c r="M170" s="111"/>
      <c r="N170" s="111"/>
      <c r="O170" s="111"/>
      <c r="P170" s="111"/>
      <c r="Q170" s="111"/>
      <c r="R170" s="111"/>
    </row>
    <row r="171" spans="1:18" s="145" customFormat="1" x14ac:dyDescent="0.2">
      <c r="A171" s="140"/>
      <c r="B171" s="140"/>
      <c r="C171" s="141"/>
      <c r="D171" s="112"/>
      <c r="E171" s="140"/>
      <c r="F171" s="194"/>
      <c r="G171" s="194"/>
      <c r="H171" s="142"/>
      <c r="I171" s="143"/>
      <c r="J171" s="285"/>
      <c r="K171" s="144"/>
      <c r="L171" s="144"/>
      <c r="M171" s="144"/>
      <c r="N171" s="144"/>
      <c r="O171" s="144"/>
      <c r="P171" s="144"/>
      <c r="Q171" s="144"/>
      <c r="R171" s="144"/>
    </row>
    <row r="172" spans="1:18" s="118" customFormat="1" x14ac:dyDescent="0.2">
      <c r="A172" s="148"/>
      <c r="B172" s="148"/>
      <c r="C172" s="14"/>
      <c r="D172" s="314"/>
      <c r="E172" s="148"/>
      <c r="F172" s="151"/>
      <c r="G172" s="137"/>
      <c r="H172" s="137"/>
      <c r="I172" s="138"/>
      <c r="J172" s="167"/>
      <c r="K172" s="111"/>
      <c r="L172" s="111"/>
      <c r="M172" s="111"/>
      <c r="N172" s="111"/>
      <c r="O172" s="111"/>
      <c r="P172" s="111"/>
      <c r="Q172" s="111"/>
      <c r="R172" s="111"/>
    </row>
    <row r="173" spans="1:18" s="118" customFormat="1" x14ac:dyDescent="0.2">
      <c r="A173" s="148"/>
      <c r="B173" s="148"/>
      <c r="C173" s="14"/>
      <c r="D173" s="314"/>
      <c r="E173" s="148"/>
      <c r="F173" s="151"/>
      <c r="G173" s="137"/>
      <c r="H173" s="137"/>
      <c r="I173" s="138"/>
      <c r="J173" s="167"/>
      <c r="K173" s="111"/>
      <c r="L173" s="111"/>
      <c r="M173" s="111"/>
      <c r="N173" s="111"/>
      <c r="O173" s="111"/>
      <c r="P173" s="111"/>
      <c r="Q173" s="111"/>
      <c r="R173" s="111"/>
    </row>
    <row r="174" spans="1:18" s="118" customFormat="1" x14ac:dyDescent="0.2">
      <c r="A174" s="148"/>
      <c r="B174" s="148"/>
      <c r="C174" s="14"/>
      <c r="D174" s="314"/>
      <c r="E174" s="148"/>
      <c r="F174" s="151"/>
      <c r="G174" s="151"/>
      <c r="H174" s="137"/>
      <c r="I174" s="138"/>
      <c r="J174" s="167"/>
      <c r="K174" s="111"/>
      <c r="L174" s="111"/>
      <c r="M174" s="111"/>
      <c r="N174" s="111"/>
      <c r="O174" s="111"/>
      <c r="P174" s="111"/>
      <c r="Q174" s="111"/>
      <c r="R174" s="111"/>
    </row>
    <row r="175" spans="1:18" s="241" customFormat="1" ht="13.2" x14ac:dyDescent="0.25">
      <c r="A175" s="236"/>
      <c r="B175" s="236"/>
      <c r="C175" s="237"/>
      <c r="D175" s="289"/>
      <c r="E175" s="236"/>
      <c r="F175" s="316"/>
      <c r="G175" s="316"/>
      <c r="H175" s="238"/>
      <c r="I175" s="239"/>
      <c r="J175" s="284" t="e">
        <f>I175/$I$392</f>
        <v>#DIV/0!</v>
      </c>
      <c r="K175" s="240"/>
      <c r="L175" s="240"/>
      <c r="M175" s="240"/>
      <c r="N175" s="240"/>
      <c r="O175" s="240"/>
      <c r="P175" s="240"/>
      <c r="Q175" s="240"/>
      <c r="R175" s="240"/>
    </row>
    <row r="176" spans="1:18" s="145" customFormat="1" x14ac:dyDescent="0.2">
      <c r="A176" s="140"/>
      <c r="B176" s="140"/>
      <c r="C176" s="141"/>
      <c r="D176" s="112"/>
      <c r="E176" s="140"/>
      <c r="F176" s="194"/>
      <c r="G176" s="194"/>
      <c r="H176" s="142"/>
      <c r="I176" s="143"/>
      <c r="J176" s="285"/>
      <c r="K176" s="144"/>
      <c r="L176" s="144"/>
      <c r="M176" s="144"/>
      <c r="N176" s="144"/>
      <c r="O176" s="144"/>
      <c r="P176" s="144"/>
      <c r="Q176" s="144"/>
      <c r="R176" s="144"/>
    </row>
    <row r="177" spans="1:18" s="118" customFormat="1" x14ac:dyDescent="0.2">
      <c r="A177" s="148"/>
      <c r="B177" s="148"/>
      <c r="C177" s="14"/>
      <c r="D177" s="314"/>
      <c r="E177" s="148"/>
      <c r="F177" s="151"/>
      <c r="G177" s="137"/>
      <c r="H177" s="137"/>
      <c r="I177" s="138"/>
      <c r="J177" s="167"/>
      <c r="K177" s="111"/>
      <c r="L177" s="111"/>
      <c r="M177" s="111"/>
      <c r="N177" s="111"/>
      <c r="O177" s="111"/>
      <c r="P177" s="111"/>
      <c r="Q177" s="111"/>
      <c r="R177" s="111"/>
    </row>
    <row r="178" spans="1:18" s="118" customFormat="1" x14ac:dyDescent="0.2">
      <c r="A178" s="148"/>
      <c r="B178" s="148"/>
      <c r="C178" s="14"/>
      <c r="D178" s="314"/>
      <c r="E178" s="148"/>
      <c r="F178" s="151"/>
      <c r="G178" s="137"/>
      <c r="H178" s="137"/>
      <c r="I178" s="138"/>
      <c r="J178" s="167"/>
      <c r="K178" s="111"/>
      <c r="L178" s="111"/>
      <c r="M178" s="111"/>
      <c r="N178" s="111"/>
      <c r="O178" s="111"/>
      <c r="P178" s="111"/>
      <c r="Q178" s="111"/>
      <c r="R178" s="111"/>
    </row>
    <row r="179" spans="1:18" s="118" customFormat="1" x14ac:dyDescent="0.2">
      <c r="A179" s="148"/>
      <c r="B179" s="148"/>
      <c r="C179" s="14"/>
      <c r="D179" s="314"/>
      <c r="E179" s="148"/>
      <c r="F179" s="151"/>
      <c r="G179" s="137"/>
      <c r="H179" s="137"/>
      <c r="I179" s="138"/>
      <c r="J179" s="167"/>
      <c r="K179" s="111"/>
      <c r="L179" s="111"/>
      <c r="M179" s="111"/>
      <c r="N179" s="111"/>
      <c r="O179" s="111"/>
      <c r="P179" s="111"/>
      <c r="Q179" s="111"/>
      <c r="R179" s="111"/>
    </row>
    <row r="180" spans="1:18" s="118" customFormat="1" x14ac:dyDescent="0.2">
      <c r="A180" s="148"/>
      <c r="B180" s="148"/>
      <c r="C180" s="14"/>
      <c r="D180" s="314"/>
      <c r="E180" s="148"/>
      <c r="F180" s="151"/>
      <c r="G180" s="137"/>
      <c r="H180" s="137"/>
      <c r="I180" s="138"/>
      <c r="J180" s="167"/>
      <c r="K180" s="111"/>
      <c r="L180" s="111"/>
      <c r="M180" s="111"/>
      <c r="N180" s="111"/>
      <c r="O180" s="111"/>
      <c r="P180" s="111"/>
      <c r="Q180" s="111"/>
      <c r="R180" s="111"/>
    </row>
    <row r="181" spans="1:18" s="118" customFormat="1" x14ac:dyDescent="0.2">
      <c r="A181" s="148"/>
      <c r="B181" s="148"/>
      <c r="C181" s="14"/>
      <c r="D181" s="314"/>
      <c r="E181" s="148"/>
      <c r="F181" s="151"/>
      <c r="G181" s="137"/>
      <c r="H181" s="137"/>
      <c r="I181" s="138"/>
      <c r="J181" s="167"/>
      <c r="K181" s="111"/>
      <c r="L181" s="111"/>
      <c r="M181" s="111"/>
      <c r="N181" s="111"/>
      <c r="O181" s="111"/>
      <c r="P181" s="111"/>
      <c r="Q181" s="111"/>
      <c r="R181" s="111"/>
    </row>
    <row r="182" spans="1:18" s="145" customFormat="1" x14ac:dyDescent="0.2">
      <c r="A182" s="140"/>
      <c r="B182" s="140"/>
      <c r="C182" s="141"/>
      <c r="D182" s="112"/>
      <c r="E182" s="140"/>
      <c r="F182" s="194"/>
      <c r="G182" s="194"/>
      <c r="H182" s="142"/>
      <c r="I182" s="143"/>
      <c r="J182" s="285"/>
      <c r="K182" s="144"/>
      <c r="L182" s="144"/>
      <c r="M182" s="144"/>
      <c r="N182" s="144"/>
      <c r="O182" s="144"/>
      <c r="P182" s="144"/>
      <c r="Q182" s="144"/>
      <c r="R182" s="144"/>
    </row>
    <row r="183" spans="1:18" s="118" customFormat="1" x14ac:dyDescent="0.2">
      <c r="A183" s="148"/>
      <c r="B183" s="148"/>
      <c r="C183" s="14"/>
      <c r="D183" s="314"/>
      <c r="E183" s="148"/>
      <c r="F183" s="151"/>
      <c r="G183" s="137"/>
      <c r="H183" s="137"/>
      <c r="I183" s="138"/>
      <c r="J183" s="167"/>
      <c r="K183" s="111"/>
      <c r="L183" s="111"/>
      <c r="M183" s="111"/>
      <c r="N183" s="111"/>
      <c r="O183" s="111"/>
      <c r="P183" s="111"/>
      <c r="Q183" s="111"/>
      <c r="R183" s="111"/>
    </row>
    <row r="184" spans="1:18" s="118" customFormat="1" x14ac:dyDescent="0.2">
      <c r="A184" s="148"/>
      <c r="B184" s="148"/>
      <c r="C184" s="14"/>
      <c r="D184" s="314"/>
      <c r="E184" s="148"/>
      <c r="F184" s="151"/>
      <c r="G184" s="137"/>
      <c r="H184" s="137"/>
      <c r="I184" s="138"/>
      <c r="J184" s="167"/>
      <c r="K184" s="111"/>
      <c r="L184" s="111"/>
      <c r="M184" s="111"/>
      <c r="N184" s="111"/>
      <c r="O184" s="111"/>
      <c r="P184" s="111"/>
      <c r="Q184" s="111"/>
      <c r="R184" s="111"/>
    </row>
    <row r="185" spans="1:18" s="145" customFormat="1" x14ac:dyDescent="0.2">
      <c r="A185" s="140"/>
      <c r="B185" s="140"/>
      <c r="C185" s="141"/>
      <c r="D185" s="112"/>
      <c r="E185" s="140"/>
      <c r="F185" s="194"/>
      <c r="G185" s="194"/>
      <c r="H185" s="142"/>
      <c r="I185" s="143"/>
      <c r="J185" s="285"/>
      <c r="K185" s="144"/>
      <c r="L185" s="144"/>
      <c r="M185" s="144"/>
      <c r="N185" s="144"/>
      <c r="O185" s="144"/>
      <c r="P185" s="144"/>
      <c r="Q185" s="144"/>
      <c r="R185" s="144"/>
    </row>
    <row r="186" spans="1:18" s="118" customFormat="1" x14ac:dyDescent="0.2">
      <c r="A186" s="148"/>
      <c r="B186" s="148"/>
      <c r="C186" s="14"/>
      <c r="D186" s="314"/>
      <c r="E186" s="148"/>
      <c r="F186" s="151"/>
      <c r="G186" s="137"/>
      <c r="H186" s="137"/>
      <c r="I186" s="138"/>
      <c r="J186" s="167"/>
      <c r="K186" s="111"/>
      <c r="L186" s="111"/>
      <c r="M186" s="111"/>
      <c r="N186" s="111"/>
      <c r="O186" s="111"/>
      <c r="P186" s="111"/>
      <c r="Q186" s="111"/>
      <c r="R186" s="111"/>
    </row>
    <row r="187" spans="1:18" s="145" customFormat="1" x14ac:dyDescent="0.2">
      <c r="A187" s="140"/>
      <c r="B187" s="140"/>
      <c r="C187" s="141"/>
      <c r="D187" s="112"/>
      <c r="E187" s="140"/>
      <c r="F187" s="194"/>
      <c r="G187" s="194"/>
      <c r="H187" s="142"/>
      <c r="I187" s="143"/>
      <c r="J187" s="285"/>
      <c r="K187" s="144"/>
      <c r="L187" s="144"/>
      <c r="M187" s="144"/>
      <c r="N187" s="144"/>
      <c r="O187" s="144"/>
      <c r="P187" s="144"/>
      <c r="Q187" s="144"/>
      <c r="R187" s="144"/>
    </row>
    <row r="188" spans="1:18" s="118" customFormat="1" x14ac:dyDescent="0.2">
      <c r="A188" s="148"/>
      <c r="B188" s="148"/>
      <c r="C188" s="14"/>
      <c r="D188" s="314"/>
      <c r="E188" s="148"/>
      <c r="F188" s="151"/>
      <c r="G188" s="137"/>
      <c r="H188" s="137"/>
      <c r="I188" s="138"/>
      <c r="J188" s="167"/>
      <c r="K188" s="111"/>
      <c r="L188" s="111"/>
      <c r="M188" s="111"/>
      <c r="N188" s="111"/>
      <c r="O188" s="111"/>
      <c r="P188" s="111"/>
      <c r="Q188" s="111"/>
      <c r="R188" s="111"/>
    </row>
    <row r="189" spans="1:18" s="145" customFormat="1" x14ac:dyDescent="0.2">
      <c r="A189" s="140"/>
      <c r="B189" s="140"/>
      <c r="C189" s="141"/>
      <c r="D189" s="112"/>
      <c r="E189" s="140"/>
      <c r="F189" s="194"/>
      <c r="G189" s="194"/>
      <c r="H189" s="142"/>
      <c r="I189" s="143"/>
      <c r="J189" s="285"/>
      <c r="K189" s="144"/>
      <c r="L189" s="144"/>
      <c r="M189" s="144"/>
      <c r="N189" s="144"/>
      <c r="O189" s="144"/>
      <c r="P189" s="144"/>
      <c r="Q189" s="144"/>
      <c r="R189" s="144"/>
    </row>
    <row r="190" spans="1:18" s="118" customFormat="1" x14ac:dyDescent="0.2">
      <c r="A190" s="148"/>
      <c r="B190" s="148"/>
      <c r="C190" s="14"/>
      <c r="D190" s="314"/>
      <c r="E190" s="148"/>
      <c r="F190" s="151"/>
      <c r="G190" s="137"/>
      <c r="H190" s="137"/>
      <c r="I190" s="138"/>
      <c r="J190" s="167"/>
      <c r="K190" s="111"/>
      <c r="L190" s="111"/>
      <c r="M190" s="111"/>
      <c r="N190" s="111"/>
      <c r="O190" s="111"/>
      <c r="P190" s="111"/>
      <c r="Q190" s="111"/>
      <c r="R190" s="111"/>
    </row>
    <row r="191" spans="1:18" s="118" customFormat="1" x14ac:dyDescent="0.2">
      <c r="A191" s="148"/>
      <c r="B191" s="148"/>
      <c r="C191" s="14"/>
      <c r="D191" s="314"/>
      <c r="E191" s="148"/>
      <c r="F191" s="151"/>
      <c r="G191" s="151"/>
      <c r="H191" s="137"/>
      <c r="I191" s="138"/>
      <c r="J191" s="167"/>
      <c r="K191" s="111"/>
      <c r="L191" s="111"/>
      <c r="M191" s="111"/>
      <c r="N191" s="111"/>
      <c r="O191" s="111"/>
      <c r="P191" s="111"/>
      <c r="Q191" s="111"/>
      <c r="R191" s="111"/>
    </row>
    <row r="192" spans="1:18" s="241" customFormat="1" ht="13.2" x14ac:dyDescent="0.25">
      <c r="A192" s="236"/>
      <c r="B192" s="236"/>
      <c r="C192" s="237"/>
      <c r="D192" s="289"/>
      <c r="E192" s="236"/>
      <c r="F192" s="316"/>
      <c r="G192" s="316"/>
      <c r="H192" s="238"/>
      <c r="I192" s="239"/>
      <c r="J192" s="284" t="e">
        <f>I192/$I$392</f>
        <v>#DIV/0!</v>
      </c>
      <c r="K192" s="240"/>
      <c r="L192" s="240"/>
      <c r="M192" s="240"/>
      <c r="N192" s="240"/>
      <c r="O192" s="240"/>
      <c r="P192" s="240"/>
      <c r="Q192" s="240"/>
      <c r="R192" s="240"/>
    </row>
    <row r="193" spans="1:18" s="145" customFormat="1" x14ac:dyDescent="0.2">
      <c r="A193" s="140"/>
      <c r="B193" s="140"/>
      <c r="C193" s="141"/>
      <c r="D193" s="112"/>
      <c r="E193" s="140"/>
      <c r="F193" s="194"/>
      <c r="G193" s="194"/>
      <c r="H193" s="142"/>
      <c r="I193" s="143"/>
      <c r="J193" s="285"/>
      <c r="K193" s="144"/>
      <c r="L193" s="144"/>
      <c r="M193" s="144"/>
      <c r="N193" s="144"/>
      <c r="O193" s="144"/>
      <c r="P193" s="144"/>
      <c r="Q193" s="144"/>
      <c r="R193" s="144"/>
    </row>
    <row r="194" spans="1:18" s="118" customFormat="1" x14ac:dyDescent="0.2">
      <c r="A194" s="148"/>
      <c r="B194" s="148"/>
      <c r="C194" s="14"/>
      <c r="D194" s="314"/>
      <c r="E194" s="148"/>
      <c r="F194" s="151"/>
      <c r="G194" s="137"/>
      <c r="H194" s="137"/>
      <c r="I194" s="138"/>
      <c r="J194" s="167"/>
      <c r="K194" s="111"/>
      <c r="L194" s="111"/>
      <c r="M194" s="111"/>
      <c r="N194" s="111"/>
      <c r="O194" s="111"/>
      <c r="P194" s="111"/>
      <c r="Q194" s="111"/>
      <c r="R194" s="111"/>
    </row>
    <row r="195" spans="1:18" s="118" customFormat="1" x14ac:dyDescent="0.2">
      <c r="A195" s="148"/>
      <c r="B195" s="148"/>
      <c r="C195" s="14"/>
      <c r="D195" s="314"/>
      <c r="E195" s="148"/>
      <c r="F195" s="151"/>
      <c r="G195" s="137"/>
      <c r="H195" s="137"/>
      <c r="I195" s="138"/>
      <c r="J195" s="167"/>
      <c r="K195" s="111"/>
      <c r="L195" s="111"/>
      <c r="M195" s="111"/>
      <c r="N195" s="111"/>
      <c r="O195" s="111"/>
      <c r="P195" s="111"/>
      <c r="Q195" s="111"/>
      <c r="R195" s="111"/>
    </row>
    <row r="196" spans="1:18" s="118" customFormat="1" x14ac:dyDescent="0.2">
      <c r="A196" s="148"/>
      <c r="B196" s="148"/>
      <c r="C196" s="14"/>
      <c r="D196" s="314"/>
      <c r="E196" s="148"/>
      <c r="F196" s="151"/>
      <c r="G196" s="137"/>
      <c r="H196" s="137"/>
      <c r="I196" s="138"/>
      <c r="J196" s="167"/>
      <c r="K196" s="111"/>
      <c r="L196" s="111"/>
      <c r="M196" s="111"/>
      <c r="N196" s="111"/>
      <c r="O196" s="111"/>
      <c r="P196" s="111"/>
      <c r="Q196" s="111"/>
      <c r="R196" s="111"/>
    </row>
    <row r="197" spans="1:18" s="118" customFormat="1" x14ac:dyDescent="0.2">
      <c r="A197" s="148"/>
      <c r="B197" s="148"/>
      <c r="C197" s="14"/>
      <c r="D197" s="314"/>
      <c r="E197" s="148"/>
      <c r="F197" s="151"/>
      <c r="G197" s="137"/>
      <c r="H197" s="137"/>
      <c r="I197" s="138"/>
      <c r="J197" s="167"/>
      <c r="K197" s="111"/>
      <c r="L197" s="111"/>
      <c r="M197" s="111"/>
      <c r="N197" s="111"/>
      <c r="O197" s="111"/>
      <c r="P197" s="111"/>
      <c r="Q197" s="111"/>
      <c r="R197" s="111"/>
    </row>
    <row r="198" spans="1:18" s="118" customFormat="1" x14ac:dyDescent="0.2">
      <c r="A198" s="148"/>
      <c r="B198" s="148"/>
      <c r="C198" s="14"/>
      <c r="D198" s="314"/>
      <c r="E198" s="148"/>
      <c r="F198" s="151"/>
      <c r="G198" s="137"/>
      <c r="H198" s="137"/>
      <c r="I198" s="138"/>
      <c r="J198" s="167"/>
      <c r="K198" s="111"/>
      <c r="L198" s="111"/>
      <c r="M198" s="111"/>
      <c r="N198" s="111"/>
      <c r="O198" s="111"/>
      <c r="P198" s="111"/>
      <c r="Q198" s="111"/>
      <c r="R198" s="111"/>
    </row>
    <row r="199" spans="1:18" s="118" customFormat="1" x14ac:dyDescent="0.2">
      <c r="A199" s="148"/>
      <c r="B199" s="148"/>
      <c r="C199" s="14"/>
      <c r="D199" s="314"/>
      <c r="E199" s="148"/>
      <c r="F199" s="151"/>
      <c r="G199" s="137"/>
      <c r="H199" s="137"/>
      <c r="I199" s="138"/>
      <c r="J199" s="167"/>
      <c r="K199" s="111"/>
      <c r="L199" s="111"/>
      <c r="M199" s="111"/>
      <c r="N199" s="111"/>
      <c r="O199" s="111"/>
      <c r="P199" s="111"/>
      <c r="Q199" s="111"/>
      <c r="R199" s="111"/>
    </row>
    <row r="200" spans="1:18" s="118" customFormat="1" x14ac:dyDescent="0.2">
      <c r="A200" s="148"/>
      <c r="B200" s="148"/>
      <c r="C200" s="14"/>
      <c r="D200" s="314"/>
      <c r="E200" s="148"/>
      <c r="F200" s="151"/>
      <c r="G200" s="137"/>
      <c r="H200" s="137"/>
      <c r="I200" s="138"/>
      <c r="J200" s="167"/>
      <c r="K200" s="111"/>
      <c r="L200" s="111"/>
      <c r="M200" s="111"/>
      <c r="N200" s="111"/>
      <c r="O200" s="111"/>
      <c r="P200" s="111"/>
      <c r="Q200" s="111"/>
      <c r="R200" s="111"/>
    </row>
    <row r="201" spans="1:18" s="118" customFormat="1" x14ac:dyDescent="0.2">
      <c r="A201" s="148"/>
      <c r="B201" s="148"/>
      <c r="C201" s="14"/>
      <c r="D201" s="314"/>
      <c r="E201" s="148"/>
      <c r="F201" s="151"/>
      <c r="G201" s="137"/>
      <c r="H201" s="137"/>
      <c r="I201" s="138"/>
      <c r="J201" s="167"/>
      <c r="K201" s="111"/>
      <c r="L201" s="111"/>
      <c r="M201" s="111"/>
      <c r="N201" s="111"/>
      <c r="O201" s="111"/>
      <c r="P201" s="111"/>
      <c r="Q201" s="111"/>
      <c r="R201" s="111"/>
    </row>
    <row r="202" spans="1:18" s="145" customFormat="1" x14ac:dyDescent="0.2">
      <c r="A202" s="140"/>
      <c r="B202" s="140"/>
      <c r="C202" s="141"/>
      <c r="D202" s="112"/>
      <c r="E202" s="140"/>
      <c r="F202" s="194"/>
      <c r="G202" s="194"/>
      <c r="H202" s="142"/>
      <c r="I202" s="143"/>
      <c r="J202" s="285"/>
      <c r="K202" s="144"/>
      <c r="L202" s="144"/>
      <c r="M202" s="144"/>
      <c r="N202" s="144"/>
      <c r="O202" s="144"/>
      <c r="P202" s="144"/>
      <c r="Q202" s="144"/>
      <c r="R202" s="144"/>
    </row>
    <row r="203" spans="1:18" s="118" customFormat="1" x14ac:dyDescent="0.2">
      <c r="A203" s="148"/>
      <c r="B203" s="148"/>
      <c r="C203" s="14"/>
      <c r="D203" s="314"/>
      <c r="E203" s="148"/>
      <c r="F203" s="151"/>
      <c r="G203" s="137"/>
      <c r="H203" s="137"/>
      <c r="I203" s="138"/>
      <c r="J203" s="167"/>
      <c r="K203" s="111"/>
      <c r="L203" s="111"/>
      <c r="M203" s="111"/>
      <c r="N203" s="111"/>
      <c r="O203" s="111"/>
      <c r="P203" s="111"/>
      <c r="Q203" s="111"/>
      <c r="R203" s="111"/>
    </row>
    <row r="204" spans="1:18" s="145" customFormat="1" x14ac:dyDescent="0.2">
      <c r="A204" s="140"/>
      <c r="B204" s="140"/>
      <c r="C204" s="141"/>
      <c r="D204" s="112"/>
      <c r="E204" s="140"/>
      <c r="F204" s="194"/>
      <c r="G204" s="194"/>
      <c r="H204" s="142"/>
      <c r="I204" s="143"/>
      <c r="J204" s="285"/>
      <c r="K204" s="144"/>
      <c r="L204" s="144"/>
      <c r="M204" s="144"/>
      <c r="N204" s="144"/>
      <c r="O204" s="144"/>
      <c r="P204" s="144"/>
      <c r="Q204" s="144"/>
      <c r="R204" s="144"/>
    </row>
    <row r="205" spans="1:18" s="118" customFormat="1" x14ac:dyDescent="0.2">
      <c r="A205" s="148"/>
      <c r="B205" s="148"/>
      <c r="C205" s="14"/>
      <c r="D205" s="314"/>
      <c r="E205" s="148"/>
      <c r="F205" s="151"/>
      <c r="G205" s="137"/>
      <c r="H205" s="137"/>
      <c r="I205" s="138"/>
      <c r="J205" s="167"/>
      <c r="K205" s="111"/>
      <c r="L205" s="111"/>
      <c r="M205" s="111"/>
      <c r="N205" s="111"/>
      <c r="O205" s="111"/>
      <c r="P205" s="111"/>
      <c r="Q205" s="111"/>
      <c r="R205" s="111"/>
    </row>
    <row r="206" spans="1:18" s="145" customFormat="1" x14ac:dyDescent="0.2">
      <c r="A206" s="140"/>
      <c r="B206" s="140"/>
      <c r="C206" s="141"/>
      <c r="D206" s="112"/>
      <c r="E206" s="140"/>
      <c r="F206" s="194"/>
      <c r="G206" s="194"/>
      <c r="H206" s="142"/>
      <c r="I206" s="143"/>
      <c r="J206" s="285"/>
      <c r="K206" s="144"/>
      <c r="L206" s="144"/>
      <c r="M206" s="144"/>
      <c r="N206" s="144"/>
      <c r="O206" s="144"/>
      <c r="P206" s="144"/>
      <c r="Q206" s="144"/>
      <c r="R206" s="144"/>
    </row>
    <row r="207" spans="1:18" s="118" customFormat="1" x14ac:dyDescent="0.2">
      <c r="A207" s="148"/>
      <c r="B207" s="148"/>
      <c r="C207" s="14"/>
      <c r="D207" s="314"/>
      <c r="E207" s="148"/>
      <c r="F207" s="151"/>
      <c r="G207" s="137"/>
      <c r="H207" s="137"/>
      <c r="I207" s="138"/>
      <c r="J207" s="167"/>
      <c r="K207" s="111"/>
      <c r="L207" s="111"/>
      <c r="M207" s="111"/>
      <c r="N207" s="111"/>
      <c r="O207" s="111"/>
      <c r="P207" s="111"/>
      <c r="Q207" s="111"/>
      <c r="R207" s="111"/>
    </row>
    <row r="208" spans="1:18" s="145" customFormat="1" x14ac:dyDescent="0.2">
      <c r="A208" s="140"/>
      <c r="B208" s="140"/>
      <c r="C208" s="141"/>
      <c r="D208" s="112"/>
      <c r="E208" s="140"/>
      <c r="F208" s="194"/>
      <c r="G208" s="194"/>
      <c r="H208" s="142"/>
      <c r="I208" s="143"/>
      <c r="J208" s="285"/>
      <c r="K208" s="144"/>
      <c r="L208" s="144"/>
      <c r="M208" s="144"/>
      <c r="N208" s="144"/>
      <c r="O208" s="144"/>
      <c r="P208" s="144"/>
      <c r="Q208" s="144"/>
      <c r="R208" s="144"/>
    </row>
    <row r="209" spans="1:18" s="118" customFormat="1" x14ac:dyDescent="0.2">
      <c r="A209" s="148"/>
      <c r="B209" s="148"/>
      <c r="C209" s="14"/>
      <c r="D209" s="314"/>
      <c r="E209" s="148"/>
      <c r="F209" s="151"/>
      <c r="G209" s="137"/>
      <c r="H209" s="137"/>
      <c r="I209" s="138"/>
      <c r="J209" s="167"/>
      <c r="K209" s="111"/>
      <c r="L209" s="111"/>
      <c r="M209" s="111"/>
      <c r="N209" s="111"/>
      <c r="O209" s="111"/>
      <c r="P209" s="111"/>
      <c r="Q209" s="111"/>
      <c r="R209" s="111"/>
    </row>
    <row r="210" spans="1:18" s="118" customFormat="1" x14ac:dyDescent="0.2">
      <c r="A210" s="148"/>
      <c r="B210" s="148"/>
      <c r="C210" s="14"/>
      <c r="D210" s="314"/>
      <c r="E210" s="148"/>
      <c r="F210" s="151"/>
      <c r="G210" s="137"/>
      <c r="H210" s="137"/>
      <c r="I210" s="138"/>
      <c r="J210" s="167"/>
      <c r="K210" s="111"/>
      <c r="L210" s="111"/>
      <c r="M210" s="111"/>
      <c r="N210" s="111"/>
      <c r="O210" s="111"/>
      <c r="P210" s="111"/>
      <c r="Q210" s="111"/>
      <c r="R210" s="111"/>
    </row>
    <row r="211" spans="1:18" s="118" customFormat="1" x14ac:dyDescent="0.2">
      <c r="A211" s="148"/>
      <c r="B211" s="148"/>
      <c r="C211" s="14"/>
      <c r="D211" s="314"/>
      <c r="E211" s="148"/>
      <c r="F211" s="151"/>
      <c r="G211" s="137"/>
      <c r="H211" s="137"/>
      <c r="I211" s="138"/>
      <c r="J211" s="167"/>
      <c r="K211" s="111"/>
      <c r="L211" s="111"/>
      <c r="M211" s="111"/>
      <c r="N211" s="111"/>
      <c r="O211" s="111"/>
      <c r="P211" s="111"/>
      <c r="Q211" s="111"/>
      <c r="R211" s="111"/>
    </row>
    <row r="212" spans="1:18" s="118" customFormat="1" x14ac:dyDescent="0.2">
      <c r="A212" s="148"/>
      <c r="B212" s="148"/>
      <c r="C212" s="14"/>
      <c r="D212" s="314"/>
      <c r="E212" s="148"/>
      <c r="F212" s="151"/>
      <c r="G212" s="137"/>
      <c r="H212" s="137"/>
      <c r="I212" s="138"/>
      <c r="J212" s="167"/>
      <c r="K212" s="111"/>
      <c r="L212" s="111"/>
      <c r="M212" s="111"/>
      <c r="N212" s="111"/>
      <c r="O212" s="111"/>
      <c r="P212" s="111"/>
      <c r="Q212" s="111"/>
      <c r="R212" s="111"/>
    </row>
    <row r="213" spans="1:18" s="145" customFormat="1" x14ac:dyDescent="0.2">
      <c r="A213" s="140"/>
      <c r="B213" s="140"/>
      <c r="C213" s="141"/>
      <c r="D213" s="112"/>
      <c r="E213" s="140"/>
      <c r="F213" s="194"/>
      <c r="G213" s="194"/>
      <c r="H213" s="142"/>
      <c r="I213" s="143"/>
      <c r="J213" s="285"/>
      <c r="K213" s="144"/>
      <c r="L213" s="144"/>
      <c r="M213" s="144"/>
      <c r="N213" s="144"/>
      <c r="O213" s="144"/>
      <c r="P213" s="144"/>
      <c r="Q213" s="144"/>
      <c r="R213" s="144"/>
    </row>
    <row r="214" spans="1:18" s="118" customFormat="1" x14ac:dyDescent="0.2">
      <c r="A214" s="148"/>
      <c r="B214" s="148"/>
      <c r="C214" s="14"/>
      <c r="D214" s="314"/>
      <c r="E214" s="148"/>
      <c r="F214" s="151"/>
      <c r="G214" s="137"/>
      <c r="H214" s="137"/>
      <c r="I214" s="138"/>
      <c r="J214" s="167"/>
      <c r="K214" s="111"/>
      <c r="L214" s="111"/>
      <c r="M214" s="111"/>
      <c r="N214" s="111"/>
      <c r="O214" s="111"/>
      <c r="P214" s="111"/>
      <c r="Q214" s="111"/>
      <c r="R214" s="111"/>
    </row>
    <row r="215" spans="1:18" s="118" customFormat="1" x14ac:dyDescent="0.2">
      <c r="A215" s="148"/>
      <c r="B215" s="148"/>
      <c r="C215" s="14"/>
      <c r="D215" s="314"/>
      <c r="E215" s="148"/>
      <c r="F215" s="151"/>
      <c r="G215" s="137"/>
      <c r="H215" s="137"/>
      <c r="I215" s="138"/>
      <c r="J215" s="167"/>
      <c r="K215" s="111"/>
      <c r="L215" s="111"/>
      <c r="M215" s="111"/>
      <c r="N215" s="111"/>
      <c r="O215" s="111"/>
      <c r="P215" s="111"/>
      <c r="Q215" s="111"/>
      <c r="R215" s="111"/>
    </row>
    <row r="216" spans="1:18" s="118" customFormat="1" x14ac:dyDescent="0.2">
      <c r="A216" s="148"/>
      <c r="B216" s="148"/>
      <c r="C216" s="14"/>
      <c r="D216" s="314"/>
      <c r="E216" s="148"/>
      <c r="F216" s="151"/>
      <c r="G216" s="137"/>
      <c r="H216" s="137"/>
      <c r="I216" s="138"/>
      <c r="J216" s="167"/>
      <c r="K216" s="111"/>
      <c r="L216" s="111"/>
      <c r="M216" s="111"/>
      <c r="N216" s="111"/>
      <c r="O216" s="111"/>
      <c r="P216" s="111"/>
      <c r="Q216" s="111"/>
      <c r="R216" s="111"/>
    </row>
    <row r="217" spans="1:18" s="145" customFormat="1" x14ac:dyDescent="0.2">
      <c r="A217" s="140"/>
      <c r="B217" s="140"/>
      <c r="C217" s="141"/>
      <c r="D217" s="112"/>
      <c r="E217" s="140"/>
      <c r="F217" s="194"/>
      <c r="G217" s="194"/>
      <c r="H217" s="142"/>
      <c r="I217" s="143"/>
      <c r="J217" s="285"/>
      <c r="K217" s="144"/>
      <c r="L217" s="144"/>
      <c r="M217" s="144"/>
      <c r="N217" s="144"/>
      <c r="O217" s="144"/>
      <c r="P217" s="144"/>
      <c r="Q217" s="144"/>
      <c r="R217" s="144"/>
    </row>
    <row r="218" spans="1:18" s="313" customFormat="1" x14ac:dyDescent="0.2">
      <c r="A218" s="6"/>
      <c r="B218" s="6"/>
      <c r="C218" s="7"/>
      <c r="D218" s="310"/>
      <c r="E218" s="6"/>
      <c r="F218" s="150"/>
      <c r="G218" s="150"/>
      <c r="H218" s="136"/>
      <c r="I218" s="199"/>
      <c r="J218" s="283"/>
      <c r="K218" s="312"/>
      <c r="L218" s="312"/>
      <c r="M218" s="312"/>
      <c r="N218" s="312"/>
      <c r="O218" s="312"/>
      <c r="P218" s="312"/>
      <c r="Q218" s="312"/>
      <c r="R218" s="312"/>
    </row>
    <row r="219" spans="1:18" s="118" customFormat="1" x14ac:dyDescent="0.2">
      <c r="A219" s="148"/>
      <c r="B219" s="148"/>
      <c r="C219" s="14"/>
      <c r="D219" s="314"/>
      <c r="E219" s="148"/>
      <c r="F219" s="151"/>
      <c r="G219" s="137"/>
      <c r="H219" s="137"/>
      <c r="I219" s="138"/>
      <c r="J219" s="167"/>
      <c r="K219" s="111"/>
      <c r="L219" s="111"/>
      <c r="M219" s="111"/>
      <c r="N219" s="111"/>
      <c r="O219" s="111"/>
      <c r="P219" s="111"/>
      <c r="Q219" s="111"/>
      <c r="R219" s="111"/>
    </row>
    <row r="220" spans="1:18" s="118" customFormat="1" x14ac:dyDescent="0.2">
      <c r="A220" s="148"/>
      <c r="B220" s="148"/>
      <c r="C220" s="14"/>
      <c r="D220" s="314"/>
      <c r="E220" s="148"/>
      <c r="F220" s="151"/>
      <c r="G220" s="137"/>
      <c r="H220" s="137"/>
      <c r="I220" s="138"/>
      <c r="J220" s="167"/>
      <c r="K220" s="111"/>
      <c r="L220" s="111"/>
      <c r="M220" s="111"/>
      <c r="N220" s="111"/>
      <c r="O220" s="111"/>
      <c r="P220" s="111"/>
      <c r="Q220" s="111"/>
      <c r="R220" s="111"/>
    </row>
    <row r="221" spans="1:18" s="118" customFormat="1" x14ac:dyDescent="0.2">
      <c r="A221" s="148"/>
      <c r="B221" s="148"/>
      <c r="C221" s="14"/>
      <c r="D221" s="314"/>
      <c r="E221" s="148"/>
      <c r="F221" s="151"/>
      <c r="G221" s="137"/>
      <c r="H221" s="137"/>
      <c r="I221" s="138"/>
      <c r="J221" s="167"/>
      <c r="K221" s="111"/>
      <c r="L221" s="111"/>
      <c r="M221" s="111"/>
      <c r="N221" s="111"/>
      <c r="O221" s="111"/>
      <c r="P221" s="111"/>
      <c r="Q221" s="111"/>
      <c r="R221" s="111"/>
    </row>
    <row r="222" spans="1:18" s="118" customFormat="1" x14ac:dyDescent="0.2">
      <c r="A222" s="148"/>
      <c r="B222" s="148"/>
      <c r="C222" s="14"/>
      <c r="D222" s="314"/>
      <c r="E222" s="148"/>
      <c r="F222" s="151"/>
      <c r="G222" s="137"/>
      <c r="H222" s="137"/>
      <c r="I222" s="138"/>
      <c r="J222" s="167"/>
      <c r="K222" s="111"/>
      <c r="L222" s="111"/>
      <c r="M222" s="111"/>
      <c r="N222" s="111"/>
      <c r="O222" s="111"/>
      <c r="P222" s="111"/>
      <c r="Q222" s="111"/>
      <c r="R222" s="111"/>
    </row>
    <row r="223" spans="1:18" s="118" customFormat="1" x14ac:dyDescent="0.2">
      <c r="A223" s="148"/>
      <c r="B223" s="148"/>
      <c r="C223" s="14"/>
      <c r="D223" s="314"/>
      <c r="E223" s="148"/>
      <c r="F223" s="151"/>
      <c r="G223" s="137"/>
      <c r="H223" s="137"/>
      <c r="I223" s="138"/>
      <c r="J223" s="167"/>
      <c r="K223" s="111"/>
      <c r="L223" s="111"/>
      <c r="M223" s="111"/>
      <c r="N223" s="111"/>
      <c r="O223" s="111"/>
      <c r="P223" s="111"/>
      <c r="Q223" s="111"/>
      <c r="R223" s="111"/>
    </row>
    <row r="224" spans="1:18" s="313" customFormat="1" x14ac:dyDescent="0.2">
      <c r="A224" s="6"/>
      <c r="B224" s="6"/>
      <c r="C224" s="7"/>
      <c r="D224" s="310"/>
      <c r="E224" s="6"/>
      <c r="F224" s="150"/>
      <c r="G224" s="150"/>
      <c r="H224" s="136"/>
      <c r="I224" s="199"/>
      <c r="J224" s="283"/>
      <c r="K224" s="312"/>
      <c r="L224" s="312"/>
      <c r="M224" s="312"/>
      <c r="N224" s="312"/>
      <c r="O224" s="312"/>
      <c r="P224" s="312"/>
      <c r="Q224" s="312"/>
      <c r="R224" s="312"/>
    </row>
    <row r="225" spans="1:18" s="118" customFormat="1" x14ac:dyDescent="0.2">
      <c r="A225" s="148"/>
      <c r="B225" s="148"/>
      <c r="C225" s="14"/>
      <c r="D225" s="314"/>
      <c r="E225" s="148"/>
      <c r="F225" s="151"/>
      <c r="G225" s="137"/>
      <c r="H225" s="137"/>
      <c r="I225" s="138"/>
      <c r="J225" s="167"/>
      <c r="K225" s="111"/>
      <c r="L225" s="111"/>
      <c r="M225" s="111"/>
      <c r="N225" s="111"/>
      <c r="O225" s="111"/>
      <c r="P225" s="111"/>
      <c r="Q225" s="111"/>
      <c r="R225" s="111"/>
    </row>
    <row r="226" spans="1:18" s="118" customFormat="1" x14ac:dyDescent="0.2">
      <c r="A226" s="148"/>
      <c r="B226" s="148"/>
      <c r="C226" s="14"/>
      <c r="D226" s="314"/>
      <c r="E226" s="148"/>
      <c r="F226" s="151"/>
      <c r="G226" s="137"/>
      <c r="H226" s="137"/>
      <c r="I226" s="138"/>
      <c r="J226" s="167"/>
      <c r="K226" s="111"/>
      <c r="L226" s="111"/>
      <c r="M226" s="111"/>
      <c r="N226" s="111"/>
      <c r="O226" s="111"/>
      <c r="P226" s="111"/>
      <c r="Q226" s="111"/>
      <c r="R226" s="111"/>
    </row>
    <row r="227" spans="1:18" s="118" customFormat="1" x14ac:dyDescent="0.2">
      <c r="A227" s="148"/>
      <c r="B227" s="148"/>
      <c r="C227" s="14"/>
      <c r="D227" s="314"/>
      <c r="E227" s="148"/>
      <c r="F227" s="151"/>
      <c r="G227" s="151"/>
      <c r="H227" s="137"/>
      <c r="I227" s="138"/>
      <c r="J227" s="167"/>
      <c r="K227" s="111"/>
      <c r="L227" s="111"/>
      <c r="M227" s="111"/>
      <c r="N227" s="111"/>
      <c r="O227" s="111"/>
      <c r="P227" s="111"/>
      <c r="Q227" s="111"/>
      <c r="R227" s="111"/>
    </row>
    <row r="228" spans="1:18" s="241" customFormat="1" ht="13.2" x14ac:dyDescent="0.25">
      <c r="A228" s="236"/>
      <c r="B228" s="236"/>
      <c r="C228" s="237"/>
      <c r="D228" s="289"/>
      <c r="E228" s="236"/>
      <c r="F228" s="316"/>
      <c r="G228" s="316"/>
      <c r="H228" s="238"/>
      <c r="I228" s="239"/>
      <c r="J228" s="284" t="e">
        <f>I228/$I$392</f>
        <v>#DIV/0!</v>
      </c>
      <c r="K228" s="240"/>
      <c r="L228" s="240"/>
      <c r="M228" s="240"/>
      <c r="N228" s="240"/>
      <c r="O228" s="240"/>
      <c r="P228" s="240"/>
      <c r="Q228" s="240"/>
      <c r="R228" s="240"/>
    </row>
    <row r="229" spans="1:18" s="145" customFormat="1" x14ac:dyDescent="0.2">
      <c r="A229" s="140"/>
      <c r="B229" s="140"/>
      <c r="C229" s="141"/>
      <c r="D229" s="112"/>
      <c r="E229" s="140"/>
      <c r="F229" s="194"/>
      <c r="G229" s="194"/>
      <c r="H229" s="142"/>
      <c r="I229" s="143"/>
      <c r="J229" s="285"/>
      <c r="K229" s="144"/>
      <c r="L229" s="144"/>
      <c r="M229" s="144"/>
      <c r="N229" s="144"/>
      <c r="O229" s="144"/>
      <c r="P229" s="144"/>
      <c r="Q229" s="144"/>
      <c r="R229" s="144"/>
    </row>
    <row r="230" spans="1:18" s="118" customFormat="1" x14ac:dyDescent="0.2">
      <c r="A230" s="148"/>
      <c r="B230" s="148"/>
      <c r="C230" s="14"/>
      <c r="D230" s="314"/>
      <c r="E230" s="148"/>
      <c r="F230" s="151"/>
      <c r="G230" s="137"/>
      <c r="H230" s="137"/>
      <c r="I230" s="138"/>
      <c r="J230" s="167"/>
      <c r="K230" s="111"/>
      <c r="L230" s="111"/>
      <c r="M230" s="111"/>
      <c r="N230" s="111"/>
      <c r="O230" s="111"/>
      <c r="P230" s="111"/>
      <c r="Q230" s="111"/>
      <c r="R230" s="111"/>
    </row>
    <row r="231" spans="1:18" s="118" customFormat="1" x14ac:dyDescent="0.2">
      <c r="A231" s="148"/>
      <c r="B231" s="148"/>
      <c r="C231" s="14"/>
      <c r="D231" s="314"/>
      <c r="E231" s="148"/>
      <c r="F231" s="151"/>
      <c r="G231" s="137"/>
      <c r="H231" s="137"/>
      <c r="I231" s="138"/>
      <c r="J231" s="167"/>
      <c r="K231" s="111"/>
      <c r="L231" s="111"/>
      <c r="M231" s="111"/>
      <c r="N231" s="111"/>
      <c r="O231" s="111"/>
      <c r="P231" s="111"/>
      <c r="Q231" s="111"/>
      <c r="R231" s="111"/>
    </row>
    <row r="232" spans="1:18" s="118" customFormat="1" x14ac:dyDescent="0.2">
      <c r="A232" s="148"/>
      <c r="B232" s="148"/>
      <c r="C232" s="14"/>
      <c r="D232" s="314"/>
      <c r="E232" s="148"/>
      <c r="F232" s="151"/>
      <c r="G232" s="137"/>
      <c r="H232" s="137"/>
      <c r="I232" s="138"/>
      <c r="J232" s="167"/>
      <c r="K232" s="111"/>
      <c r="L232" s="111"/>
      <c r="M232" s="111"/>
      <c r="N232" s="111"/>
      <c r="O232" s="111"/>
      <c r="P232" s="111"/>
      <c r="Q232" s="111"/>
      <c r="R232" s="111"/>
    </row>
    <row r="233" spans="1:18" s="118" customFormat="1" x14ac:dyDescent="0.2">
      <c r="A233" s="148"/>
      <c r="B233" s="148"/>
      <c r="C233" s="14"/>
      <c r="D233" s="314"/>
      <c r="E233" s="148"/>
      <c r="F233" s="151"/>
      <c r="G233" s="137"/>
      <c r="H233" s="137"/>
      <c r="I233" s="138"/>
      <c r="J233" s="167"/>
      <c r="K233" s="111"/>
      <c r="L233" s="111"/>
      <c r="M233" s="111"/>
      <c r="N233" s="111"/>
      <c r="O233" s="111"/>
      <c r="P233" s="111"/>
      <c r="Q233" s="111"/>
      <c r="R233" s="111"/>
    </row>
    <row r="234" spans="1:18" s="118" customFormat="1" x14ac:dyDescent="0.2">
      <c r="A234" s="148"/>
      <c r="B234" s="148"/>
      <c r="C234" s="14"/>
      <c r="D234" s="314"/>
      <c r="E234" s="148"/>
      <c r="F234" s="151"/>
      <c r="G234" s="137"/>
      <c r="H234" s="137"/>
      <c r="I234" s="138"/>
      <c r="J234" s="167"/>
      <c r="K234" s="111"/>
      <c r="L234" s="111"/>
      <c r="M234" s="111"/>
      <c r="N234" s="111"/>
      <c r="O234" s="111"/>
      <c r="P234" s="111"/>
      <c r="Q234" s="111"/>
      <c r="R234" s="111"/>
    </row>
    <row r="235" spans="1:18" s="145" customFormat="1" x14ac:dyDescent="0.2">
      <c r="A235" s="140"/>
      <c r="B235" s="140"/>
      <c r="C235" s="141"/>
      <c r="D235" s="112"/>
      <c r="E235" s="140"/>
      <c r="F235" s="194"/>
      <c r="G235" s="194"/>
      <c r="H235" s="142"/>
      <c r="I235" s="143"/>
      <c r="J235" s="285"/>
      <c r="K235" s="144"/>
      <c r="L235" s="144"/>
      <c r="M235" s="144"/>
      <c r="N235" s="144"/>
      <c r="O235" s="144"/>
      <c r="P235" s="144"/>
      <c r="Q235" s="144"/>
      <c r="R235" s="144"/>
    </row>
    <row r="236" spans="1:18" s="118" customFormat="1" x14ac:dyDescent="0.2">
      <c r="A236" s="148"/>
      <c r="B236" s="148"/>
      <c r="C236" s="14"/>
      <c r="D236" s="314"/>
      <c r="E236" s="148"/>
      <c r="F236" s="151"/>
      <c r="G236" s="137"/>
      <c r="H236" s="137"/>
      <c r="I236" s="138"/>
      <c r="J236" s="167"/>
      <c r="K236" s="111"/>
      <c r="L236" s="111"/>
      <c r="M236" s="111"/>
      <c r="N236" s="111"/>
      <c r="O236" s="111"/>
      <c r="P236" s="111"/>
      <c r="Q236" s="111"/>
      <c r="R236" s="111"/>
    </row>
    <row r="237" spans="1:18" s="118" customFormat="1" x14ac:dyDescent="0.2">
      <c r="A237" s="148"/>
      <c r="B237" s="148"/>
      <c r="C237" s="14"/>
      <c r="D237" s="314"/>
      <c r="E237" s="148"/>
      <c r="F237" s="151"/>
      <c r="G237" s="137"/>
      <c r="H237" s="137"/>
      <c r="I237" s="138"/>
      <c r="J237" s="167"/>
      <c r="K237" s="111"/>
      <c r="L237" s="111"/>
      <c r="M237" s="111"/>
      <c r="N237" s="111"/>
      <c r="O237" s="111"/>
      <c r="P237" s="111"/>
      <c r="Q237" s="111"/>
      <c r="R237" s="111"/>
    </row>
    <row r="238" spans="1:18" s="118" customFormat="1" x14ac:dyDescent="0.2">
      <c r="A238" s="148"/>
      <c r="B238" s="148"/>
      <c r="C238" s="14"/>
      <c r="D238" s="314"/>
      <c r="E238" s="148"/>
      <c r="F238" s="151"/>
      <c r="G238" s="137"/>
      <c r="H238" s="137"/>
      <c r="I238" s="138"/>
      <c r="J238" s="167"/>
      <c r="K238" s="111"/>
      <c r="L238" s="111"/>
      <c r="M238" s="111"/>
      <c r="N238" s="111"/>
      <c r="O238" s="111"/>
      <c r="P238" s="111"/>
      <c r="Q238" s="111"/>
      <c r="R238" s="111"/>
    </row>
    <row r="239" spans="1:18" s="145" customFormat="1" x14ac:dyDescent="0.2">
      <c r="A239" s="140"/>
      <c r="B239" s="140"/>
      <c r="C239" s="141"/>
      <c r="D239" s="112"/>
      <c r="E239" s="140"/>
      <c r="F239" s="194"/>
      <c r="G239" s="194"/>
      <c r="H239" s="142"/>
      <c r="I239" s="143"/>
      <c r="J239" s="285"/>
      <c r="K239" s="144"/>
      <c r="L239" s="144"/>
      <c r="M239" s="144"/>
      <c r="N239" s="144"/>
      <c r="O239" s="144"/>
      <c r="P239" s="144"/>
      <c r="Q239" s="144"/>
      <c r="R239" s="144"/>
    </row>
    <row r="240" spans="1:18" s="118" customFormat="1" x14ac:dyDescent="0.2">
      <c r="A240" s="148"/>
      <c r="B240" s="148"/>
      <c r="C240" s="14"/>
      <c r="D240" s="314"/>
      <c r="E240" s="148"/>
      <c r="F240" s="151"/>
      <c r="G240" s="137"/>
      <c r="H240" s="137"/>
      <c r="I240" s="138"/>
      <c r="J240" s="167"/>
      <c r="K240" s="111"/>
      <c r="L240" s="111"/>
      <c r="M240" s="111"/>
      <c r="N240" s="111"/>
      <c r="O240" s="111"/>
      <c r="P240" s="111"/>
      <c r="Q240" s="111"/>
      <c r="R240" s="111"/>
    </row>
    <row r="241" spans="1:18" s="118" customFormat="1" x14ac:dyDescent="0.2">
      <c r="A241" s="148"/>
      <c r="B241" s="148"/>
      <c r="C241" s="14"/>
      <c r="D241" s="314"/>
      <c r="E241" s="148"/>
      <c r="F241" s="151"/>
      <c r="G241" s="137"/>
      <c r="H241" s="137"/>
      <c r="I241" s="138"/>
      <c r="J241" s="167"/>
      <c r="K241" s="111"/>
      <c r="L241" s="111"/>
      <c r="M241" s="111"/>
      <c r="N241" s="111"/>
      <c r="O241" s="111"/>
      <c r="P241" s="111"/>
      <c r="Q241" s="111"/>
      <c r="R241" s="111"/>
    </row>
    <row r="242" spans="1:18" s="145" customFormat="1" x14ac:dyDescent="0.2">
      <c r="A242" s="140"/>
      <c r="B242" s="140"/>
      <c r="C242" s="141"/>
      <c r="D242" s="112"/>
      <c r="E242" s="140"/>
      <c r="F242" s="194"/>
      <c r="G242" s="194"/>
      <c r="H242" s="142"/>
      <c r="I242" s="143"/>
      <c r="J242" s="285"/>
      <c r="K242" s="144"/>
      <c r="L242" s="144"/>
      <c r="M242" s="144"/>
      <c r="N242" s="144"/>
      <c r="O242" s="144"/>
      <c r="P242" s="144"/>
      <c r="Q242" s="144"/>
      <c r="R242" s="144"/>
    </row>
    <row r="243" spans="1:18" s="118" customFormat="1" x14ac:dyDescent="0.2">
      <c r="A243" s="148"/>
      <c r="B243" s="148"/>
      <c r="C243" s="14"/>
      <c r="D243" s="314"/>
      <c r="E243" s="148"/>
      <c r="F243" s="151"/>
      <c r="G243" s="137"/>
      <c r="H243" s="137"/>
      <c r="I243" s="138"/>
      <c r="J243" s="167"/>
      <c r="K243" s="111"/>
      <c r="L243" s="111"/>
      <c r="M243" s="111"/>
      <c r="N243" s="111"/>
      <c r="O243" s="111"/>
      <c r="P243" s="111"/>
      <c r="Q243" s="111"/>
      <c r="R243" s="111"/>
    </row>
    <row r="244" spans="1:18" s="145" customFormat="1" x14ac:dyDescent="0.2">
      <c r="A244" s="140"/>
      <c r="B244" s="140"/>
      <c r="C244" s="141"/>
      <c r="D244" s="112"/>
      <c r="E244" s="140"/>
      <c r="F244" s="194"/>
      <c r="G244" s="194"/>
      <c r="H244" s="142"/>
      <c r="I244" s="143"/>
      <c r="J244" s="285"/>
      <c r="K244" s="144"/>
      <c r="L244" s="144"/>
      <c r="M244" s="144"/>
      <c r="N244" s="144"/>
      <c r="O244" s="144"/>
      <c r="P244" s="144"/>
      <c r="Q244" s="144"/>
      <c r="R244" s="144"/>
    </row>
    <row r="245" spans="1:18" s="118" customFormat="1" x14ac:dyDescent="0.2">
      <c r="A245" s="148"/>
      <c r="B245" s="148"/>
      <c r="C245" s="14"/>
      <c r="D245" s="314"/>
      <c r="E245" s="148"/>
      <c r="F245" s="151"/>
      <c r="G245" s="137"/>
      <c r="H245" s="137"/>
      <c r="I245" s="138"/>
      <c r="J245" s="167"/>
      <c r="K245" s="111"/>
      <c r="L245" s="111"/>
      <c r="M245" s="111"/>
      <c r="N245" s="111"/>
      <c r="O245" s="111"/>
      <c r="P245" s="111"/>
      <c r="Q245" s="111"/>
      <c r="R245" s="111"/>
    </row>
    <row r="246" spans="1:18" s="118" customFormat="1" x14ac:dyDescent="0.2">
      <c r="A246" s="148"/>
      <c r="B246" s="148"/>
      <c r="C246" s="14"/>
      <c r="D246" s="314"/>
      <c r="E246" s="148"/>
      <c r="F246" s="151"/>
      <c r="G246" s="137"/>
      <c r="H246" s="137"/>
      <c r="I246" s="138"/>
      <c r="J246" s="167"/>
      <c r="K246" s="111"/>
      <c r="L246" s="111"/>
      <c r="M246" s="111"/>
      <c r="N246" s="111"/>
      <c r="O246" s="111"/>
      <c r="P246" s="111"/>
      <c r="Q246" s="111"/>
      <c r="R246" s="111"/>
    </row>
    <row r="247" spans="1:18" s="145" customFormat="1" x14ac:dyDescent="0.2">
      <c r="A247" s="140"/>
      <c r="B247" s="140"/>
      <c r="C247" s="141"/>
      <c r="D247" s="112"/>
      <c r="E247" s="140"/>
      <c r="F247" s="194"/>
      <c r="G247" s="194"/>
      <c r="H247" s="142"/>
      <c r="I247" s="143"/>
      <c r="J247" s="285"/>
      <c r="K247" s="144"/>
      <c r="L247" s="144"/>
      <c r="M247" s="144"/>
      <c r="N247" s="144"/>
      <c r="O247" s="144"/>
      <c r="P247" s="144"/>
      <c r="Q247" s="144"/>
      <c r="R247" s="144"/>
    </row>
    <row r="248" spans="1:18" s="118" customFormat="1" x14ac:dyDescent="0.2">
      <c r="A248" s="148"/>
      <c r="B248" s="148"/>
      <c r="C248" s="14"/>
      <c r="D248" s="314"/>
      <c r="E248" s="148"/>
      <c r="F248" s="151"/>
      <c r="G248" s="137"/>
      <c r="H248" s="137"/>
      <c r="I248" s="138"/>
      <c r="J248" s="167"/>
      <c r="K248" s="111"/>
      <c r="L248" s="111"/>
      <c r="M248" s="111"/>
      <c r="N248" s="111"/>
      <c r="O248" s="111"/>
      <c r="P248" s="111"/>
      <c r="Q248" s="111"/>
      <c r="R248" s="111"/>
    </row>
    <row r="249" spans="1:18" s="118" customFormat="1" x14ac:dyDescent="0.2">
      <c r="A249" s="148"/>
      <c r="B249" s="148"/>
      <c r="C249" s="14"/>
      <c r="D249" s="314"/>
      <c r="E249" s="148"/>
      <c r="F249" s="151"/>
      <c r="G249" s="151"/>
      <c r="H249" s="137"/>
      <c r="I249" s="138"/>
      <c r="J249" s="167"/>
      <c r="K249" s="111"/>
      <c r="L249" s="111"/>
      <c r="M249" s="111"/>
      <c r="N249" s="111"/>
      <c r="O249" s="111"/>
      <c r="P249" s="111"/>
      <c r="Q249" s="111"/>
      <c r="R249" s="111"/>
    </row>
    <row r="250" spans="1:18" s="241" customFormat="1" ht="13.2" x14ac:dyDescent="0.25">
      <c r="A250" s="236"/>
      <c r="B250" s="236"/>
      <c r="C250" s="237"/>
      <c r="D250" s="289"/>
      <c r="E250" s="236"/>
      <c r="F250" s="316"/>
      <c r="G250" s="316"/>
      <c r="H250" s="238"/>
      <c r="I250" s="239"/>
      <c r="J250" s="284" t="e">
        <f>I250/$I$392</f>
        <v>#DIV/0!</v>
      </c>
      <c r="K250" s="240"/>
      <c r="L250" s="240"/>
      <c r="M250" s="240"/>
      <c r="N250" s="240"/>
      <c r="O250" s="240"/>
      <c r="P250" s="240"/>
      <c r="Q250" s="240"/>
      <c r="R250" s="240"/>
    </row>
    <row r="251" spans="1:18" s="145" customFormat="1" x14ac:dyDescent="0.2">
      <c r="A251" s="140"/>
      <c r="B251" s="140"/>
      <c r="C251" s="141"/>
      <c r="D251" s="112"/>
      <c r="E251" s="140"/>
      <c r="F251" s="194"/>
      <c r="G251" s="194"/>
      <c r="H251" s="142"/>
      <c r="I251" s="143"/>
      <c r="J251" s="285"/>
      <c r="K251" s="144"/>
      <c r="L251" s="144"/>
      <c r="M251" s="144"/>
      <c r="N251" s="144"/>
      <c r="O251" s="144"/>
      <c r="P251" s="144"/>
      <c r="Q251" s="144"/>
      <c r="R251" s="144"/>
    </row>
    <row r="252" spans="1:18" s="118" customFormat="1" x14ac:dyDescent="0.2">
      <c r="A252" s="148"/>
      <c r="B252" s="148"/>
      <c r="C252" s="14"/>
      <c r="D252" s="314"/>
      <c r="E252" s="148"/>
      <c r="F252" s="151"/>
      <c r="G252" s="137"/>
      <c r="H252" s="137"/>
      <c r="I252" s="138"/>
      <c r="J252" s="167"/>
      <c r="K252" s="111"/>
      <c r="L252" s="111"/>
      <c r="M252" s="111"/>
      <c r="N252" s="111"/>
      <c r="O252" s="111"/>
      <c r="P252" s="111"/>
      <c r="Q252" s="111"/>
      <c r="R252" s="111"/>
    </row>
    <row r="253" spans="1:18" s="118" customFormat="1" x14ac:dyDescent="0.2">
      <c r="A253" s="148"/>
      <c r="B253" s="148"/>
      <c r="C253" s="14"/>
      <c r="D253" s="314"/>
      <c r="E253" s="148"/>
      <c r="F253" s="151"/>
      <c r="G253" s="137"/>
      <c r="H253" s="137"/>
      <c r="I253" s="138"/>
      <c r="J253" s="167"/>
      <c r="K253" s="111"/>
      <c r="L253" s="111"/>
      <c r="M253" s="111"/>
      <c r="N253" s="111"/>
      <c r="O253" s="111"/>
      <c r="P253" s="111"/>
      <c r="Q253" s="111"/>
      <c r="R253" s="111"/>
    </row>
    <row r="254" spans="1:18" s="118" customFormat="1" x14ac:dyDescent="0.2">
      <c r="A254" s="148"/>
      <c r="B254" s="148"/>
      <c r="C254" s="14"/>
      <c r="D254" s="314"/>
      <c r="E254" s="148"/>
      <c r="F254" s="151"/>
      <c r="G254" s="137"/>
      <c r="H254" s="137"/>
      <c r="I254" s="138"/>
      <c r="J254" s="167"/>
      <c r="K254" s="111"/>
      <c r="L254" s="111"/>
      <c r="M254" s="111"/>
      <c r="N254" s="111"/>
      <c r="O254" s="111"/>
      <c r="P254" s="111"/>
      <c r="Q254" s="111"/>
      <c r="R254" s="111"/>
    </row>
    <row r="255" spans="1:18" s="118" customFormat="1" x14ac:dyDescent="0.2">
      <c r="A255" s="148"/>
      <c r="B255" s="148"/>
      <c r="C255" s="14"/>
      <c r="D255" s="314"/>
      <c r="E255" s="148"/>
      <c r="F255" s="151"/>
      <c r="G255" s="137"/>
      <c r="H255" s="137"/>
      <c r="I255" s="138"/>
      <c r="J255" s="167"/>
      <c r="K255" s="111"/>
      <c r="L255" s="111"/>
      <c r="M255" s="111"/>
      <c r="N255" s="111"/>
      <c r="O255" s="111"/>
      <c r="P255" s="111"/>
      <c r="Q255" s="111"/>
      <c r="R255" s="111"/>
    </row>
    <row r="256" spans="1:18" s="118" customFormat="1" x14ac:dyDescent="0.2">
      <c r="A256" s="148"/>
      <c r="B256" s="148"/>
      <c r="C256" s="14"/>
      <c r="D256" s="314"/>
      <c r="E256" s="148"/>
      <c r="F256" s="151"/>
      <c r="G256" s="137"/>
      <c r="H256" s="137"/>
      <c r="I256" s="138"/>
      <c r="J256" s="167"/>
      <c r="K256" s="111"/>
      <c r="L256" s="111"/>
      <c r="M256" s="111"/>
      <c r="N256" s="111"/>
      <c r="O256" s="111"/>
      <c r="P256" s="111"/>
      <c r="Q256" s="111"/>
      <c r="R256" s="111"/>
    </row>
    <row r="257" spans="1:18" s="118" customFormat="1" x14ac:dyDescent="0.2">
      <c r="A257" s="148"/>
      <c r="B257" s="148"/>
      <c r="C257" s="14"/>
      <c r="D257" s="314"/>
      <c r="E257" s="148"/>
      <c r="F257" s="151"/>
      <c r="G257" s="137"/>
      <c r="H257" s="137"/>
      <c r="I257" s="138"/>
      <c r="J257" s="167"/>
      <c r="K257" s="111"/>
      <c r="L257" s="111"/>
      <c r="M257" s="111"/>
      <c r="N257" s="111"/>
      <c r="O257" s="111"/>
      <c r="P257" s="111"/>
      <c r="Q257" s="111"/>
      <c r="R257" s="111"/>
    </row>
    <row r="258" spans="1:18" s="118" customFormat="1" x14ac:dyDescent="0.2">
      <c r="A258" s="148"/>
      <c r="B258" s="148"/>
      <c r="C258" s="14"/>
      <c r="D258" s="314"/>
      <c r="E258" s="148"/>
      <c r="F258" s="151"/>
      <c r="G258" s="137"/>
      <c r="H258" s="137"/>
      <c r="I258" s="138"/>
      <c r="J258" s="167"/>
      <c r="K258" s="111"/>
      <c r="L258" s="111"/>
      <c r="M258" s="111"/>
      <c r="N258" s="111"/>
      <c r="O258" s="111"/>
      <c r="P258" s="111"/>
      <c r="Q258" s="111"/>
      <c r="R258" s="111"/>
    </row>
    <row r="259" spans="1:18" s="145" customFormat="1" x14ac:dyDescent="0.2">
      <c r="A259" s="140"/>
      <c r="B259" s="140"/>
      <c r="C259" s="141"/>
      <c r="D259" s="112"/>
      <c r="E259" s="140"/>
      <c r="F259" s="194"/>
      <c r="G259" s="194"/>
      <c r="H259" s="142"/>
      <c r="I259" s="143"/>
      <c r="J259" s="285"/>
      <c r="K259" s="144"/>
      <c r="L259" s="144"/>
      <c r="M259" s="144"/>
      <c r="N259" s="144"/>
      <c r="O259" s="144"/>
      <c r="P259" s="144"/>
      <c r="Q259" s="144"/>
      <c r="R259" s="144"/>
    </row>
    <row r="260" spans="1:18" s="118" customFormat="1" x14ac:dyDescent="0.2">
      <c r="A260" s="148"/>
      <c r="B260" s="148"/>
      <c r="C260" s="14"/>
      <c r="D260" s="314"/>
      <c r="E260" s="148"/>
      <c r="F260" s="151"/>
      <c r="G260" s="137"/>
      <c r="H260" s="137"/>
      <c r="I260" s="138"/>
      <c r="J260" s="167"/>
      <c r="K260" s="111"/>
      <c r="L260" s="111"/>
      <c r="M260" s="111"/>
      <c r="N260" s="111"/>
      <c r="O260" s="111"/>
      <c r="P260" s="111"/>
      <c r="Q260" s="111"/>
      <c r="R260" s="111"/>
    </row>
    <row r="261" spans="1:18" s="118" customFormat="1" x14ac:dyDescent="0.2">
      <c r="A261" s="148"/>
      <c r="B261" s="148"/>
      <c r="C261" s="14"/>
      <c r="D261" s="314"/>
      <c r="E261" s="148"/>
      <c r="F261" s="151"/>
      <c r="G261" s="137"/>
      <c r="H261" s="137"/>
      <c r="I261" s="138"/>
      <c r="J261" s="167"/>
      <c r="K261" s="111"/>
      <c r="L261" s="111"/>
      <c r="M261" s="111"/>
      <c r="N261" s="111"/>
      <c r="O261" s="111"/>
      <c r="P261" s="111"/>
      <c r="Q261" s="111"/>
      <c r="R261" s="111"/>
    </row>
    <row r="262" spans="1:18" s="118" customFormat="1" x14ac:dyDescent="0.2">
      <c r="A262" s="148"/>
      <c r="B262" s="148"/>
      <c r="C262" s="14"/>
      <c r="D262" s="314"/>
      <c r="E262" s="148"/>
      <c r="F262" s="151"/>
      <c r="G262" s="137"/>
      <c r="H262" s="137"/>
      <c r="I262" s="138"/>
      <c r="J262" s="167"/>
      <c r="K262" s="111"/>
      <c r="L262" s="111"/>
      <c r="M262" s="111"/>
      <c r="N262" s="111"/>
      <c r="O262" s="111"/>
      <c r="P262" s="111"/>
      <c r="Q262" s="111"/>
      <c r="R262" s="111"/>
    </row>
    <row r="263" spans="1:18" s="118" customFormat="1" x14ac:dyDescent="0.2">
      <c r="A263" s="148"/>
      <c r="B263" s="148"/>
      <c r="C263" s="14"/>
      <c r="D263" s="314"/>
      <c r="E263" s="148"/>
      <c r="F263" s="151"/>
      <c r="G263" s="137"/>
      <c r="H263" s="137"/>
      <c r="I263" s="138"/>
      <c r="J263" s="167"/>
      <c r="K263" s="111"/>
      <c r="L263" s="111"/>
      <c r="M263" s="111"/>
      <c r="N263" s="111"/>
      <c r="O263" s="111"/>
      <c r="P263" s="111"/>
      <c r="Q263" s="111"/>
      <c r="R263" s="111"/>
    </row>
    <row r="264" spans="1:18" s="145" customFormat="1" x14ac:dyDescent="0.2">
      <c r="A264" s="140"/>
      <c r="B264" s="140"/>
      <c r="C264" s="141"/>
      <c r="D264" s="112"/>
      <c r="E264" s="140"/>
      <c r="F264" s="194"/>
      <c r="G264" s="194"/>
      <c r="H264" s="142"/>
      <c r="I264" s="143"/>
      <c r="J264" s="285"/>
      <c r="K264" s="144"/>
      <c r="L264" s="144"/>
      <c r="M264" s="144"/>
      <c r="N264" s="144"/>
      <c r="O264" s="144"/>
      <c r="P264" s="144"/>
      <c r="Q264" s="144"/>
      <c r="R264" s="144"/>
    </row>
    <row r="265" spans="1:18" s="118" customFormat="1" x14ac:dyDescent="0.2">
      <c r="A265" s="148"/>
      <c r="B265" s="148"/>
      <c r="C265" s="14"/>
      <c r="D265" s="314"/>
      <c r="E265" s="148"/>
      <c r="F265" s="151"/>
      <c r="G265" s="137"/>
      <c r="H265" s="137"/>
      <c r="I265" s="138"/>
      <c r="J265" s="167"/>
      <c r="K265" s="111"/>
      <c r="L265" s="111"/>
      <c r="M265" s="111"/>
      <c r="N265" s="111"/>
      <c r="O265" s="111"/>
      <c r="P265" s="111"/>
      <c r="Q265" s="111"/>
      <c r="R265" s="111"/>
    </row>
    <row r="266" spans="1:18" s="118" customFormat="1" x14ac:dyDescent="0.2">
      <c r="A266" s="148"/>
      <c r="B266" s="148"/>
      <c r="C266" s="14"/>
      <c r="D266" s="314"/>
      <c r="E266" s="148"/>
      <c r="F266" s="151"/>
      <c r="G266" s="137"/>
      <c r="H266" s="137"/>
      <c r="I266" s="138"/>
      <c r="J266" s="167"/>
      <c r="K266" s="111"/>
      <c r="L266" s="111"/>
      <c r="M266" s="111"/>
      <c r="N266" s="111"/>
      <c r="O266" s="111"/>
      <c r="P266" s="111"/>
      <c r="Q266" s="111"/>
      <c r="R266" s="111"/>
    </row>
    <row r="267" spans="1:18" s="145" customFormat="1" x14ac:dyDescent="0.2">
      <c r="A267" s="140"/>
      <c r="B267" s="140"/>
      <c r="C267" s="141"/>
      <c r="D267" s="112"/>
      <c r="E267" s="140"/>
      <c r="F267" s="194"/>
      <c r="G267" s="194"/>
      <c r="H267" s="142"/>
      <c r="I267" s="143"/>
      <c r="J267" s="285"/>
      <c r="K267" s="144"/>
      <c r="L267" s="144"/>
      <c r="M267" s="144"/>
      <c r="N267" s="144"/>
      <c r="O267" s="144"/>
      <c r="P267" s="144"/>
      <c r="Q267" s="144"/>
      <c r="R267" s="144"/>
    </row>
    <row r="268" spans="1:18" s="118" customFormat="1" x14ac:dyDescent="0.2">
      <c r="A268" s="148"/>
      <c r="B268" s="148"/>
      <c r="C268" s="14"/>
      <c r="D268" s="314"/>
      <c r="E268" s="148"/>
      <c r="F268" s="151"/>
      <c r="G268" s="137"/>
      <c r="H268" s="137"/>
      <c r="I268" s="138"/>
      <c r="J268" s="167"/>
      <c r="K268" s="111"/>
      <c r="L268" s="111"/>
      <c r="M268" s="111"/>
      <c r="N268" s="111"/>
      <c r="O268" s="111"/>
      <c r="P268" s="111"/>
      <c r="Q268" s="111"/>
      <c r="R268" s="111"/>
    </row>
    <row r="269" spans="1:18" s="118" customFormat="1" x14ac:dyDescent="0.2">
      <c r="A269" s="148"/>
      <c r="B269" s="148"/>
      <c r="C269" s="14"/>
      <c r="D269" s="314"/>
      <c r="E269" s="148"/>
      <c r="F269" s="151"/>
      <c r="G269" s="151"/>
      <c r="H269" s="137"/>
      <c r="I269" s="138"/>
      <c r="J269" s="167"/>
      <c r="K269" s="111"/>
      <c r="L269" s="111"/>
      <c r="M269" s="111"/>
      <c r="N269" s="111"/>
      <c r="O269" s="111"/>
      <c r="P269" s="111"/>
      <c r="Q269" s="111"/>
      <c r="R269" s="111"/>
    </row>
    <row r="270" spans="1:18" s="241" customFormat="1" ht="13.2" x14ac:dyDescent="0.25">
      <c r="A270" s="236"/>
      <c r="B270" s="236"/>
      <c r="C270" s="237"/>
      <c r="D270" s="289"/>
      <c r="E270" s="236"/>
      <c r="F270" s="316"/>
      <c r="G270" s="316"/>
      <c r="H270" s="238"/>
      <c r="I270" s="239"/>
      <c r="J270" s="284" t="e">
        <f>I270/$I$392</f>
        <v>#DIV/0!</v>
      </c>
      <c r="K270" s="240"/>
      <c r="L270" s="240"/>
      <c r="M270" s="240"/>
      <c r="N270" s="240"/>
      <c r="O270" s="240"/>
      <c r="P270" s="240"/>
      <c r="Q270" s="240"/>
      <c r="R270" s="240"/>
    </row>
    <row r="271" spans="1:18" s="145" customFormat="1" x14ac:dyDescent="0.2">
      <c r="A271" s="140"/>
      <c r="B271" s="140"/>
      <c r="C271" s="141"/>
      <c r="D271" s="112"/>
      <c r="E271" s="140"/>
      <c r="F271" s="194"/>
      <c r="G271" s="194"/>
      <c r="H271" s="142"/>
      <c r="I271" s="143"/>
      <c r="J271" s="285"/>
      <c r="K271" s="144"/>
      <c r="L271" s="144"/>
      <c r="M271" s="144"/>
      <c r="N271" s="144"/>
      <c r="O271" s="144"/>
      <c r="P271" s="144"/>
      <c r="Q271" s="144"/>
      <c r="R271" s="144"/>
    </row>
    <row r="272" spans="1:18" s="118" customFormat="1" x14ac:dyDescent="0.2">
      <c r="A272" s="148"/>
      <c r="B272" s="148"/>
      <c r="C272" s="14"/>
      <c r="D272" s="314"/>
      <c r="E272" s="148"/>
      <c r="F272" s="151"/>
      <c r="G272" s="137"/>
      <c r="H272" s="137"/>
      <c r="I272" s="138"/>
      <c r="J272" s="167"/>
      <c r="K272" s="111"/>
      <c r="L272" s="111"/>
      <c r="M272" s="111"/>
      <c r="N272" s="111"/>
      <c r="O272" s="111"/>
      <c r="P272" s="111"/>
      <c r="Q272" s="111"/>
      <c r="R272" s="111"/>
    </row>
    <row r="273" spans="1:18" s="118" customFormat="1" x14ac:dyDescent="0.2">
      <c r="A273" s="148"/>
      <c r="B273" s="148"/>
      <c r="C273" s="14"/>
      <c r="D273" s="314"/>
      <c r="E273" s="148"/>
      <c r="F273" s="151"/>
      <c r="G273" s="137"/>
      <c r="H273" s="137"/>
      <c r="I273" s="138"/>
      <c r="J273" s="167"/>
      <c r="K273" s="111"/>
      <c r="L273" s="111"/>
      <c r="M273" s="111"/>
      <c r="N273" s="111"/>
      <c r="O273" s="111"/>
      <c r="P273" s="111"/>
      <c r="Q273" s="111"/>
      <c r="R273" s="111"/>
    </row>
    <row r="274" spans="1:18" s="118" customFormat="1" x14ac:dyDescent="0.2">
      <c r="A274" s="148"/>
      <c r="B274" s="148"/>
      <c r="C274" s="14"/>
      <c r="D274" s="314"/>
      <c r="E274" s="148"/>
      <c r="F274" s="151"/>
      <c r="G274" s="137"/>
      <c r="H274" s="137"/>
      <c r="I274" s="138"/>
      <c r="J274" s="167"/>
      <c r="K274" s="111"/>
      <c r="L274" s="111"/>
      <c r="M274" s="111"/>
      <c r="N274" s="111"/>
      <c r="O274" s="111"/>
      <c r="P274" s="111"/>
      <c r="Q274" s="111"/>
      <c r="R274" s="111"/>
    </row>
    <row r="275" spans="1:18" s="118" customFormat="1" x14ac:dyDescent="0.2">
      <c r="A275" s="148"/>
      <c r="B275" s="148"/>
      <c r="C275" s="14"/>
      <c r="D275" s="314"/>
      <c r="E275" s="148"/>
      <c r="F275" s="151"/>
      <c r="G275" s="137"/>
      <c r="H275" s="137"/>
      <c r="I275" s="138"/>
      <c r="J275" s="167"/>
      <c r="K275" s="111"/>
      <c r="L275" s="111"/>
      <c r="M275" s="111"/>
      <c r="N275" s="111"/>
      <c r="O275" s="111"/>
      <c r="P275" s="111"/>
      <c r="Q275" s="111"/>
      <c r="R275" s="111"/>
    </row>
    <row r="276" spans="1:18" s="118" customFormat="1" x14ac:dyDescent="0.2">
      <c r="A276" s="148"/>
      <c r="B276" s="148"/>
      <c r="C276" s="14"/>
      <c r="D276" s="314"/>
      <c r="E276" s="148"/>
      <c r="F276" s="151"/>
      <c r="G276" s="137"/>
      <c r="H276" s="137"/>
      <c r="I276" s="138"/>
      <c r="J276" s="167"/>
      <c r="K276" s="111"/>
      <c r="L276" s="111"/>
      <c r="M276" s="111"/>
      <c r="N276" s="111"/>
      <c r="O276" s="111"/>
      <c r="P276" s="111"/>
      <c r="Q276" s="111"/>
      <c r="R276" s="111"/>
    </row>
    <row r="277" spans="1:18" s="118" customFormat="1" x14ac:dyDescent="0.2">
      <c r="A277" s="148"/>
      <c r="B277" s="148"/>
      <c r="C277" s="14"/>
      <c r="D277" s="314"/>
      <c r="E277" s="148"/>
      <c r="F277" s="151"/>
      <c r="G277" s="137"/>
      <c r="H277" s="137"/>
      <c r="I277" s="138"/>
      <c r="J277" s="167"/>
      <c r="K277" s="111"/>
      <c r="L277" s="111"/>
      <c r="M277" s="111"/>
      <c r="N277" s="111"/>
      <c r="O277" s="111"/>
      <c r="P277" s="111"/>
      <c r="Q277" s="111"/>
      <c r="R277" s="111"/>
    </row>
    <row r="278" spans="1:18" s="118" customFormat="1" x14ac:dyDescent="0.2">
      <c r="A278" s="148"/>
      <c r="B278" s="148"/>
      <c r="C278" s="14"/>
      <c r="D278" s="314"/>
      <c r="E278" s="148"/>
      <c r="F278" s="151"/>
      <c r="G278" s="137"/>
      <c r="H278" s="137"/>
      <c r="I278" s="138"/>
      <c r="J278" s="167"/>
      <c r="K278" s="111"/>
      <c r="L278" s="111"/>
      <c r="M278" s="111"/>
      <c r="N278" s="111"/>
      <c r="O278" s="111"/>
      <c r="P278" s="111"/>
      <c r="Q278" s="111"/>
      <c r="R278" s="111"/>
    </row>
    <row r="279" spans="1:18" s="145" customFormat="1" x14ac:dyDescent="0.2">
      <c r="A279" s="140"/>
      <c r="B279" s="140"/>
      <c r="C279" s="141"/>
      <c r="D279" s="112"/>
      <c r="E279" s="140"/>
      <c r="F279" s="194"/>
      <c r="G279" s="194"/>
      <c r="H279" s="142"/>
      <c r="I279" s="143"/>
      <c r="J279" s="285"/>
      <c r="K279" s="144"/>
      <c r="L279" s="144"/>
      <c r="M279" s="144"/>
      <c r="N279" s="144"/>
      <c r="O279" s="144"/>
      <c r="P279" s="144"/>
      <c r="Q279" s="144"/>
      <c r="R279" s="144"/>
    </row>
    <row r="280" spans="1:18" s="118" customFormat="1" x14ac:dyDescent="0.2">
      <c r="A280" s="148"/>
      <c r="B280" s="148"/>
      <c r="C280" s="14"/>
      <c r="D280" s="314"/>
      <c r="E280" s="148"/>
      <c r="F280" s="151"/>
      <c r="G280" s="137"/>
      <c r="H280" s="137"/>
      <c r="I280" s="138"/>
      <c r="J280" s="167"/>
      <c r="K280" s="111"/>
      <c r="L280" s="111"/>
      <c r="M280" s="111"/>
      <c r="N280" s="111"/>
      <c r="O280" s="111"/>
      <c r="P280" s="111"/>
      <c r="Q280" s="111"/>
      <c r="R280" s="111"/>
    </row>
    <row r="281" spans="1:18" s="145" customFormat="1" x14ac:dyDescent="0.2">
      <c r="A281" s="140"/>
      <c r="B281" s="140"/>
      <c r="C281" s="141"/>
      <c r="D281" s="112"/>
      <c r="E281" s="140"/>
      <c r="F281" s="194"/>
      <c r="G281" s="194"/>
      <c r="H281" s="142"/>
      <c r="I281" s="143"/>
      <c r="J281" s="285"/>
      <c r="K281" s="144"/>
      <c r="L281" s="144"/>
      <c r="M281" s="144"/>
      <c r="N281" s="144"/>
      <c r="O281" s="144"/>
      <c r="P281" s="144"/>
      <c r="Q281" s="144"/>
      <c r="R281" s="144"/>
    </row>
    <row r="282" spans="1:18" s="118" customFormat="1" x14ac:dyDescent="0.2">
      <c r="A282" s="148"/>
      <c r="B282" s="148"/>
      <c r="C282" s="14"/>
      <c r="D282" s="314"/>
      <c r="E282" s="148"/>
      <c r="F282" s="151"/>
      <c r="G282" s="137"/>
      <c r="H282" s="137"/>
      <c r="I282" s="138"/>
      <c r="J282" s="167"/>
      <c r="K282" s="111"/>
      <c r="L282" s="111"/>
      <c r="M282" s="111"/>
      <c r="N282" s="111"/>
      <c r="O282" s="111"/>
      <c r="P282" s="111"/>
      <c r="Q282" s="111"/>
      <c r="R282" s="111"/>
    </row>
    <row r="283" spans="1:18" s="118" customFormat="1" x14ac:dyDescent="0.2">
      <c r="A283" s="148"/>
      <c r="B283" s="148"/>
      <c r="C283" s="14"/>
      <c r="D283" s="314"/>
      <c r="E283" s="148"/>
      <c r="F283" s="151"/>
      <c r="G283" s="151"/>
      <c r="H283" s="137"/>
      <c r="I283" s="138"/>
      <c r="J283" s="167"/>
      <c r="K283" s="111"/>
      <c r="L283" s="111"/>
      <c r="M283" s="111"/>
      <c r="N283" s="111"/>
      <c r="O283" s="111"/>
      <c r="P283" s="111"/>
      <c r="Q283" s="111"/>
      <c r="R283" s="111"/>
    </row>
    <row r="284" spans="1:18" s="241" customFormat="1" ht="13.2" x14ac:dyDescent="0.25">
      <c r="A284" s="236"/>
      <c r="B284" s="236"/>
      <c r="C284" s="237"/>
      <c r="D284" s="289"/>
      <c r="E284" s="236"/>
      <c r="F284" s="316"/>
      <c r="G284" s="316"/>
      <c r="H284" s="238"/>
      <c r="I284" s="239"/>
      <c r="J284" s="284" t="e">
        <f>I284/$I$392</f>
        <v>#DIV/0!</v>
      </c>
      <c r="K284" s="240"/>
      <c r="L284" s="240"/>
      <c r="M284" s="240"/>
      <c r="N284" s="240"/>
      <c r="O284" s="240"/>
      <c r="P284" s="240"/>
      <c r="Q284" s="240"/>
      <c r="R284" s="240"/>
    </row>
    <row r="285" spans="1:18" s="145" customFormat="1" x14ac:dyDescent="0.2">
      <c r="A285" s="140"/>
      <c r="B285" s="140"/>
      <c r="C285" s="141"/>
      <c r="D285" s="112"/>
      <c r="E285" s="140"/>
      <c r="F285" s="194"/>
      <c r="G285" s="194"/>
      <c r="H285" s="142"/>
      <c r="I285" s="143"/>
      <c r="J285" s="285"/>
      <c r="K285" s="144"/>
      <c r="L285" s="144"/>
      <c r="M285" s="144"/>
      <c r="N285" s="144"/>
      <c r="O285" s="144"/>
      <c r="P285" s="144"/>
      <c r="Q285" s="144"/>
      <c r="R285" s="144"/>
    </row>
    <row r="286" spans="1:18" s="118" customFormat="1" x14ac:dyDescent="0.2">
      <c r="A286" s="148"/>
      <c r="B286" s="148"/>
      <c r="C286" s="14"/>
      <c r="D286" s="314"/>
      <c r="E286" s="148"/>
      <c r="F286" s="151"/>
      <c r="G286" s="137"/>
      <c r="H286" s="137"/>
      <c r="I286" s="138"/>
      <c r="J286" s="167"/>
      <c r="K286" s="111"/>
      <c r="L286" s="111"/>
      <c r="M286" s="111"/>
      <c r="N286" s="111"/>
      <c r="O286" s="111"/>
      <c r="P286" s="111"/>
      <c r="Q286" s="111"/>
      <c r="R286" s="111"/>
    </row>
    <row r="287" spans="1:18" s="118" customFormat="1" x14ac:dyDescent="0.2">
      <c r="A287" s="148"/>
      <c r="B287" s="148"/>
      <c r="C287" s="14"/>
      <c r="D287" s="314"/>
      <c r="E287" s="148"/>
      <c r="F287" s="151"/>
      <c r="G287" s="137"/>
      <c r="H287" s="137"/>
      <c r="I287" s="138"/>
      <c r="J287" s="167"/>
      <c r="K287" s="111"/>
      <c r="L287" s="111"/>
      <c r="M287" s="111"/>
      <c r="N287" s="111"/>
      <c r="O287" s="111"/>
      <c r="P287" s="111"/>
      <c r="Q287" s="111"/>
      <c r="R287" s="111"/>
    </row>
    <row r="288" spans="1:18" s="118" customFormat="1" x14ac:dyDescent="0.2">
      <c r="A288" s="148"/>
      <c r="B288" s="148"/>
      <c r="C288" s="14"/>
      <c r="D288" s="314"/>
      <c r="E288" s="148"/>
      <c r="F288" s="151"/>
      <c r="G288" s="137"/>
      <c r="H288" s="137"/>
      <c r="I288" s="138"/>
      <c r="J288" s="167"/>
      <c r="K288" s="111"/>
      <c r="L288" s="111"/>
      <c r="M288" s="111"/>
      <c r="N288" s="111"/>
      <c r="O288" s="111"/>
      <c r="P288" s="111"/>
      <c r="Q288" s="111"/>
      <c r="R288" s="111"/>
    </row>
    <row r="289" spans="1:18" s="118" customFormat="1" x14ac:dyDescent="0.2">
      <c r="A289" s="148"/>
      <c r="B289" s="148"/>
      <c r="C289" s="14"/>
      <c r="D289" s="314"/>
      <c r="E289" s="148"/>
      <c r="F289" s="151"/>
      <c r="G289" s="137"/>
      <c r="H289" s="137"/>
      <c r="I289" s="138"/>
      <c r="J289" s="167"/>
      <c r="K289" s="111"/>
      <c r="L289" s="111"/>
      <c r="M289" s="111"/>
      <c r="N289" s="111"/>
      <c r="O289" s="111"/>
      <c r="P289" s="111"/>
      <c r="Q289" s="111"/>
      <c r="R289" s="111"/>
    </row>
    <row r="290" spans="1:18" s="118" customFormat="1" x14ac:dyDescent="0.2">
      <c r="A290" s="148"/>
      <c r="B290" s="148"/>
      <c r="C290" s="14"/>
      <c r="D290" s="314"/>
      <c r="E290" s="148"/>
      <c r="F290" s="151"/>
      <c r="G290" s="137"/>
      <c r="H290" s="137"/>
      <c r="I290" s="138"/>
      <c r="J290" s="167"/>
      <c r="K290" s="111"/>
      <c r="L290" s="111"/>
      <c r="M290" s="111"/>
      <c r="N290" s="111"/>
      <c r="O290" s="111"/>
      <c r="P290" s="111"/>
      <c r="Q290" s="111"/>
      <c r="R290" s="111"/>
    </row>
    <row r="291" spans="1:18" s="118" customFormat="1" x14ac:dyDescent="0.2">
      <c r="A291" s="148"/>
      <c r="B291" s="148"/>
      <c r="C291" s="14"/>
      <c r="D291" s="314"/>
      <c r="E291" s="148"/>
      <c r="F291" s="151"/>
      <c r="G291" s="137"/>
      <c r="H291" s="137"/>
      <c r="I291" s="138"/>
      <c r="J291" s="167"/>
      <c r="K291" s="111"/>
      <c r="L291" s="111"/>
      <c r="M291" s="111"/>
      <c r="N291" s="111"/>
      <c r="O291" s="111"/>
      <c r="P291" s="111"/>
      <c r="Q291" s="111"/>
      <c r="R291" s="111"/>
    </row>
    <row r="292" spans="1:18" s="118" customFormat="1" x14ac:dyDescent="0.2">
      <c r="A292" s="148"/>
      <c r="B292" s="148"/>
      <c r="C292" s="14"/>
      <c r="D292" s="314"/>
      <c r="E292" s="148"/>
      <c r="F292" s="151"/>
      <c r="G292" s="137"/>
      <c r="H292" s="137"/>
      <c r="I292" s="138"/>
      <c r="J292" s="167"/>
      <c r="K292" s="111"/>
      <c r="L292" s="111"/>
      <c r="M292" s="111"/>
      <c r="N292" s="111"/>
      <c r="O292" s="111"/>
      <c r="P292" s="111"/>
      <c r="Q292" s="111"/>
      <c r="R292" s="111"/>
    </row>
    <row r="293" spans="1:18" s="145" customFormat="1" x14ac:dyDescent="0.2">
      <c r="A293" s="140"/>
      <c r="B293" s="140"/>
      <c r="C293" s="141"/>
      <c r="D293" s="112"/>
      <c r="E293" s="140"/>
      <c r="F293" s="194"/>
      <c r="G293" s="194"/>
      <c r="H293" s="142"/>
      <c r="I293" s="143"/>
      <c r="J293" s="285"/>
      <c r="K293" s="144"/>
      <c r="L293" s="144"/>
      <c r="M293" s="144"/>
      <c r="N293" s="144"/>
      <c r="O293" s="144"/>
      <c r="P293" s="144"/>
      <c r="Q293" s="144"/>
      <c r="R293" s="144"/>
    </row>
    <row r="294" spans="1:18" s="118" customFormat="1" x14ac:dyDescent="0.2">
      <c r="A294" s="148"/>
      <c r="B294" s="148"/>
      <c r="C294" s="14"/>
      <c r="D294" s="314"/>
      <c r="E294" s="148"/>
      <c r="F294" s="151"/>
      <c r="G294" s="137"/>
      <c r="H294" s="137"/>
      <c r="I294" s="138"/>
      <c r="J294" s="167"/>
      <c r="K294" s="111"/>
      <c r="L294" s="111"/>
      <c r="M294" s="111"/>
      <c r="N294" s="111"/>
      <c r="O294" s="111"/>
      <c r="P294" s="111"/>
      <c r="Q294" s="111"/>
      <c r="R294" s="111"/>
    </row>
    <row r="295" spans="1:18" s="118" customFormat="1" x14ac:dyDescent="0.2">
      <c r="A295" s="148"/>
      <c r="B295" s="148"/>
      <c r="C295" s="14"/>
      <c r="D295" s="314"/>
      <c r="E295" s="148"/>
      <c r="F295" s="151"/>
      <c r="G295" s="137"/>
      <c r="H295" s="137"/>
      <c r="I295" s="138"/>
      <c r="J295" s="167"/>
      <c r="K295" s="111"/>
      <c r="L295" s="111"/>
      <c r="M295" s="111"/>
      <c r="N295" s="111"/>
      <c r="O295" s="111"/>
      <c r="P295" s="111"/>
      <c r="Q295" s="111"/>
      <c r="R295" s="111"/>
    </row>
    <row r="296" spans="1:18" s="118" customFormat="1" x14ac:dyDescent="0.2">
      <c r="A296" s="148"/>
      <c r="B296" s="148"/>
      <c r="C296" s="14"/>
      <c r="D296" s="314"/>
      <c r="E296" s="148"/>
      <c r="F296" s="151"/>
      <c r="G296" s="137"/>
      <c r="H296" s="137"/>
      <c r="I296" s="138"/>
      <c r="J296" s="167"/>
      <c r="K296" s="111"/>
      <c r="L296" s="111"/>
      <c r="M296" s="111"/>
      <c r="N296" s="111"/>
      <c r="O296" s="111"/>
      <c r="P296" s="111"/>
      <c r="Q296" s="111"/>
      <c r="R296" s="111"/>
    </row>
    <row r="297" spans="1:18" s="145" customFormat="1" x14ac:dyDescent="0.2">
      <c r="A297" s="140"/>
      <c r="B297" s="140"/>
      <c r="C297" s="141"/>
      <c r="D297" s="112"/>
      <c r="E297" s="140"/>
      <c r="F297" s="194"/>
      <c r="G297" s="194"/>
      <c r="H297" s="142"/>
      <c r="I297" s="143"/>
      <c r="J297" s="285"/>
      <c r="K297" s="144"/>
      <c r="L297" s="144"/>
      <c r="M297" s="144"/>
      <c r="N297" s="144"/>
      <c r="O297" s="144"/>
      <c r="P297" s="144"/>
      <c r="Q297" s="144"/>
      <c r="R297" s="144"/>
    </row>
    <row r="298" spans="1:18" s="118" customFormat="1" x14ac:dyDescent="0.2">
      <c r="A298" s="148"/>
      <c r="B298" s="148"/>
      <c r="C298" s="14"/>
      <c r="D298" s="314"/>
      <c r="E298" s="148"/>
      <c r="F298" s="151"/>
      <c r="G298" s="137"/>
      <c r="H298" s="137"/>
      <c r="I298" s="138"/>
      <c r="J298" s="167"/>
      <c r="K298" s="111"/>
      <c r="L298" s="111"/>
      <c r="M298" s="111"/>
      <c r="N298" s="111"/>
      <c r="O298" s="111"/>
      <c r="P298" s="111"/>
      <c r="Q298" s="111"/>
      <c r="R298" s="111"/>
    </row>
    <row r="299" spans="1:18" s="145" customFormat="1" x14ac:dyDescent="0.2">
      <c r="A299" s="140"/>
      <c r="B299" s="140"/>
      <c r="C299" s="141"/>
      <c r="D299" s="112"/>
      <c r="E299" s="140"/>
      <c r="F299" s="194"/>
      <c r="G299" s="194"/>
      <c r="H299" s="142"/>
      <c r="I299" s="143"/>
      <c r="J299" s="285"/>
      <c r="K299" s="144"/>
      <c r="L299" s="144"/>
      <c r="M299" s="144"/>
      <c r="N299" s="144"/>
      <c r="O299" s="144"/>
      <c r="P299" s="144"/>
      <c r="Q299" s="144"/>
      <c r="R299" s="144"/>
    </row>
    <row r="300" spans="1:18" s="118" customFormat="1" x14ac:dyDescent="0.2">
      <c r="A300" s="148"/>
      <c r="B300" s="148"/>
      <c r="C300" s="14"/>
      <c r="D300" s="314"/>
      <c r="E300" s="148"/>
      <c r="F300" s="151"/>
      <c r="G300" s="137"/>
      <c r="H300" s="137"/>
      <c r="I300" s="138"/>
      <c r="J300" s="167"/>
      <c r="K300" s="111"/>
      <c r="L300" s="111"/>
      <c r="M300" s="111"/>
      <c r="N300" s="111"/>
      <c r="O300" s="111"/>
      <c r="P300" s="111"/>
      <c r="Q300" s="111"/>
      <c r="R300" s="111"/>
    </row>
    <row r="301" spans="1:18" s="145" customFormat="1" x14ac:dyDescent="0.2">
      <c r="A301" s="140"/>
      <c r="B301" s="140"/>
      <c r="C301" s="141"/>
      <c r="D301" s="112"/>
      <c r="E301" s="140"/>
      <c r="F301" s="194"/>
      <c r="G301" s="194"/>
      <c r="H301" s="142"/>
      <c r="I301" s="143"/>
      <c r="J301" s="285"/>
      <c r="K301" s="144"/>
      <c r="L301" s="144"/>
      <c r="M301" s="144"/>
      <c r="N301" s="144"/>
      <c r="O301" s="144"/>
      <c r="P301" s="144"/>
      <c r="Q301" s="144"/>
      <c r="R301" s="144"/>
    </row>
    <row r="302" spans="1:18" s="118" customFormat="1" x14ac:dyDescent="0.2">
      <c r="A302" s="148"/>
      <c r="B302" s="148"/>
      <c r="C302" s="14"/>
      <c r="D302" s="314"/>
      <c r="E302" s="148"/>
      <c r="F302" s="151"/>
      <c r="G302" s="137"/>
      <c r="H302" s="137"/>
      <c r="I302" s="138"/>
      <c r="J302" s="167"/>
      <c r="K302" s="111"/>
      <c r="L302" s="111"/>
      <c r="M302" s="111"/>
      <c r="N302" s="111"/>
      <c r="O302" s="111"/>
      <c r="P302" s="111"/>
      <c r="Q302" s="111"/>
      <c r="R302" s="111"/>
    </row>
    <row r="303" spans="1:18" s="118" customFormat="1" x14ac:dyDescent="0.2">
      <c r="A303" s="148"/>
      <c r="B303" s="148"/>
      <c r="C303" s="14"/>
      <c r="D303" s="314"/>
      <c r="E303" s="148"/>
      <c r="F303" s="151"/>
      <c r="G303" s="137"/>
      <c r="H303" s="137"/>
      <c r="I303" s="138"/>
      <c r="J303" s="167"/>
      <c r="K303" s="111"/>
      <c r="L303" s="111"/>
      <c r="M303" s="111"/>
      <c r="N303" s="111"/>
      <c r="O303" s="111"/>
      <c r="P303" s="111"/>
      <c r="Q303" s="111"/>
      <c r="R303" s="111"/>
    </row>
    <row r="304" spans="1:18" s="145" customFormat="1" x14ac:dyDescent="0.2">
      <c r="A304" s="140"/>
      <c r="B304" s="140"/>
      <c r="C304" s="141"/>
      <c r="D304" s="112"/>
      <c r="E304" s="140"/>
      <c r="F304" s="194"/>
      <c r="G304" s="194"/>
      <c r="H304" s="142"/>
      <c r="I304" s="143"/>
      <c r="J304" s="285"/>
      <c r="K304" s="144"/>
      <c r="L304" s="144"/>
      <c r="M304" s="144"/>
      <c r="N304" s="144"/>
      <c r="O304" s="144"/>
      <c r="P304" s="144"/>
      <c r="Q304" s="144"/>
      <c r="R304" s="144"/>
    </row>
    <row r="305" spans="1:18" s="313" customFormat="1" x14ac:dyDescent="0.2">
      <c r="A305" s="6"/>
      <c r="B305" s="6"/>
      <c r="C305" s="7"/>
      <c r="D305" s="310"/>
      <c r="E305" s="6"/>
      <c r="F305" s="150"/>
      <c r="G305" s="150"/>
      <c r="H305" s="136"/>
      <c r="I305" s="199"/>
      <c r="J305" s="283"/>
      <c r="K305" s="312"/>
      <c r="L305" s="312"/>
      <c r="M305" s="312"/>
      <c r="N305" s="312"/>
      <c r="O305" s="312"/>
      <c r="P305" s="312"/>
      <c r="Q305" s="312"/>
      <c r="R305" s="312"/>
    </row>
    <row r="306" spans="1:18" s="118" customFormat="1" x14ac:dyDescent="0.2">
      <c r="A306" s="148"/>
      <c r="B306" s="148"/>
      <c r="C306" s="14"/>
      <c r="D306" s="314"/>
      <c r="E306" s="148"/>
      <c r="F306" s="151"/>
      <c r="G306" s="137"/>
      <c r="H306" s="137"/>
      <c r="I306" s="138"/>
      <c r="J306" s="167"/>
      <c r="K306" s="111"/>
      <c r="L306" s="111"/>
      <c r="M306" s="111"/>
      <c r="N306" s="111"/>
      <c r="O306" s="111"/>
      <c r="P306" s="111"/>
      <c r="Q306" s="111"/>
      <c r="R306" s="111"/>
    </row>
    <row r="307" spans="1:18" s="118" customFormat="1" x14ac:dyDescent="0.2">
      <c r="A307" s="148"/>
      <c r="B307" s="148"/>
      <c r="C307" s="14"/>
      <c r="D307" s="314"/>
      <c r="E307" s="148"/>
      <c r="F307" s="151"/>
      <c r="G307" s="137"/>
      <c r="H307" s="137"/>
      <c r="I307" s="138"/>
      <c r="J307" s="167"/>
      <c r="K307" s="111"/>
      <c r="L307" s="111"/>
      <c r="M307" s="111"/>
      <c r="N307" s="111"/>
      <c r="O307" s="111"/>
      <c r="P307" s="111"/>
      <c r="Q307" s="111"/>
      <c r="R307" s="111"/>
    </row>
    <row r="308" spans="1:18" s="118" customFormat="1" x14ac:dyDescent="0.2">
      <c r="A308" s="148"/>
      <c r="B308" s="148"/>
      <c r="C308" s="14"/>
      <c r="D308" s="314"/>
      <c r="E308" s="148"/>
      <c r="F308" s="151"/>
      <c r="G308" s="137"/>
      <c r="H308" s="137"/>
      <c r="I308" s="138"/>
      <c r="J308" s="167"/>
      <c r="K308" s="111"/>
      <c r="L308" s="111"/>
      <c r="M308" s="111"/>
      <c r="N308" s="111"/>
      <c r="O308" s="111"/>
      <c r="P308" s="111"/>
      <c r="Q308" s="111"/>
      <c r="R308" s="111"/>
    </row>
    <row r="309" spans="1:18" s="118" customFormat="1" x14ac:dyDescent="0.2">
      <c r="A309" s="148"/>
      <c r="B309" s="148"/>
      <c r="C309" s="14"/>
      <c r="D309" s="314"/>
      <c r="E309" s="148"/>
      <c r="F309" s="151"/>
      <c r="G309" s="137"/>
      <c r="H309" s="137"/>
      <c r="I309" s="138"/>
      <c r="J309" s="167"/>
      <c r="K309" s="111"/>
      <c r="L309" s="111"/>
      <c r="M309" s="111"/>
      <c r="N309" s="111"/>
      <c r="O309" s="111"/>
      <c r="P309" s="111"/>
      <c r="Q309" s="111"/>
      <c r="R309" s="111"/>
    </row>
    <row r="310" spans="1:18" s="118" customFormat="1" x14ac:dyDescent="0.2">
      <c r="A310" s="148"/>
      <c r="B310" s="148"/>
      <c r="C310" s="14"/>
      <c r="D310" s="314"/>
      <c r="E310" s="148"/>
      <c r="F310" s="151"/>
      <c r="G310" s="137"/>
      <c r="H310" s="137"/>
      <c r="I310" s="138"/>
      <c r="J310" s="167"/>
      <c r="K310" s="111"/>
      <c r="L310" s="111"/>
      <c r="M310" s="111"/>
      <c r="N310" s="111"/>
      <c r="O310" s="111"/>
      <c r="P310" s="111"/>
      <c r="Q310" s="111"/>
      <c r="R310" s="111"/>
    </row>
    <row r="311" spans="1:18" s="118" customFormat="1" x14ac:dyDescent="0.2">
      <c r="A311" s="148"/>
      <c r="B311" s="148"/>
      <c r="C311" s="14"/>
      <c r="D311" s="314"/>
      <c r="E311" s="148"/>
      <c r="F311" s="151"/>
      <c r="G311" s="137"/>
      <c r="H311" s="137"/>
      <c r="I311" s="138"/>
      <c r="J311" s="167"/>
      <c r="K311" s="111"/>
      <c r="L311" s="111"/>
      <c r="M311" s="111"/>
      <c r="N311" s="111"/>
      <c r="O311" s="111"/>
      <c r="P311" s="111"/>
      <c r="Q311" s="111"/>
      <c r="R311" s="111"/>
    </row>
    <row r="312" spans="1:18" s="118" customFormat="1" x14ac:dyDescent="0.2">
      <c r="A312" s="148"/>
      <c r="B312" s="148"/>
      <c r="C312" s="14"/>
      <c r="D312" s="314"/>
      <c r="E312" s="148"/>
      <c r="F312" s="151"/>
      <c r="G312" s="137"/>
      <c r="H312" s="137"/>
      <c r="I312" s="138"/>
      <c r="J312" s="167"/>
      <c r="K312" s="111"/>
      <c r="L312" s="111"/>
      <c r="M312" s="111"/>
      <c r="N312" s="111"/>
      <c r="O312" s="111"/>
      <c r="P312" s="111"/>
      <c r="Q312" s="111"/>
      <c r="R312" s="111"/>
    </row>
    <row r="313" spans="1:18" s="313" customFormat="1" x14ac:dyDescent="0.2">
      <c r="A313" s="6"/>
      <c r="B313" s="6"/>
      <c r="C313" s="7"/>
      <c r="D313" s="310"/>
      <c r="E313" s="6"/>
      <c r="F313" s="150"/>
      <c r="G313" s="150"/>
      <c r="H313" s="136"/>
      <c r="I313" s="199"/>
      <c r="J313" s="283"/>
      <c r="K313" s="312"/>
      <c r="L313" s="312"/>
      <c r="M313" s="312"/>
      <c r="N313" s="312"/>
      <c r="O313" s="312"/>
      <c r="P313" s="312"/>
      <c r="Q313" s="312"/>
      <c r="R313" s="312"/>
    </row>
    <row r="314" spans="1:18" s="118" customFormat="1" x14ac:dyDescent="0.2">
      <c r="A314" s="148"/>
      <c r="B314" s="148"/>
      <c r="C314" s="14"/>
      <c r="D314" s="314"/>
      <c r="E314" s="148"/>
      <c r="F314" s="151"/>
      <c r="G314" s="137"/>
      <c r="H314" s="137"/>
      <c r="I314" s="138"/>
      <c r="J314" s="167"/>
      <c r="K314" s="111"/>
      <c r="L314" s="111"/>
      <c r="M314" s="111"/>
      <c r="N314" s="111"/>
      <c r="O314" s="111"/>
      <c r="P314" s="111"/>
      <c r="Q314" s="111"/>
      <c r="R314" s="111"/>
    </row>
    <row r="315" spans="1:18" s="118" customFormat="1" x14ac:dyDescent="0.2">
      <c r="A315" s="148"/>
      <c r="B315" s="148"/>
      <c r="C315" s="14"/>
      <c r="D315" s="314"/>
      <c r="E315" s="148"/>
      <c r="F315" s="151"/>
      <c r="G315" s="151"/>
      <c r="H315" s="137"/>
      <c r="I315" s="138"/>
      <c r="J315" s="167"/>
      <c r="K315" s="111"/>
      <c r="L315" s="111"/>
      <c r="M315" s="111"/>
      <c r="N315" s="111"/>
      <c r="O315" s="111"/>
      <c r="P315" s="111"/>
      <c r="Q315" s="111"/>
      <c r="R315" s="111"/>
    </row>
    <row r="316" spans="1:18" s="241" customFormat="1" ht="13.2" x14ac:dyDescent="0.25">
      <c r="A316" s="236"/>
      <c r="B316" s="236"/>
      <c r="C316" s="237"/>
      <c r="D316" s="289"/>
      <c r="E316" s="236"/>
      <c r="F316" s="316"/>
      <c r="G316" s="316"/>
      <c r="H316" s="238"/>
      <c r="I316" s="239"/>
      <c r="J316" s="284" t="e">
        <f>I316/$I$392</f>
        <v>#DIV/0!</v>
      </c>
      <c r="K316" s="240"/>
      <c r="L316" s="240"/>
      <c r="M316" s="240"/>
      <c r="N316" s="240"/>
      <c r="O316" s="240"/>
      <c r="P316" s="240"/>
      <c r="Q316" s="240"/>
      <c r="R316" s="240"/>
    </row>
    <row r="317" spans="1:18" s="145" customFormat="1" x14ac:dyDescent="0.2">
      <c r="A317" s="140"/>
      <c r="B317" s="140"/>
      <c r="C317" s="141"/>
      <c r="D317" s="112"/>
      <c r="E317" s="140"/>
      <c r="F317" s="194"/>
      <c r="G317" s="194"/>
      <c r="H317" s="142"/>
      <c r="I317" s="143"/>
      <c r="J317" s="285"/>
      <c r="K317" s="144"/>
      <c r="L317" s="144"/>
      <c r="M317" s="144"/>
      <c r="N317" s="144"/>
      <c r="O317" s="144"/>
      <c r="P317" s="144"/>
      <c r="Q317" s="144"/>
      <c r="R317" s="144"/>
    </row>
    <row r="318" spans="1:18" s="118" customFormat="1" x14ac:dyDescent="0.2">
      <c r="A318" s="148"/>
      <c r="B318" s="148"/>
      <c r="C318" s="14"/>
      <c r="D318" s="314"/>
      <c r="E318" s="148"/>
      <c r="F318" s="151"/>
      <c r="G318" s="137"/>
      <c r="H318" s="137"/>
      <c r="I318" s="138"/>
      <c r="J318" s="167"/>
      <c r="K318" s="111"/>
      <c r="L318" s="111"/>
      <c r="M318" s="111"/>
      <c r="N318" s="111"/>
      <c r="O318" s="111"/>
      <c r="P318" s="111"/>
      <c r="Q318" s="111"/>
      <c r="R318" s="111"/>
    </row>
    <row r="319" spans="1:18" s="118" customFormat="1" x14ac:dyDescent="0.2">
      <c r="A319" s="148"/>
      <c r="B319" s="148"/>
      <c r="C319" s="14"/>
      <c r="D319" s="314"/>
      <c r="E319" s="148"/>
      <c r="F319" s="151"/>
      <c r="G319" s="137"/>
      <c r="H319" s="137"/>
      <c r="I319" s="138"/>
      <c r="J319" s="167"/>
      <c r="K319" s="111"/>
      <c r="L319" s="111"/>
      <c r="M319" s="111"/>
      <c r="N319" s="111"/>
      <c r="O319" s="111"/>
      <c r="P319" s="111"/>
      <c r="Q319" s="111"/>
      <c r="R319" s="111"/>
    </row>
    <row r="320" spans="1:18" s="118" customFormat="1" x14ac:dyDescent="0.2">
      <c r="A320" s="148"/>
      <c r="B320" s="148"/>
      <c r="C320" s="14"/>
      <c r="D320" s="314"/>
      <c r="E320" s="148"/>
      <c r="F320" s="151"/>
      <c r="G320" s="137"/>
      <c r="H320" s="137"/>
      <c r="I320" s="138"/>
      <c r="J320" s="167"/>
      <c r="K320" s="111"/>
      <c r="L320" s="111"/>
      <c r="M320" s="111"/>
      <c r="N320" s="111"/>
      <c r="O320" s="111"/>
      <c r="P320" s="111"/>
      <c r="Q320" s="111"/>
      <c r="R320" s="111"/>
    </row>
    <row r="321" spans="1:18" s="145" customFormat="1" x14ac:dyDescent="0.2">
      <c r="A321" s="140"/>
      <c r="B321" s="140"/>
      <c r="C321" s="141"/>
      <c r="D321" s="112"/>
      <c r="E321" s="140"/>
      <c r="F321" s="194"/>
      <c r="G321" s="194"/>
      <c r="H321" s="142"/>
      <c r="I321" s="143"/>
      <c r="J321" s="285"/>
      <c r="K321" s="144"/>
      <c r="L321" s="144"/>
      <c r="M321" s="144"/>
      <c r="N321" s="144"/>
      <c r="O321" s="144"/>
      <c r="P321" s="144"/>
      <c r="Q321" s="144"/>
      <c r="R321" s="144"/>
    </row>
    <row r="322" spans="1:18" s="118" customFormat="1" x14ac:dyDescent="0.2">
      <c r="A322" s="148"/>
      <c r="B322" s="148"/>
      <c r="C322" s="14"/>
      <c r="D322" s="314"/>
      <c r="E322" s="148"/>
      <c r="F322" s="151"/>
      <c r="G322" s="137"/>
      <c r="H322" s="137"/>
      <c r="I322" s="138"/>
      <c r="J322" s="167"/>
      <c r="K322" s="111"/>
      <c r="L322" s="111"/>
      <c r="M322" s="111"/>
      <c r="N322" s="111"/>
      <c r="O322" s="111"/>
      <c r="P322" s="111"/>
      <c r="Q322" s="111"/>
      <c r="R322" s="111"/>
    </row>
    <row r="323" spans="1:18" s="145" customFormat="1" x14ac:dyDescent="0.2">
      <c r="A323" s="140"/>
      <c r="B323" s="140"/>
      <c r="C323" s="141"/>
      <c r="D323" s="112"/>
      <c r="E323" s="140"/>
      <c r="F323" s="194"/>
      <c r="G323" s="194"/>
      <c r="H323" s="142"/>
      <c r="I323" s="143"/>
      <c r="J323" s="285"/>
      <c r="K323" s="144"/>
      <c r="L323" s="144"/>
      <c r="M323" s="144"/>
      <c r="N323" s="144"/>
      <c r="O323" s="144"/>
      <c r="P323" s="144"/>
      <c r="Q323" s="144"/>
      <c r="R323" s="144"/>
    </row>
    <row r="324" spans="1:18" s="118" customFormat="1" x14ac:dyDescent="0.2">
      <c r="A324" s="148"/>
      <c r="B324" s="148"/>
      <c r="C324" s="14"/>
      <c r="D324" s="314"/>
      <c r="E324" s="148"/>
      <c r="F324" s="151"/>
      <c r="G324" s="137"/>
      <c r="H324" s="137"/>
      <c r="I324" s="138"/>
      <c r="J324" s="167"/>
      <c r="K324" s="111"/>
      <c r="L324" s="111"/>
      <c r="M324" s="111"/>
      <c r="N324" s="111"/>
      <c r="O324" s="111"/>
      <c r="P324" s="111"/>
      <c r="Q324" s="111"/>
      <c r="R324" s="111"/>
    </row>
    <row r="325" spans="1:18" s="118" customFormat="1" x14ac:dyDescent="0.2">
      <c r="A325" s="148"/>
      <c r="B325" s="148"/>
      <c r="C325" s="14"/>
      <c r="D325" s="314"/>
      <c r="E325" s="148"/>
      <c r="F325" s="151"/>
      <c r="G325" s="151"/>
      <c r="H325" s="137"/>
      <c r="I325" s="138"/>
      <c r="J325" s="167"/>
      <c r="K325" s="111"/>
      <c r="L325" s="111"/>
      <c r="M325" s="111"/>
      <c r="N325" s="111"/>
      <c r="O325" s="111"/>
      <c r="P325" s="111"/>
      <c r="Q325" s="111"/>
      <c r="R325" s="111"/>
    </row>
    <row r="326" spans="1:18" s="241" customFormat="1" ht="13.2" x14ac:dyDescent="0.25">
      <c r="A326" s="236"/>
      <c r="B326" s="236"/>
      <c r="C326" s="237"/>
      <c r="D326" s="289"/>
      <c r="E326" s="236"/>
      <c r="F326" s="316"/>
      <c r="G326" s="316"/>
      <c r="H326" s="238"/>
      <c r="I326" s="239"/>
      <c r="J326" s="284" t="e">
        <f>I326/$I$392</f>
        <v>#DIV/0!</v>
      </c>
      <c r="K326" s="240"/>
      <c r="L326" s="240"/>
      <c r="M326" s="240"/>
      <c r="N326" s="240"/>
      <c r="O326" s="240"/>
      <c r="P326" s="240"/>
      <c r="Q326" s="240"/>
      <c r="R326" s="240"/>
    </row>
    <row r="327" spans="1:18" s="145" customFormat="1" x14ac:dyDescent="0.2">
      <c r="A327" s="140"/>
      <c r="B327" s="140"/>
      <c r="C327" s="141"/>
      <c r="D327" s="112"/>
      <c r="E327" s="140"/>
      <c r="F327" s="194"/>
      <c r="G327" s="194"/>
      <c r="H327" s="142"/>
      <c r="I327" s="143"/>
      <c r="J327" s="285"/>
      <c r="K327" s="144"/>
      <c r="L327" s="144"/>
      <c r="M327" s="144"/>
      <c r="N327" s="144"/>
      <c r="O327" s="144"/>
      <c r="P327" s="144"/>
      <c r="Q327" s="144"/>
      <c r="R327" s="144"/>
    </row>
    <row r="328" spans="1:18" s="118" customFormat="1" x14ac:dyDescent="0.2">
      <c r="A328" s="148"/>
      <c r="B328" s="148"/>
      <c r="C328" s="14"/>
      <c r="D328" s="314"/>
      <c r="E328" s="148"/>
      <c r="F328" s="151"/>
      <c r="G328" s="137"/>
      <c r="H328" s="137"/>
      <c r="I328" s="138"/>
      <c r="J328" s="167"/>
      <c r="K328" s="111"/>
      <c r="L328" s="111"/>
      <c r="M328" s="111"/>
      <c r="N328" s="111"/>
      <c r="O328" s="111"/>
      <c r="P328" s="111"/>
      <c r="Q328" s="111"/>
      <c r="R328" s="111"/>
    </row>
    <row r="329" spans="1:18" s="118" customFormat="1" x14ac:dyDescent="0.2">
      <c r="A329" s="148"/>
      <c r="B329" s="148"/>
      <c r="C329" s="14"/>
      <c r="D329" s="314"/>
      <c r="E329" s="148"/>
      <c r="F329" s="151"/>
      <c r="G329" s="137"/>
      <c r="H329" s="137"/>
      <c r="I329" s="138"/>
      <c r="J329" s="167"/>
      <c r="K329" s="111"/>
      <c r="L329" s="111"/>
      <c r="M329" s="111"/>
      <c r="N329" s="111"/>
      <c r="O329" s="111"/>
      <c r="P329" s="111"/>
      <c r="Q329" s="111"/>
      <c r="R329" s="111"/>
    </row>
    <row r="330" spans="1:18" s="118" customFormat="1" x14ac:dyDescent="0.2">
      <c r="A330" s="148"/>
      <c r="B330" s="148"/>
      <c r="C330" s="14"/>
      <c r="D330" s="314"/>
      <c r="E330" s="148"/>
      <c r="F330" s="151"/>
      <c r="G330" s="137"/>
      <c r="H330" s="137"/>
      <c r="I330" s="138"/>
      <c r="J330" s="167"/>
      <c r="K330" s="111"/>
      <c r="L330" s="111"/>
      <c r="M330" s="111"/>
      <c r="N330" s="111"/>
      <c r="O330" s="111"/>
      <c r="P330" s="111"/>
      <c r="Q330" s="111"/>
      <c r="R330" s="111"/>
    </row>
    <row r="331" spans="1:18" s="118" customFormat="1" x14ac:dyDescent="0.2">
      <c r="A331" s="148"/>
      <c r="B331" s="148"/>
      <c r="C331" s="14"/>
      <c r="D331" s="314"/>
      <c r="E331" s="148"/>
      <c r="F331" s="151"/>
      <c r="G331" s="137"/>
      <c r="H331" s="137"/>
      <c r="I331" s="138"/>
      <c r="J331" s="167"/>
      <c r="K331" s="111"/>
      <c r="L331" s="111"/>
      <c r="M331" s="111"/>
      <c r="N331" s="111"/>
      <c r="O331" s="111"/>
      <c r="P331" s="111"/>
      <c r="Q331" s="111"/>
      <c r="R331" s="111"/>
    </row>
    <row r="332" spans="1:18" s="118" customFormat="1" x14ac:dyDescent="0.2">
      <c r="A332" s="148"/>
      <c r="B332" s="148"/>
      <c r="C332" s="14"/>
      <c r="D332" s="314"/>
      <c r="E332" s="148"/>
      <c r="F332" s="151"/>
      <c r="G332" s="137"/>
      <c r="H332" s="137"/>
      <c r="I332" s="138"/>
      <c r="J332" s="167"/>
      <c r="K332" s="111"/>
      <c r="L332" s="111"/>
      <c r="M332" s="111"/>
      <c r="N332" s="111"/>
      <c r="O332" s="111"/>
      <c r="P332" s="111"/>
      <c r="Q332" s="111"/>
      <c r="R332" s="111"/>
    </row>
    <row r="333" spans="1:18" s="118" customFormat="1" x14ac:dyDescent="0.2">
      <c r="A333" s="148"/>
      <c r="B333" s="148"/>
      <c r="C333" s="14"/>
      <c r="D333" s="314"/>
      <c r="E333" s="148"/>
      <c r="F333" s="151"/>
      <c r="G333" s="137"/>
      <c r="H333" s="137"/>
      <c r="I333" s="138"/>
      <c r="J333" s="167"/>
      <c r="K333" s="111"/>
      <c r="L333" s="111"/>
      <c r="M333" s="111"/>
      <c r="N333" s="111"/>
      <c r="O333" s="111"/>
      <c r="P333" s="111"/>
      <c r="Q333" s="111"/>
      <c r="R333" s="111"/>
    </row>
    <row r="334" spans="1:18" s="145" customFormat="1" x14ac:dyDescent="0.2">
      <c r="A334" s="140"/>
      <c r="B334" s="140"/>
      <c r="C334" s="141"/>
      <c r="D334" s="112"/>
      <c r="E334" s="140"/>
      <c r="F334" s="194"/>
      <c r="G334" s="194"/>
      <c r="H334" s="142"/>
      <c r="I334" s="143"/>
      <c r="J334" s="285"/>
      <c r="K334" s="144"/>
      <c r="L334" s="144"/>
      <c r="M334" s="144"/>
      <c r="N334" s="144"/>
      <c r="O334" s="144"/>
      <c r="P334" s="144"/>
      <c r="Q334" s="144"/>
      <c r="R334" s="144"/>
    </row>
    <row r="335" spans="1:18" s="118" customFormat="1" x14ac:dyDescent="0.2">
      <c r="A335" s="148"/>
      <c r="B335" s="148"/>
      <c r="C335" s="14"/>
      <c r="D335" s="314"/>
      <c r="E335" s="148"/>
      <c r="F335" s="151"/>
      <c r="G335" s="137"/>
      <c r="H335" s="137"/>
      <c r="I335" s="138"/>
      <c r="J335" s="167"/>
      <c r="K335" s="111"/>
      <c r="L335" s="111"/>
      <c r="M335" s="111"/>
      <c r="N335" s="111"/>
      <c r="O335" s="111"/>
      <c r="P335" s="111"/>
      <c r="Q335" s="111"/>
      <c r="R335" s="111"/>
    </row>
    <row r="336" spans="1:18" s="145" customFormat="1" x14ac:dyDescent="0.2">
      <c r="A336" s="140"/>
      <c r="B336" s="140"/>
      <c r="C336" s="141"/>
      <c r="D336" s="112"/>
      <c r="E336" s="140"/>
      <c r="F336" s="194"/>
      <c r="G336" s="194"/>
      <c r="H336" s="142"/>
      <c r="I336" s="143"/>
      <c r="J336" s="285"/>
      <c r="K336" s="144"/>
      <c r="L336" s="144"/>
      <c r="M336" s="144"/>
      <c r="N336" s="144"/>
      <c r="O336" s="144"/>
      <c r="P336" s="144"/>
      <c r="Q336" s="144"/>
      <c r="R336" s="144"/>
    </row>
    <row r="337" spans="1:18" s="118" customFormat="1" x14ac:dyDescent="0.2">
      <c r="A337" s="148"/>
      <c r="B337" s="148"/>
      <c r="C337" s="14"/>
      <c r="D337" s="314"/>
      <c r="E337" s="148"/>
      <c r="F337" s="151"/>
      <c r="G337" s="137"/>
      <c r="H337" s="137"/>
      <c r="I337" s="138"/>
      <c r="J337" s="167"/>
      <c r="K337" s="111"/>
      <c r="L337" s="111"/>
      <c r="M337" s="111"/>
      <c r="N337" s="111"/>
      <c r="O337" s="111"/>
      <c r="P337" s="111"/>
      <c r="Q337" s="111"/>
      <c r="R337" s="111"/>
    </row>
    <row r="338" spans="1:18" s="118" customFormat="1" x14ac:dyDescent="0.2">
      <c r="A338" s="148"/>
      <c r="B338" s="148"/>
      <c r="C338" s="14"/>
      <c r="D338" s="314"/>
      <c r="E338" s="148"/>
      <c r="F338" s="151"/>
      <c r="G338" s="137"/>
      <c r="H338" s="137"/>
      <c r="I338" s="138"/>
      <c r="J338" s="167"/>
      <c r="K338" s="111"/>
      <c r="L338" s="111"/>
      <c r="M338" s="111"/>
      <c r="N338" s="111"/>
      <c r="O338" s="111"/>
      <c r="P338" s="111"/>
      <c r="Q338" s="111"/>
      <c r="R338" s="111"/>
    </row>
    <row r="339" spans="1:18" s="118" customFormat="1" x14ac:dyDescent="0.2">
      <c r="A339" s="148"/>
      <c r="B339" s="148"/>
      <c r="C339" s="14"/>
      <c r="D339" s="314"/>
      <c r="E339" s="148"/>
      <c r="F339" s="151"/>
      <c r="G339" s="137"/>
      <c r="H339" s="137"/>
      <c r="I339" s="138"/>
      <c r="J339" s="167"/>
      <c r="K339" s="111"/>
      <c r="L339" s="111"/>
      <c r="M339" s="111"/>
      <c r="N339" s="111"/>
      <c r="O339" s="111"/>
      <c r="P339" s="111"/>
      <c r="Q339" s="111"/>
      <c r="R339" s="111"/>
    </row>
    <row r="340" spans="1:18" s="118" customFormat="1" x14ac:dyDescent="0.2">
      <c r="A340" s="148"/>
      <c r="B340" s="148"/>
      <c r="C340" s="14"/>
      <c r="D340" s="314"/>
      <c r="E340" s="148"/>
      <c r="F340" s="151"/>
      <c r="G340" s="137"/>
      <c r="H340" s="137"/>
      <c r="I340" s="138"/>
      <c r="J340" s="167"/>
      <c r="K340" s="111"/>
      <c r="L340" s="111"/>
      <c r="M340" s="111"/>
      <c r="N340" s="111"/>
      <c r="O340" s="111"/>
      <c r="P340" s="111"/>
      <c r="Q340" s="111"/>
      <c r="R340" s="111"/>
    </row>
    <row r="341" spans="1:18" s="118" customFormat="1" x14ac:dyDescent="0.2">
      <c r="A341" s="148"/>
      <c r="B341" s="148"/>
      <c r="C341" s="14"/>
      <c r="D341" s="314"/>
      <c r="E341" s="148"/>
      <c r="F341" s="151"/>
      <c r="G341" s="137"/>
      <c r="H341" s="137"/>
      <c r="I341" s="138"/>
      <c r="J341" s="167"/>
      <c r="K341" s="111"/>
      <c r="L341" s="111"/>
      <c r="M341" s="111"/>
      <c r="N341" s="111"/>
      <c r="O341" s="111"/>
      <c r="P341" s="111"/>
      <c r="Q341" s="111"/>
      <c r="R341" s="111"/>
    </row>
    <row r="342" spans="1:18" s="118" customFormat="1" x14ac:dyDescent="0.2">
      <c r="A342" s="148"/>
      <c r="B342" s="148"/>
      <c r="C342" s="14"/>
      <c r="D342" s="314"/>
      <c r="E342" s="148"/>
      <c r="F342" s="151"/>
      <c r="G342" s="137"/>
      <c r="H342" s="137"/>
      <c r="I342" s="138"/>
      <c r="J342" s="167"/>
      <c r="K342" s="111"/>
      <c r="L342" s="111"/>
      <c r="M342" s="111"/>
      <c r="N342" s="111"/>
      <c r="O342" s="111"/>
      <c r="P342" s="111"/>
      <c r="Q342" s="111"/>
      <c r="R342" s="111"/>
    </row>
    <row r="343" spans="1:18" s="118" customFormat="1" x14ac:dyDescent="0.2">
      <c r="A343" s="148"/>
      <c r="B343" s="148"/>
      <c r="C343" s="14"/>
      <c r="D343" s="314"/>
      <c r="E343" s="148"/>
      <c r="F343" s="151"/>
      <c r="G343" s="137"/>
      <c r="H343" s="137"/>
      <c r="I343" s="138"/>
      <c r="J343" s="167"/>
      <c r="K343" s="111"/>
      <c r="L343" s="111"/>
      <c r="M343" s="111"/>
      <c r="N343" s="111"/>
      <c r="O343" s="111"/>
      <c r="P343" s="111"/>
      <c r="Q343" s="111"/>
      <c r="R343" s="111"/>
    </row>
    <row r="344" spans="1:18" s="145" customFormat="1" x14ac:dyDescent="0.2">
      <c r="A344" s="140"/>
      <c r="B344" s="140"/>
      <c r="C344" s="141"/>
      <c r="D344" s="112"/>
      <c r="E344" s="140"/>
      <c r="F344" s="194"/>
      <c r="G344" s="194"/>
      <c r="H344" s="142"/>
      <c r="I344" s="143"/>
      <c r="J344" s="285"/>
      <c r="K344" s="144"/>
      <c r="L344" s="144"/>
      <c r="M344" s="144"/>
      <c r="N344" s="144"/>
      <c r="O344" s="144"/>
      <c r="P344" s="144"/>
      <c r="Q344" s="144"/>
      <c r="R344" s="144"/>
    </row>
    <row r="345" spans="1:18" s="118" customFormat="1" x14ac:dyDescent="0.2">
      <c r="A345" s="148"/>
      <c r="B345" s="148"/>
      <c r="C345" s="14"/>
      <c r="D345" s="314"/>
      <c r="E345" s="148"/>
      <c r="F345" s="151"/>
      <c r="G345" s="137"/>
      <c r="H345" s="137"/>
      <c r="I345" s="138"/>
      <c r="J345" s="167"/>
      <c r="K345" s="111"/>
      <c r="L345" s="111"/>
      <c r="M345" s="111"/>
      <c r="N345" s="111"/>
      <c r="O345" s="111"/>
      <c r="P345" s="111"/>
      <c r="Q345" s="111"/>
      <c r="R345" s="111"/>
    </row>
    <row r="346" spans="1:18" s="145" customFormat="1" x14ac:dyDescent="0.2">
      <c r="A346" s="140"/>
      <c r="B346" s="140"/>
      <c r="C346" s="141"/>
      <c r="D346" s="112"/>
      <c r="E346" s="140"/>
      <c r="F346" s="194"/>
      <c r="G346" s="194"/>
      <c r="H346" s="142"/>
      <c r="I346" s="143"/>
      <c r="J346" s="285"/>
      <c r="K346" s="144"/>
      <c r="L346" s="144"/>
      <c r="M346" s="144"/>
      <c r="N346" s="144"/>
      <c r="O346" s="144"/>
      <c r="P346" s="144"/>
      <c r="Q346" s="144"/>
      <c r="R346" s="144"/>
    </row>
    <row r="347" spans="1:18" s="118" customFormat="1" x14ac:dyDescent="0.2">
      <c r="A347" s="148"/>
      <c r="B347" s="148"/>
      <c r="C347" s="14"/>
      <c r="D347" s="314"/>
      <c r="E347" s="148"/>
      <c r="F347" s="151"/>
      <c r="G347" s="137"/>
      <c r="H347" s="137"/>
      <c r="I347" s="138"/>
      <c r="J347" s="167"/>
      <c r="K347" s="111"/>
      <c r="L347" s="111"/>
      <c r="M347" s="111"/>
      <c r="N347" s="111"/>
      <c r="O347" s="111"/>
      <c r="P347" s="111"/>
      <c r="Q347" s="111"/>
      <c r="R347" s="111"/>
    </row>
    <row r="348" spans="1:18" s="118" customFormat="1" x14ac:dyDescent="0.2">
      <c r="A348" s="148"/>
      <c r="B348" s="148"/>
      <c r="C348" s="14"/>
      <c r="D348" s="314"/>
      <c r="E348" s="148"/>
      <c r="F348" s="151"/>
      <c r="G348" s="151"/>
      <c r="H348" s="137"/>
      <c r="I348" s="138"/>
      <c r="J348" s="167"/>
      <c r="K348" s="111"/>
      <c r="L348" s="111"/>
      <c r="M348" s="111"/>
      <c r="N348" s="111"/>
      <c r="O348" s="111"/>
      <c r="P348" s="111"/>
      <c r="Q348" s="111"/>
      <c r="R348" s="111"/>
    </row>
    <row r="349" spans="1:18" s="241" customFormat="1" ht="13.2" x14ac:dyDescent="0.25">
      <c r="A349" s="236"/>
      <c r="B349" s="236"/>
      <c r="C349" s="237"/>
      <c r="D349" s="289"/>
      <c r="E349" s="236"/>
      <c r="F349" s="316"/>
      <c r="G349" s="316"/>
      <c r="H349" s="238"/>
      <c r="I349" s="239"/>
      <c r="J349" s="284" t="e">
        <f>I349/$I$392</f>
        <v>#DIV/0!</v>
      </c>
      <c r="K349" s="240"/>
      <c r="L349" s="240"/>
      <c r="M349" s="240"/>
      <c r="N349" s="240"/>
      <c r="O349" s="240"/>
      <c r="P349" s="240"/>
      <c r="Q349" s="240"/>
      <c r="R349" s="240"/>
    </row>
    <row r="350" spans="1:18" s="145" customFormat="1" x14ac:dyDescent="0.2">
      <c r="A350" s="140"/>
      <c r="B350" s="140"/>
      <c r="C350" s="141"/>
      <c r="D350" s="112"/>
      <c r="E350" s="140"/>
      <c r="F350" s="194"/>
      <c r="G350" s="194"/>
      <c r="H350" s="142"/>
      <c r="I350" s="143"/>
      <c r="J350" s="285"/>
      <c r="K350" s="144"/>
      <c r="L350" s="144"/>
      <c r="M350" s="144"/>
      <c r="N350" s="144"/>
      <c r="O350" s="144"/>
      <c r="P350" s="144"/>
      <c r="Q350" s="144"/>
      <c r="R350" s="144"/>
    </row>
    <row r="351" spans="1:18" s="118" customFormat="1" x14ac:dyDescent="0.2">
      <c r="A351" s="148"/>
      <c r="B351" s="148"/>
      <c r="C351" s="14"/>
      <c r="D351" s="314"/>
      <c r="E351" s="148"/>
      <c r="F351" s="151"/>
      <c r="G351" s="137"/>
      <c r="H351" s="137"/>
      <c r="I351" s="138"/>
      <c r="J351" s="167"/>
      <c r="K351" s="111"/>
      <c r="L351" s="111"/>
      <c r="M351" s="111"/>
      <c r="N351" s="111"/>
      <c r="O351" s="111"/>
      <c r="P351" s="111"/>
      <c r="Q351" s="111"/>
      <c r="R351" s="111"/>
    </row>
    <row r="352" spans="1:18" s="118" customFormat="1" x14ac:dyDescent="0.2">
      <c r="A352" s="148"/>
      <c r="B352" s="148"/>
      <c r="C352" s="14"/>
      <c r="D352" s="314"/>
      <c r="E352" s="148"/>
      <c r="F352" s="151"/>
      <c r="G352" s="137"/>
      <c r="H352" s="137"/>
      <c r="I352" s="138"/>
      <c r="J352" s="167"/>
      <c r="K352" s="111"/>
      <c r="L352" s="111"/>
      <c r="M352" s="111"/>
      <c r="N352" s="111"/>
      <c r="O352" s="111"/>
      <c r="P352" s="111"/>
      <c r="Q352" s="111"/>
      <c r="R352" s="111"/>
    </row>
    <row r="353" spans="1:18" s="118" customFormat="1" x14ac:dyDescent="0.2">
      <c r="A353" s="148"/>
      <c r="B353" s="148"/>
      <c r="C353" s="14"/>
      <c r="D353" s="314"/>
      <c r="E353" s="148"/>
      <c r="F353" s="151"/>
      <c r="G353" s="137"/>
      <c r="H353" s="137"/>
      <c r="I353" s="138"/>
      <c r="J353" s="167"/>
      <c r="K353" s="111"/>
      <c r="L353" s="111"/>
      <c r="M353" s="111"/>
      <c r="N353" s="111"/>
      <c r="O353" s="111"/>
      <c r="P353" s="111"/>
      <c r="Q353" s="111"/>
      <c r="R353" s="111"/>
    </row>
    <row r="354" spans="1:18" s="118" customFormat="1" x14ac:dyDescent="0.2">
      <c r="A354" s="148"/>
      <c r="B354" s="148"/>
      <c r="C354" s="14"/>
      <c r="D354" s="314"/>
      <c r="E354" s="148"/>
      <c r="F354" s="151"/>
      <c r="G354" s="137"/>
      <c r="H354" s="137"/>
      <c r="I354" s="138"/>
      <c r="J354" s="167"/>
      <c r="K354" s="111"/>
      <c r="L354" s="111"/>
      <c r="M354" s="111"/>
      <c r="N354" s="111"/>
      <c r="O354" s="111"/>
      <c r="P354" s="111"/>
      <c r="Q354" s="111"/>
      <c r="R354" s="111"/>
    </row>
    <row r="355" spans="1:18" s="118" customFormat="1" x14ac:dyDescent="0.2">
      <c r="A355" s="148"/>
      <c r="B355" s="148"/>
      <c r="C355" s="14"/>
      <c r="D355" s="314"/>
      <c r="E355" s="148"/>
      <c r="F355" s="151"/>
      <c r="G355" s="137"/>
      <c r="H355" s="137"/>
      <c r="I355" s="138"/>
      <c r="J355" s="167"/>
      <c r="K355" s="111"/>
      <c r="L355" s="111"/>
      <c r="M355" s="111"/>
      <c r="N355" s="111"/>
      <c r="O355" s="111"/>
      <c r="P355" s="111"/>
      <c r="Q355" s="111"/>
      <c r="R355" s="111"/>
    </row>
    <row r="356" spans="1:18" s="145" customFormat="1" x14ac:dyDescent="0.2">
      <c r="A356" s="140"/>
      <c r="B356" s="140"/>
      <c r="C356" s="141"/>
      <c r="D356" s="112"/>
      <c r="E356" s="140"/>
      <c r="F356" s="194"/>
      <c r="G356" s="194"/>
      <c r="H356" s="142"/>
      <c r="I356" s="143"/>
      <c r="J356" s="285"/>
      <c r="K356" s="144"/>
      <c r="L356" s="144"/>
      <c r="M356" s="144"/>
      <c r="N356" s="144"/>
      <c r="O356" s="144"/>
      <c r="P356" s="144"/>
      <c r="Q356" s="144"/>
      <c r="R356" s="144"/>
    </row>
    <row r="357" spans="1:18" s="118" customFormat="1" x14ac:dyDescent="0.2">
      <c r="A357" s="148"/>
      <c r="B357" s="148"/>
      <c r="C357" s="14"/>
      <c r="D357" s="314"/>
      <c r="E357" s="148"/>
      <c r="F357" s="151"/>
      <c r="G357" s="137"/>
      <c r="H357" s="137"/>
      <c r="I357" s="138"/>
      <c r="J357" s="167"/>
      <c r="K357" s="111"/>
      <c r="L357" s="111"/>
      <c r="M357" s="111"/>
      <c r="N357" s="111"/>
      <c r="O357" s="111"/>
      <c r="P357" s="111"/>
      <c r="Q357" s="111"/>
      <c r="R357" s="111"/>
    </row>
    <row r="358" spans="1:18" s="118" customFormat="1" x14ac:dyDescent="0.2">
      <c r="A358" s="148"/>
      <c r="B358" s="148"/>
      <c r="C358" s="14"/>
      <c r="D358" s="314"/>
      <c r="E358" s="148"/>
      <c r="F358" s="151"/>
      <c r="G358" s="137"/>
      <c r="H358" s="137"/>
      <c r="I358" s="138"/>
      <c r="J358" s="167"/>
      <c r="K358" s="111"/>
      <c r="L358" s="111"/>
      <c r="M358" s="111"/>
      <c r="N358" s="111"/>
      <c r="O358" s="111"/>
      <c r="P358" s="111"/>
      <c r="Q358" s="111"/>
      <c r="R358" s="111"/>
    </row>
    <row r="359" spans="1:18" s="145" customFormat="1" x14ac:dyDescent="0.2">
      <c r="A359" s="140"/>
      <c r="B359" s="140"/>
      <c r="C359" s="141"/>
      <c r="D359" s="112"/>
      <c r="E359" s="140"/>
      <c r="F359" s="194"/>
      <c r="G359" s="194"/>
      <c r="H359" s="142"/>
      <c r="I359" s="143"/>
      <c r="J359" s="285"/>
      <c r="K359" s="144"/>
      <c r="L359" s="144"/>
      <c r="M359" s="144"/>
      <c r="N359" s="144"/>
      <c r="O359" s="144"/>
      <c r="P359" s="144"/>
      <c r="Q359" s="144"/>
      <c r="R359" s="144"/>
    </row>
    <row r="360" spans="1:18" s="118" customFormat="1" x14ac:dyDescent="0.2">
      <c r="A360" s="148"/>
      <c r="B360" s="148"/>
      <c r="C360" s="14"/>
      <c r="D360" s="314"/>
      <c r="E360" s="148"/>
      <c r="F360" s="151"/>
      <c r="G360" s="137"/>
      <c r="H360" s="137"/>
      <c r="I360" s="138"/>
      <c r="J360" s="167"/>
      <c r="K360" s="111"/>
      <c r="L360" s="111"/>
      <c r="M360" s="111"/>
      <c r="N360" s="111"/>
      <c r="O360" s="111"/>
      <c r="P360" s="111"/>
      <c r="Q360" s="111"/>
      <c r="R360" s="111"/>
    </row>
    <row r="361" spans="1:18" s="118" customFormat="1" x14ac:dyDescent="0.2">
      <c r="A361" s="148"/>
      <c r="B361" s="148"/>
      <c r="C361" s="14"/>
      <c r="D361" s="314"/>
      <c r="E361" s="148"/>
      <c r="F361" s="151"/>
      <c r="G361" s="137"/>
      <c r="H361" s="137"/>
      <c r="I361" s="138"/>
      <c r="J361" s="167"/>
      <c r="K361" s="111"/>
      <c r="L361" s="111"/>
      <c r="M361" s="111"/>
      <c r="N361" s="111"/>
      <c r="O361" s="111"/>
      <c r="P361" s="111"/>
      <c r="Q361" s="111"/>
      <c r="R361" s="111"/>
    </row>
    <row r="362" spans="1:18" s="145" customFormat="1" x14ac:dyDescent="0.2">
      <c r="A362" s="140"/>
      <c r="B362" s="140"/>
      <c r="C362" s="141"/>
      <c r="D362" s="112"/>
      <c r="E362" s="140"/>
      <c r="F362" s="194"/>
      <c r="G362" s="194"/>
      <c r="H362" s="142"/>
      <c r="I362" s="143"/>
      <c r="J362" s="285"/>
      <c r="K362" s="144"/>
      <c r="L362" s="144"/>
      <c r="M362" s="144"/>
      <c r="N362" s="144"/>
      <c r="O362" s="144"/>
      <c r="P362" s="144"/>
      <c r="Q362" s="144"/>
      <c r="R362" s="144"/>
    </row>
    <row r="363" spans="1:18" s="118" customFormat="1" x14ac:dyDescent="0.2">
      <c r="A363" s="148"/>
      <c r="B363" s="148"/>
      <c r="C363" s="14"/>
      <c r="D363" s="314"/>
      <c r="E363" s="148"/>
      <c r="F363" s="151"/>
      <c r="G363" s="137"/>
      <c r="H363" s="137"/>
      <c r="I363" s="138"/>
      <c r="J363" s="167"/>
      <c r="K363" s="111"/>
      <c r="L363" s="111"/>
      <c r="M363" s="111"/>
      <c r="N363" s="111"/>
      <c r="O363" s="111"/>
      <c r="P363" s="111"/>
      <c r="Q363" s="111"/>
      <c r="R363" s="111"/>
    </row>
    <row r="364" spans="1:18" s="118" customFormat="1" x14ac:dyDescent="0.2">
      <c r="A364" s="148"/>
      <c r="B364" s="148"/>
      <c r="C364" s="14"/>
      <c r="D364" s="314"/>
      <c r="E364" s="148"/>
      <c r="F364" s="151"/>
      <c r="G364" s="137"/>
      <c r="H364" s="137"/>
      <c r="I364" s="138"/>
      <c r="J364" s="167"/>
      <c r="K364" s="111"/>
      <c r="L364" s="111"/>
      <c r="M364" s="111"/>
      <c r="N364" s="111"/>
      <c r="O364" s="111"/>
      <c r="P364" s="111"/>
      <c r="Q364" s="111"/>
      <c r="R364" s="111"/>
    </row>
    <row r="365" spans="1:18" s="118" customFormat="1" x14ac:dyDescent="0.2">
      <c r="A365" s="148"/>
      <c r="B365" s="148"/>
      <c r="C365" s="14"/>
      <c r="D365" s="314"/>
      <c r="E365" s="148"/>
      <c r="F365" s="151"/>
      <c r="G365" s="137"/>
      <c r="H365" s="137"/>
      <c r="I365" s="138"/>
      <c r="J365" s="167"/>
      <c r="K365" s="111"/>
      <c r="L365" s="111"/>
      <c r="M365" s="111"/>
      <c r="N365" s="111"/>
      <c r="O365" s="111"/>
      <c r="P365" s="111"/>
      <c r="Q365" s="111"/>
      <c r="R365" s="111"/>
    </row>
    <row r="366" spans="1:18" s="145" customFormat="1" x14ac:dyDescent="0.2">
      <c r="A366" s="140"/>
      <c r="B366" s="140"/>
      <c r="C366" s="141"/>
      <c r="D366" s="112"/>
      <c r="E366" s="140"/>
      <c r="F366" s="194"/>
      <c r="G366" s="194"/>
      <c r="H366" s="142"/>
      <c r="I366" s="143"/>
      <c r="J366" s="285"/>
      <c r="K366" s="144"/>
      <c r="L366" s="144"/>
      <c r="M366" s="144"/>
      <c r="N366" s="144"/>
      <c r="O366" s="144"/>
      <c r="P366" s="144"/>
      <c r="Q366" s="144"/>
      <c r="R366" s="144"/>
    </row>
    <row r="367" spans="1:18" s="118" customFormat="1" x14ac:dyDescent="0.2">
      <c r="A367" s="148"/>
      <c r="B367" s="148"/>
      <c r="C367" s="14"/>
      <c r="D367" s="314"/>
      <c r="E367" s="148"/>
      <c r="F367" s="151"/>
      <c r="G367" s="137"/>
      <c r="H367" s="137"/>
      <c r="I367" s="138"/>
      <c r="J367" s="167"/>
      <c r="K367" s="111"/>
      <c r="L367" s="111"/>
      <c r="M367" s="111"/>
      <c r="N367" s="111"/>
      <c r="O367" s="111"/>
      <c r="P367" s="111"/>
      <c r="Q367" s="111"/>
      <c r="R367" s="111"/>
    </row>
    <row r="368" spans="1:18" s="145" customFormat="1" x14ac:dyDescent="0.2">
      <c r="A368" s="140"/>
      <c r="B368" s="140"/>
      <c r="C368" s="141"/>
      <c r="D368" s="112"/>
      <c r="E368" s="140"/>
      <c r="F368" s="194"/>
      <c r="G368" s="194"/>
      <c r="H368" s="142"/>
      <c r="I368" s="143"/>
      <c r="J368" s="285"/>
      <c r="K368" s="144"/>
      <c r="L368" s="144"/>
      <c r="M368" s="144"/>
      <c r="N368" s="144"/>
      <c r="O368" s="144"/>
      <c r="P368" s="144"/>
      <c r="Q368" s="144"/>
      <c r="R368" s="144"/>
    </row>
    <row r="369" spans="1:18" s="118" customFormat="1" x14ac:dyDescent="0.2">
      <c r="A369" s="148"/>
      <c r="B369" s="148"/>
      <c r="C369" s="14"/>
      <c r="D369" s="314"/>
      <c r="E369" s="148"/>
      <c r="F369" s="151"/>
      <c r="G369" s="137"/>
      <c r="H369" s="137"/>
      <c r="I369" s="138"/>
      <c r="J369" s="167"/>
      <c r="K369" s="111"/>
      <c r="L369" s="111"/>
      <c r="M369" s="111"/>
      <c r="N369" s="111"/>
      <c r="O369" s="111"/>
      <c r="P369" s="111"/>
      <c r="Q369" s="111"/>
      <c r="R369" s="111"/>
    </row>
    <row r="370" spans="1:18" s="118" customFormat="1" x14ac:dyDescent="0.2">
      <c r="A370" s="148"/>
      <c r="B370" s="148"/>
      <c r="C370" s="14"/>
      <c r="D370" s="314"/>
      <c r="E370" s="148"/>
      <c r="F370" s="151"/>
      <c r="G370" s="137"/>
      <c r="H370" s="137"/>
      <c r="I370" s="138"/>
      <c r="J370" s="167"/>
      <c r="K370" s="111"/>
      <c r="L370" s="111"/>
      <c r="M370" s="111"/>
      <c r="N370" s="111"/>
      <c r="O370" s="111"/>
      <c r="P370" s="111"/>
      <c r="Q370" s="111"/>
      <c r="R370" s="111"/>
    </row>
    <row r="371" spans="1:18" s="118" customFormat="1" x14ac:dyDescent="0.2">
      <c r="A371" s="148"/>
      <c r="B371" s="148"/>
      <c r="C371" s="14"/>
      <c r="D371" s="314"/>
      <c r="E371" s="148"/>
      <c r="F371" s="151"/>
      <c r="G371" s="151"/>
      <c r="H371" s="137"/>
      <c r="I371" s="138"/>
      <c r="J371" s="167"/>
      <c r="K371" s="111"/>
      <c r="L371" s="111"/>
      <c r="M371" s="111"/>
      <c r="N371" s="111"/>
      <c r="O371" s="111"/>
      <c r="P371" s="111"/>
      <c r="Q371" s="111"/>
      <c r="R371" s="111"/>
    </row>
    <row r="372" spans="1:18" s="241" customFormat="1" ht="13.2" x14ac:dyDescent="0.25">
      <c r="A372" s="236"/>
      <c r="B372" s="236"/>
      <c r="C372" s="237"/>
      <c r="D372" s="289"/>
      <c r="E372" s="236"/>
      <c r="F372" s="316"/>
      <c r="G372" s="316"/>
      <c r="H372" s="238"/>
      <c r="I372" s="239"/>
      <c r="J372" s="284" t="e">
        <f>I372/$I$392</f>
        <v>#DIV/0!</v>
      </c>
      <c r="K372" s="240"/>
      <c r="L372" s="240"/>
      <c r="M372" s="240"/>
      <c r="N372" s="240"/>
      <c r="O372" s="240"/>
      <c r="P372" s="240"/>
      <c r="Q372" s="240"/>
      <c r="R372" s="240"/>
    </row>
    <row r="373" spans="1:18" s="145" customFormat="1" x14ac:dyDescent="0.2">
      <c r="A373" s="140"/>
      <c r="B373" s="140"/>
      <c r="C373" s="141"/>
      <c r="D373" s="112"/>
      <c r="E373" s="140"/>
      <c r="F373" s="194"/>
      <c r="G373" s="194"/>
      <c r="H373" s="142"/>
      <c r="I373" s="143"/>
      <c r="J373" s="285"/>
      <c r="K373" s="144"/>
      <c r="L373" s="144"/>
      <c r="M373" s="144"/>
      <c r="N373" s="144"/>
      <c r="O373" s="144"/>
      <c r="P373" s="144"/>
      <c r="Q373" s="144"/>
      <c r="R373" s="144"/>
    </row>
    <row r="374" spans="1:18" s="118" customFormat="1" x14ac:dyDescent="0.2">
      <c r="A374" s="148"/>
      <c r="B374" s="148"/>
      <c r="C374" s="14"/>
      <c r="D374" s="314"/>
      <c r="E374" s="148"/>
      <c r="F374" s="151"/>
      <c r="G374" s="137"/>
      <c r="H374" s="137"/>
      <c r="I374" s="138"/>
      <c r="J374" s="123"/>
      <c r="K374" s="111"/>
      <c r="L374" s="111"/>
      <c r="M374" s="111"/>
      <c r="N374" s="111"/>
      <c r="O374" s="111"/>
      <c r="P374" s="111"/>
      <c r="Q374" s="111"/>
      <c r="R374" s="111"/>
    </row>
    <row r="375" spans="1:18" s="118" customFormat="1" x14ac:dyDescent="0.2">
      <c r="A375" s="148"/>
      <c r="B375" s="148"/>
      <c r="C375" s="14"/>
      <c r="D375" s="314"/>
      <c r="E375" s="148"/>
      <c r="F375" s="151"/>
      <c r="G375" s="315"/>
      <c r="H375" s="137"/>
      <c r="I375" s="138"/>
      <c r="J375" s="123"/>
      <c r="K375" s="111"/>
      <c r="L375" s="111"/>
      <c r="M375" s="111"/>
      <c r="N375" s="111"/>
      <c r="O375" s="111"/>
      <c r="P375" s="111"/>
      <c r="Q375" s="111"/>
      <c r="R375" s="111"/>
    </row>
    <row r="376" spans="1:18" s="118" customFormat="1" x14ac:dyDescent="0.2">
      <c r="A376" s="148"/>
      <c r="B376" s="148"/>
      <c r="C376" s="14"/>
      <c r="D376" s="314"/>
      <c r="E376" s="148"/>
      <c r="F376" s="151"/>
      <c r="G376" s="137"/>
      <c r="H376" s="137"/>
      <c r="I376" s="138"/>
      <c r="J376" s="123"/>
      <c r="K376" s="111"/>
      <c r="L376" s="111"/>
      <c r="M376" s="111"/>
      <c r="N376" s="111"/>
      <c r="O376" s="111"/>
      <c r="P376" s="111"/>
      <c r="Q376" s="111"/>
      <c r="R376" s="111"/>
    </row>
    <row r="377" spans="1:18" s="118" customFormat="1" x14ac:dyDescent="0.2">
      <c r="A377" s="148"/>
      <c r="B377" s="148"/>
      <c r="C377" s="14"/>
      <c r="D377" s="314"/>
      <c r="E377" s="148"/>
      <c r="F377" s="151"/>
      <c r="G377" s="137"/>
      <c r="H377" s="137"/>
      <c r="I377" s="138"/>
      <c r="J377" s="123"/>
      <c r="K377" s="111"/>
      <c r="L377" s="111"/>
      <c r="M377" s="111"/>
      <c r="N377" s="111"/>
      <c r="O377" s="111"/>
      <c r="P377" s="111"/>
      <c r="Q377" s="111"/>
      <c r="R377" s="111"/>
    </row>
    <row r="378" spans="1:18" s="145" customFormat="1" x14ac:dyDescent="0.2">
      <c r="A378" s="140"/>
      <c r="B378" s="140"/>
      <c r="C378" s="141"/>
      <c r="D378" s="112"/>
      <c r="E378" s="140"/>
      <c r="F378" s="194"/>
      <c r="G378" s="194"/>
      <c r="H378" s="142"/>
      <c r="I378" s="143"/>
      <c r="J378" s="285"/>
      <c r="K378" s="144"/>
      <c r="L378" s="144"/>
      <c r="M378" s="144"/>
      <c r="N378" s="144"/>
      <c r="O378" s="144"/>
      <c r="P378" s="144"/>
      <c r="Q378" s="144"/>
      <c r="R378" s="144"/>
    </row>
    <row r="379" spans="1:18" s="118" customFormat="1" x14ac:dyDescent="0.2">
      <c r="A379" s="148"/>
      <c r="B379" s="148"/>
      <c r="C379" s="14"/>
      <c r="D379" s="314"/>
      <c r="E379" s="148"/>
      <c r="F379" s="151"/>
      <c r="G379" s="315"/>
      <c r="H379" s="137"/>
      <c r="I379" s="138"/>
      <c r="J379" s="123"/>
      <c r="K379" s="111"/>
      <c r="L379" s="111"/>
      <c r="M379" s="111"/>
      <c r="N379" s="111"/>
      <c r="O379" s="111"/>
      <c r="P379" s="111"/>
      <c r="Q379" s="111"/>
      <c r="R379" s="111"/>
    </row>
    <row r="380" spans="1:18" s="118" customFormat="1" x14ac:dyDescent="0.2">
      <c r="A380" s="148"/>
      <c r="B380" s="148"/>
      <c r="C380" s="14"/>
      <c r="D380" s="314"/>
      <c r="E380" s="148"/>
      <c r="F380" s="151"/>
      <c r="G380" s="315"/>
      <c r="H380" s="137"/>
      <c r="I380" s="138"/>
      <c r="J380" s="123"/>
      <c r="K380" s="111"/>
      <c r="L380" s="111"/>
      <c r="M380" s="111"/>
      <c r="N380" s="111"/>
      <c r="O380" s="111"/>
      <c r="P380" s="111"/>
      <c r="Q380" s="111"/>
      <c r="R380" s="111"/>
    </row>
    <row r="381" spans="1:18" s="145" customFormat="1" x14ac:dyDescent="0.2">
      <c r="A381" s="140"/>
      <c r="B381" s="140"/>
      <c r="C381" s="141"/>
      <c r="D381" s="112"/>
      <c r="E381" s="140"/>
      <c r="F381" s="194"/>
      <c r="G381" s="194"/>
      <c r="H381" s="142"/>
      <c r="I381" s="143"/>
      <c r="J381" s="306"/>
      <c r="K381" s="144"/>
      <c r="L381" s="144"/>
      <c r="M381" s="144"/>
      <c r="N381" s="144"/>
      <c r="O381" s="144"/>
      <c r="P381" s="144"/>
      <c r="Q381" s="144"/>
      <c r="R381" s="144"/>
    </row>
    <row r="382" spans="1:18" s="313" customFormat="1" x14ac:dyDescent="0.2">
      <c r="A382" s="6"/>
      <c r="B382" s="6"/>
      <c r="C382" s="7"/>
      <c r="D382" s="310"/>
      <c r="E382" s="6"/>
      <c r="F382" s="150"/>
      <c r="G382" s="317"/>
      <c r="H382" s="136"/>
      <c r="I382" s="199"/>
      <c r="J382" s="200" t="s">
        <v>955</v>
      </c>
      <c r="K382" s="312"/>
      <c r="L382" s="312"/>
      <c r="M382" s="312"/>
      <c r="N382" s="312"/>
      <c r="O382" s="312"/>
      <c r="P382" s="312"/>
      <c r="Q382" s="312"/>
      <c r="R382" s="312"/>
    </row>
    <row r="383" spans="1:18" s="118" customFormat="1" x14ac:dyDescent="0.2">
      <c r="A383" s="148"/>
      <c r="B383" s="148"/>
      <c r="C383" s="14"/>
      <c r="D383" s="314"/>
      <c r="E383" s="148"/>
      <c r="F383" s="151"/>
      <c r="G383" s="137"/>
      <c r="H383" s="137"/>
      <c r="I383" s="138"/>
      <c r="J383" s="123"/>
      <c r="K383" s="111"/>
      <c r="L383" s="111"/>
      <c r="M383" s="111"/>
      <c r="N383" s="111"/>
      <c r="O383" s="111"/>
      <c r="P383" s="111"/>
      <c r="Q383" s="111"/>
      <c r="R383" s="111"/>
    </row>
    <row r="384" spans="1:18" s="118" customFormat="1" x14ac:dyDescent="0.2">
      <c r="A384" s="148"/>
      <c r="B384" s="148"/>
      <c r="C384" s="14"/>
      <c r="D384" s="314"/>
      <c r="E384" s="148"/>
      <c r="F384" s="151"/>
      <c r="G384" s="137"/>
      <c r="H384" s="137"/>
      <c r="I384" s="138"/>
      <c r="J384" s="123"/>
      <c r="K384" s="111"/>
      <c r="L384" s="111"/>
      <c r="M384" s="111"/>
      <c r="N384" s="111"/>
      <c r="O384" s="111"/>
      <c r="P384" s="111"/>
      <c r="Q384" s="111"/>
      <c r="R384" s="111"/>
    </row>
    <row r="385" spans="1:19" s="118" customFormat="1" x14ac:dyDescent="0.2">
      <c r="A385" s="148"/>
      <c r="B385" s="148"/>
      <c r="C385" s="14"/>
      <c r="D385" s="314"/>
      <c r="E385" s="148"/>
      <c r="F385" s="151"/>
      <c r="G385" s="137"/>
      <c r="H385" s="137"/>
      <c r="I385" s="138"/>
      <c r="J385" s="123"/>
      <c r="K385" s="111"/>
      <c r="L385" s="111"/>
      <c r="M385" s="111"/>
      <c r="N385" s="111"/>
      <c r="O385" s="111"/>
      <c r="P385" s="111"/>
      <c r="Q385" s="111"/>
      <c r="R385" s="111"/>
    </row>
    <row r="386" spans="1:19" s="118" customFormat="1" ht="35.25" customHeight="1" x14ac:dyDescent="0.2">
      <c r="A386" s="148"/>
      <c r="B386" s="148"/>
      <c r="C386" s="14"/>
      <c r="D386" s="314"/>
      <c r="E386" s="148"/>
      <c r="F386" s="151"/>
      <c r="G386" s="137"/>
      <c r="H386" s="137"/>
      <c r="I386" s="138"/>
      <c r="J386" s="123"/>
      <c r="K386" s="111"/>
      <c r="L386" s="111"/>
      <c r="M386" s="111"/>
      <c r="N386" s="111"/>
      <c r="O386" s="111"/>
      <c r="P386" s="111"/>
      <c r="Q386" s="111"/>
      <c r="R386" s="111"/>
    </row>
    <row r="387" spans="1:19" s="118" customFormat="1" ht="35.25" customHeight="1" x14ac:dyDescent="0.2">
      <c r="A387" s="148"/>
      <c r="B387" s="148"/>
      <c r="C387" s="14"/>
      <c r="D387" s="314"/>
      <c r="E387" s="148"/>
      <c r="F387" s="151"/>
      <c r="G387" s="137"/>
      <c r="H387" s="137"/>
      <c r="I387" s="138"/>
      <c r="J387" s="123"/>
      <c r="K387" s="111"/>
      <c r="L387" s="111"/>
      <c r="M387" s="111"/>
      <c r="N387" s="111"/>
      <c r="O387" s="111"/>
      <c r="P387" s="111"/>
      <c r="Q387" s="111"/>
      <c r="R387" s="111"/>
    </row>
    <row r="388" spans="1:19" s="118" customFormat="1" ht="35.25" customHeight="1" x14ac:dyDescent="0.2">
      <c r="A388" s="148"/>
      <c r="B388" s="148"/>
      <c r="C388" s="14"/>
      <c r="D388" s="314"/>
      <c r="E388" s="148"/>
      <c r="F388" s="151"/>
      <c r="G388" s="315"/>
      <c r="H388" s="137"/>
      <c r="I388" s="138"/>
      <c r="J388" s="123"/>
      <c r="K388" s="111"/>
      <c r="L388" s="111"/>
      <c r="M388" s="111"/>
      <c r="N388" s="111"/>
      <c r="O388" s="111"/>
      <c r="P388" s="111"/>
      <c r="Q388" s="111"/>
      <c r="R388" s="111"/>
    </row>
    <row r="389" spans="1:19" s="118" customFormat="1" x14ac:dyDescent="0.2">
      <c r="A389" s="148"/>
      <c r="B389" s="148"/>
      <c r="C389" s="14"/>
      <c r="D389" s="108"/>
      <c r="E389" s="148"/>
      <c r="F389" s="151"/>
      <c r="G389" s="137"/>
      <c r="H389" s="137"/>
      <c r="I389" s="138"/>
      <c r="J389" s="123"/>
      <c r="K389" s="111"/>
      <c r="L389" s="111"/>
      <c r="M389" s="111"/>
      <c r="N389" s="111"/>
      <c r="O389" s="111"/>
      <c r="P389" s="111"/>
      <c r="Q389" s="111"/>
      <c r="R389" s="111"/>
    </row>
    <row r="390" spans="1:19" s="118" customFormat="1" x14ac:dyDescent="0.2">
      <c r="A390" s="148"/>
      <c r="B390" s="148"/>
      <c r="C390" s="14"/>
      <c r="D390" s="108"/>
      <c r="E390" s="148"/>
      <c r="F390" s="151"/>
      <c r="G390" s="137"/>
      <c r="H390" s="137"/>
      <c r="I390" s="138"/>
      <c r="J390" s="123"/>
      <c r="K390" s="111"/>
      <c r="L390" s="111"/>
      <c r="M390" s="111"/>
      <c r="N390" s="111"/>
      <c r="O390" s="111"/>
      <c r="P390" s="111"/>
      <c r="Q390" s="111"/>
      <c r="R390" s="111"/>
    </row>
    <row r="391" spans="1:19" s="118" customFormat="1" x14ac:dyDescent="0.2">
      <c r="A391" s="148"/>
      <c r="B391" s="148"/>
      <c r="C391" s="14"/>
      <c r="D391" s="314"/>
      <c r="E391" s="148"/>
      <c r="F391" s="151"/>
      <c r="G391" s="137"/>
      <c r="H391" s="137"/>
      <c r="I391" s="138"/>
      <c r="J391" s="167"/>
      <c r="K391" s="111"/>
      <c r="L391" s="111"/>
      <c r="M391" s="111"/>
      <c r="N391" s="111"/>
      <c r="O391" s="111"/>
      <c r="P391" s="111"/>
      <c r="Q391" s="111"/>
      <c r="R391" s="111"/>
    </row>
    <row r="392" spans="1:19" s="304" customFormat="1" ht="13.8" x14ac:dyDescent="0.25">
      <c r="A392" s="600"/>
      <c r="B392" s="600"/>
      <c r="C392" s="600"/>
      <c r="D392" s="600"/>
      <c r="E392" s="600"/>
      <c r="F392" s="600"/>
      <c r="G392" s="600"/>
      <c r="H392" s="600"/>
      <c r="I392" s="301"/>
      <c r="J392" s="284" t="e">
        <f>I392/$I$392</f>
        <v>#DIV/0!</v>
      </c>
      <c r="K392" s="302"/>
      <c r="L392" s="302"/>
      <c r="M392" s="302"/>
      <c r="N392" s="302"/>
      <c r="O392" s="302"/>
      <c r="P392" s="302"/>
      <c r="Q392" s="302"/>
      <c r="R392" s="302"/>
      <c r="S392" s="302"/>
    </row>
    <row r="393" spans="1:19" x14ac:dyDescent="0.2">
      <c r="I393" s="305"/>
    </row>
    <row r="395" spans="1:19" x14ac:dyDescent="0.2">
      <c r="L395" s="166"/>
    </row>
    <row r="401" spans="1:22" s="189" customFormat="1" hidden="1" x14ac:dyDescent="0.2">
      <c r="A401" s="184"/>
      <c r="B401" s="184"/>
      <c r="C401" s="185"/>
      <c r="D401" s="235"/>
      <c r="E401" s="184"/>
      <c r="F401" s="186"/>
      <c r="G401" s="186"/>
      <c r="H401" s="186"/>
      <c r="I401" s="187"/>
      <c r="J401" s="286"/>
      <c r="K401" s="188"/>
      <c r="L401" s="188"/>
      <c r="M401" s="188"/>
      <c r="N401" s="188"/>
      <c r="O401" s="188"/>
      <c r="P401" s="188"/>
      <c r="Q401" s="188"/>
      <c r="R401" s="188"/>
      <c r="S401" s="188"/>
      <c r="T401" s="188"/>
      <c r="U401" s="188"/>
      <c r="V401" s="188"/>
    </row>
  </sheetData>
  <autoFilter ref="A8:I393" xr:uid="{00000000-0009-0000-0000-000001000000}"/>
  <mergeCells count="4">
    <mergeCell ref="A1:I1"/>
    <mergeCell ref="A2:E2"/>
    <mergeCell ref="B3:I3"/>
    <mergeCell ref="A392:H392"/>
  </mergeCells>
  <phoneticPr fontId="10" type="noConversion"/>
  <dataValidations disablePrompts="1" count="1">
    <dataValidation allowBlank="1" showInputMessage="1" showErrorMessage="1" promptTitle="Atenção!!!" prompt="Inserir o BDI em valor percentual." sqref="L1 L4:M4" xr:uid="{00000000-0002-0000-0100-000000000000}"/>
  </dataValidations>
  <printOptions horizontalCentered="1"/>
  <pageMargins left="0.59055118110236227" right="0.39370078740157483" top="1.3779527559055118" bottom="0.59055118110236227" header="0.39370078740157483" footer="0.39370078740157483"/>
  <pageSetup paperSize="9" scale="77" orientation="portrait" r:id="rId1"/>
  <headerFooter>
    <oddHeader>&amp;C&amp;G</oddHeader>
    <oddFooter>&amp;R&amp;"Arial,Normal"&amp;8Pág.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A1:AB1669"/>
  <sheetViews>
    <sheetView view="pageBreakPreview" topLeftCell="A8" zoomScale="120" zoomScaleNormal="100" zoomScaleSheetLayoutView="85" workbookViewId="0">
      <pane ySplit="780" topLeftCell="A551" activePane="bottomLeft"/>
      <selection activeCell="A8" sqref="A8:XFD8"/>
      <selection pane="bottomLeft" activeCell="A481" sqref="A481:XFD563"/>
    </sheetView>
  </sheetViews>
  <sheetFormatPr defaultColWidth="9.109375" defaultRowHeight="10.199999999999999" x14ac:dyDescent="0.2"/>
  <cols>
    <col min="1" max="1" width="6.44140625" style="162" customWidth="1"/>
    <col min="2" max="2" width="12" style="162" hidden="1" customWidth="1"/>
    <col min="3" max="3" width="10" style="163" hidden="1" customWidth="1"/>
    <col min="4" max="4" width="45.6640625" style="164" customWidth="1"/>
    <col min="5" max="5" width="4.88671875" style="162" bestFit="1" customWidth="1"/>
    <col min="6" max="6" width="10" style="165" customWidth="1"/>
    <col min="7" max="8" width="10" style="162" customWidth="1"/>
    <col min="9" max="9" width="9" style="256" customWidth="1"/>
    <col min="10" max="10" width="10" style="162" customWidth="1"/>
    <col min="11" max="11" width="7.5546875" style="162" hidden="1" customWidth="1"/>
    <col min="12" max="12" width="9.6640625" style="162" hidden="1" customWidth="1"/>
    <col min="13" max="13" width="9.44140625" style="162" hidden="1" customWidth="1"/>
    <col min="14" max="14" width="13.6640625" style="162" hidden="1" customWidth="1"/>
    <col min="15" max="15" width="5" style="167" hidden="1" customWidth="1"/>
    <col min="16" max="16" width="4.109375" style="114" hidden="1" customWidth="1"/>
    <col min="17" max="17" width="12.6640625" style="167" hidden="1" customWidth="1"/>
    <col min="18" max="18" width="13.109375" style="114" hidden="1" customWidth="1"/>
    <col min="19" max="20" width="0" style="114" hidden="1" customWidth="1"/>
    <col min="21" max="16384" width="9.109375" style="114"/>
  </cols>
  <sheetData>
    <row r="1" spans="1:28" s="111" customFormat="1" ht="18" thickTop="1" x14ac:dyDescent="0.3">
      <c r="A1" s="601" t="s">
        <v>58</v>
      </c>
      <c r="B1" s="602"/>
      <c r="C1" s="602"/>
      <c r="D1" s="602"/>
      <c r="E1" s="602"/>
      <c r="F1" s="602"/>
      <c r="G1" s="602"/>
      <c r="H1" s="602"/>
      <c r="I1" s="602"/>
      <c r="J1" s="603"/>
      <c r="K1" s="168"/>
      <c r="L1" s="168"/>
      <c r="M1" s="168"/>
      <c r="N1" s="168"/>
      <c r="O1" s="167"/>
    </row>
    <row r="2" spans="1:28" s="111" customFormat="1" ht="18" thickBot="1" x14ac:dyDescent="0.35">
      <c r="A2" s="604" t="s">
        <v>0</v>
      </c>
      <c r="B2" s="605"/>
      <c r="C2" s="605"/>
      <c r="D2" s="605"/>
      <c r="E2" s="605"/>
      <c r="F2" s="605"/>
      <c r="G2" s="605"/>
      <c r="H2" s="605"/>
      <c r="I2" s="605"/>
      <c r="J2" s="606"/>
      <c r="K2" s="168"/>
      <c r="L2" s="168"/>
      <c r="M2" s="168"/>
      <c r="N2" s="168"/>
      <c r="O2" s="167"/>
      <c r="Q2" s="123"/>
    </row>
    <row r="3" spans="1:28" s="111" customFormat="1" ht="10.8" thickTop="1" x14ac:dyDescent="0.2">
      <c r="A3" s="8"/>
      <c r="B3" s="8"/>
      <c r="C3" s="124"/>
      <c r="D3" s="125"/>
      <c r="E3" s="8"/>
      <c r="F3" s="126"/>
      <c r="G3" s="8"/>
      <c r="H3" s="8"/>
      <c r="I3" s="242"/>
      <c r="J3" s="8"/>
      <c r="K3" s="8"/>
      <c r="L3" s="8"/>
      <c r="M3" s="8"/>
      <c r="N3" s="8"/>
      <c r="O3" s="167"/>
      <c r="Q3" s="123"/>
    </row>
    <row r="4" spans="1:28" s="119" customFormat="1" ht="27" customHeight="1" x14ac:dyDescent="0.25">
      <c r="A4" s="8"/>
      <c r="D4" s="607" t="s">
        <v>721</v>
      </c>
      <c r="E4" s="607"/>
      <c r="F4" s="607"/>
      <c r="G4" s="607"/>
      <c r="H4" s="607"/>
      <c r="I4" s="607"/>
      <c r="J4" s="607"/>
      <c r="K4" s="273"/>
      <c r="L4" s="273"/>
      <c r="M4" s="273"/>
      <c r="N4" s="273"/>
      <c r="O4" s="281"/>
      <c r="Q4" s="275" t="s">
        <v>722</v>
      </c>
      <c r="R4" s="275" t="s">
        <v>723</v>
      </c>
    </row>
    <row r="5" spans="1:28" s="119" customFormat="1" ht="13.8" x14ac:dyDescent="0.25">
      <c r="A5" s="8"/>
      <c r="D5" s="12" t="s">
        <v>81</v>
      </c>
      <c r="E5" s="8"/>
      <c r="F5" s="126"/>
      <c r="G5" s="8"/>
      <c r="H5" s="8"/>
      <c r="I5" s="243"/>
      <c r="J5" s="8"/>
      <c r="K5" s="8"/>
      <c r="L5" s="8"/>
      <c r="M5" s="8"/>
      <c r="N5" s="8"/>
      <c r="O5" s="281"/>
      <c r="Q5" s="274">
        <v>0.26529999999999998</v>
      </c>
      <c r="R5" s="274">
        <v>0.26529999999999998</v>
      </c>
    </row>
    <row r="6" spans="1:28" s="119" customFormat="1" ht="15" customHeight="1" x14ac:dyDescent="0.25">
      <c r="A6" s="8"/>
      <c r="D6" s="12" t="s">
        <v>737</v>
      </c>
      <c r="E6" s="8"/>
      <c r="F6" s="126"/>
      <c r="G6" s="8"/>
      <c r="H6" s="8"/>
      <c r="I6" s="242"/>
      <c r="J6" s="8"/>
      <c r="K6" s="8"/>
      <c r="L6" s="8"/>
      <c r="M6" s="8"/>
      <c r="N6" s="8"/>
      <c r="O6" s="281"/>
      <c r="Q6" s="128"/>
    </row>
    <row r="7" spans="1:28" s="111" customFormat="1" ht="13.2" x14ac:dyDescent="0.25">
      <c r="A7" s="8"/>
      <c r="B7" s="8"/>
      <c r="C7" s="11"/>
      <c r="D7" s="105"/>
      <c r="E7" s="11"/>
      <c r="F7" s="11"/>
      <c r="G7" s="11"/>
      <c r="H7" s="11"/>
      <c r="I7" s="244"/>
      <c r="J7" s="11"/>
      <c r="K7" s="11"/>
      <c r="L7" s="129"/>
      <c r="M7" s="129"/>
      <c r="N7" s="129"/>
      <c r="O7" s="167"/>
      <c r="Q7" s="130"/>
    </row>
    <row r="8" spans="1:28" s="135" customFormat="1" ht="16.5" customHeight="1" x14ac:dyDescent="0.2">
      <c r="A8" s="184" t="s">
        <v>1</v>
      </c>
      <c r="B8" s="184" t="s">
        <v>87</v>
      </c>
      <c r="C8" s="185" t="s">
        <v>22</v>
      </c>
      <c r="D8" s="184" t="s">
        <v>88</v>
      </c>
      <c r="E8" s="184" t="s">
        <v>2</v>
      </c>
      <c r="F8" s="186" t="s">
        <v>3</v>
      </c>
      <c r="G8" s="186" t="s">
        <v>85</v>
      </c>
      <c r="H8" s="186" t="s">
        <v>86</v>
      </c>
      <c r="I8" s="330" t="s">
        <v>4</v>
      </c>
      <c r="J8" s="186" t="s">
        <v>5</v>
      </c>
      <c r="K8" s="131" t="s">
        <v>720</v>
      </c>
      <c r="L8" s="226" t="s">
        <v>254</v>
      </c>
      <c r="M8" s="226" t="s">
        <v>255</v>
      </c>
      <c r="N8" s="169" t="s">
        <v>162</v>
      </c>
      <c r="O8" s="282"/>
      <c r="P8" s="134" t="s">
        <v>774</v>
      </c>
      <c r="Q8" s="272" t="s">
        <v>775</v>
      </c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</row>
    <row r="9" spans="1:28" s="139" customFormat="1" x14ac:dyDescent="0.2">
      <c r="A9" s="10"/>
      <c r="B9" s="10"/>
      <c r="C9" s="15"/>
      <c r="D9" s="117"/>
      <c r="E9" s="10"/>
      <c r="F9" s="263"/>
      <c r="G9" s="263"/>
      <c r="H9" s="263"/>
      <c r="I9" s="250"/>
      <c r="J9" s="263"/>
      <c r="K9" s="137"/>
      <c r="L9" s="137"/>
      <c r="M9" s="137"/>
      <c r="N9" s="138"/>
      <c r="O9" s="283"/>
      <c r="P9" s="120"/>
      <c r="Q9" s="16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</row>
    <row r="10" spans="1:28" s="241" customFormat="1" ht="13.2" x14ac:dyDescent="0.25">
      <c r="A10" s="236" t="s">
        <v>6</v>
      </c>
      <c r="B10" s="236"/>
      <c r="C10" s="237"/>
      <c r="D10" s="289" t="s">
        <v>7</v>
      </c>
      <c r="E10" s="236"/>
      <c r="F10" s="259"/>
      <c r="G10" s="259"/>
      <c r="H10" s="259"/>
      <c r="I10" s="247"/>
      <c r="J10" s="259"/>
      <c r="K10" s="238"/>
      <c r="L10" s="238"/>
      <c r="M10" s="238"/>
      <c r="N10" s="239">
        <f>N12</f>
        <v>1597.59</v>
      </c>
      <c r="O10" s="284" t="e">
        <f>N10/$N$1660</f>
        <v>#REF!</v>
      </c>
      <c r="P10" s="240" t="s">
        <v>533</v>
      </c>
      <c r="Q10" s="240" t="s">
        <v>533</v>
      </c>
      <c r="R10" s="240"/>
      <c r="S10" s="240"/>
      <c r="T10" s="240"/>
      <c r="U10" s="240"/>
      <c r="V10" s="240"/>
      <c r="W10" s="240"/>
      <c r="X10" s="240"/>
      <c r="Y10" s="240"/>
      <c r="Z10" s="240"/>
      <c r="AA10" s="240"/>
    </row>
    <row r="11" spans="1:28" s="139" customFormat="1" x14ac:dyDescent="0.2">
      <c r="A11" s="6"/>
      <c r="B11" s="6"/>
      <c r="C11" s="7"/>
      <c r="D11" s="116"/>
      <c r="E11" s="6"/>
      <c r="F11" s="258"/>
      <c r="G11" s="258"/>
      <c r="H11" s="258"/>
      <c r="I11" s="246"/>
      <c r="J11" s="258"/>
      <c r="K11" s="137"/>
      <c r="L11" s="137"/>
      <c r="M11" s="137"/>
      <c r="N11" s="138"/>
      <c r="O11" s="283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</row>
    <row r="12" spans="1:28" s="145" customFormat="1" x14ac:dyDescent="0.2">
      <c r="A12" s="140" t="s">
        <v>8</v>
      </c>
      <c r="B12" s="140"/>
      <c r="C12" s="141"/>
      <c r="D12" s="112" t="s">
        <v>82</v>
      </c>
      <c r="E12" s="140"/>
      <c r="F12" s="260"/>
      <c r="G12" s="260"/>
      <c r="H12" s="260"/>
      <c r="I12" s="248"/>
      <c r="J12" s="260"/>
      <c r="K12" s="142"/>
      <c r="L12" s="142"/>
      <c r="M12" s="142"/>
      <c r="N12" s="143">
        <f>N14</f>
        <v>1597.59</v>
      </c>
      <c r="O12" s="285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</row>
    <row r="13" spans="1:28" s="139" customFormat="1" x14ac:dyDescent="0.2">
      <c r="A13" s="6"/>
      <c r="B13" s="6"/>
      <c r="C13" s="7"/>
      <c r="D13" s="116"/>
      <c r="E13" s="6"/>
      <c r="F13" s="258"/>
      <c r="G13" s="258"/>
      <c r="H13" s="258"/>
      <c r="I13" s="246"/>
      <c r="J13" s="258"/>
      <c r="K13" s="137"/>
      <c r="L13" s="137"/>
      <c r="M13" s="137"/>
      <c r="N13" s="138"/>
      <c r="O13" s="283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</row>
    <row r="14" spans="1:28" s="147" customFormat="1" x14ac:dyDescent="0.2">
      <c r="A14" s="9" t="s">
        <v>61</v>
      </c>
      <c r="B14" s="9" t="s">
        <v>89</v>
      </c>
      <c r="C14" s="13" t="s">
        <v>83</v>
      </c>
      <c r="D14" s="113" t="s">
        <v>65</v>
      </c>
      <c r="E14" s="9" t="s">
        <v>9</v>
      </c>
      <c r="F14" s="261"/>
      <c r="G14" s="261"/>
      <c r="H14" s="261"/>
      <c r="I14" s="245"/>
      <c r="J14" s="261"/>
      <c r="K14" s="131">
        <f>J16</f>
        <v>4.5</v>
      </c>
      <c r="L14" s="131">
        <v>280.58</v>
      </c>
      <c r="M14" s="131">
        <f>ROUND(L14*(1+$Q$5),2)</f>
        <v>355.02</v>
      </c>
      <c r="N14" s="133">
        <f>TRUNC(K14*M14,2)</f>
        <v>1597.59</v>
      </c>
      <c r="O14" s="28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</row>
    <row r="15" spans="1:28" s="118" customFormat="1" x14ac:dyDescent="0.2">
      <c r="A15" s="6"/>
      <c r="B15" s="6"/>
      <c r="C15" s="7"/>
      <c r="D15" s="2" t="s">
        <v>84</v>
      </c>
      <c r="E15" s="148"/>
      <c r="F15" s="253"/>
      <c r="G15" s="253">
        <v>3</v>
      </c>
      <c r="H15" s="253"/>
      <c r="I15" s="249">
        <v>1.5</v>
      </c>
      <c r="J15" s="253">
        <f>ROUND(PRODUCT(F15:I15),2)</f>
        <v>4.5</v>
      </c>
      <c r="K15" s="137"/>
      <c r="L15" s="137"/>
      <c r="M15" s="137"/>
      <c r="N15" s="138"/>
      <c r="O15" s="167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</row>
    <row r="16" spans="1:28" s="118" customFormat="1" x14ac:dyDescent="0.2">
      <c r="A16" s="6"/>
      <c r="B16" s="6"/>
      <c r="C16" s="7"/>
      <c r="D16" s="149"/>
      <c r="E16" s="148"/>
      <c r="F16" s="253"/>
      <c r="G16" s="253"/>
      <c r="H16" s="253"/>
      <c r="I16" s="246" t="str">
        <f>"Total item "&amp;A14</f>
        <v>Total item 1.1.1</v>
      </c>
      <c r="J16" s="261">
        <f>SUM(J15:J15)</f>
        <v>4.5</v>
      </c>
      <c r="K16" s="137"/>
      <c r="L16" s="137"/>
      <c r="M16" s="137"/>
      <c r="N16" s="138"/>
      <c r="O16" s="167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</row>
    <row r="17" spans="1:27" s="139" customFormat="1" x14ac:dyDescent="0.2">
      <c r="A17" s="6"/>
      <c r="B17" s="6"/>
      <c r="C17" s="7"/>
      <c r="D17" s="116"/>
      <c r="E17" s="6"/>
      <c r="F17" s="258"/>
      <c r="G17" s="258"/>
      <c r="H17" s="258"/>
      <c r="I17" s="246"/>
      <c r="J17" s="258"/>
      <c r="K17" s="137"/>
      <c r="L17" s="137"/>
      <c r="M17" s="137"/>
      <c r="N17" s="138"/>
      <c r="O17" s="283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</row>
    <row r="18" spans="1:27" s="241" customFormat="1" ht="13.2" x14ac:dyDescent="0.25">
      <c r="A18" s="236" t="s">
        <v>10</v>
      </c>
      <c r="B18" s="236"/>
      <c r="C18" s="237"/>
      <c r="D18" s="289" t="e">
        <f>'ORÇAMENTO SEM DESON'!#REF!</f>
        <v>#REF!</v>
      </c>
      <c r="E18" s="236"/>
      <c r="F18" s="259"/>
      <c r="G18" s="259"/>
      <c r="H18" s="259"/>
      <c r="I18" s="247"/>
      <c r="J18" s="259"/>
      <c r="K18" s="238"/>
      <c r="L18" s="238"/>
      <c r="M18" s="238"/>
      <c r="N18" s="239" t="e">
        <f>N20+#REF!+#REF!+#REF!</f>
        <v>#REF!</v>
      </c>
      <c r="O18" s="284" t="e">
        <f>N18/$N$1660</f>
        <v>#REF!</v>
      </c>
      <c r="P18" s="240" t="s">
        <v>533</v>
      </c>
      <c r="Q18" s="240" t="s">
        <v>533</v>
      </c>
      <c r="R18" s="240"/>
      <c r="S18" s="240"/>
      <c r="T18" s="240"/>
      <c r="U18" s="240"/>
      <c r="V18" s="240"/>
      <c r="W18" s="240"/>
      <c r="X18" s="240"/>
      <c r="Y18" s="240"/>
      <c r="Z18" s="240"/>
      <c r="AA18" s="240"/>
    </row>
    <row r="19" spans="1:27" s="139" customFormat="1" x14ac:dyDescent="0.2">
      <c r="A19" s="6"/>
      <c r="B19" s="6"/>
      <c r="C19" s="7"/>
      <c r="D19" s="116"/>
      <c r="E19" s="6"/>
      <c r="F19" s="258"/>
      <c r="G19" s="258"/>
      <c r="H19" s="258"/>
      <c r="I19" s="246"/>
      <c r="J19" s="258"/>
      <c r="K19" s="137"/>
      <c r="L19" s="137"/>
      <c r="M19" s="137"/>
      <c r="N19" s="138"/>
      <c r="O19" s="283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</row>
    <row r="20" spans="1:27" s="145" customFormat="1" x14ac:dyDescent="0.2">
      <c r="A20" s="140" t="s">
        <v>11</v>
      </c>
      <c r="B20" s="140"/>
      <c r="C20" s="141"/>
      <c r="D20" s="112" t="s">
        <v>987</v>
      </c>
      <c r="E20" s="140"/>
      <c r="F20" s="260"/>
      <c r="G20" s="260"/>
      <c r="H20" s="260"/>
      <c r="I20" s="248"/>
      <c r="J20" s="260"/>
      <c r="K20" s="142"/>
      <c r="L20" s="142"/>
      <c r="M20" s="142"/>
      <c r="N20" s="143">
        <f>SUM(N22:N43)</f>
        <v>2328.04</v>
      </c>
      <c r="O20" s="285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</row>
    <row r="21" spans="1:27" s="139" customFormat="1" ht="20.399999999999999" x14ac:dyDescent="0.2">
      <c r="A21" s="9" t="s">
        <v>582</v>
      </c>
      <c r="B21" s="9"/>
      <c r="C21" s="13"/>
      <c r="D21" s="367" t="str">
        <f>'ORÇAMENTO PINTURA'!D14</f>
        <v>APLICAÇÃO DE FUNDO SELADOR ACRÍLICO EM PAREDES, UMA DEMÃO. AF_06/2014</v>
      </c>
      <c r="E21" s="9" t="s">
        <v>9</v>
      </c>
      <c r="F21" s="261"/>
      <c r="G21" s="261"/>
      <c r="H21" s="261"/>
      <c r="I21" s="245"/>
      <c r="J21" s="261"/>
      <c r="K21" s="137"/>
      <c r="L21" s="137"/>
      <c r="M21" s="137"/>
      <c r="N21" s="138"/>
      <c r="O21" s="283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</row>
    <row r="22" spans="1:27" s="118" customFormat="1" x14ac:dyDescent="0.2">
      <c r="A22" s="6"/>
      <c r="B22" s="6"/>
      <c r="C22" s="155"/>
      <c r="D22" s="2" t="s">
        <v>966</v>
      </c>
      <c r="E22" s="148"/>
      <c r="F22" s="253">
        <v>2</v>
      </c>
      <c r="G22" s="253">
        <v>5.05</v>
      </c>
      <c r="H22" s="253"/>
      <c r="I22" s="249">
        <v>3.37</v>
      </c>
      <c r="J22" s="253">
        <f>ROUND(PRODUCT(F22:I22),2)</f>
        <v>34.04</v>
      </c>
      <c r="K22" s="137"/>
      <c r="L22" s="137"/>
      <c r="M22" s="137"/>
      <c r="N22" s="138"/>
      <c r="O22" s="167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</row>
    <row r="23" spans="1:27" s="118" customFormat="1" x14ac:dyDescent="0.2">
      <c r="A23" s="6"/>
      <c r="B23" s="6"/>
      <c r="C23" s="155"/>
      <c r="D23" s="2"/>
      <c r="E23" s="148"/>
      <c r="F23" s="253">
        <v>2</v>
      </c>
      <c r="G23" s="253">
        <v>12.8</v>
      </c>
      <c r="H23" s="253"/>
      <c r="I23" s="249">
        <v>3</v>
      </c>
      <c r="J23" s="253">
        <f>ROUND(PRODUCT(F23:I23),2)</f>
        <v>76.8</v>
      </c>
      <c r="K23" s="137"/>
      <c r="L23" s="137"/>
      <c r="M23" s="137"/>
      <c r="N23" s="138"/>
      <c r="O23" s="167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</row>
    <row r="24" spans="1:27" s="118" customFormat="1" x14ac:dyDescent="0.2">
      <c r="A24" s="6"/>
      <c r="B24" s="6"/>
      <c r="C24" s="155"/>
      <c r="D24" s="2" t="s">
        <v>995</v>
      </c>
      <c r="E24" s="148"/>
      <c r="F24" s="253"/>
      <c r="G24" s="253"/>
      <c r="H24" s="253"/>
      <c r="I24" s="249"/>
      <c r="J24" s="253"/>
      <c r="K24" s="137"/>
      <c r="L24" s="137"/>
      <c r="M24" s="137"/>
      <c r="N24" s="138"/>
      <c r="O24" s="167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</row>
    <row r="25" spans="1:27" s="118" customFormat="1" x14ac:dyDescent="0.2">
      <c r="A25" s="6"/>
      <c r="B25" s="6"/>
      <c r="C25" s="155"/>
      <c r="D25" s="2" t="s">
        <v>996</v>
      </c>
      <c r="E25" s="148"/>
      <c r="F25" s="253">
        <v>4</v>
      </c>
      <c r="G25" s="253">
        <v>2.5299999999999998</v>
      </c>
      <c r="H25" s="253"/>
      <c r="I25" s="249">
        <v>3</v>
      </c>
      <c r="J25" s="253">
        <f t="shared" ref="J25:J36" si="0">ROUND(PRODUCT(F25:I25),2)</f>
        <v>30.36</v>
      </c>
      <c r="K25" s="137"/>
      <c r="L25" s="137"/>
      <c r="M25" s="137"/>
      <c r="N25" s="138"/>
      <c r="O25" s="167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</row>
    <row r="26" spans="1:27" s="118" customFormat="1" x14ac:dyDescent="0.2">
      <c r="A26" s="6"/>
      <c r="B26" s="6"/>
      <c r="C26" s="155"/>
      <c r="D26" s="2"/>
      <c r="E26" s="148"/>
      <c r="F26" s="253">
        <v>4</v>
      </c>
      <c r="G26" s="253">
        <v>2.2999999999999998</v>
      </c>
      <c r="H26" s="253"/>
      <c r="I26" s="249">
        <v>3</v>
      </c>
      <c r="J26" s="253">
        <f t="shared" si="0"/>
        <v>27.6</v>
      </c>
      <c r="K26" s="137"/>
      <c r="L26" s="137"/>
      <c r="M26" s="137"/>
      <c r="N26" s="138"/>
      <c r="O26" s="167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</row>
    <row r="27" spans="1:27" s="118" customFormat="1" x14ac:dyDescent="0.2">
      <c r="A27" s="6"/>
      <c r="B27" s="6"/>
      <c r="C27" s="155"/>
      <c r="D27" s="2" t="s">
        <v>997</v>
      </c>
      <c r="E27" s="148"/>
      <c r="F27" s="253">
        <v>2</v>
      </c>
      <c r="G27" s="253">
        <v>3.1</v>
      </c>
      <c r="H27" s="253"/>
      <c r="I27" s="246">
        <v>3</v>
      </c>
      <c r="J27" s="253">
        <f t="shared" si="0"/>
        <v>18.600000000000001</v>
      </c>
      <c r="K27" s="137"/>
      <c r="L27" s="137"/>
      <c r="M27" s="137"/>
      <c r="N27" s="138"/>
      <c r="O27" s="167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</row>
    <row r="28" spans="1:27" s="118" customFormat="1" x14ac:dyDescent="0.2">
      <c r="A28" s="6"/>
      <c r="B28" s="6"/>
      <c r="C28" s="156"/>
      <c r="D28" s="108"/>
      <c r="E28" s="148"/>
      <c r="F28" s="253">
        <v>2</v>
      </c>
      <c r="G28" s="253">
        <v>2.04</v>
      </c>
      <c r="H28" s="253"/>
      <c r="I28" s="246"/>
      <c r="J28" s="253">
        <f t="shared" si="0"/>
        <v>4.08</v>
      </c>
      <c r="K28" s="137"/>
      <c r="L28" s="137"/>
      <c r="M28" s="137"/>
      <c r="N28" s="138"/>
      <c r="O28" s="167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</row>
    <row r="29" spans="1:27" s="139" customFormat="1" x14ac:dyDescent="0.2">
      <c r="A29" s="10"/>
      <c r="B29" s="10"/>
      <c r="C29" s="15"/>
      <c r="D29" s="2" t="s">
        <v>968</v>
      </c>
      <c r="E29" s="10"/>
      <c r="F29" s="253">
        <v>2</v>
      </c>
      <c r="G29" s="253">
        <v>1.62</v>
      </c>
      <c r="H29" s="253"/>
      <c r="I29" s="249">
        <v>3</v>
      </c>
      <c r="J29" s="253">
        <f t="shared" si="0"/>
        <v>9.7200000000000006</v>
      </c>
      <c r="K29" s="137"/>
      <c r="L29" s="137"/>
      <c r="M29" s="137"/>
      <c r="N29" s="138"/>
      <c r="O29" s="283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</row>
    <row r="30" spans="1:27" s="139" customFormat="1" x14ac:dyDescent="0.2">
      <c r="A30" s="10"/>
      <c r="B30" s="10"/>
      <c r="C30" s="15"/>
      <c r="D30" s="375"/>
      <c r="E30" s="10"/>
      <c r="F30" s="253">
        <v>1</v>
      </c>
      <c r="G30" s="253">
        <v>5.05</v>
      </c>
      <c r="H30" s="253"/>
      <c r="I30" s="249">
        <v>3</v>
      </c>
      <c r="J30" s="253">
        <f t="shared" si="0"/>
        <v>15.15</v>
      </c>
      <c r="K30" s="137"/>
      <c r="L30" s="137"/>
      <c r="M30" s="137"/>
      <c r="N30" s="138"/>
      <c r="O30" s="283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</row>
    <row r="31" spans="1:27" s="139" customFormat="1" x14ac:dyDescent="0.2">
      <c r="A31" s="10"/>
      <c r="B31" s="10"/>
      <c r="C31" s="15"/>
      <c r="D31" s="375"/>
      <c r="E31" s="10"/>
      <c r="F31" s="253">
        <v>2</v>
      </c>
      <c r="G31" s="253">
        <v>3.1</v>
      </c>
      <c r="H31" s="253"/>
      <c r="I31" s="249">
        <v>3</v>
      </c>
      <c r="J31" s="253">
        <f t="shared" si="0"/>
        <v>18.600000000000001</v>
      </c>
      <c r="K31" s="137"/>
      <c r="L31" s="137"/>
      <c r="M31" s="137"/>
      <c r="N31" s="138"/>
      <c r="O31" s="283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</row>
    <row r="32" spans="1:27" s="139" customFormat="1" x14ac:dyDescent="0.2">
      <c r="A32" s="10"/>
      <c r="B32" s="10"/>
      <c r="C32" s="15"/>
      <c r="D32" s="375"/>
      <c r="E32" s="10"/>
      <c r="F32" s="253">
        <v>2</v>
      </c>
      <c r="G32" s="253">
        <v>4.2</v>
      </c>
      <c r="H32" s="253"/>
      <c r="I32" s="249">
        <v>3</v>
      </c>
      <c r="J32" s="253">
        <f t="shared" si="0"/>
        <v>25.2</v>
      </c>
      <c r="K32" s="137"/>
      <c r="L32" s="137"/>
      <c r="M32" s="137"/>
      <c r="N32" s="138"/>
      <c r="O32" s="283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</row>
    <row r="33" spans="1:27" s="139" customFormat="1" x14ac:dyDescent="0.2">
      <c r="A33" s="10"/>
      <c r="B33" s="10"/>
      <c r="C33" s="15"/>
      <c r="D33" s="369" t="s">
        <v>998</v>
      </c>
      <c r="E33" s="10"/>
      <c r="F33" s="253">
        <v>-5</v>
      </c>
      <c r="G33" s="253"/>
      <c r="H33" s="253">
        <v>0.8</v>
      </c>
      <c r="I33" s="249">
        <v>2.1</v>
      </c>
      <c r="J33" s="253">
        <f t="shared" si="0"/>
        <v>-8.4</v>
      </c>
      <c r="K33" s="137"/>
      <c r="L33" s="137"/>
      <c r="M33" s="137"/>
      <c r="N33" s="138"/>
      <c r="O33" s="283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</row>
    <row r="34" spans="1:27" s="139" customFormat="1" x14ac:dyDescent="0.2">
      <c r="A34" s="10"/>
      <c r="B34" s="10"/>
      <c r="C34" s="15"/>
      <c r="D34" s="375"/>
      <c r="E34" s="10"/>
      <c r="F34" s="253">
        <v>-1</v>
      </c>
      <c r="G34" s="253"/>
      <c r="H34" s="253">
        <v>5</v>
      </c>
      <c r="I34" s="249">
        <v>2.1</v>
      </c>
      <c r="J34" s="253">
        <f t="shared" si="0"/>
        <v>-10.5</v>
      </c>
      <c r="K34" s="137"/>
      <c r="L34" s="137"/>
      <c r="M34" s="137"/>
      <c r="N34" s="138"/>
      <c r="O34" s="283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</row>
    <row r="35" spans="1:27" s="139" customFormat="1" x14ac:dyDescent="0.2">
      <c r="A35" s="10"/>
      <c r="B35" s="10"/>
      <c r="C35" s="15"/>
      <c r="D35" s="375"/>
      <c r="E35" s="10"/>
      <c r="F35" s="253">
        <v>-2</v>
      </c>
      <c r="G35" s="253"/>
      <c r="H35" s="253">
        <v>1</v>
      </c>
      <c r="I35" s="249">
        <v>1</v>
      </c>
      <c r="J35" s="253">
        <f t="shared" si="0"/>
        <v>-2</v>
      </c>
      <c r="K35" s="137"/>
      <c r="L35" s="137"/>
      <c r="M35" s="137"/>
      <c r="N35" s="138"/>
      <c r="O35" s="283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</row>
    <row r="36" spans="1:27" s="139" customFormat="1" x14ac:dyDescent="0.2">
      <c r="A36" s="10"/>
      <c r="B36" s="10"/>
      <c r="C36" s="15"/>
      <c r="D36" s="375"/>
      <c r="E36" s="10"/>
      <c r="F36" s="253">
        <v>-1</v>
      </c>
      <c r="G36" s="253"/>
      <c r="H36" s="253">
        <v>1.5</v>
      </c>
      <c r="I36" s="249">
        <v>1</v>
      </c>
      <c r="J36" s="253">
        <f t="shared" si="0"/>
        <v>-1.5</v>
      </c>
      <c r="K36" s="137"/>
      <c r="L36" s="137"/>
      <c r="M36" s="137"/>
      <c r="N36" s="138"/>
      <c r="O36" s="283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</row>
    <row r="37" spans="1:27" s="139" customFormat="1" x14ac:dyDescent="0.2">
      <c r="A37" s="10"/>
      <c r="B37" s="10"/>
      <c r="C37" s="15"/>
      <c r="D37" s="375"/>
      <c r="E37" s="10"/>
      <c r="F37" s="263"/>
      <c r="G37" s="263"/>
      <c r="H37" s="263"/>
      <c r="I37" s="246" t="str">
        <f>"Total item "&amp;A21</f>
        <v>Total item 2.1.1</v>
      </c>
      <c r="J37" s="261">
        <f>SUM(J22:J36)</f>
        <v>237.74999999999997</v>
      </c>
      <c r="K37" s="137"/>
      <c r="L37" s="137"/>
      <c r="M37" s="137"/>
      <c r="N37" s="138"/>
      <c r="O37" s="283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</row>
    <row r="38" spans="1:27" s="139" customFormat="1" x14ac:dyDescent="0.2">
      <c r="A38" s="10"/>
      <c r="B38" s="10"/>
      <c r="C38" s="15"/>
      <c r="D38" s="375"/>
      <c r="E38" s="10"/>
      <c r="F38" s="263"/>
      <c r="G38" s="263"/>
      <c r="H38" s="263"/>
      <c r="I38" s="250"/>
      <c r="J38" s="263"/>
      <c r="K38" s="137"/>
      <c r="L38" s="137"/>
      <c r="M38" s="137"/>
      <c r="N38" s="138"/>
      <c r="O38" s="283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</row>
    <row r="39" spans="1:27" s="147" customFormat="1" ht="30.6" x14ac:dyDescent="0.2">
      <c r="A39" s="9" t="s">
        <v>583</v>
      </c>
      <c r="B39" s="9" t="s">
        <v>179</v>
      </c>
      <c r="C39" s="13" t="s">
        <v>672</v>
      </c>
      <c r="D39" s="367" t="str">
        <f>'ORÇAMENTO PINTURA'!D15</f>
        <v>PINTURA COM TINTA ALQUÍDICA DE FUNDO E ACABAMENTO (ESMALTE SINTÉTICO GRAFITE) APLICADA A ROLO OU PINCEL SOBRE PERFIL METÁLICO EXECUTADO EM FÁBRICA (POR DEMÃO). AF_01/2020</v>
      </c>
      <c r="E39" s="9" t="s">
        <v>9</v>
      </c>
      <c r="F39" s="261"/>
      <c r="G39" s="261"/>
      <c r="H39" s="261"/>
      <c r="I39" s="245"/>
      <c r="J39" s="261"/>
      <c r="K39" s="131">
        <f>J43</f>
        <v>17.61</v>
      </c>
      <c r="L39" s="131">
        <f>'COMPOSICOES - SINAPI COM DESON'!G50</f>
        <v>104.48</v>
      </c>
      <c r="M39" s="131">
        <f>ROUND(L39*(1+$Q$5),2)</f>
        <v>132.19999999999999</v>
      </c>
      <c r="N39" s="133">
        <f>TRUNC(K39*M39,2)</f>
        <v>2328.04</v>
      </c>
      <c r="O39" s="286"/>
      <c r="P39" s="146"/>
      <c r="Q39" s="146"/>
      <c r="R39" s="146"/>
      <c r="S39" s="146"/>
      <c r="T39" s="146"/>
      <c r="U39" s="146"/>
      <c r="V39" s="146"/>
      <c r="W39" s="146"/>
      <c r="X39" s="146"/>
      <c r="Y39" s="146"/>
      <c r="Z39" s="146"/>
      <c r="AA39" s="146"/>
    </row>
    <row r="40" spans="1:27" s="118" customFormat="1" ht="15.6" customHeight="1" x14ac:dyDescent="0.2">
      <c r="A40" s="10"/>
      <c r="B40" s="10"/>
      <c r="C40" s="191"/>
      <c r="D40" s="357" t="s">
        <v>999</v>
      </c>
      <c r="E40" s="148"/>
      <c r="F40" s="253">
        <v>4</v>
      </c>
      <c r="G40" s="253"/>
      <c r="H40" s="253">
        <v>1</v>
      </c>
      <c r="I40" s="249">
        <v>1</v>
      </c>
      <c r="J40" s="253">
        <f t="shared" ref="J40:J42" si="1">ROUND(PRODUCT(F40:I40),2)</f>
        <v>4</v>
      </c>
      <c r="K40" s="137"/>
      <c r="L40" s="137"/>
      <c r="M40" s="137"/>
      <c r="N40" s="138"/>
      <c r="O40" s="167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</row>
    <row r="41" spans="1:27" s="118" customFormat="1" ht="10.95" customHeight="1" x14ac:dyDescent="0.2">
      <c r="A41" s="10"/>
      <c r="B41" s="10"/>
      <c r="C41" s="191"/>
      <c r="D41" s="357"/>
      <c r="E41" s="148"/>
      <c r="F41" s="253">
        <v>2</v>
      </c>
      <c r="G41" s="253"/>
      <c r="H41" s="253">
        <v>1.5</v>
      </c>
      <c r="I41" s="249">
        <v>1</v>
      </c>
      <c r="J41" s="253">
        <f t="shared" si="1"/>
        <v>3</v>
      </c>
      <c r="K41" s="137"/>
      <c r="L41" s="137"/>
      <c r="M41" s="137"/>
      <c r="N41" s="138"/>
      <c r="O41" s="167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</row>
    <row r="42" spans="1:27" s="118" customFormat="1" ht="10.95" customHeight="1" x14ac:dyDescent="0.2">
      <c r="A42" s="10"/>
      <c r="B42" s="10"/>
      <c r="C42" s="191"/>
      <c r="D42" s="357"/>
      <c r="E42" s="148"/>
      <c r="F42" s="253">
        <v>1</v>
      </c>
      <c r="G42" s="253"/>
      <c r="H42" s="253">
        <v>5.05</v>
      </c>
      <c r="I42" s="246">
        <v>2.1</v>
      </c>
      <c r="J42" s="253">
        <f t="shared" si="1"/>
        <v>10.61</v>
      </c>
      <c r="K42" s="137"/>
      <c r="L42" s="137"/>
      <c r="M42" s="137"/>
      <c r="N42" s="138"/>
      <c r="O42" s="167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</row>
    <row r="43" spans="1:27" s="118" customFormat="1" x14ac:dyDescent="0.2">
      <c r="A43" s="10"/>
      <c r="B43" s="10"/>
      <c r="C43" s="190"/>
      <c r="D43" s="108"/>
      <c r="E43" s="148"/>
      <c r="F43" s="253"/>
      <c r="G43" s="253"/>
      <c r="H43" s="253"/>
      <c r="I43" s="246" t="str">
        <f>"Total item "&amp;A39</f>
        <v>Total item 2.1.2</v>
      </c>
      <c r="J43" s="261">
        <f>SUM(J40:J42)</f>
        <v>17.61</v>
      </c>
      <c r="K43" s="137"/>
      <c r="L43" s="137"/>
      <c r="M43" s="137"/>
      <c r="N43" s="138"/>
      <c r="O43" s="167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</row>
    <row r="44" spans="1:27" s="118" customFormat="1" ht="20.399999999999999" x14ac:dyDescent="0.2">
      <c r="A44" s="9" t="s">
        <v>993</v>
      </c>
      <c r="B44" s="184"/>
      <c r="C44" s="358"/>
      <c r="D44" s="109" t="str">
        <f>'ORÇAMENTO PINTURA'!D16</f>
        <v>APLICAÇÃO MANUAL DE PINTURA COM TINTA LÁTEX ACRÍLICA EM PAREDES, DUAS DEMÃOS. AF_06/2014</v>
      </c>
      <c r="E44" s="9" t="s">
        <v>9</v>
      </c>
      <c r="F44" s="261"/>
      <c r="G44" s="261"/>
      <c r="H44" s="261"/>
      <c r="I44" s="245"/>
      <c r="J44" s="261"/>
      <c r="K44" s="137"/>
      <c r="L44" s="137"/>
      <c r="M44" s="137"/>
      <c r="N44" s="138"/>
      <c r="O44" s="167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</row>
    <row r="45" spans="1:27" s="118" customFormat="1" x14ac:dyDescent="0.2">
      <c r="A45" s="10"/>
      <c r="B45" s="10"/>
      <c r="C45" s="190"/>
      <c r="D45" s="2" t="s">
        <v>966</v>
      </c>
      <c r="E45" s="148"/>
      <c r="F45" s="253">
        <v>2</v>
      </c>
      <c r="G45" s="253">
        <v>5.05</v>
      </c>
      <c r="H45" s="253"/>
      <c r="I45" s="249">
        <v>3.37</v>
      </c>
      <c r="J45" s="253">
        <f>ROUND(PRODUCT(F45:I45),2)</f>
        <v>34.04</v>
      </c>
      <c r="K45" s="137"/>
      <c r="L45" s="137"/>
      <c r="M45" s="137"/>
      <c r="N45" s="138"/>
      <c r="O45" s="167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</row>
    <row r="46" spans="1:27" s="118" customFormat="1" x14ac:dyDescent="0.2">
      <c r="A46" s="10"/>
      <c r="B46" s="10"/>
      <c r="C46" s="190"/>
      <c r="D46" s="2"/>
      <c r="E46" s="148"/>
      <c r="F46" s="253">
        <v>2</v>
      </c>
      <c r="G46" s="253">
        <v>12.8</v>
      </c>
      <c r="H46" s="253"/>
      <c r="I46" s="249">
        <v>3</v>
      </c>
      <c r="J46" s="253">
        <f>ROUND(PRODUCT(F46:I46),2)</f>
        <v>76.8</v>
      </c>
      <c r="K46" s="137"/>
      <c r="L46" s="137"/>
      <c r="M46" s="137"/>
      <c r="N46" s="138"/>
      <c r="O46" s="167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</row>
    <row r="47" spans="1:27" s="118" customFormat="1" x14ac:dyDescent="0.2">
      <c r="A47" s="10"/>
      <c r="B47" s="10"/>
      <c r="C47" s="190"/>
      <c r="D47" s="2" t="s">
        <v>995</v>
      </c>
      <c r="E47" s="148"/>
      <c r="F47" s="253"/>
      <c r="G47" s="253"/>
      <c r="H47" s="253"/>
      <c r="I47" s="249"/>
      <c r="J47" s="253"/>
      <c r="K47" s="137"/>
      <c r="L47" s="137"/>
      <c r="M47" s="137"/>
      <c r="N47" s="138"/>
      <c r="O47" s="167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</row>
    <row r="48" spans="1:27" s="118" customFormat="1" x14ac:dyDescent="0.2">
      <c r="A48" s="10"/>
      <c r="B48" s="10"/>
      <c r="C48" s="190"/>
      <c r="D48" s="2" t="s">
        <v>996</v>
      </c>
      <c r="E48" s="148"/>
      <c r="F48" s="253">
        <v>4</v>
      </c>
      <c r="G48" s="253">
        <v>2.5299999999999998</v>
      </c>
      <c r="H48" s="253"/>
      <c r="I48" s="249">
        <v>3</v>
      </c>
      <c r="J48" s="253">
        <f t="shared" ref="J48:J59" si="2">ROUND(PRODUCT(F48:I48),2)</f>
        <v>30.36</v>
      </c>
      <c r="K48" s="137"/>
      <c r="L48" s="137"/>
      <c r="M48" s="137"/>
      <c r="N48" s="138"/>
      <c r="O48" s="167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</row>
    <row r="49" spans="1:27" s="118" customFormat="1" x14ac:dyDescent="0.2">
      <c r="A49" s="10"/>
      <c r="B49" s="10"/>
      <c r="C49" s="190"/>
      <c r="D49" s="2"/>
      <c r="E49" s="148"/>
      <c r="F49" s="253">
        <v>4</v>
      </c>
      <c r="G49" s="253">
        <v>2.2999999999999998</v>
      </c>
      <c r="H49" s="253"/>
      <c r="I49" s="249">
        <v>3</v>
      </c>
      <c r="J49" s="253">
        <f t="shared" si="2"/>
        <v>27.6</v>
      </c>
      <c r="K49" s="137"/>
      <c r="L49" s="137"/>
      <c r="M49" s="137"/>
      <c r="N49" s="138"/>
      <c r="O49" s="167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</row>
    <row r="50" spans="1:27" s="118" customFormat="1" x14ac:dyDescent="0.2">
      <c r="A50" s="10"/>
      <c r="B50" s="10"/>
      <c r="C50" s="190"/>
      <c r="D50" s="2" t="s">
        <v>997</v>
      </c>
      <c r="E50" s="148"/>
      <c r="F50" s="253">
        <v>2</v>
      </c>
      <c r="G50" s="253">
        <v>3.1</v>
      </c>
      <c r="H50" s="253"/>
      <c r="I50" s="246">
        <v>3</v>
      </c>
      <c r="J50" s="253">
        <f t="shared" si="2"/>
        <v>18.600000000000001</v>
      </c>
      <c r="K50" s="137"/>
      <c r="L50" s="137"/>
      <c r="M50" s="137"/>
      <c r="N50" s="138"/>
      <c r="O50" s="167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</row>
    <row r="51" spans="1:27" s="118" customFormat="1" x14ac:dyDescent="0.2">
      <c r="A51" s="10"/>
      <c r="B51" s="10"/>
      <c r="C51" s="190"/>
      <c r="D51" s="108"/>
      <c r="E51" s="148"/>
      <c r="F51" s="253">
        <v>2</v>
      </c>
      <c r="G51" s="253">
        <v>2.04</v>
      </c>
      <c r="H51" s="253"/>
      <c r="I51" s="246"/>
      <c r="J51" s="253">
        <f t="shared" si="2"/>
        <v>4.08</v>
      </c>
      <c r="K51" s="137"/>
      <c r="L51" s="137"/>
      <c r="M51" s="137"/>
      <c r="N51" s="138"/>
      <c r="O51" s="167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</row>
    <row r="52" spans="1:27" s="118" customFormat="1" x14ac:dyDescent="0.2">
      <c r="A52" s="10"/>
      <c r="B52" s="10"/>
      <c r="C52" s="190"/>
      <c r="D52" s="2" t="s">
        <v>968</v>
      </c>
      <c r="E52" s="10"/>
      <c r="F52" s="253">
        <v>2</v>
      </c>
      <c r="G52" s="253">
        <v>1.62</v>
      </c>
      <c r="H52" s="253"/>
      <c r="I52" s="249">
        <v>3</v>
      </c>
      <c r="J52" s="253">
        <f t="shared" si="2"/>
        <v>9.7200000000000006</v>
      </c>
      <c r="K52" s="137"/>
      <c r="L52" s="137"/>
      <c r="M52" s="137"/>
      <c r="N52" s="138"/>
      <c r="O52" s="167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</row>
    <row r="53" spans="1:27" s="118" customFormat="1" x14ac:dyDescent="0.2">
      <c r="A53" s="10"/>
      <c r="B53" s="10"/>
      <c r="C53" s="190"/>
      <c r="D53" s="375"/>
      <c r="E53" s="10"/>
      <c r="F53" s="253">
        <v>1</v>
      </c>
      <c r="G53" s="253">
        <v>5.05</v>
      </c>
      <c r="H53" s="253"/>
      <c r="I53" s="249">
        <v>3</v>
      </c>
      <c r="J53" s="253">
        <f t="shared" si="2"/>
        <v>15.15</v>
      </c>
      <c r="K53" s="137"/>
      <c r="L53" s="137"/>
      <c r="M53" s="137"/>
      <c r="N53" s="138"/>
      <c r="O53" s="167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</row>
    <row r="54" spans="1:27" s="118" customFormat="1" x14ac:dyDescent="0.2">
      <c r="A54" s="10"/>
      <c r="B54" s="10"/>
      <c r="C54" s="190"/>
      <c r="D54" s="375"/>
      <c r="E54" s="10"/>
      <c r="F54" s="253">
        <v>2</v>
      </c>
      <c r="G54" s="253">
        <v>3.1</v>
      </c>
      <c r="H54" s="253"/>
      <c r="I54" s="249">
        <v>3</v>
      </c>
      <c r="J54" s="253">
        <f t="shared" si="2"/>
        <v>18.600000000000001</v>
      </c>
      <c r="K54" s="137"/>
      <c r="L54" s="137"/>
      <c r="M54" s="137"/>
      <c r="N54" s="138"/>
      <c r="O54" s="167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</row>
    <row r="55" spans="1:27" s="118" customFormat="1" x14ac:dyDescent="0.2">
      <c r="A55" s="10"/>
      <c r="B55" s="10"/>
      <c r="C55" s="190"/>
      <c r="D55" s="375"/>
      <c r="E55" s="10"/>
      <c r="F55" s="253">
        <v>2</v>
      </c>
      <c r="G55" s="253">
        <v>4.2</v>
      </c>
      <c r="H55" s="253"/>
      <c r="I55" s="249">
        <v>3</v>
      </c>
      <c r="J55" s="253">
        <f t="shared" si="2"/>
        <v>25.2</v>
      </c>
      <c r="K55" s="137"/>
      <c r="L55" s="137"/>
      <c r="M55" s="137"/>
      <c r="N55" s="138"/>
      <c r="O55" s="167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</row>
    <row r="56" spans="1:27" s="118" customFormat="1" x14ac:dyDescent="0.2">
      <c r="A56" s="10"/>
      <c r="B56" s="10"/>
      <c r="C56" s="190"/>
      <c r="D56" s="369" t="s">
        <v>998</v>
      </c>
      <c r="E56" s="10"/>
      <c r="F56" s="253">
        <v>-5</v>
      </c>
      <c r="G56" s="253"/>
      <c r="H56" s="253">
        <v>0.8</v>
      </c>
      <c r="I56" s="249">
        <v>2.1</v>
      </c>
      <c r="J56" s="253">
        <f t="shared" si="2"/>
        <v>-8.4</v>
      </c>
      <c r="K56" s="137"/>
      <c r="L56" s="137"/>
      <c r="M56" s="137"/>
      <c r="N56" s="138"/>
      <c r="O56" s="167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</row>
    <row r="57" spans="1:27" s="118" customFormat="1" x14ac:dyDescent="0.2">
      <c r="A57" s="10"/>
      <c r="B57" s="10"/>
      <c r="C57" s="190"/>
      <c r="D57" s="375"/>
      <c r="E57" s="10"/>
      <c r="F57" s="253">
        <v>-1</v>
      </c>
      <c r="G57" s="253"/>
      <c r="H57" s="253">
        <v>5</v>
      </c>
      <c r="I57" s="249">
        <v>2.1</v>
      </c>
      <c r="J57" s="253">
        <f t="shared" si="2"/>
        <v>-10.5</v>
      </c>
      <c r="K57" s="137"/>
      <c r="L57" s="137"/>
      <c r="M57" s="137"/>
      <c r="N57" s="138"/>
      <c r="O57" s="167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</row>
    <row r="58" spans="1:27" s="118" customFormat="1" x14ac:dyDescent="0.2">
      <c r="A58" s="10"/>
      <c r="B58" s="10"/>
      <c r="C58" s="190"/>
      <c r="D58" s="375"/>
      <c r="E58" s="10"/>
      <c r="F58" s="253">
        <v>-2</v>
      </c>
      <c r="G58" s="253"/>
      <c r="H58" s="253">
        <v>1</v>
      </c>
      <c r="I58" s="249">
        <v>1</v>
      </c>
      <c r="J58" s="253">
        <f t="shared" si="2"/>
        <v>-2</v>
      </c>
      <c r="K58" s="137"/>
      <c r="L58" s="137"/>
      <c r="M58" s="137"/>
      <c r="N58" s="138"/>
      <c r="O58" s="167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</row>
    <row r="59" spans="1:27" s="118" customFormat="1" x14ac:dyDescent="0.2">
      <c r="A59" s="10"/>
      <c r="B59" s="10"/>
      <c r="C59" s="190"/>
      <c r="D59" s="375"/>
      <c r="E59" s="10"/>
      <c r="F59" s="253">
        <v>-1</v>
      </c>
      <c r="G59" s="253"/>
      <c r="H59" s="253">
        <v>1.5</v>
      </c>
      <c r="I59" s="249">
        <v>1</v>
      </c>
      <c r="J59" s="253">
        <f t="shared" si="2"/>
        <v>-1.5</v>
      </c>
      <c r="K59" s="137"/>
      <c r="L59" s="137"/>
      <c r="M59" s="137"/>
      <c r="N59" s="138"/>
      <c r="O59" s="167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</row>
    <row r="60" spans="1:27" s="118" customFormat="1" x14ac:dyDescent="0.2">
      <c r="A60" s="10"/>
      <c r="B60" s="10"/>
      <c r="C60" s="190"/>
      <c r="D60" s="375"/>
      <c r="E60" s="10"/>
      <c r="F60" s="263"/>
      <c r="G60" s="263"/>
      <c r="H60" s="263"/>
      <c r="I60" s="246" t="str">
        <f>"Total item "&amp;A44</f>
        <v>Total item 2.1.3</v>
      </c>
      <c r="J60" s="261">
        <f>SUM(J45:J59)</f>
        <v>237.74999999999997</v>
      </c>
      <c r="K60" s="137"/>
      <c r="L60" s="137"/>
      <c r="M60" s="137"/>
      <c r="N60" s="138"/>
      <c r="O60" s="167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</row>
    <row r="61" spans="1:27" s="118" customFormat="1" ht="20.399999999999999" x14ac:dyDescent="0.2">
      <c r="A61" s="9" t="s">
        <v>994</v>
      </c>
      <c r="B61" s="184"/>
      <c r="C61" s="358"/>
      <c r="D61" s="109" t="str">
        <f>'ORÇAMENTO PINTURA'!D17</f>
        <v>APLICAÇÃO MANUAL DE PINTURA COM TINTA LÁTEX ACRÍLICA EM TETO, DUAS DEMÃOS. AF_06/2014</v>
      </c>
      <c r="E61" s="9" t="s">
        <v>9</v>
      </c>
      <c r="F61" s="261"/>
      <c r="G61" s="261"/>
      <c r="H61" s="261"/>
      <c r="I61" s="245"/>
      <c r="J61" s="261"/>
      <c r="K61" s="137"/>
      <c r="L61" s="137"/>
      <c r="M61" s="137"/>
      <c r="N61" s="138"/>
      <c r="O61" s="167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</row>
    <row r="62" spans="1:27" s="118" customFormat="1" x14ac:dyDescent="0.2">
      <c r="A62" s="10"/>
      <c r="B62" s="10"/>
      <c r="C62" s="190"/>
      <c r="D62" s="2" t="s">
        <v>995</v>
      </c>
      <c r="E62" s="148"/>
      <c r="F62" s="253"/>
      <c r="G62" s="253"/>
      <c r="H62" s="253"/>
      <c r="I62" s="249"/>
      <c r="J62" s="253"/>
      <c r="K62" s="137"/>
      <c r="L62" s="137"/>
      <c r="M62" s="137"/>
      <c r="N62" s="138"/>
      <c r="O62" s="167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</row>
    <row r="63" spans="1:27" s="118" customFormat="1" x14ac:dyDescent="0.2">
      <c r="A63" s="10"/>
      <c r="B63" s="10"/>
      <c r="C63" s="190"/>
      <c r="D63" s="2" t="s">
        <v>996</v>
      </c>
      <c r="E63" s="148"/>
      <c r="F63" s="253">
        <v>2</v>
      </c>
      <c r="G63" s="253">
        <v>2.5299999999999998</v>
      </c>
      <c r="H63" s="253">
        <v>2.2999999999999998</v>
      </c>
      <c r="I63" s="249"/>
      <c r="J63" s="253">
        <f t="shared" ref="J63:J71" si="3">ROUND(PRODUCT(F63:I63),2)</f>
        <v>11.64</v>
      </c>
      <c r="K63" s="137"/>
      <c r="L63" s="137"/>
      <c r="M63" s="137"/>
      <c r="N63" s="138"/>
      <c r="O63" s="167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</row>
    <row r="64" spans="1:27" s="118" customFormat="1" x14ac:dyDescent="0.2">
      <c r="A64" s="10"/>
      <c r="B64" s="10"/>
      <c r="C64" s="190"/>
      <c r="D64" s="2" t="s">
        <v>997</v>
      </c>
      <c r="E64" s="148"/>
      <c r="F64" s="253">
        <v>1</v>
      </c>
      <c r="G64" s="253">
        <v>3.1</v>
      </c>
      <c r="H64" s="253">
        <v>2.04</v>
      </c>
      <c r="I64" s="246"/>
      <c r="J64" s="253">
        <f t="shared" si="3"/>
        <v>6.32</v>
      </c>
      <c r="K64" s="137"/>
      <c r="L64" s="137"/>
      <c r="M64" s="137"/>
      <c r="N64" s="138"/>
      <c r="O64" s="167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</row>
    <row r="65" spans="1:27" s="118" customFormat="1" x14ac:dyDescent="0.2">
      <c r="A65" s="10"/>
      <c r="B65" s="10"/>
      <c r="C65" s="190"/>
      <c r="D65" s="108"/>
      <c r="E65" s="148"/>
      <c r="F65" s="253">
        <v>1</v>
      </c>
      <c r="G65" s="253">
        <v>3.1</v>
      </c>
      <c r="H65" s="253">
        <v>4.2</v>
      </c>
      <c r="I65" s="246"/>
      <c r="J65" s="253">
        <f t="shared" si="3"/>
        <v>13.02</v>
      </c>
      <c r="K65" s="137"/>
      <c r="L65" s="137"/>
      <c r="M65" s="137"/>
      <c r="N65" s="138"/>
      <c r="O65" s="167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</row>
    <row r="66" spans="1:27" s="118" customFormat="1" x14ac:dyDescent="0.2">
      <c r="A66" s="10"/>
      <c r="B66" s="10"/>
      <c r="C66" s="190"/>
      <c r="D66" s="2" t="s">
        <v>968</v>
      </c>
      <c r="E66" s="10"/>
      <c r="F66" s="253">
        <v>1</v>
      </c>
      <c r="G66" s="253">
        <v>1.62</v>
      </c>
      <c r="H66" s="253">
        <v>5.05</v>
      </c>
      <c r="I66" s="249"/>
      <c r="J66" s="253">
        <f t="shared" si="3"/>
        <v>8.18</v>
      </c>
      <c r="K66" s="137"/>
      <c r="L66" s="137"/>
      <c r="M66" s="137"/>
      <c r="N66" s="138"/>
      <c r="O66" s="167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</row>
    <row r="67" spans="1:27" s="118" customFormat="1" x14ac:dyDescent="0.2">
      <c r="A67" s="10"/>
      <c r="B67" s="10"/>
      <c r="C67" s="190"/>
      <c r="D67" s="375"/>
      <c r="E67" s="10"/>
      <c r="F67" s="253">
        <v>1</v>
      </c>
      <c r="G67" s="253">
        <v>1.2</v>
      </c>
      <c r="H67" s="253">
        <v>1.5</v>
      </c>
      <c r="I67" s="249"/>
      <c r="J67" s="253">
        <f t="shared" si="3"/>
        <v>1.8</v>
      </c>
      <c r="K67" s="137"/>
      <c r="L67" s="137"/>
      <c r="M67" s="137"/>
      <c r="N67" s="138"/>
      <c r="O67" s="167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</row>
    <row r="68" spans="1:27" s="118" customFormat="1" x14ac:dyDescent="0.2">
      <c r="A68" s="10"/>
      <c r="B68" s="10"/>
      <c r="C68" s="190"/>
      <c r="D68" s="375"/>
      <c r="E68" s="10"/>
      <c r="F68" s="253"/>
      <c r="G68" s="253"/>
      <c r="H68" s="253"/>
      <c r="I68" s="246" t="str">
        <f>"Total item "&amp;A61</f>
        <v>Total item 2.1.4</v>
      </c>
      <c r="J68" s="261">
        <f>SUM(J63:J67)</f>
        <v>40.959999999999994</v>
      </c>
      <c r="K68" s="137"/>
      <c r="L68" s="137"/>
      <c r="M68" s="137"/>
      <c r="N68" s="138"/>
      <c r="O68" s="167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</row>
    <row r="69" spans="1:27" s="118" customFormat="1" ht="20.399999999999999" x14ac:dyDescent="0.2">
      <c r="A69" s="9" t="s">
        <v>1000</v>
      </c>
      <c r="B69" s="184"/>
      <c r="C69" s="358"/>
      <c r="D69" s="368" t="str">
        <f>'ORÇAMENTO PINTURA'!D18</f>
        <v>PINTURA TINTA DE ACABAMENTO (PIGMENTADA) A ÓLEO EM MADEIRA, 2 DEMÃOS. AF_01/2021</v>
      </c>
      <c r="E69" s="9" t="s">
        <v>9</v>
      </c>
      <c r="F69" s="362"/>
      <c r="G69" s="362"/>
      <c r="H69" s="362"/>
      <c r="I69" s="363"/>
      <c r="J69" s="362"/>
      <c r="K69" s="137"/>
      <c r="L69" s="137"/>
      <c r="M69" s="137"/>
      <c r="N69" s="138"/>
      <c r="O69" s="167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</row>
    <row r="70" spans="1:27" s="118" customFormat="1" x14ac:dyDescent="0.2">
      <c r="A70" s="10"/>
      <c r="B70" s="10"/>
      <c r="C70" s="190"/>
      <c r="D70" s="108"/>
      <c r="E70" s="148"/>
      <c r="F70" s="253">
        <v>10</v>
      </c>
      <c r="G70" s="253"/>
      <c r="H70" s="253">
        <v>0.8</v>
      </c>
      <c r="I70" s="249">
        <v>2.1</v>
      </c>
      <c r="J70" s="253">
        <f t="shared" si="3"/>
        <v>16.8</v>
      </c>
      <c r="K70" s="137"/>
      <c r="L70" s="137"/>
      <c r="M70" s="137"/>
      <c r="N70" s="138"/>
      <c r="O70" s="167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</row>
    <row r="71" spans="1:27" s="118" customFormat="1" x14ac:dyDescent="0.2">
      <c r="A71" s="10"/>
      <c r="B71" s="10"/>
      <c r="C71" s="190"/>
      <c r="D71" s="108"/>
      <c r="E71" s="148"/>
      <c r="F71" s="253">
        <v>2</v>
      </c>
      <c r="G71" s="253"/>
      <c r="H71" s="253">
        <v>1</v>
      </c>
      <c r="I71" s="246">
        <v>2.1</v>
      </c>
      <c r="J71" s="253">
        <f t="shared" si="3"/>
        <v>4.2</v>
      </c>
      <c r="K71" s="137"/>
      <c r="L71" s="137"/>
      <c r="M71" s="137"/>
      <c r="N71" s="138"/>
      <c r="O71" s="167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</row>
    <row r="72" spans="1:27" s="118" customFormat="1" x14ac:dyDescent="0.2">
      <c r="A72" s="10"/>
      <c r="B72" s="10"/>
      <c r="C72" s="190"/>
      <c r="D72" s="108"/>
      <c r="E72" s="148"/>
      <c r="F72" s="253"/>
      <c r="G72" s="253"/>
      <c r="H72" s="253"/>
      <c r="I72" s="246" t="str">
        <f>"Total item "&amp;A69</f>
        <v>Total item 2.1.5</v>
      </c>
      <c r="J72" s="261">
        <f>SUM(J70:J71)</f>
        <v>21</v>
      </c>
      <c r="K72" s="137"/>
      <c r="L72" s="137"/>
      <c r="M72" s="137"/>
      <c r="N72" s="138"/>
      <c r="O72" s="167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</row>
    <row r="73" spans="1:27" s="241" customFormat="1" ht="13.2" x14ac:dyDescent="0.25">
      <c r="A73" s="236" t="s">
        <v>13</v>
      </c>
      <c r="B73" s="236"/>
      <c r="C73" s="237"/>
      <c r="D73" s="289" t="s">
        <v>971</v>
      </c>
      <c r="E73" s="331"/>
      <c r="F73" s="334"/>
      <c r="G73" s="334"/>
      <c r="H73" s="334"/>
      <c r="I73" s="335"/>
      <c r="J73" s="334"/>
      <c r="K73" s="238"/>
      <c r="L73" s="238"/>
      <c r="M73" s="238"/>
      <c r="N73" s="239" t="e">
        <f>N75+#REF!+#REF!+#REF!</f>
        <v>#REF!</v>
      </c>
      <c r="O73" s="284" t="e">
        <f>N73/$N$1660</f>
        <v>#REF!</v>
      </c>
      <c r="P73" s="240" t="s">
        <v>533</v>
      </c>
      <c r="Q73" s="240" t="s">
        <v>533</v>
      </c>
      <c r="R73" s="240"/>
      <c r="S73" s="240"/>
      <c r="T73" s="240"/>
      <c r="U73" s="240"/>
      <c r="V73" s="240"/>
      <c r="W73" s="240"/>
      <c r="X73" s="240"/>
      <c r="Y73" s="240"/>
      <c r="Z73" s="240"/>
      <c r="AA73" s="240"/>
    </row>
    <row r="74" spans="1:27" s="118" customFormat="1" x14ac:dyDescent="0.2">
      <c r="A74" s="10"/>
      <c r="B74" s="10"/>
      <c r="C74" s="191"/>
      <c r="D74" s="110"/>
      <c r="E74" s="158"/>
      <c r="F74" s="267"/>
      <c r="G74" s="267"/>
      <c r="H74" s="267"/>
      <c r="I74" s="250"/>
      <c r="J74" s="263"/>
      <c r="K74" s="137"/>
      <c r="L74" s="137"/>
      <c r="M74" s="137"/>
      <c r="N74" s="138"/>
      <c r="O74" s="167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</row>
    <row r="75" spans="1:27" s="145" customFormat="1" x14ac:dyDescent="0.2">
      <c r="A75" s="140" t="s">
        <v>14</v>
      </c>
      <c r="B75" s="140"/>
      <c r="C75" s="141"/>
      <c r="D75" s="112" t="s">
        <v>29</v>
      </c>
      <c r="E75" s="140"/>
      <c r="F75" s="260"/>
      <c r="G75" s="260"/>
      <c r="H75" s="260"/>
      <c r="I75" s="248"/>
      <c r="J75" s="260"/>
      <c r="K75" s="142"/>
      <c r="L75" s="142"/>
      <c r="M75" s="142"/>
      <c r="N75" s="143">
        <f>SUM(N89:N99)</f>
        <v>0</v>
      </c>
      <c r="O75" s="285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</row>
    <row r="76" spans="1:27" s="118" customFormat="1" ht="20.399999999999999" x14ac:dyDescent="0.2">
      <c r="A76" s="9" t="s">
        <v>355</v>
      </c>
      <c r="B76" s="9"/>
      <c r="C76" s="360"/>
      <c r="D76" s="109" t="str">
        <f>'ORÇAMENTO PINTURA'!D21</f>
        <v>APLICAÇÃO DE FUNDO SELADOR ACRÍLICO EM PAREDES, UMA DEMÃO. AF_06/2014</v>
      </c>
      <c r="E76" s="9" t="s">
        <v>9</v>
      </c>
      <c r="F76" s="261"/>
      <c r="G76" s="261"/>
      <c r="H76" s="261"/>
      <c r="I76" s="245"/>
      <c r="J76" s="261"/>
      <c r="K76" s="137"/>
      <c r="L76" s="137"/>
      <c r="M76" s="137"/>
      <c r="N76" s="138"/>
      <c r="O76" s="167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</row>
    <row r="77" spans="1:27" s="118" customFormat="1" x14ac:dyDescent="0.2">
      <c r="A77" s="6"/>
      <c r="B77" s="6"/>
      <c r="C77" s="155"/>
      <c r="D77" s="2" t="s">
        <v>1001</v>
      </c>
      <c r="E77" s="148"/>
      <c r="F77" s="253"/>
      <c r="G77" s="253">
        <v>14.2</v>
      </c>
      <c r="H77" s="253"/>
      <c r="I77" s="249">
        <v>3</v>
      </c>
      <c r="J77" s="253">
        <f t="shared" ref="J77:J102" si="4">ROUND(PRODUCT(F77:I77),2)</f>
        <v>42.6</v>
      </c>
      <c r="K77" s="137"/>
      <c r="L77" s="137"/>
      <c r="M77" s="137"/>
      <c r="N77" s="138"/>
      <c r="O77" s="167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</row>
    <row r="78" spans="1:27" s="118" customFormat="1" x14ac:dyDescent="0.2">
      <c r="A78" s="6"/>
      <c r="B78" s="6"/>
      <c r="C78" s="155"/>
      <c r="D78" s="108"/>
      <c r="E78" s="148"/>
      <c r="F78" s="253"/>
      <c r="G78" s="253">
        <v>15.2</v>
      </c>
      <c r="H78" s="253"/>
      <c r="I78" s="249">
        <v>1.9</v>
      </c>
      <c r="J78" s="253">
        <f t="shared" si="4"/>
        <v>28.88</v>
      </c>
      <c r="K78" s="137"/>
      <c r="L78" s="137"/>
      <c r="M78" s="137"/>
      <c r="N78" s="138"/>
      <c r="O78" s="167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</row>
    <row r="79" spans="1:27" s="118" customFormat="1" x14ac:dyDescent="0.2">
      <c r="A79" s="6"/>
      <c r="B79" s="6"/>
      <c r="C79" s="155"/>
      <c r="D79" s="108"/>
      <c r="E79" s="148"/>
      <c r="F79" s="253"/>
      <c r="G79" s="253">
        <v>12.2</v>
      </c>
      <c r="H79" s="253"/>
      <c r="I79" s="249">
        <v>1.3</v>
      </c>
      <c r="J79" s="253">
        <f t="shared" si="4"/>
        <v>15.86</v>
      </c>
      <c r="K79" s="137"/>
      <c r="L79" s="137"/>
      <c r="M79" s="137"/>
      <c r="N79" s="138"/>
      <c r="O79" s="167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</row>
    <row r="80" spans="1:27" s="118" customFormat="1" x14ac:dyDescent="0.2">
      <c r="A80" s="6"/>
      <c r="B80" s="6"/>
      <c r="C80" s="155"/>
      <c r="D80" s="108"/>
      <c r="E80" s="148"/>
      <c r="F80" s="253">
        <v>2</v>
      </c>
      <c r="G80" s="253">
        <v>12</v>
      </c>
      <c r="H80" s="253"/>
      <c r="I80" s="249">
        <v>3</v>
      </c>
      <c r="J80" s="253">
        <f t="shared" si="4"/>
        <v>72</v>
      </c>
      <c r="K80" s="137"/>
      <c r="L80" s="137"/>
      <c r="M80" s="137"/>
      <c r="N80" s="138"/>
      <c r="O80" s="167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</row>
    <row r="81" spans="1:27" s="118" customFormat="1" x14ac:dyDescent="0.2">
      <c r="A81" s="6"/>
      <c r="B81" s="6"/>
      <c r="C81" s="155"/>
      <c r="D81" s="2" t="s">
        <v>995</v>
      </c>
      <c r="E81" s="148"/>
      <c r="F81" s="253"/>
      <c r="G81" s="253"/>
      <c r="H81" s="253"/>
      <c r="I81" s="249"/>
      <c r="J81" s="253"/>
      <c r="K81" s="137"/>
      <c r="L81" s="137"/>
      <c r="M81" s="137"/>
      <c r="N81" s="138"/>
      <c r="O81" s="167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</row>
    <row r="82" spans="1:27" s="118" customFormat="1" x14ac:dyDescent="0.2">
      <c r="A82" s="6"/>
      <c r="B82" s="6"/>
      <c r="C82" s="155"/>
      <c r="D82" s="2" t="s">
        <v>1002</v>
      </c>
      <c r="E82" s="148"/>
      <c r="F82" s="253">
        <v>6</v>
      </c>
      <c r="G82" s="253">
        <v>2.54</v>
      </c>
      <c r="H82" s="253"/>
      <c r="I82" s="249">
        <v>2.6</v>
      </c>
      <c r="J82" s="253">
        <f t="shared" si="4"/>
        <v>39.619999999999997</v>
      </c>
      <c r="K82" s="137"/>
      <c r="L82" s="137"/>
      <c r="M82" s="137"/>
      <c r="N82" s="138"/>
      <c r="O82" s="167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</row>
    <row r="83" spans="1:27" s="118" customFormat="1" x14ac:dyDescent="0.2">
      <c r="A83" s="6"/>
      <c r="B83" s="6"/>
      <c r="C83" s="155"/>
      <c r="D83" s="108"/>
      <c r="E83" s="148"/>
      <c r="F83" s="253">
        <v>2</v>
      </c>
      <c r="G83" s="253">
        <v>2.2799999999999998</v>
      </c>
      <c r="H83" s="253"/>
      <c r="I83" s="249">
        <v>2.6</v>
      </c>
      <c r="J83" s="253">
        <f t="shared" si="4"/>
        <v>11.86</v>
      </c>
      <c r="K83" s="137"/>
      <c r="L83" s="137"/>
      <c r="M83" s="137"/>
      <c r="N83" s="138"/>
      <c r="O83" s="167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</row>
    <row r="84" spans="1:27" s="118" customFormat="1" x14ac:dyDescent="0.2">
      <c r="A84" s="6"/>
      <c r="B84" s="6"/>
      <c r="C84" s="155"/>
      <c r="D84" s="108"/>
      <c r="E84" s="148"/>
      <c r="F84" s="253">
        <v>2</v>
      </c>
      <c r="G84" s="253">
        <v>2.3199999999999998</v>
      </c>
      <c r="H84" s="253"/>
      <c r="I84" s="249">
        <v>2.6</v>
      </c>
      <c r="J84" s="253">
        <f t="shared" si="4"/>
        <v>12.06</v>
      </c>
      <c r="K84" s="137"/>
      <c r="L84" s="137"/>
      <c r="M84" s="137"/>
      <c r="N84" s="138"/>
      <c r="O84" s="167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111"/>
      <c r="AA84" s="111"/>
    </row>
    <row r="85" spans="1:27" s="118" customFormat="1" x14ac:dyDescent="0.2">
      <c r="A85" s="6"/>
      <c r="B85" s="6"/>
      <c r="C85" s="155"/>
      <c r="D85" s="108"/>
      <c r="E85" s="148"/>
      <c r="F85" s="253">
        <v>2</v>
      </c>
      <c r="G85" s="253">
        <v>4.5599999999999996</v>
      </c>
      <c r="H85" s="253"/>
      <c r="I85" s="249">
        <v>2.6</v>
      </c>
      <c r="J85" s="253">
        <f t="shared" si="4"/>
        <v>23.71</v>
      </c>
      <c r="K85" s="137"/>
      <c r="L85" s="137"/>
      <c r="M85" s="137"/>
      <c r="N85" s="138"/>
      <c r="O85" s="167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</row>
    <row r="86" spans="1:27" s="118" customFormat="1" x14ac:dyDescent="0.2">
      <c r="A86" s="6"/>
      <c r="B86" s="6"/>
      <c r="C86" s="155"/>
      <c r="D86" s="2" t="s">
        <v>166</v>
      </c>
      <c r="E86" s="148"/>
      <c r="F86" s="253">
        <v>2</v>
      </c>
      <c r="G86" s="253">
        <v>1.5</v>
      </c>
      <c r="H86" s="253"/>
      <c r="I86" s="249">
        <v>2.6</v>
      </c>
      <c r="J86" s="253">
        <f t="shared" si="4"/>
        <v>7.8</v>
      </c>
      <c r="K86" s="137"/>
      <c r="L86" s="137"/>
      <c r="M86" s="137"/>
      <c r="N86" s="138"/>
      <c r="O86" s="167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</row>
    <row r="87" spans="1:27" s="118" customFormat="1" x14ac:dyDescent="0.2">
      <c r="A87" s="6"/>
      <c r="B87" s="6"/>
      <c r="C87" s="155"/>
      <c r="D87" s="108"/>
      <c r="E87" s="148"/>
      <c r="F87" s="253">
        <v>2</v>
      </c>
      <c r="G87" s="253">
        <v>1.2</v>
      </c>
      <c r="H87" s="253"/>
      <c r="I87" s="249">
        <v>2.6</v>
      </c>
      <c r="J87" s="253">
        <f t="shared" si="4"/>
        <v>6.24</v>
      </c>
      <c r="K87" s="137"/>
      <c r="L87" s="137"/>
      <c r="M87" s="137"/>
      <c r="N87" s="138"/>
      <c r="O87" s="167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</row>
    <row r="88" spans="1:27" s="118" customFormat="1" x14ac:dyDescent="0.2">
      <c r="A88" s="6"/>
      <c r="B88" s="6"/>
      <c r="C88" s="155"/>
      <c r="D88" s="2" t="s">
        <v>1004</v>
      </c>
      <c r="E88" s="148"/>
      <c r="F88" s="253">
        <v>2</v>
      </c>
      <c r="G88" s="253">
        <v>2.63</v>
      </c>
      <c r="H88" s="253"/>
      <c r="I88" s="249">
        <v>1</v>
      </c>
      <c r="J88" s="253">
        <f t="shared" si="4"/>
        <v>5.26</v>
      </c>
      <c r="K88" s="137"/>
      <c r="L88" s="137"/>
      <c r="M88" s="137"/>
      <c r="N88" s="138"/>
      <c r="O88" s="167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</row>
    <row r="89" spans="1:27" s="118" customFormat="1" x14ac:dyDescent="0.2">
      <c r="A89" s="6"/>
      <c r="B89" s="6"/>
      <c r="C89" s="155"/>
      <c r="D89" s="2"/>
      <c r="E89" s="148"/>
      <c r="F89" s="253">
        <v>2</v>
      </c>
      <c r="G89" s="253">
        <v>1.95</v>
      </c>
      <c r="H89" s="253"/>
      <c r="I89" s="249">
        <v>1.2</v>
      </c>
      <c r="J89" s="253">
        <f t="shared" si="4"/>
        <v>4.68</v>
      </c>
      <c r="K89" s="137"/>
      <c r="L89" s="137"/>
      <c r="M89" s="137"/>
      <c r="N89" s="138"/>
      <c r="O89" s="167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111"/>
      <c r="AA89" s="111"/>
    </row>
    <row r="90" spans="1:27" s="118" customFormat="1" x14ac:dyDescent="0.2">
      <c r="A90" s="6"/>
      <c r="B90" s="6"/>
      <c r="C90" s="155"/>
      <c r="D90" s="2" t="s">
        <v>1005</v>
      </c>
      <c r="E90" s="148"/>
      <c r="F90" s="253">
        <v>2</v>
      </c>
      <c r="G90" s="253">
        <v>3.4</v>
      </c>
      <c r="H90" s="253"/>
      <c r="I90" s="249">
        <v>1.2</v>
      </c>
      <c r="J90" s="253">
        <f t="shared" si="4"/>
        <v>8.16</v>
      </c>
      <c r="K90" s="137"/>
      <c r="L90" s="137"/>
      <c r="M90" s="137"/>
      <c r="N90" s="138"/>
      <c r="O90" s="167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</row>
    <row r="91" spans="1:27" s="118" customFormat="1" x14ac:dyDescent="0.2">
      <c r="A91" s="6"/>
      <c r="B91" s="6"/>
      <c r="C91" s="155"/>
      <c r="D91" s="2"/>
      <c r="E91" s="148"/>
      <c r="F91" s="253">
        <v>2</v>
      </c>
      <c r="G91" s="253">
        <v>2.5</v>
      </c>
      <c r="H91" s="253"/>
      <c r="I91" s="249">
        <v>1.2</v>
      </c>
      <c r="J91" s="253">
        <f t="shared" si="4"/>
        <v>6</v>
      </c>
      <c r="K91" s="137"/>
      <c r="L91" s="137"/>
      <c r="M91" s="137"/>
      <c r="N91" s="138"/>
      <c r="O91" s="167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</row>
    <row r="92" spans="1:27" s="118" customFormat="1" x14ac:dyDescent="0.2">
      <c r="A92" s="6"/>
      <c r="B92" s="6"/>
      <c r="C92" s="155"/>
      <c r="D92" s="2" t="s">
        <v>164</v>
      </c>
      <c r="E92" s="148"/>
      <c r="F92" s="253">
        <v>2</v>
      </c>
      <c r="G92" s="253">
        <v>6.7</v>
      </c>
      <c r="H92" s="253"/>
      <c r="I92" s="249">
        <v>2.6</v>
      </c>
      <c r="J92" s="253">
        <f t="shared" si="4"/>
        <v>34.840000000000003</v>
      </c>
      <c r="K92" s="137"/>
      <c r="L92" s="137"/>
      <c r="M92" s="137"/>
      <c r="N92" s="138"/>
      <c r="O92" s="167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</row>
    <row r="93" spans="1:27" s="118" customFormat="1" x14ac:dyDescent="0.2">
      <c r="A93" s="6"/>
      <c r="B93" s="6"/>
      <c r="C93" s="155"/>
      <c r="D93" s="2"/>
      <c r="E93" s="148"/>
      <c r="F93" s="253">
        <v>2</v>
      </c>
      <c r="G93" s="253">
        <v>4.2</v>
      </c>
      <c r="H93" s="253"/>
      <c r="I93" s="249">
        <v>2.6</v>
      </c>
      <c r="J93" s="253">
        <f t="shared" si="4"/>
        <v>21.84</v>
      </c>
      <c r="K93" s="137"/>
      <c r="L93" s="137"/>
      <c r="M93" s="137"/>
      <c r="N93" s="138"/>
      <c r="O93" s="167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</row>
    <row r="94" spans="1:27" s="118" customFormat="1" x14ac:dyDescent="0.2">
      <c r="A94" s="6"/>
      <c r="B94" s="6"/>
      <c r="C94" s="155"/>
      <c r="D94" s="2" t="s">
        <v>1006</v>
      </c>
      <c r="E94" s="148"/>
      <c r="F94" s="253"/>
      <c r="G94" s="253"/>
      <c r="H94" s="253"/>
      <c r="I94" s="249"/>
      <c r="J94" s="253"/>
      <c r="K94" s="137"/>
      <c r="L94" s="137"/>
      <c r="M94" s="137"/>
      <c r="N94" s="138"/>
      <c r="O94" s="167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</row>
    <row r="95" spans="1:27" s="118" customFormat="1" x14ac:dyDescent="0.2">
      <c r="A95" s="6"/>
      <c r="B95" s="6"/>
      <c r="C95" s="155"/>
      <c r="D95" s="2" t="s">
        <v>1007</v>
      </c>
      <c r="E95" s="148"/>
      <c r="F95" s="253">
        <v>2</v>
      </c>
      <c r="G95" s="253">
        <v>3.95</v>
      </c>
      <c r="H95" s="253"/>
      <c r="I95" s="249">
        <v>1.3</v>
      </c>
      <c r="J95" s="253">
        <f t="shared" si="4"/>
        <v>10.27</v>
      </c>
      <c r="K95" s="137"/>
      <c r="L95" s="137"/>
      <c r="M95" s="137"/>
      <c r="N95" s="138"/>
      <c r="O95" s="167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</row>
    <row r="96" spans="1:27" s="118" customFormat="1" x14ac:dyDescent="0.2">
      <c r="A96" s="6"/>
      <c r="B96" s="6"/>
      <c r="C96" s="155"/>
      <c r="D96" s="2"/>
      <c r="E96" s="148"/>
      <c r="F96" s="253">
        <v>2</v>
      </c>
      <c r="G96" s="253">
        <v>2.5</v>
      </c>
      <c r="H96" s="253"/>
      <c r="I96" s="249">
        <v>1.3</v>
      </c>
      <c r="J96" s="253">
        <f t="shared" si="4"/>
        <v>6.5</v>
      </c>
      <c r="K96" s="137"/>
      <c r="L96" s="137"/>
      <c r="M96" s="137"/>
      <c r="N96" s="138"/>
      <c r="O96" s="167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</row>
    <row r="97" spans="1:27" s="118" customFormat="1" x14ac:dyDescent="0.2">
      <c r="A97" s="6"/>
      <c r="B97" s="6"/>
      <c r="C97" s="155"/>
      <c r="D97" s="2" t="s">
        <v>1008</v>
      </c>
      <c r="E97" s="148"/>
      <c r="F97" s="253">
        <v>2</v>
      </c>
      <c r="G97" s="253">
        <v>4.3</v>
      </c>
      <c r="H97" s="253"/>
      <c r="I97" s="249">
        <v>1.3</v>
      </c>
      <c r="J97" s="253">
        <f t="shared" si="4"/>
        <v>11.18</v>
      </c>
      <c r="K97" s="137"/>
      <c r="L97" s="137"/>
      <c r="M97" s="137"/>
      <c r="N97" s="138"/>
      <c r="O97" s="167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</row>
    <row r="98" spans="1:27" s="118" customFormat="1" x14ac:dyDescent="0.2">
      <c r="A98" s="6"/>
      <c r="B98" s="6"/>
      <c r="C98" s="155"/>
      <c r="D98" s="2"/>
      <c r="E98" s="148"/>
      <c r="F98" s="253">
        <v>2</v>
      </c>
      <c r="G98" s="253">
        <v>2.5</v>
      </c>
      <c r="H98" s="253"/>
      <c r="I98" s="249">
        <v>1.3</v>
      </c>
      <c r="J98" s="253">
        <f t="shared" si="4"/>
        <v>6.5</v>
      </c>
      <c r="K98" s="137"/>
      <c r="L98" s="137"/>
      <c r="M98" s="137"/>
      <c r="N98" s="138"/>
      <c r="O98" s="167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</row>
    <row r="99" spans="1:27" s="118" customFormat="1" x14ac:dyDescent="0.2">
      <c r="A99" s="6"/>
      <c r="B99" s="6"/>
      <c r="C99" s="156"/>
      <c r="D99" s="2" t="s">
        <v>1009</v>
      </c>
      <c r="E99" s="148"/>
      <c r="F99" s="253">
        <v>2</v>
      </c>
      <c r="G99" s="253">
        <v>5.4</v>
      </c>
      <c r="H99" s="253"/>
      <c r="I99" s="249">
        <v>1.3</v>
      </c>
      <c r="J99" s="253">
        <f t="shared" si="4"/>
        <v>14.04</v>
      </c>
      <c r="K99" s="137"/>
      <c r="L99" s="137"/>
      <c r="M99" s="137"/>
      <c r="N99" s="138"/>
      <c r="O99" s="167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</row>
    <row r="100" spans="1:27" s="118" customFormat="1" x14ac:dyDescent="0.2">
      <c r="A100" s="6"/>
      <c r="B100" s="6"/>
      <c r="C100" s="155"/>
      <c r="D100" s="108"/>
      <c r="E100" s="148"/>
      <c r="F100" s="253">
        <v>2</v>
      </c>
      <c r="G100" s="253">
        <v>5</v>
      </c>
      <c r="H100" s="253"/>
      <c r="I100" s="249">
        <v>1.3</v>
      </c>
      <c r="J100" s="253">
        <f t="shared" si="4"/>
        <v>13</v>
      </c>
      <c r="K100" s="137"/>
      <c r="L100" s="137"/>
      <c r="M100" s="137"/>
      <c r="N100" s="138"/>
      <c r="O100" s="167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</row>
    <row r="101" spans="1:27" s="118" customFormat="1" x14ac:dyDescent="0.2">
      <c r="A101" s="6"/>
      <c r="B101" s="6"/>
      <c r="C101" s="155"/>
      <c r="D101" s="108"/>
      <c r="E101" s="148"/>
      <c r="F101" s="253">
        <v>2</v>
      </c>
      <c r="G101" s="253">
        <v>4.7</v>
      </c>
      <c r="H101" s="253"/>
      <c r="I101" s="249">
        <v>2.9</v>
      </c>
      <c r="J101" s="253">
        <f t="shared" si="4"/>
        <v>27.26</v>
      </c>
      <c r="K101" s="137"/>
      <c r="L101" s="137"/>
      <c r="M101" s="137"/>
      <c r="N101" s="138"/>
      <c r="O101" s="167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</row>
    <row r="102" spans="1:27" s="118" customFormat="1" x14ac:dyDescent="0.2">
      <c r="A102" s="6"/>
      <c r="B102" s="6"/>
      <c r="C102" s="155"/>
      <c r="D102" s="2" t="s">
        <v>1011</v>
      </c>
      <c r="E102" s="148"/>
      <c r="F102" s="253">
        <v>2</v>
      </c>
      <c r="G102" s="253">
        <v>12.1</v>
      </c>
      <c r="H102" s="253"/>
      <c r="I102" s="249">
        <v>2.9</v>
      </c>
      <c r="J102" s="253">
        <f t="shared" si="4"/>
        <v>70.180000000000007</v>
      </c>
      <c r="K102" s="137"/>
      <c r="L102" s="137"/>
      <c r="M102" s="137"/>
      <c r="N102" s="138"/>
      <c r="O102" s="167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</row>
    <row r="103" spans="1:27" s="118" customFormat="1" x14ac:dyDescent="0.2">
      <c r="A103" s="6"/>
      <c r="B103" s="6"/>
      <c r="C103" s="155"/>
      <c r="D103" s="2" t="s">
        <v>446</v>
      </c>
      <c r="E103" s="148"/>
      <c r="F103" s="253"/>
      <c r="G103" s="253"/>
      <c r="H103" s="253"/>
      <c r="I103" s="249"/>
      <c r="J103" s="253"/>
      <c r="K103" s="137"/>
      <c r="L103" s="137"/>
      <c r="M103" s="137"/>
      <c r="N103" s="138"/>
      <c r="O103" s="167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  <c r="AA103" s="111"/>
    </row>
    <row r="104" spans="1:27" s="118" customFormat="1" x14ac:dyDescent="0.2">
      <c r="A104" s="10"/>
      <c r="B104" s="10"/>
      <c r="C104" s="157"/>
      <c r="D104" s="2" t="s">
        <v>1010</v>
      </c>
      <c r="E104" s="158"/>
      <c r="F104" s="267"/>
      <c r="G104" s="267"/>
      <c r="H104" s="267"/>
      <c r="I104" s="250"/>
      <c r="J104" s="266"/>
      <c r="K104" s="137"/>
      <c r="L104" s="137"/>
      <c r="M104" s="137"/>
      <c r="N104" s="138"/>
      <c r="O104" s="167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  <c r="AA104" s="111"/>
    </row>
    <row r="105" spans="1:27" s="118" customFormat="1" x14ac:dyDescent="0.2">
      <c r="A105" s="10"/>
      <c r="B105" s="10"/>
      <c r="C105" s="157"/>
      <c r="D105" s="2" t="s">
        <v>984</v>
      </c>
      <c r="E105" s="148"/>
      <c r="F105" s="253">
        <v>-7</v>
      </c>
      <c r="G105" s="253"/>
      <c r="H105" s="253">
        <v>1</v>
      </c>
      <c r="I105" s="249">
        <v>1</v>
      </c>
      <c r="J105" s="253">
        <f t="shared" ref="J105:J115" si="5">ROUND(PRODUCT(F105:I105),2)</f>
        <v>-7</v>
      </c>
      <c r="K105" s="137"/>
      <c r="L105" s="137"/>
      <c r="M105" s="137"/>
      <c r="N105" s="138"/>
      <c r="O105" s="167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</row>
    <row r="106" spans="1:27" s="118" customFormat="1" x14ac:dyDescent="0.2">
      <c r="A106" s="10"/>
      <c r="B106" s="10"/>
      <c r="C106" s="157"/>
      <c r="D106" s="108"/>
      <c r="E106" s="148"/>
      <c r="F106" s="253">
        <v>-1</v>
      </c>
      <c r="G106" s="253"/>
      <c r="H106" s="253">
        <v>1.5</v>
      </c>
      <c r="I106" s="249">
        <v>1</v>
      </c>
      <c r="J106" s="253">
        <f t="shared" si="5"/>
        <v>-1.5</v>
      </c>
      <c r="K106" s="137"/>
      <c r="L106" s="137"/>
      <c r="M106" s="137"/>
      <c r="N106" s="138"/>
      <c r="O106" s="167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</row>
    <row r="107" spans="1:27" s="118" customFormat="1" x14ac:dyDescent="0.2">
      <c r="A107" s="10"/>
      <c r="B107" s="10"/>
      <c r="C107" s="157"/>
      <c r="D107" s="2" t="s">
        <v>985</v>
      </c>
      <c r="E107" s="148"/>
      <c r="F107" s="253">
        <v>-1</v>
      </c>
      <c r="G107" s="253"/>
      <c r="H107" s="253">
        <v>5</v>
      </c>
      <c r="I107" s="249">
        <v>2.1</v>
      </c>
      <c r="J107" s="253">
        <f t="shared" si="5"/>
        <v>-10.5</v>
      </c>
      <c r="K107" s="137"/>
      <c r="L107" s="137"/>
      <c r="M107" s="137"/>
      <c r="N107" s="138"/>
      <c r="O107" s="167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</row>
    <row r="108" spans="1:27" s="118" customFormat="1" x14ac:dyDescent="0.2">
      <c r="A108" s="10"/>
      <c r="B108" s="10"/>
      <c r="C108" s="157"/>
      <c r="D108" s="108"/>
      <c r="E108" s="148"/>
      <c r="F108" s="253">
        <v>-1</v>
      </c>
      <c r="G108" s="253"/>
      <c r="H108" s="253">
        <v>1</v>
      </c>
      <c r="I108" s="249">
        <v>1</v>
      </c>
      <c r="J108" s="253">
        <f t="shared" si="5"/>
        <v>-1</v>
      </c>
      <c r="K108" s="137"/>
      <c r="L108" s="137"/>
      <c r="M108" s="137"/>
      <c r="N108" s="138"/>
      <c r="O108" s="167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111"/>
      <c r="AA108" s="111"/>
    </row>
    <row r="109" spans="1:27" s="118" customFormat="1" x14ac:dyDescent="0.2">
      <c r="A109" s="10"/>
      <c r="B109" s="10"/>
      <c r="C109" s="157"/>
      <c r="D109" s="108"/>
      <c r="E109" s="148"/>
      <c r="F109" s="253">
        <v>-1</v>
      </c>
      <c r="G109" s="253"/>
      <c r="H109" s="253">
        <v>0.8</v>
      </c>
      <c r="I109" s="249">
        <v>2.1</v>
      </c>
      <c r="J109" s="253">
        <f t="shared" si="5"/>
        <v>-1.68</v>
      </c>
      <c r="K109" s="137"/>
      <c r="L109" s="137"/>
      <c r="M109" s="137"/>
      <c r="N109" s="138"/>
      <c r="O109" s="167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</row>
    <row r="110" spans="1:27" s="118" customFormat="1" x14ac:dyDescent="0.2">
      <c r="A110" s="10"/>
      <c r="B110" s="10"/>
      <c r="C110" s="157"/>
      <c r="D110" s="108"/>
      <c r="E110" s="148"/>
      <c r="F110" s="253">
        <v>-1</v>
      </c>
      <c r="G110" s="253"/>
      <c r="H110" s="253">
        <v>1.5</v>
      </c>
      <c r="I110" s="249">
        <v>1</v>
      </c>
      <c r="J110" s="253">
        <f t="shared" si="5"/>
        <v>-1.5</v>
      </c>
      <c r="K110" s="137"/>
      <c r="L110" s="137"/>
      <c r="M110" s="137"/>
      <c r="N110" s="138"/>
      <c r="O110" s="167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</row>
    <row r="111" spans="1:27" s="118" customFormat="1" x14ac:dyDescent="0.2">
      <c r="A111" s="10"/>
      <c r="B111" s="10"/>
      <c r="C111" s="157"/>
      <c r="D111" s="108"/>
      <c r="E111" s="148"/>
      <c r="F111" s="253">
        <v>-1</v>
      </c>
      <c r="G111" s="253"/>
      <c r="H111" s="253">
        <v>1.2</v>
      </c>
      <c r="I111" s="249">
        <v>0.6</v>
      </c>
      <c r="J111" s="253">
        <f t="shared" si="5"/>
        <v>-0.72</v>
      </c>
      <c r="K111" s="137"/>
      <c r="L111" s="137"/>
      <c r="M111" s="137"/>
      <c r="N111" s="138"/>
      <c r="O111" s="167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</row>
    <row r="112" spans="1:27" s="118" customFormat="1" x14ac:dyDescent="0.2">
      <c r="A112" s="10"/>
      <c r="B112" s="10"/>
      <c r="C112" s="157"/>
      <c r="D112" s="110"/>
      <c r="E112" s="158"/>
      <c r="F112" s="253">
        <v>-3</v>
      </c>
      <c r="G112" s="253"/>
      <c r="H112" s="253">
        <v>0.6</v>
      </c>
      <c r="I112" s="249">
        <v>2.1</v>
      </c>
      <c r="J112" s="253">
        <f t="shared" si="5"/>
        <v>-3.78</v>
      </c>
      <c r="K112" s="137"/>
      <c r="L112" s="137"/>
      <c r="M112" s="137"/>
      <c r="N112" s="138"/>
      <c r="O112" s="167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</row>
    <row r="113" spans="1:27" s="118" customFormat="1" x14ac:dyDescent="0.2">
      <c r="A113" s="10"/>
      <c r="B113" s="10"/>
      <c r="C113" s="157"/>
      <c r="D113" s="110"/>
      <c r="E113" s="158"/>
      <c r="F113" s="253">
        <v>-3</v>
      </c>
      <c r="G113" s="253"/>
      <c r="H113" s="253">
        <v>0.7</v>
      </c>
      <c r="I113" s="249">
        <v>2.1</v>
      </c>
      <c r="J113" s="253">
        <f t="shared" si="5"/>
        <v>-4.41</v>
      </c>
      <c r="K113" s="137"/>
      <c r="L113" s="137"/>
      <c r="M113" s="137"/>
      <c r="N113" s="138"/>
      <c r="O113" s="167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</row>
    <row r="114" spans="1:27" s="118" customFormat="1" x14ac:dyDescent="0.2">
      <c r="A114" s="10"/>
      <c r="B114" s="10"/>
      <c r="C114" s="157"/>
      <c r="D114" s="110"/>
      <c r="E114" s="158"/>
      <c r="F114" s="253">
        <v>-10</v>
      </c>
      <c r="G114" s="253"/>
      <c r="H114" s="253">
        <v>0.8</v>
      </c>
      <c r="I114" s="249">
        <v>2.1</v>
      </c>
      <c r="J114" s="253">
        <f t="shared" si="5"/>
        <v>-16.8</v>
      </c>
      <c r="K114" s="137"/>
      <c r="L114" s="137"/>
      <c r="M114" s="137"/>
      <c r="N114" s="138"/>
      <c r="O114" s="167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  <c r="AA114" s="111"/>
    </row>
    <row r="115" spans="1:27" s="118" customFormat="1" x14ac:dyDescent="0.2">
      <c r="A115" s="10"/>
      <c r="B115" s="10"/>
      <c r="C115" s="157"/>
      <c r="D115" s="110"/>
      <c r="E115" s="158"/>
      <c r="F115" s="253">
        <v>-1</v>
      </c>
      <c r="G115" s="253"/>
      <c r="H115" s="253">
        <v>1</v>
      </c>
      <c r="I115" s="249">
        <v>2.1</v>
      </c>
      <c r="J115" s="253">
        <f t="shared" si="5"/>
        <v>-2.1</v>
      </c>
      <c r="K115" s="137"/>
      <c r="L115" s="137"/>
      <c r="M115" s="137"/>
      <c r="N115" s="138"/>
      <c r="O115" s="167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</row>
    <row r="116" spans="1:27" s="118" customFormat="1" x14ac:dyDescent="0.2">
      <c r="A116" s="10"/>
      <c r="B116" s="10"/>
      <c r="C116" s="157"/>
      <c r="D116" s="115"/>
      <c r="E116" s="158"/>
      <c r="F116" s="267"/>
      <c r="G116" s="267"/>
      <c r="H116" s="267"/>
      <c r="I116" s="246" t="str">
        <f>"Total item "&amp;A76</f>
        <v>Total item 3.1.1</v>
      </c>
      <c r="J116" s="261">
        <f>SUM(J77:J115)</f>
        <v>449.34999999999997</v>
      </c>
      <c r="K116" s="137"/>
      <c r="L116" s="137"/>
      <c r="M116" s="137"/>
      <c r="N116" s="138"/>
      <c r="O116" s="167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111"/>
      <c r="AA116" s="111"/>
    </row>
    <row r="117" spans="1:27" s="118" customFormat="1" ht="40.799999999999997" x14ac:dyDescent="0.2">
      <c r="A117" s="9" t="s">
        <v>356</v>
      </c>
      <c r="B117" s="184"/>
      <c r="C117" s="365"/>
      <c r="D117" s="371" t="str">
        <f>'ORÇAMENTO PINTURA'!D22</f>
        <v>PINTURA COM TINTA ALQUÍDICA DE FUNDO E ACABAMENTO (ESMALTE SINTÉTICO GRAFITE) APLICADA A ROLO OU PINCEL SOBRE PERFIL METÁLICO EXECUTADO EM FÁBRICA (POR DEMÃO). AF_01/2020</v>
      </c>
      <c r="E117" s="9" t="s">
        <v>9</v>
      </c>
      <c r="F117" s="359"/>
      <c r="G117" s="359"/>
      <c r="H117" s="359"/>
      <c r="I117" s="257"/>
      <c r="J117" s="338"/>
      <c r="K117" s="137"/>
      <c r="L117" s="137"/>
      <c r="M117" s="137"/>
      <c r="N117" s="138"/>
      <c r="O117" s="167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</row>
    <row r="118" spans="1:27" s="118" customFormat="1" x14ac:dyDescent="0.2">
      <c r="A118" s="10"/>
      <c r="B118" s="10"/>
      <c r="C118" s="157"/>
      <c r="D118" s="2" t="s">
        <v>984</v>
      </c>
      <c r="E118" s="148"/>
      <c r="F118" s="253">
        <v>14</v>
      </c>
      <c r="G118" s="253"/>
      <c r="H118" s="253">
        <v>1</v>
      </c>
      <c r="I118" s="249">
        <v>1</v>
      </c>
      <c r="J118" s="253">
        <f t="shared" ref="J118:J125" si="6">ROUND(PRODUCT(F118:I118),2)</f>
        <v>14</v>
      </c>
      <c r="K118" s="137"/>
      <c r="L118" s="137"/>
      <c r="M118" s="137"/>
      <c r="N118" s="138"/>
      <c r="O118" s="167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111"/>
      <c r="AA118" s="111"/>
    </row>
    <row r="119" spans="1:27" s="118" customFormat="1" x14ac:dyDescent="0.2">
      <c r="A119" s="10"/>
      <c r="B119" s="10"/>
      <c r="C119" s="157"/>
      <c r="D119" s="108"/>
      <c r="E119" s="148"/>
      <c r="F119" s="253">
        <v>2</v>
      </c>
      <c r="G119" s="253"/>
      <c r="H119" s="253">
        <v>1.5</v>
      </c>
      <c r="I119" s="249">
        <v>1</v>
      </c>
      <c r="J119" s="253">
        <f t="shared" si="6"/>
        <v>3</v>
      </c>
      <c r="K119" s="137"/>
      <c r="L119" s="137"/>
      <c r="M119" s="137"/>
      <c r="N119" s="138"/>
      <c r="O119" s="167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</row>
    <row r="120" spans="1:27" s="118" customFormat="1" x14ac:dyDescent="0.2">
      <c r="A120" s="10"/>
      <c r="B120" s="10"/>
      <c r="C120" s="157"/>
      <c r="D120" s="2" t="s">
        <v>985</v>
      </c>
      <c r="E120" s="148"/>
      <c r="F120" s="253">
        <v>1</v>
      </c>
      <c r="G120" s="253"/>
      <c r="H120" s="253">
        <v>5</v>
      </c>
      <c r="I120" s="249">
        <v>2.1</v>
      </c>
      <c r="J120" s="253">
        <f t="shared" si="6"/>
        <v>10.5</v>
      </c>
      <c r="K120" s="137"/>
      <c r="L120" s="137"/>
      <c r="M120" s="137"/>
      <c r="N120" s="138"/>
      <c r="O120" s="167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</row>
    <row r="121" spans="1:27" s="118" customFormat="1" x14ac:dyDescent="0.2">
      <c r="A121" s="10"/>
      <c r="B121" s="10"/>
      <c r="C121" s="157"/>
      <c r="D121" s="108"/>
      <c r="E121" s="148"/>
      <c r="F121" s="253">
        <v>1</v>
      </c>
      <c r="G121" s="253"/>
      <c r="H121" s="253">
        <v>1</v>
      </c>
      <c r="I121" s="249">
        <v>1</v>
      </c>
      <c r="J121" s="253">
        <f t="shared" si="6"/>
        <v>1</v>
      </c>
      <c r="K121" s="137"/>
      <c r="L121" s="137"/>
      <c r="M121" s="137"/>
      <c r="N121" s="138"/>
      <c r="O121" s="167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</row>
    <row r="122" spans="1:27" s="118" customFormat="1" x14ac:dyDescent="0.2">
      <c r="A122" s="10"/>
      <c r="B122" s="10"/>
      <c r="C122" s="157"/>
      <c r="D122" s="108"/>
      <c r="E122" s="148"/>
      <c r="F122" s="253">
        <v>1</v>
      </c>
      <c r="G122" s="253"/>
      <c r="H122" s="253">
        <v>0.8</v>
      </c>
      <c r="I122" s="249">
        <v>2.1</v>
      </c>
      <c r="J122" s="253">
        <f t="shared" si="6"/>
        <v>1.68</v>
      </c>
      <c r="K122" s="137"/>
      <c r="L122" s="137"/>
      <c r="M122" s="137"/>
      <c r="N122" s="138"/>
      <c r="O122" s="167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</row>
    <row r="123" spans="1:27" s="118" customFormat="1" x14ac:dyDescent="0.2">
      <c r="A123" s="10"/>
      <c r="B123" s="10"/>
      <c r="C123" s="157"/>
      <c r="D123" s="108"/>
      <c r="E123" s="148"/>
      <c r="F123" s="253">
        <v>1</v>
      </c>
      <c r="G123" s="253"/>
      <c r="H123" s="253">
        <v>1.5</v>
      </c>
      <c r="I123" s="249">
        <v>1</v>
      </c>
      <c r="J123" s="253">
        <f t="shared" si="6"/>
        <v>1.5</v>
      </c>
      <c r="K123" s="137"/>
      <c r="L123" s="137"/>
      <c r="M123" s="137"/>
      <c r="N123" s="138"/>
      <c r="O123" s="167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</row>
    <row r="124" spans="1:27" s="118" customFormat="1" x14ac:dyDescent="0.2">
      <c r="A124" s="10"/>
      <c r="B124" s="10"/>
      <c r="C124" s="157"/>
      <c r="D124" s="108"/>
      <c r="E124" s="148"/>
      <c r="F124" s="253">
        <v>2</v>
      </c>
      <c r="G124" s="253"/>
      <c r="H124" s="253">
        <v>1.2</v>
      </c>
      <c r="I124" s="249">
        <v>0.6</v>
      </c>
      <c r="J124" s="253">
        <f t="shared" si="6"/>
        <v>1.44</v>
      </c>
      <c r="K124" s="137"/>
      <c r="L124" s="137"/>
      <c r="M124" s="137"/>
      <c r="N124" s="138"/>
      <c r="O124" s="167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</row>
    <row r="125" spans="1:27" s="118" customFormat="1" x14ac:dyDescent="0.2">
      <c r="A125" s="10"/>
      <c r="B125" s="10"/>
      <c r="C125" s="157"/>
      <c r="D125" s="2" t="s">
        <v>986</v>
      </c>
      <c r="E125" s="148"/>
      <c r="F125" s="253">
        <v>14</v>
      </c>
      <c r="G125" s="253">
        <v>1</v>
      </c>
      <c r="H125" s="253"/>
      <c r="I125" s="249">
        <v>0.2</v>
      </c>
      <c r="J125" s="253">
        <f t="shared" si="6"/>
        <v>2.8</v>
      </c>
      <c r="K125" s="137"/>
      <c r="L125" s="137"/>
      <c r="M125" s="137"/>
      <c r="N125" s="138"/>
      <c r="O125" s="167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</row>
    <row r="126" spans="1:27" s="118" customFormat="1" x14ac:dyDescent="0.2">
      <c r="A126" s="10"/>
      <c r="B126" s="10"/>
      <c r="C126" s="157"/>
      <c r="D126" s="108"/>
      <c r="E126" s="148"/>
      <c r="F126" s="253"/>
      <c r="G126" s="253"/>
      <c r="H126" s="253"/>
      <c r="I126" s="246" t="str">
        <f>"Total item "&amp;A117</f>
        <v>Total item 3.1.2</v>
      </c>
      <c r="J126" s="261">
        <f>SUM(J118:J125)</f>
        <v>35.919999999999995</v>
      </c>
      <c r="K126" s="137"/>
      <c r="L126" s="137"/>
      <c r="M126" s="137"/>
      <c r="N126" s="138"/>
      <c r="O126" s="167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</row>
    <row r="127" spans="1:27" s="118" customFormat="1" x14ac:dyDescent="0.2">
      <c r="A127" s="10"/>
      <c r="B127" s="10"/>
      <c r="C127" s="157"/>
      <c r="D127" s="115"/>
      <c r="E127" s="158"/>
      <c r="F127" s="267"/>
      <c r="G127" s="267"/>
      <c r="H127" s="267"/>
      <c r="I127" s="250"/>
      <c r="J127" s="266"/>
      <c r="K127" s="137"/>
      <c r="L127" s="137"/>
      <c r="M127" s="137"/>
      <c r="N127" s="138"/>
      <c r="O127" s="167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111"/>
      <c r="AA127" s="111"/>
    </row>
    <row r="128" spans="1:27" s="118" customFormat="1" ht="20.399999999999999" x14ac:dyDescent="0.2">
      <c r="A128" s="9" t="s">
        <v>363</v>
      </c>
      <c r="B128" s="9"/>
      <c r="C128" s="370"/>
      <c r="D128" s="371" t="str">
        <f>'ORÇAMENTO PINTURA'!D23</f>
        <v>APLICAÇÃO MANUAL DE PINTURA COM TINTA LÁTEX ACRÍLICA EM PAREDES, DUAS DEMÃOS. AF_06/2014</v>
      </c>
      <c r="E128" s="9" t="s">
        <v>9</v>
      </c>
      <c r="F128" s="359"/>
      <c r="G128" s="359"/>
      <c r="H128" s="359"/>
      <c r="I128" s="257"/>
      <c r="J128" s="338"/>
      <c r="K128" s="137"/>
      <c r="L128" s="137"/>
      <c r="M128" s="137"/>
      <c r="N128" s="138"/>
      <c r="O128" s="167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</row>
    <row r="129" spans="1:27" s="118" customFormat="1" x14ac:dyDescent="0.2">
      <c r="A129" s="10"/>
      <c r="B129" s="10"/>
      <c r="C129" s="157"/>
      <c r="D129" s="2" t="s">
        <v>1001</v>
      </c>
      <c r="E129" s="148"/>
      <c r="F129" s="253"/>
      <c r="G129" s="253">
        <v>14.2</v>
      </c>
      <c r="H129" s="253"/>
      <c r="I129" s="249">
        <v>3</v>
      </c>
      <c r="J129" s="253">
        <f t="shared" ref="J129:J132" si="7">ROUND(PRODUCT(F129:I129),2)</f>
        <v>42.6</v>
      </c>
      <c r="K129" s="137"/>
      <c r="L129" s="137"/>
      <c r="M129" s="137"/>
      <c r="N129" s="138"/>
      <c r="O129" s="167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</row>
    <row r="130" spans="1:27" s="118" customFormat="1" x14ac:dyDescent="0.2">
      <c r="A130" s="10"/>
      <c r="B130" s="10"/>
      <c r="C130" s="157"/>
      <c r="D130" s="108"/>
      <c r="E130" s="148"/>
      <c r="F130" s="253"/>
      <c r="G130" s="253">
        <v>15.2</v>
      </c>
      <c r="H130" s="253"/>
      <c r="I130" s="249">
        <v>1.9</v>
      </c>
      <c r="J130" s="253">
        <f t="shared" si="7"/>
        <v>28.88</v>
      </c>
      <c r="K130" s="137"/>
      <c r="L130" s="137"/>
      <c r="M130" s="137"/>
      <c r="N130" s="138"/>
      <c r="O130" s="167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</row>
    <row r="131" spans="1:27" s="118" customFormat="1" x14ac:dyDescent="0.2">
      <c r="A131" s="10"/>
      <c r="B131" s="10"/>
      <c r="C131" s="157"/>
      <c r="D131" s="108"/>
      <c r="E131" s="148"/>
      <c r="F131" s="253"/>
      <c r="G131" s="253">
        <v>12.2</v>
      </c>
      <c r="H131" s="253"/>
      <c r="I131" s="249">
        <v>1.3</v>
      </c>
      <c r="J131" s="253">
        <f t="shared" si="7"/>
        <v>15.86</v>
      </c>
      <c r="K131" s="137"/>
      <c r="L131" s="137"/>
      <c r="M131" s="137"/>
      <c r="N131" s="138"/>
      <c r="O131" s="167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</row>
    <row r="132" spans="1:27" s="118" customFormat="1" x14ac:dyDescent="0.2">
      <c r="A132" s="10"/>
      <c r="B132" s="10"/>
      <c r="C132" s="157"/>
      <c r="D132" s="108"/>
      <c r="E132" s="148"/>
      <c r="F132" s="253">
        <v>2</v>
      </c>
      <c r="G132" s="253">
        <v>12</v>
      </c>
      <c r="H132" s="253"/>
      <c r="I132" s="249">
        <v>3</v>
      </c>
      <c r="J132" s="253">
        <f t="shared" si="7"/>
        <v>72</v>
      </c>
      <c r="K132" s="137"/>
      <c r="L132" s="137"/>
      <c r="M132" s="137"/>
      <c r="N132" s="138"/>
      <c r="O132" s="167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  <c r="AA132" s="111"/>
    </row>
    <row r="133" spans="1:27" s="118" customFormat="1" x14ac:dyDescent="0.2">
      <c r="A133" s="10"/>
      <c r="B133" s="10"/>
      <c r="C133" s="157"/>
      <c r="D133" s="2" t="s">
        <v>995</v>
      </c>
      <c r="E133" s="148"/>
      <c r="F133" s="253"/>
      <c r="G133" s="253"/>
      <c r="H133" s="253"/>
      <c r="I133" s="249"/>
      <c r="J133" s="253"/>
      <c r="K133" s="137"/>
      <c r="L133" s="137"/>
      <c r="M133" s="137"/>
      <c r="N133" s="138"/>
      <c r="O133" s="167"/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  <c r="AA133" s="111"/>
    </row>
    <row r="134" spans="1:27" s="118" customFormat="1" x14ac:dyDescent="0.2">
      <c r="A134" s="10"/>
      <c r="B134" s="10"/>
      <c r="C134" s="157"/>
      <c r="D134" s="2" t="s">
        <v>1002</v>
      </c>
      <c r="E134" s="148"/>
      <c r="F134" s="253">
        <v>6</v>
      </c>
      <c r="G134" s="253">
        <v>2.54</v>
      </c>
      <c r="H134" s="253"/>
      <c r="I134" s="249">
        <v>2.6</v>
      </c>
      <c r="J134" s="253">
        <f t="shared" ref="J134:J145" si="8">ROUND(PRODUCT(F134:I134),2)</f>
        <v>39.619999999999997</v>
      </c>
      <c r="K134" s="137"/>
      <c r="L134" s="137"/>
      <c r="M134" s="137"/>
      <c r="N134" s="138"/>
      <c r="O134" s="167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111"/>
      <c r="AA134" s="111"/>
    </row>
    <row r="135" spans="1:27" s="118" customFormat="1" x14ac:dyDescent="0.2">
      <c r="A135" s="10"/>
      <c r="B135" s="10"/>
      <c r="C135" s="157"/>
      <c r="D135" s="108"/>
      <c r="E135" s="148"/>
      <c r="F135" s="253">
        <v>2</v>
      </c>
      <c r="G135" s="253">
        <v>2.2799999999999998</v>
      </c>
      <c r="H135" s="253"/>
      <c r="I135" s="249">
        <v>2.6</v>
      </c>
      <c r="J135" s="253">
        <f t="shared" si="8"/>
        <v>11.86</v>
      </c>
      <c r="K135" s="137"/>
      <c r="L135" s="137"/>
      <c r="M135" s="137"/>
      <c r="N135" s="138"/>
      <c r="O135" s="167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</row>
    <row r="136" spans="1:27" s="118" customFormat="1" x14ac:dyDescent="0.2">
      <c r="A136" s="10"/>
      <c r="B136" s="10"/>
      <c r="C136" s="157"/>
      <c r="D136" s="108"/>
      <c r="E136" s="148"/>
      <c r="F136" s="253">
        <v>2</v>
      </c>
      <c r="G136" s="253">
        <v>2.3199999999999998</v>
      </c>
      <c r="H136" s="253"/>
      <c r="I136" s="249">
        <v>2.6</v>
      </c>
      <c r="J136" s="253">
        <f t="shared" si="8"/>
        <v>12.06</v>
      </c>
      <c r="K136" s="137"/>
      <c r="L136" s="137"/>
      <c r="M136" s="137"/>
      <c r="N136" s="138"/>
      <c r="O136" s="167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</row>
    <row r="137" spans="1:27" s="118" customFormat="1" x14ac:dyDescent="0.2">
      <c r="A137" s="10"/>
      <c r="B137" s="10"/>
      <c r="C137" s="157"/>
      <c r="D137" s="108"/>
      <c r="E137" s="148"/>
      <c r="F137" s="253">
        <v>2</v>
      </c>
      <c r="G137" s="253">
        <v>4.5599999999999996</v>
      </c>
      <c r="H137" s="253"/>
      <c r="I137" s="249">
        <v>2.6</v>
      </c>
      <c r="J137" s="253">
        <f t="shared" si="8"/>
        <v>23.71</v>
      </c>
      <c r="K137" s="137"/>
      <c r="L137" s="137"/>
      <c r="M137" s="137"/>
      <c r="N137" s="138"/>
      <c r="O137" s="167"/>
      <c r="P137" s="111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  <c r="AA137" s="111"/>
    </row>
    <row r="138" spans="1:27" s="118" customFormat="1" x14ac:dyDescent="0.2">
      <c r="A138" s="10"/>
      <c r="B138" s="10"/>
      <c r="C138" s="157"/>
      <c r="D138" s="2" t="s">
        <v>166</v>
      </c>
      <c r="E138" s="148"/>
      <c r="F138" s="253">
        <v>2</v>
      </c>
      <c r="G138" s="253">
        <v>1.5</v>
      </c>
      <c r="H138" s="253"/>
      <c r="I138" s="249">
        <v>2.6</v>
      </c>
      <c r="J138" s="253">
        <f t="shared" si="8"/>
        <v>7.8</v>
      </c>
      <c r="K138" s="137"/>
      <c r="L138" s="137"/>
      <c r="M138" s="137"/>
      <c r="N138" s="138"/>
      <c r="O138" s="167"/>
      <c r="P138" s="111"/>
      <c r="Q138" s="111"/>
      <c r="R138" s="111"/>
      <c r="S138" s="111"/>
      <c r="T138" s="111"/>
      <c r="U138" s="111"/>
      <c r="V138" s="111"/>
      <c r="W138" s="111"/>
      <c r="X138" s="111"/>
      <c r="Y138" s="111"/>
      <c r="Z138" s="111"/>
      <c r="AA138" s="111"/>
    </row>
    <row r="139" spans="1:27" s="118" customFormat="1" x14ac:dyDescent="0.2">
      <c r="A139" s="10"/>
      <c r="B139" s="10"/>
      <c r="C139" s="157"/>
      <c r="D139" s="108"/>
      <c r="E139" s="148"/>
      <c r="F139" s="253">
        <v>2</v>
      </c>
      <c r="G139" s="253">
        <v>1.2</v>
      </c>
      <c r="H139" s="253"/>
      <c r="I139" s="249">
        <v>2.6</v>
      </c>
      <c r="J139" s="253">
        <f t="shared" si="8"/>
        <v>6.24</v>
      </c>
      <c r="K139" s="137"/>
      <c r="L139" s="137"/>
      <c r="M139" s="137"/>
      <c r="N139" s="138"/>
      <c r="O139" s="167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</row>
    <row r="140" spans="1:27" s="118" customFormat="1" x14ac:dyDescent="0.2">
      <c r="A140" s="10"/>
      <c r="B140" s="10"/>
      <c r="C140" s="157"/>
      <c r="D140" s="2" t="s">
        <v>1004</v>
      </c>
      <c r="E140" s="148"/>
      <c r="F140" s="253">
        <v>2</v>
      </c>
      <c r="G140" s="253">
        <v>2.63</v>
      </c>
      <c r="H140" s="253"/>
      <c r="I140" s="249">
        <v>1</v>
      </c>
      <c r="J140" s="253">
        <f t="shared" si="8"/>
        <v>5.26</v>
      </c>
      <c r="K140" s="137"/>
      <c r="L140" s="137"/>
      <c r="M140" s="137"/>
      <c r="N140" s="138"/>
      <c r="O140" s="167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</row>
    <row r="141" spans="1:27" s="118" customFormat="1" x14ac:dyDescent="0.2">
      <c r="A141" s="10"/>
      <c r="B141" s="10"/>
      <c r="C141" s="157"/>
      <c r="D141" s="2"/>
      <c r="E141" s="148"/>
      <c r="F141" s="253">
        <v>2</v>
      </c>
      <c r="G141" s="253">
        <v>1.95</v>
      </c>
      <c r="H141" s="253"/>
      <c r="I141" s="249">
        <v>1.2</v>
      </c>
      <c r="J141" s="253">
        <f t="shared" si="8"/>
        <v>4.68</v>
      </c>
      <c r="K141" s="137"/>
      <c r="L141" s="137"/>
      <c r="M141" s="137"/>
      <c r="N141" s="138"/>
      <c r="O141" s="167"/>
      <c r="P141" s="111"/>
      <c r="Q141" s="111"/>
      <c r="R141" s="111"/>
      <c r="S141" s="111"/>
      <c r="T141" s="111"/>
      <c r="U141" s="111"/>
      <c r="V141" s="111"/>
      <c r="W141" s="111"/>
      <c r="X141" s="111"/>
      <c r="Y141" s="111"/>
      <c r="Z141" s="111"/>
      <c r="AA141" s="111"/>
    </row>
    <row r="142" spans="1:27" s="118" customFormat="1" x14ac:dyDescent="0.2">
      <c r="A142" s="10"/>
      <c r="B142" s="10"/>
      <c r="C142" s="157"/>
      <c r="D142" s="2" t="s">
        <v>1005</v>
      </c>
      <c r="E142" s="148"/>
      <c r="F142" s="253">
        <v>2</v>
      </c>
      <c r="G142" s="253">
        <v>3.4</v>
      </c>
      <c r="H142" s="253"/>
      <c r="I142" s="249">
        <v>1.2</v>
      </c>
      <c r="J142" s="253">
        <f t="shared" si="8"/>
        <v>8.16</v>
      </c>
      <c r="K142" s="137"/>
      <c r="L142" s="137"/>
      <c r="M142" s="137"/>
      <c r="N142" s="138"/>
      <c r="O142" s="167"/>
      <c r="P142" s="111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  <c r="AA142" s="111"/>
    </row>
    <row r="143" spans="1:27" s="118" customFormat="1" x14ac:dyDescent="0.2">
      <c r="A143" s="10"/>
      <c r="B143" s="10"/>
      <c r="C143" s="157"/>
      <c r="D143" s="2"/>
      <c r="E143" s="148"/>
      <c r="F143" s="253">
        <v>2</v>
      </c>
      <c r="G143" s="253">
        <v>2.5</v>
      </c>
      <c r="H143" s="253"/>
      <c r="I143" s="249">
        <v>1.2</v>
      </c>
      <c r="J143" s="253">
        <f t="shared" si="8"/>
        <v>6</v>
      </c>
      <c r="K143" s="137"/>
      <c r="L143" s="137"/>
      <c r="M143" s="137"/>
      <c r="N143" s="138"/>
      <c r="O143" s="167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1"/>
    </row>
    <row r="144" spans="1:27" s="118" customFormat="1" x14ac:dyDescent="0.2">
      <c r="A144" s="10"/>
      <c r="B144" s="10"/>
      <c r="C144" s="157"/>
      <c r="D144" s="2" t="s">
        <v>164</v>
      </c>
      <c r="E144" s="148"/>
      <c r="F144" s="253">
        <v>2</v>
      </c>
      <c r="G144" s="253">
        <v>6.7</v>
      </c>
      <c r="H144" s="253"/>
      <c r="I144" s="249">
        <v>2.6</v>
      </c>
      <c r="J144" s="253">
        <f t="shared" si="8"/>
        <v>34.840000000000003</v>
      </c>
      <c r="K144" s="137"/>
      <c r="L144" s="137"/>
      <c r="M144" s="137"/>
      <c r="N144" s="138"/>
      <c r="O144" s="167"/>
      <c r="P144" s="111"/>
      <c r="Q144" s="111"/>
      <c r="R144" s="111"/>
      <c r="S144" s="111"/>
      <c r="T144" s="111"/>
      <c r="U144" s="111"/>
      <c r="V144" s="111"/>
      <c r="W144" s="111"/>
      <c r="X144" s="111"/>
      <c r="Y144" s="111"/>
      <c r="Z144" s="111"/>
      <c r="AA144" s="111"/>
    </row>
    <row r="145" spans="1:27" s="118" customFormat="1" x14ac:dyDescent="0.2">
      <c r="A145" s="10"/>
      <c r="B145" s="10"/>
      <c r="C145" s="157"/>
      <c r="D145" s="2"/>
      <c r="E145" s="148"/>
      <c r="F145" s="253">
        <v>2</v>
      </c>
      <c r="G145" s="253">
        <v>4.2</v>
      </c>
      <c r="H145" s="253"/>
      <c r="I145" s="249">
        <v>2.6</v>
      </c>
      <c r="J145" s="253">
        <f t="shared" si="8"/>
        <v>21.84</v>
      </c>
      <c r="K145" s="137"/>
      <c r="L145" s="137"/>
      <c r="M145" s="137"/>
      <c r="N145" s="138"/>
      <c r="O145" s="167"/>
      <c r="P145" s="111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  <c r="AA145" s="111"/>
    </row>
    <row r="146" spans="1:27" s="118" customFormat="1" x14ac:dyDescent="0.2">
      <c r="A146" s="10"/>
      <c r="B146" s="10"/>
      <c r="C146" s="157"/>
      <c r="D146" s="2" t="s">
        <v>1006</v>
      </c>
      <c r="E146" s="148"/>
      <c r="F146" s="253"/>
      <c r="G146" s="253"/>
      <c r="H146" s="253"/>
      <c r="I146" s="249"/>
      <c r="J146" s="253"/>
      <c r="K146" s="137"/>
      <c r="L146" s="137"/>
      <c r="M146" s="137"/>
      <c r="N146" s="138"/>
      <c r="O146" s="167"/>
      <c r="P146" s="111"/>
      <c r="Q146" s="111"/>
      <c r="R146" s="111"/>
      <c r="S146" s="111"/>
      <c r="T146" s="111"/>
      <c r="U146" s="111"/>
      <c r="V146" s="111"/>
      <c r="W146" s="111"/>
      <c r="X146" s="111"/>
      <c r="Y146" s="111"/>
      <c r="Z146" s="111"/>
      <c r="AA146" s="111"/>
    </row>
    <row r="147" spans="1:27" s="118" customFormat="1" x14ac:dyDescent="0.2">
      <c r="A147" s="10"/>
      <c r="B147" s="10"/>
      <c r="C147" s="157"/>
      <c r="D147" s="2" t="s">
        <v>1007</v>
      </c>
      <c r="E147" s="148"/>
      <c r="F147" s="253">
        <v>2</v>
      </c>
      <c r="G147" s="253">
        <v>3.95</v>
      </c>
      <c r="H147" s="253"/>
      <c r="I147" s="249">
        <v>1.3</v>
      </c>
      <c r="J147" s="253">
        <f t="shared" ref="J147:J154" si="9">ROUND(PRODUCT(F147:I147),2)</f>
        <v>10.27</v>
      </c>
      <c r="K147" s="137"/>
      <c r="L147" s="137"/>
      <c r="M147" s="137"/>
      <c r="N147" s="138"/>
      <c r="O147" s="167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  <c r="AA147" s="111"/>
    </row>
    <row r="148" spans="1:27" s="118" customFormat="1" x14ac:dyDescent="0.2">
      <c r="A148" s="10"/>
      <c r="B148" s="10"/>
      <c r="C148" s="157"/>
      <c r="D148" s="2"/>
      <c r="E148" s="148"/>
      <c r="F148" s="253">
        <v>2</v>
      </c>
      <c r="G148" s="253">
        <v>2.5</v>
      </c>
      <c r="H148" s="253"/>
      <c r="I148" s="249">
        <v>1.3</v>
      </c>
      <c r="J148" s="253">
        <f t="shared" si="9"/>
        <v>6.5</v>
      </c>
      <c r="K148" s="137"/>
      <c r="L148" s="137"/>
      <c r="M148" s="137"/>
      <c r="N148" s="138"/>
      <c r="O148" s="167"/>
      <c r="P148" s="111"/>
      <c r="Q148" s="111"/>
      <c r="R148" s="111"/>
      <c r="S148" s="111"/>
      <c r="T148" s="111"/>
      <c r="U148" s="111"/>
      <c r="V148" s="111"/>
      <c r="W148" s="111"/>
      <c r="X148" s="111"/>
      <c r="Y148" s="111"/>
      <c r="Z148" s="111"/>
      <c r="AA148" s="111"/>
    </row>
    <row r="149" spans="1:27" s="118" customFormat="1" x14ac:dyDescent="0.2">
      <c r="A149" s="10"/>
      <c r="B149" s="10"/>
      <c r="C149" s="157"/>
      <c r="D149" s="2" t="s">
        <v>1008</v>
      </c>
      <c r="E149" s="148"/>
      <c r="F149" s="253">
        <v>2</v>
      </c>
      <c r="G149" s="253">
        <v>4.3</v>
      </c>
      <c r="H149" s="253"/>
      <c r="I149" s="249">
        <v>1.3</v>
      </c>
      <c r="J149" s="253">
        <f t="shared" si="9"/>
        <v>11.18</v>
      </c>
      <c r="K149" s="137"/>
      <c r="L149" s="137"/>
      <c r="M149" s="137"/>
      <c r="N149" s="138"/>
      <c r="O149" s="167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  <c r="Z149" s="111"/>
      <c r="AA149" s="111"/>
    </row>
    <row r="150" spans="1:27" s="118" customFormat="1" x14ac:dyDescent="0.2">
      <c r="A150" s="10"/>
      <c r="B150" s="10"/>
      <c r="C150" s="157"/>
      <c r="D150" s="2"/>
      <c r="E150" s="148"/>
      <c r="F150" s="253">
        <v>2</v>
      </c>
      <c r="G150" s="253">
        <v>2.5</v>
      </c>
      <c r="H150" s="253"/>
      <c r="I150" s="249">
        <v>1.3</v>
      </c>
      <c r="J150" s="253">
        <f t="shared" si="9"/>
        <v>6.5</v>
      </c>
      <c r="K150" s="137"/>
      <c r="L150" s="137"/>
      <c r="M150" s="137"/>
      <c r="N150" s="138"/>
      <c r="O150" s="167"/>
      <c r="P150" s="111"/>
      <c r="Q150" s="111"/>
      <c r="R150" s="111"/>
      <c r="S150" s="111"/>
      <c r="T150" s="111"/>
      <c r="U150" s="111"/>
      <c r="V150" s="111"/>
      <c r="W150" s="111"/>
      <c r="X150" s="111"/>
      <c r="Y150" s="111"/>
      <c r="Z150" s="111"/>
      <c r="AA150" s="111"/>
    </row>
    <row r="151" spans="1:27" s="118" customFormat="1" x14ac:dyDescent="0.2">
      <c r="A151" s="10"/>
      <c r="B151" s="10"/>
      <c r="C151" s="157"/>
      <c r="D151" s="2" t="s">
        <v>1009</v>
      </c>
      <c r="E151" s="148"/>
      <c r="F151" s="253">
        <v>2</v>
      </c>
      <c r="G151" s="253">
        <v>5.4</v>
      </c>
      <c r="H151" s="253"/>
      <c r="I151" s="249">
        <v>1.3</v>
      </c>
      <c r="J151" s="253">
        <f t="shared" si="9"/>
        <v>14.04</v>
      </c>
      <c r="K151" s="137"/>
      <c r="L151" s="137"/>
      <c r="M151" s="137"/>
      <c r="N151" s="138"/>
      <c r="O151" s="167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111"/>
      <c r="AA151" s="111"/>
    </row>
    <row r="152" spans="1:27" s="118" customFormat="1" x14ac:dyDescent="0.2">
      <c r="A152" s="10"/>
      <c r="B152" s="10"/>
      <c r="C152" s="157"/>
      <c r="D152" s="108"/>
      <c r="E152" s="148"/>
      <c r="F152" s="253">
        <v>2</v>
      </c>
      <c r="G152" s="253">
        <v>5</v>
      </c>
      <c r="H152" s="253"/>
      <c r="I152" s="249">
        <v>1.3</v>
      </c>
      <c r="J152" s="253">
        <f t="shared" si="9"/>
        <v>13</v>
      </c>
      <c r="K152" s="137"/>
      <c r="L152" s="137"/>
      <c r="M152" s="137"/>
      <c r="N152" s="138"/>
      <c r="O152" s="167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  <c r="Z152" s="111"/>
      <c r="AA152" s="111"/>
    </row>
    <row r="153" spans="1:27" s="118" customFormat="1" x14ac:dyDescent="0.2">
      <c r="A153" s="10"/>
      <c r="B153" s="10"/>
      <c r="C153" s="157"/>
      <c r="D153" s="108"/>
      <c r="E153" s="148"/>
      <c r="F153" s="253">
        <v>2</v>
      </c>
      <c r="G153" s="253">
        <v>4.7</v>
      </c>
      <c r="H153" s="253"/>
      <c r="I153" s="249">
        <v>2.9</v>
      </c>
      <c r="J153" s="253">
        <f t="shared" si="9"/>
        <v>27.26</v>
      </c>
      <c r="K153" s="137"/>
      <c r="L153" s="137"/>
      <c r="M153" s="137"/>
      <c r="N153" s="138"/>
      <c r="O153" s="167"/>
      <c r="P153" s="111"/>
      <c r="Q153" s="111"/>
      <c r="R153" s="111"/>
      <c r="S153" s="111"/>
      <c r="T153" s="111"/>
      <c r="U153" s="111"/>
      <c r="V153" s="111"/>
      <c r="W153" s="111"/>
      <c r="X153" s="111"/>
      <c r="Y153" s="111"/>
      <c r="Z153" s="111"/>
      <c r="AA153" s="111"/>
    </row>
    <row r="154" spans="1:27" s="118" customFormat="1" x14ac:dyDescent="0.2">
      <c r="A154" s="10"/>
      <c r="B154" s="10"/>
      <c r="C154" s="157"/>
      <c r="D154" s="2" t="s">
        <v>1011</v>
      </c>
      <c r="E154" s="148"/>
      <c r="F154" s="253">
        <v>2</v>
      </c>
      <c r="G154" s="253">
        <v>12.1</v>
      </c>
      <c r="H154" s="253"/>
      <c r="I154" s="249">
        <v>2.9</v>
      </c>
      <c r="J154" s="253">
        <f t="shared" si="9"/>
        <v>70.180000000000007</v>
      </c>
      <c r="K154" s="137"/>
      <c r="L154" s="137"/>
      <c r="M154" s="137"/>
      <c r="N154" s="138"/>
      <c r="O154" s="167"/>
      <c r="P154" s="111"/>
      <c r="Q154" s="111"/>
      <c r="R154" s="111"/>
      <c r="S154" s="111"/>
      <c r="T154" s="111"/>
      <c r="U154" s="111"/>
      <c r="V154" s="111"/>
      <c r="W154" s="111"/>
      <c r="X154" s="111"/>
      <c r="Y154" s="111"/>
      <c r="Z154" s="111"/>
      <c r="AA154" s="111"/>
    </row>
    <row r="155" spans="1:27" s="118" customFormat="1" x14ac:dyDescent="0.2">
      <c r="A155" s="10"/>
      <c r="B155" s="10"/>
      <c r="C155" s="157"/>
      <c r="D155" s="2" t="s">
        <v>446</v>
      </c>
      <c r="E155" s="148"/>
      <c r="F155" s="253"/>
      <c r="G155" s="253"/>
      <c r="H155" s="253"/>
      <c r="I155" s="249"/>
      <c r="J155" s="253"/>
      <c r="K155" s="137"/>
      <c r="L155" s="137"/>
      <c r="M155" s="137"/>
      <c r="N155" s="138"/>
      <c r="O155" s="167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  <c r="AA155" s="111"/>
    </row>
    <row r="156" spans="1:27" s="118" customFormat="1" x14ac:dyDescent="0.2">
      <c r="A156" s="10"/>
      <c r="B156" s="10"/>
      <c r="C156" s="157"/>
      <c r="D156" s="2" t="s">
        <v>1010</v>
      </c>
      <c r="E156" s="158"/>
      <c r="F156" s="267"/>
      <c r="G156" s="267"/>
      <c r="H156" s="267"/>
      <c r="I156" s="250"/>
      <c r="J156" s="266"/>
      <c r="K156" s="137"/>
      <c r="L156" s="137"/>
      <c r="M156" s="137"/>
      <c r="N156" s="138"/>
      <c r="O156" s="167"/>
      <c r="P156" s="111"/>
      <c r="Q156" s="111"/>
      <c r="R156" s="111"/>
      <c r="S156" s="111"/>
      <c r="T156" s="111"/>
      <c r="U156" s="111"/>
      <c r="V156" s="111"/>
      <c r="W156" s="111"/>
      <c r="X156" s="111"/>
      <c r="Y156" s="111"/>
      <c r="Z156" s="111"/>
      <c r="AA156" s="111"/>
    </row>
    <row r="157" spans="1:27" s="118" customFormat="1" x14ac:dyDescent="0.2">
      <c r="A157" s="10"/>
      <c r="B157" s="10"/>
      <c r="C157" s="157"/>
      <c r="D157" s="2" t="s">
        <v>984</v>
      </c>
      <c r="E157" s="148"/>
      <c r="F157" s="253">
        <v>-7</v>
      </c>
      <c r="G157" s="253"/>
      <c r="H157" s="253">
        <v>1</v>
      </c>
      <c r="I157" s="249">
        <v>1</v>
      </c>
      <c r="J157" s="253">
        <f t="shared" ref="J157:J167" si="10">ROUND(PRODUCT(F157:I157),2)</f>
        <v>-7</v>
      </c>
      <c r="K157" s="137"/>
      <c r="L157" s="137"/>
      <c r="M157" s="137"/>
      <c r="N157" s="138"/>
      <c r="O157" s="167"/>
      <c r="P157" s="111"/>
      <c r="Q157" s="111"/>
      <c r="R157" s="111"/>
      <c r="S157" s="111"/>
      <c r="T157" s="111"/>
      <c r="U157" s="111"/>
      <c r="V157" s="111"/>
      <c r="W157" s="111"/>
      <c r="X157" s="111"/>
      <c r="Y157" s="111"/>
      <c r="Z157" s="111"/>
      <c r="AA157" s="111"/>
    </row>
    <row r="158" spans="1:27" s="118" customFormat="1" x14ac:dyDescent="0.2">
      <c r="A158" s="10"/>
      <c r="B158" s="10"/>
      <c r="C158" s="157"/>
      <c r="D158" s="108"/>
      <c r="E158" s="148"/>
      <c r="F158" s="253">
        <v>-1</v>
      </c>
      <c r="G158" s="253"/>
      <c r="H158" s="253">
        <v>1.5</v>
      </c>
      <c r="I158" s="249">
        <v>1</v>
      </c>
      <c r="J158" s="253">
        <f t="shared" si="10"/>
        <v>-1.5</v>
      </c>
      <c r="K158" s="137"/>
      <c r="L158" s="137"/>
      <c r="M158" s="137"/>
      <c r="N158" s="138"/>
      <c r="O158" s="167"/>
      <c r="P158" s="111"/>
      <c r="Q158" s="111"/>
      <c r="R158" s="111"/>
      <c r="S158" s="111"/>
      <c r="T158" s="111"/>
      <c r="U158" s="111"/>
      <c r="V158" s="111"/>
      <c r="W158" s="111"/>
      <c r="X158" s="111"/>
      <c r="Y158" s="111"/>
      <c r="Z158" s="111"/>
      <c r="AA158" s="111"/>
    </row>
    <row r="159" spans="1:27" s="118" customFormat="1" x14ac:dyDescent="0.2">
      <c r="A159" s="10"/>
      <c r="B159" s="10"/>
      <c r="C159" s="157"/>
      <c r="D159" s="2" t="s">
        <v>985</v>
      </c>
      <c r="E159" s="148"/>
      <c r="F159" s="253">
        <v>-1</v>
      </c>
      <c r="G159" s="253"/>
      <c r="H159" s="253">
        <v>5</v>
      </c>
      <c r="I159" s="249">
        <v>2.1</v>
      </c>
      <c r="J159" s="253">
        <f t="shared" si="10"/>
        <v>-10.5</v>
      </c>
      <c r="K159" s="137"/>
      <c r="L159" s="137"/>
      <c r="M159" s="137"/>
      <c r="N159" s="138"/>
      <c r="O159" s="167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  <c r="AA159" s="111"/>
    </row>
    <row r="160" spans="1:27" s="118" customFormat="1" x14ac:dyDescent="0.2">
      <c r="A160" s="10"/>
      <c r="B160" s="10"/>
      <c r="C160" s="157"/>
      <c r="D160" s="108"/>
      <c r="E160" s="148"/>
      <c r="F160" s="253">
        <v>-1</v>
      </c>
      <c r="G160" s="253"/>
      <c r="H160" s="253">
        <v>1</v>
      </c>
      <c r="I160" s="249">
        <v>1</v>
      </c>
      <c r="J160" s="253">
        <f t="shared" si="10"/>
        <v>-1</v>
      </c>
      <c r="K160" s="137"/>
      <c r="L160" s="137"/>
      <c r="M160" s="137"/>
      <c r="N160" s="138"/>
      <c r="O160" s="167"/>
      <c r="P160" s="111"/>
      <c r="Q160" s="111"/>
      <c r="R160" s="111"/>
      <c r="S160" s="111"/>
      <c r="T160" s="111"/>
      <c r="U160" s="111"/>
      <c r="V160" s="111"/>
      <c r="W160" s="111"/>
      <c r="X160" s="111"/>
      <c r="Y160" s="111"/>
      <c r="Z160" s="111"/>
      <c r="AA160" s="111"/>
    </row>
    <row r="161" spans="1:27" s="118" customFormat="1" x14ac:dyDescent="0.2">
      <c r="A161" s="10"/>
      <c r="B161" s="10"/>
      <c r="C161" s="157"/>
      <c r="D161" s="108"/>
      <c r="E161" s="148"/>
      <c r="F161" s="253">
        <v>-1</v>
      </c>
      <c r="G161" s="253"/>
      <c r="H161" s="253">
        <v>0.8</v>
      </c>
      <c r="I161" s="249">
        <v>2.1</v>
      </c>
      <c r="J161" s="253">
        <f t="shared" si="10"/>
        <v>-1.68</v>
      </c>
      <c r="K161" s="137"/>
      <c r="L161" s="137"/>
      <c r="M161" s="137"/>
      <c r="N161" s="138"/>
      <c r="O161" s="167"/>
      <c r="P161" s="111"/>
      <c r="Q161" s="111"/>
      <c r="R161" s="111"/>
      <c r="S161" s="111"/>
      <c r="T161" s="111"/>
      <c r="U161" s="111"/>
      <c r="V161" s="111"/>
      <c r="W161" s="111"/>
      <c r="X161" s="111"/>
      <c r="Y161" s="111"/>
      <c r="Z161" s="111"/>
      <c r="AA161" s="111"/>
    </row>
    <row r="162" spans="1:27" s="118" customFormat="1" x14ac:dyDescent="0.2">
      <c r="A162" s="10"/>
      <c r="B162" s="10"/>
      <c r="C162" s="157"/>
      <c r="D162" s="108"/>
      <c r="E162" s="148"/>
      <c r="F162" s="253">
        <v>-1</v>
      </c>
      <c r="G162" s="253"/>
      <c r="H162" s="253">
        <v>1.5</v>
      </c>
      <c r="I162" s="249">
        <v>1</v>
      </c>
      <c r="J162" s="253">
        <f t="shared" si="10"/>
        <v>-1.5</v>
      </c>
      <c r="K162" s="137"/>
      <c r="L162" s="137"/>
      <c r="M162" s="137"/>
      <c r="N162" s="138"/>
      <c r="O162" s="167"/>
      <c r="P162" s="111"/>
      <c r="Q162" s="111"/>
      <c r="R162" s="111"/>
      <c r="S162" s="111"/>
      <c r="T162" s="111"/>
      <c r="U162" s="111"/>
      <c r="V162" s="111"/>
      <c r="W162" s="111"/>
      <c r="X162" s="111"/>
      <c r="Y162" s="111"/>
      <c r="Z162" s="111"/>
      <c r="AA162" s="111"/>
    </row>
    <row r="163" spans="1:27" s="118" customFormat="1" x14ac:dyDescent="0.2">
      <c r="A163" s="10"/>
      <c r="B163" s="10"/>
      <c r="C163" s="157"/>
      <c r="D163" s="108"/>
      <c r="E163" s="148"/>
      <c r="F163" s="253">
        <v>-1</v>
      </c>
      <c r="G163" s="253"/>
      <c r="H163" s="253">
        <v>1.2</v>
      </c>
      <c r="I163" s="249">
        <v>0.6</v>
      </c>
      <c r="J163" s="253">
        <f t="shared" si="10"/>
        <v>-0.72</v>
      </c>
      <c r="K163" s="137"/>
      <c r="L163" s="137"/>
      <c r="M163" s="137"/>
      <c r="N163" s="138"/>
      <c r="O163" s="167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  <c r="AA163" s="111"/>
    </row>
    <row r="164" spans="1:27" s="118" customFormat="1" x14ac:dyDescent="0.2">
      <c r="A164" s="10"/>
      <c r="B164" s="10"/>
      <c r="C164" s="157"/>
      <c r="D164" s="110"/>
      <c r="E164" s="158"/>
      <c r="F164" s="253">
        <v>-3</v>
      </c>
      <c r="G164" s="253"/>
      <c r="H164" s="253">
        <v>0.6</v>
      </c>
      <c r="I164" s="249">
        <v>2.1</v>
      </c>
      <c r="J164" s="253">
        <f t="shared" si="10"/>
        <v>-3.78</v>
      </c>
      <c r="K164" s="137"/>
      <c r="L164" s="137"/>
      <c r="M164" s="137"/>
      <c r="N164" s="138"/>
      <c r="O164" s="167"/>
      <c r="P164" s="111"/>
      <c r="Q164" s="111"/>
      <c r="R164" s="111"/>
      <c r="S164" s="111"/>
      <c r="T164" s="111"/>
      <c r="U164" s="111"/>
      <c r="V164" s="111"/>
      <c r="W164" s="111"/>
      <c r="X164" s="111"/>
      <c r="Y164" s="111"/>
      <c r="Z164" s="111"/>
      <c r="AA164" s="111"/>
    </row>
    <row r="165" spans="1:27" s="118" customFormat="1" x14ac:dyDescent="0.2">
      <c r="A165" s="10"/>
      <c r="B165" s="10"/>
      <c r="C165" s="157"/>
      <c r="D165" s="110"/>
      <c r="E165" s="158"/>
      <c r="F165" s="253">
        <v>-3</v>
      </c>
      <c r="G165" s="253"/>
      <c r="H165" s="253">
        <v>0.7</v>
      </c>
      <c r="I165" s="249">
        <v>2.1</v>
      </c>
      <c r="J165" s="253">
        <f t="shared" si="10"/>
        <v>-4.41</v>
      </c>
      <c r="K165" s="137"/>
      <c r="L165" s="137"/>
      <c r="M165" s="137"/>
      <c r="N165" s="138"/>
      <c r="O165" s="167"/>
      <c r="P165" s="111"/>
      <c r="Q165" s="111"/>
      <c r="R165" s="111"/>
      <c r="S165" s="111"/>
      <c r="T165" s="111"/>
      <c r="U165" s="111"/>
      <c r="V165" s="111"/>
      <c r="W165" s="111"/>
      <c r="X165" s="111"/>
      <c r="Y165" s="111"/>
      <c r="Z165" s="111"/>
      <c r="AA165" s="111"/>
    </row>
    <row r="166" spans="1:27" s="118" customFormat="1" x14ac:dyDescent="0.2">
      <c r="A166" s="10"/>
      <c r="B166" s="10"/>
      <c r="C166" s="157"/>
      <c r="D166" s="110"/>
      <c r="E166" s="158"/>
      <c r="F166" s="253">
        <v>-10</v>
      </c>
      <c r="G166" s="253"/>
      <c r="H166" s="253">
        <v>0.8</v>
      </c>
      <c r="I166" s="249">
        <v>2.1</v>
      </c>
      <c r="J166" s="253">
        <f t="shared" si="10"/>
        <v>-16.8</v>
      </c>
      <c r="K166" s="137"/>
      <c r="L166" s="137"/>
      <c r="M166" s="137"/>
      <c r="N166" s="138"/>
      <c r="O166" s="167"/>
      <c r="P166" s="111"/>
      <c r="Q166" s="111"/>
      <c r="R166" s="111"/>
      <c r="S166" s="111"/>
      <c r="T166" s="111"/>
      <c r="U166" s="111"/>
      <c r="V166" s="111"/>
      <c r="W166" s="111"/>
      <c r="X166" s="111"/>
      <c r="Y166" s="111"/>
      <c r="Z166" s="111"/>
      <c r="AA166" s="111"/>
    </row>
    <row r="167" spans="1:27" s="118" customFormat="1" x14ac:dyDescent="0.2">
      <c r="A167" s="10"/>
      <c r="B167" s="10"/>
      <c r="C167" s="157"/>
      <c r="D167" s="110"/>
      <c r="E167" s="158"/>
      <c r="F167" s="253">
        <v>-1</v>
      </c>
      <c r="G167" s="253"/>
      <c r="H167" s="253">
        <v>1</v>
      </c>
      <c r="I167" s="249">
        <v>2.1</v>
      </c>
      <c r="J167" s="253">
        <f t="shared" si="10"/>
        <v>-2.1</v>
      </c>
      <c r="K167" s="137"/>
      <c r="L167" s="137"/>
      <c r="M167" s="137"/>
      <c r="N167" s="138"/>
      <c r="O167" s="167"/>
      <c r="P167" s="111"/>
      <c r="Q167" s="111"/>
      <c r="R167" s="111"/>
      <c r="S167" s="111"/>
      <c r="T167" s="111"/>
      <c r="U167" s="111"/>
      <c r="V167" s="111"/>
      <c r="W167" s="111"/>
      <c r="X167" s="111"/>
      <c r="Y167" s="111"/>
      <c r="Z167" s="111"/>
      <c r="AA167" s="111"/>
    </row>
    <row r="168" spans="1:27" s="118" customFormat="1" x14ac:dyDescent="0.2">
      <c r="A168" s="10"/>
      <c r="B168" s="10"/>
      <c r="C168" s="157"/>
      <c r="D168" s="115"/>
      <c r="E168" s="158"/>
      <c r="F168" s="267"/>
      <c r="G168" s="267"/>
      <c r="H168" s="267"/>
      <c r="I168" s="246" t="str">
        <f>"Total item "&amp;A128</f>
        <v>Total item 3.1.3</v>
      </c>
      <c r="J168" s="261">
        <f>SUM(J129:J167)</f>
        <v>449.34999999999997</v>
      </c>
      <c r="K168" s="137"/>
      <c r="L168" s="137"/>
      <c r="M168" s="137"/>
      <c r="N168" s="138"/>
      <c r="O168" s="167"/>
      <c r="P168" s="111"/>
      <c r="Q168" s="111"/>
      <c r="R168" s="111"/>
      <c r="S168" s="111"/>
      <c r="T168" s="111"/>
      <c r="U168" s="111"/>
      <c r="V168" s="111"/>
      <c r="W168" s="111"/>
      <c r="X168" s="111"/>
      <c r="Y168" s="111"/>
      <c r="Z168" s="111"/>
      <c r="AA168" s="111"/>
    </row>
    <row r="169" spans="1:27" s="118" customFormat="1" x14ac:dyDescent="0.2">
      <c r="A169" s="10"/>
      <c r="B169" s="10"/>
      <c r="C169" s="157"/>
      <c r="D169" s="115"/>
      <c r="E169" s="158"/>
      <c r="F169" s="267"/>
      <c r="G169" s="267"/>
      <c r="H169" s="267"/>
      <c r="I169" s="250"/>
      <c r="J169" s="266"/>
      <c r="K169" s="137"/>
      <c r="L169" s="137"/>
      <c r="M169" s="137"/>
      <c r="N169" s="138"/>
      <c r="O169" s="167"/>
      <c r="P169" s="111"/>
      <c r="Q169" s="111"/>
      <c r="R169" s="111"/>
      <c r="S169" s="111"/>
      <c r="T169" s="111"/>
      <c r="U169" s="111"/>
      <c r="V169" s="111"/>
      <c r="W169" s="111"/>
      <c r="X169" s="111"/>
      <c r="Y169" s="111"/>
      <c r="Z169" s="111"/>
      <c r="AA169" s="111"/>
    </row>
    <row r="170" spans="1:27" s="118" customFormat="1" ht="20.399999999999999" x14ac:dyDescent="0.2">
      <c r="A170" s="9" t="s">
        <v>364</v>
      </c>
      <c r="B170" s="9"/>
      <c r="C170" s="370"/>
      <c r="D170" s="371" t="str">
        <f>'ORÇAMENTO PINTURA'!D24</f>
        <v>APLICAÇÃO MANUAL DE PINTURA COM TINTA LÁTEX ACRÍLICA EM TETO, DUAS DEMÃOS. AF_06/2014</v>
      </c>
      <c r="E170" s="9" t="s">
        <v>9</v>
      </c>
      <c r="F170" s="362"/>
      <c r="G170" s="362"/>
      <c r="H170" s="362"/>
      <c r="I170" s="245"/>
      <c r="J170" s="261"/>
      <c r="K170" s="137"/>
      <c r="L170" s="137"/>
      <c r="M170" s="137"/>
      <c r="N170" s="138"/>
      <c r="O170" s="167"/>
      <c r="P170" s="111"/>
      <c r="Q170" s="111"/>
      <c r="R170" s="111"/>
      <c r="S170" s="111"/>
      <c r="T170" s="111"/>
      <c r="U170" s="111"/>
      <c r="V170" s="111"/>
      <c r="W170" s="111"/>
      <c r="X170" s="111"/>
      <c r="Y170" s="111"/>
      <c r="Z170" s="111"/>
      <c r="AA170" s="111"/>
    </row>
    <row r="171" spans="1:27" s="118" customFormat="1" x14ac:dyDescent="0.2">
      <c r="A171" s="10"/>
      <c r="B171" s="10"/>
      <c r="C171" s="157"/>
      <c r="D171" s="2" t="s">
        <v>1012</v>
      </c>
      <c r="E171" s="148"/>
      <c r="F171" s="253"/>
      <c r="G171" s="253">
        <v>2.54</v>
      </c>
      <c r="H171" s="253">
        <v>2.2799999999999998</v>
      </c>
      <c r="I171" s="246"/>
      <c r="J171" s="253">
        <f t="shared" ref="J171:J187" si="11">ROUND(PRODUCT(F171:I171),2)</f>
        <v>5.79</v>
      </c>
      <c r="K171" s="137"/>
      <c r="L171" s="137"/>
      <c r="M171" s="137"/>
      <c r="N171" s="138"/>
      <c r="O171" s="167"/>
      <c r="P171" s="111"/>
      <c r="Q171" s="111"/>
      <c r="R171" s="111"/>
      <c r="S171" s="111"/>
      <c r="T171" s="111"/>
      <c r="U171" s="111"/>
      <c r="V171" s="111"/>
      <c r="W171" s="111"/>
      <c r="X171" s="111"/>
      <c r="Y171" s="111"/>
      <c r="Z171" s="111"/>
      <c r="AA171" s="111"/>
    </row>
    <row r="172" spans="1:27" s="118" customFormat="1" x14ac:dyDescent="0.2">
      <c r="A172" s="10"/>
      <c r="B172" s="10"/>
      <c r="C172" s="157"/>
      <c r="D172" s="2" t="s">
        <v>997</v>
      </c>
      <c r="E172" s="148"/>
      <c r="F172" s="253"/>
      <c r="G172" s="253">
        <v>2.54</v>
      </c>
      <c r="H172" s="253">
        <v>2.2999999999999998</v>
      </c>
      <c r="I172" s="246"/>
      <c r="J172" s="253">
        <f t="shared" si="11"/>
        <v>5.84</v>
      </c>
      <c r="K172" s="137"/>
      <c r="L172" s="137"/>
      <c r="M172" s="137"/>
      <c r="N172" s="138"/>
      <c r="O172" s="167"/>
      <c r="P172" s="111"/>
      <c r="Q172" s="111"/>
      <c r="R172" s="111"/>
      <c r="S172" s="111"/>
      <c r="T172" s="111"/>
      <c r="U172" s="111"/>
      <c r="V172" s="111"/>
      <c r="W172" s="111"/>
      <c r="X172" s="111"/>
      <c r="Y172" s="111"/>
      <c r="Z172" s="111"/>
      <c r="AA172" s="111"/>
    </row>
    <row r="173" spans="1:27" s="118" customFormat="1" x14ac:dyDescent="0.2">
      <c r="A173" s="10"/>
      <c r="B173" s="10"/>
      <c r="C173" s="157"/>
      <c r="D173" s="2" t="s">
        <v>1013</v>
      </c>
      <c r="E173" s="148"/>
      <c r="F173" s="253">
        <v>2</v>
      </c>
      <c r="G173" s="253">
        <v>1.1000000000000001</v>
      </c>
      <c r="H173" s="253">
        <v>2.54</v>
      </c>
      <c r="I173" s="246"/>
      <c r="J173" s="253">
        <f t="shared" si="11"/>
        <v>5.59</v>
      </c>
      <c r="K173" s="137"/>
      <c r="L173" s="137"/>
      <c r="M173" s="137"/>
      <c r="N173" s="138"/>
      <c r="O173" s="167"/>
      <c r="P173" s="111"/>
      <c r="Q173" s="111"/>
      <c r="R173" s="111"/>
      <c r="S173" s="111"/>
      <c r="T173" s="111"/>
      <c r="U173" s="111"/>
      <c r="V173" s="111"/>
      <c r="W173" s="111"/>
      <c r="X173" s="111"/>
      <c r="Y173" s="111"/>
      <c r="Z173" s="111"/>
      <c r="AA173" s="111"/>
    </row>
    <row r="174" spans="1:27" s="118" customFormat="1" x14ac:dyDescent="0.2">
      <c r="A174" s="10"/>
      <c r="B174" s="10"/>
      <c r="C174" s="157"/>
      <c r="D174" s="2" t="s">
        <v>1014</v>
      </c>
      <c r="E174" s="148"/>
      <c r="F174" s="253"/>
      <c r="G174" s="253">
        <v>4.55</v>
      </c>
      <c r="H174" s="253">
        <v>2.54</v>
      </c>
      <c r="I174" s="246"/>
      <c r="J174" s="253">
        <f t="shared" si="11"/>
        <v>11.56</v>
      </c>
      <c r="K174" s="137"/>
      <c r="L174" s="137"/>
      <c r="M174" s="137"/>
      <c r="N174" s="138"/>
      <c r="O174" s="167"/>
      <c r="P174" s="111"/>
      <c r="Q174" s="111"/>
      <c r="R174" s="111"/>
      <c r="S174" s="111"/>
      <c r="T174" s="111"/>
      <c r="U174" s="111"/>
      <c r="V174" s="111"/>
      <c r="W174" s="111"/>
      <c r="X174" s="111"/>
      <c r="Y174" s="111"/>
      <c r="Z174" s="111"/>
      <c r="AA174" s="111"/>
    </row>
    <row r="175" spans="1:27" s="118" customFormat="1" x14ac:dyDescent="0.2">
      <c r="A175" s="10"/>
      <c r="B175" s="10"/>
      <c r="C175" s="157"/>
      <c r="D175" s="2" t="s">
        <v>1015</v>
      </c>
      <c r="E175" s="148"/>
      <c r="F175" s="253"/>
      <c r="G175" s="253">
        <v>3.42</v>
      </c>
      <c r="H175" s="253">
        <v>2.4700000000000002</v>
      </c>
      <c r="I175" s="246"/>
      <c r="J175" s="253">
        <f t="shared" si="11"/>
        <v>8.4499999999999993</v>
      </c>
      <c r="K175" s="137"/>
      <c r="L175" s="137"/>
      <c r="M175" s="137"/>
      <c r="N175" s="138"/>
      <c r="O175" s="167"/>
      <c r="P175" s="111"/>
      <c r="Q175" s="111"/>
      <c r="R175" s="111"/>
      <c r="S175" s="111"/>
      <c r="T175" s="111"/>
      <c r="U175" s="111"/>
      <c r="V175" s="111"/>
      <c r="W175" s="111"/>
      <c r="X175" s="111"/>
      <c r="Y175" s="111"/>
      <c r="Z175" s="111"/>
      <c r="AA175" s="111"/>
    </row>
    <row r="176" spans="1:27" s="118" customFormat="1" x14ac:dyDescent="0.2">
      <c r="A176" s="10"/>
      <c r="B176" s="10"/>
      <c r="C176" s="157"/>
      <c r="D176" s="2" t="s">
        <v>1016</v>
      </c>
      <c r="E176" s="148"/>
      <c r="F176" s="253"/>
      <c r="G176" s="253">
        <v>3</v>
      </c>
      <c r="H176" s="253">
        <v>2</v>
      </c>
      <c r="I176" s="246"/>
      <c r="J176" s="253">
        <f t="shared" si="11"/>
        <v>6</v>
      </c>
      <c r="K176" s="137"/>
      <c r="L176" s="137"/>
      <c r="M176" s="137"/>
      <c r="N176" s="138"/>
      <c r="O176" s="167"/>
      <c r="P176" s="111"/>
      <c r="Q176" s="111"/>
      <c r="R176" s="111"/>
      <c r="S176" s="111"/>
      <c r="T176" s="111"/>
      <c r="U176" s="111"/>
      <c r="V176" s="111"/>
      <c r="W176" s="111"/>
      <c r="X176" s="111"/>
      <c r="Y176" s="111"/>
      <c r="Z176" s="111"/>
      <c r="AA176" s="111"/>
    </row>
    <row r="177" spans="1:27" s="118" customFormat="1" x14ac:dyDescent="0.2">
      <c r="A177" s="10"/>
      <c r="B177" s="10"/>
      <c r="C177" s="157"/>
      <c r="D177" s="2" t="s">
        <v>1003</v>
      </c>
      <c r="E177" s="148"/>
      <c r="F177" s="253"/>
      <c r="G177" s="253">
        <v>2.6</v>
      </c>
      <c r="H177" s="253">
        <v>2.2999999999999998</v>
      </c>
      <c r="I177" s="246"/>
      <c r="J177" s="253">
        <f t="shared" si="11"/>
        <v>5.98</v>
      </c>
      <c r="K177" s="137"/>
      <c r="L177" s="137"/>
      <c r="M177" s="137"/>
      <c r="N177" s="138"/>
      <c r="O177" s="167"/>
      <c r="P177" s="111"/>
      <c r="Q177" s="111"/>
      <c r="R177" s="111"/>
      <c r="S177" s="111"/>
      <c r="T177" s="111"/>
      <c r="U177" s="111"/>
      <c r="V177" s="111"/>
      <c r="W177" s="111"/>
      <c r="X177" s="111"/>
      <c r="Y177" s="111"/>
      <c r="Z177" s="111"/>
      <c r="AA177" s="111"/>
    </row>
    <row r="178" spans="1:27" s="118" customFormat="1" x14ac:dyDescent="0.2">
      <c r="A178" s="10"/>
      <c r="B178" s="10"/>
      <c r="C178" s="157"/>
      <c r="D178" s="2" t="s">
        <v>972</v>
      </c>
      <c r="E178" s="148"/>
      <c r="F178" s="253"/>
      <c r="G178" s="253">
        <v>2.6</v>
      </c>
      <c r="H178" s="253">
        <v>1.95</v>
      </c>
      <c r="I178" s="246"/>
      <c r="J178" s="253">
        <f t="shared" si="11"/>
        <v>5.07</v>
      </c>
      <c r="K178" s="137"/>
      <c r="L178" s="137"/>
      <c r="M178" s="137"/>
      <c r="N178" s="138"/>
      <c r="O178" s="167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</row>
    <row r="179" spans="1:27" s="118" customFormat="1" x14ac:dyDescent="0.2">
      <c r="A179" s="10"/>
      <c r="B179" s="10"/>
      <c r="C179" s="157"/>
      <c r="D179" s="2" t="s">
        <v>1017</v>
      </c>
      <c r="E179" s="148"/>
      <c r="F179" s="253"/>
      <c r="G179" s="253">
        <v>2.6</v>
      </c>
      <c r="H179" s="253">
        <v>2.5</v>
      </c>
      <c r="I179" s="246"/>
      <c r="J179" s="253">
        <f t="shared" si="11"/>
        <v>6.5</v>
      </c>
      <c r="K179" s="137"/>
      <c r="L179" s="137"/>
      <c r="M179" s="137"/>
      <c r="N179" s="138"/>
      <c r="O179" s="167"/>
      <c r="P179" s="111"/>
      <c r="Q179" s="111"/>
      <c r="R179" s="111"/>
      <c r="S179" s="111"/>
      <c r="T179" s="111"/>
      <c r="U179" s="111"/>
      <c r="V179" s="111"/>
      <c r="W179" s="111"/>
      <c r="X179" s="111"/>
      <c r="Y179" s="111"/>
      <c r="Z179" s="111"/>
      <c r="AA179" s="111"/>
    </row>
    <row r="180" spans="1:27" s="118" customFormat="1" x14ac:dyDescent="0.2">
      <c r="A180" s="10"/>
      <c r="B180" s="10"/>
      <c r="C180" s="157"/>
      <c r="D180" s="2" t="s">
        <v>1018</v>
      </c>
      <c r="E180" s="148"/>
      <c r="F180" s="253"/>
      <c r="G180" s="253">
        <v>4.2</v>
      </c>
      <c r="H180" s="253">
        <v>6.7</v>
      </c>
      <c r="I180" s="246"/>
      <c r="J180" s="253">
        <f t="shared" si="11"/>
        <v>28.14</v>
      </c>
      <c r="K180" s="137"/>
      <c r="L180" s="137"/>
      <c r="M180" s="137"/>
      <c r="N180" s="138"/>
      <c r="O180" s="167"/>
      <c r="P180" s="111"/>
      <c r="Q180" s="111"/>
      <c r="R180" s="111"/>
      <c r="S180" s="111"/>
      <c r="T180" s="111"/>
      <c r="U180" s="111"/>
      <c r="V180" s="111"/>
      <c r="W180" s="111"/>
      <c r="X180" s="111"/>
      <c r="Y180" s="111"/>
      <c r="Z180" s="111"/>
      <c r="AA180" s="111"/>
    </row>
    <row r="181" spans="1:27" s="118" customFormat="1" x14ac:dyDescent="0.2">
      <c r="A181" s="10"/>
      <c r="B181" s="10"/>
      <c r="C181" s="157"/>
      <c r="D181" s="2" t="s">
        <v>1019</v>
      </c>
      <c r="E181" s="148"/>
      <c r="F181" s="253"/>
      <c r="G181" s="253">
        <v>1.65</v>
      </c>
      <c r="H181" s="253">
        <v>5.05</v>
      </c>
      <c r="I181" s="246"/>
      <c r="J181" s="253">
        <f t="shared" si="11"/>
        <v>8.33</v>
      </c>
      <c r="K181" s="137"/>
      <c r="L181" s="137"/>
      <c r="M181" s="137"/>
      <c r="N181" s="138"/>
      <c r="O181" s="167"/>
      <c r="P181" s="111"/>
      <c r="Q181" s="111"/>
      <c r="R181" s="111"/>
      <c r="S181" s="111"/>
      <c r="T181" s="111"/>
      <c r="U181" s="111"/>
      <c r="V181" s="111"/>
      <c r="W181" s="111"/>
      <c r="X181" s="111"/>
      <c r="Y181" s="111"/>
      <c r="Z181" s="111"/>
      <c r="AA181" s="111"/>
    </row>
    <row r="182" spans="1:27" s="118" customFormat="1" x14ac:dyDescent="0.2">
      <c r="A182" s="10"/>
      <c r="B182" s="10"/>
      <c r="C182" s="157"/>
      <c r="D182" s="2" t="s">
        <v>1020</v>
      </c>
      <c r="E182" s="148"/>
      <c r="F182" s="253"/>
      <c r="G182" s="253">
        <v>3.95</v>
      </c>
      <c r="H182" s="253">
        <v>2.5</v>
      </c>
      <c r="I182" s="246"/>
      <c r="J182" s="253"/>
      <c r="K182" s="137"/>
      <c r="L182" s="137"/>
      <c r="M182" s="137"/>
      <c r="N182" s="138"/>
      <c r="O182" s="167"/>
      <c r="P182" s="111"/>
      <c r="Q182" s="111"/>
      <c r="R182" s="111"/>
      <c r="S182" s="111"/>
      <c r="T182" s="111"/>
      <c r="U182" s="111"/>
      <c r="V182" s="111"/>
      <c r="W182" s="111"/>
      <c r="X182" s="111"/>
      <c r="Y182" s="111"/>
      <c r="Z182" s="111"/>
      <c r="AA182" s="111"/>
    </row>
    <row r="183" spans="1:27" s="118" customFormat="1" x14ac:dyDescent="0.2">
      <c r="A183" s="10"/>
      <c r="B183" s="10"/>
      <c r="C183" s="157"/>
      <c r="D183" s="2" t="s">
        <v>1021</v>
      </c>
      <c r="E183" s="148"/>
      <c r="F183" s="253"/>
      <c r="G183" s="253">
        <v>3.95</v>
      </c>
      <c r="H183" s="253">
        <v>2.5</v>
      </c>
      <c r="I183" s="246"/>
      <c r="J183" s="253">
        <f t="shared" si="11"/>
        <v>9.8800000000000008</v>
      </c>
      <c r="K183" s="137"/>
      <c r="L183" s="137"/>
      <c r="M183" s="137"/>
      <c r="N183" s="138"/>
      <c r="O183" s="167"/>
      <c r="P183" s="111"/>
      <c r="Q183" s="111"/>
      <c r="R183" s="111"/>
      <c r="S183" s="111"/>
      <c r="T183" s="111"/>
      <c r="U183" s="111"/>
      <c r="V183" s="111"/>
      <c r="W183" s="111"/>
      <c r="X183" s="111"/>
      <c r="Y183" s="111"/>
      <c r="Z183" s="111"/>
      <c r="AA183" s="111"/>
    </row>
    <row r="184" spans="1:27" s="118" customFormat="1" x14ac:dyDescent="0.2">
      <c r="A184" s="10"/>
      <c r="B184" s="10"/>
      <c r="C184" s="157"/>
      <c r="D184" s="2" t="s">
        <v>975</v>
      </c>
      <c r="E184" s="148"/>
      <c r="F184" s="253">
        <v>2</v>
      </c>
      <c r="G184" s="253">
        <v>1.5</v>
      </c>
      <c r="H184" s="253">
        <v>2.15</v>
      </c>
      <c r="I184" s="246"/>
      <c r="J184" s="253">
        <f t="shared" si="11"/>
        <v>6.45</v>
      </c>
      <c r="K184" s="137"/>
      <c r="L184" s="137"/>
      <c r="M184" s="137"/>
      <c r="N184" s="138"/>
      <c r="O184" s="167"/>
      <c r="P184" s="111"/>
      <c r="Q184" s="111"/>
      <c r="R184" s="111"/>
      <c r="S184" s="111"/>
      <c r="T184" s="111"/>
      <c r="U184" s="111"/>
      <c r="V184" s="111"/>
      <c r="W184" s="111"/>
      <c r="X184" s="111"/>
      <c r="Y184" s="111"/>
      <c r="Z184" s="111"/>
      <c r="AA184" s="111"/>
    </row>
    <row r="185" spans="1:27" s="118" customFormat="1" x14ac:dyDescent="0.2">
      <c r="A185" s="10"/>
      <c r="B185" s="10"/>
      <c r="C185" s="157"/>
      <c r="D185" s="2" t="s">
        <v>1022</v>
      </c>
      <c r="E185" s="148"/>
      <c r="F185" s="253"/>
      <c r="G185" s="253">
        <v>4.3</v>
      </c>
      <c r="H185" s="253">
        <v>2.5</v>
      </c>
      <c r="I185" s="246"/>
      <c r="J185" s="253">
        <f t="shared" si="11"/>
        <v>10.75</v>
      </c>
      <c r="K185" s="137"/>
      <c r="L185" s="137"/>
      <c r="M185" s="137"/>
      <c r="N185" s="138"/>
      <c r="O185" s="167"/>
      <c r="P185" s="111"/>
      <c r="Q185" s="111"/>
      <c r="R185" s="111"/>
      <c r="S185" s="111"/>
      <c r="T185" s="111"/>
      <c r="U185" s="111"/>
      <c r="V185" s="111"/>
      <c r="W185" s="111"/>
      <c r="X185" s="111"/>
      <c r="Y185" s="111"/>
      <c r="Z185" s="111"/>
      <c r="AA185" s="111"/>
    </row>
    <row r="186" spans="1:27" s="118" customFormat="1" x14ac:dyDescent="0.2">
      <c r="A186" s="10"/>
      <c r="B186" s="10"/>
      <c r="C186" s="157"/>
      <c r="D186" s="2" t="s">
        <v>1023</v>
      </c>
      <c r="E186" s="148"/>
      <c r="F186" s="253"/>
      <c r="G186" s="253">
        <v>5.4</v>
      </c>
      <c r="H186" s="253">
        <v>5</v>
      </c>
      <c r="I186" s="246"/>
      <c r="J186" s="253">
        <f t="shared" si="11"/>
        <v>27</v>
      </c>
      <c r="K186" s="137"/>
      <c r="L186" s="137"/>
      <c r="M186" s="137"/>
      <c r="N186" s="138"/>
      <c r="O186" s="167"/>
      <c r="P186" s="111"/>
      <c r="Q186" s="111"/>
      <c r="R186" s="111"/>
      <c r="S186" s="111"/>
      <c r="T186" s="111"/>
      <c r="U186" s="111"/>
      <c r="V186" s="111"/>
      <c r="W186" s="111"/>
      <c r="X186" s="111"/>
      <c r="Y186" s="111"/>
      <c r="Z186" s="111"/>
      <c r="AA186" s="111"/>
    </row>
    <row r="187" spans="1:27" s="118" customFormat="1" x14ac:dyDescent="0.2">
      <c r="A187" s="10"/>
      <c r="B187" s="10"/>
      <c r="C187" s="157"/>
      <c r="D187" s="2" t="s">
        <v>446</v>
      </c>
      <c r="E187" s="148"/>
      <c r="F187" s="253"/>
      <c r="G187" s="253">
        <v>7.5</v>
      </c>
      <c r="H187" s="253">
        <v>1.3</v>
      </c>
      <c r="I187" s="246"/>
      <c r="J187" s="253">
        <f t="shared" si="11"/>
        <v>9.75</v>
      </c>
      <c r="K187" s="137"/>
      <c r="L187" s="137"/>
      <c r="M187" s="137"/>
      <c r="N187" s="138"/>
      <c r="O187" s="167"/>
      <c r="P187" s="111"/>
      <c r="Q187" s="111"/>
      <c r="R187" s="111"/>
      <c r="S187" s="111"/>
      <c r="T187" s="111"/>
      <c r="U187" s="111"/>
      <c r="V187" s="111"/>
      <c r="W187" s="111"/>
      <c r="X187" s="111"/>
      <c r="Y187" s="111"/>
      <c r="Z187" s="111"/>
      <c r="AA187" s="111"/>
    </row>
    <row r="188" spans="1:27" s="118" customFormat="1" x14ac:dyDescent="0.2">
      <c r="A188" s="10"/>
      <c r="B188" s="10"/>
      <c r="C188" s="157"/>
      <c r="D188" s="2"/>
      <c r="E188" s="148"/>
      <c r="F188" s="253"/>
      <c r="G188" s="253"/>
      <c r="H188" s="253"/>
      <c r="I188" s="246" t="str">
        <f>"Total item "&amp;A170</f>
        <v>Total item 3.1.4</v>
      </c>
      <c r="J188" s="261">
        <f>SUM(J171:J187)</f>
        <v>161.08000000000001</v>
      </c>
      <c r="K188" s="137"/>
      <c r="L188" s="137"/>
      <c r="M188" s="137"/>
      <c r="N188" s="138"/>
      <c r="O188" s="167"/>
      <c r="P188" s="111"/>
      <c r="Q188" s="111"/>
      <c r="R188" s="111"/>
      <c r="S188" s="111"/>
      <c r="T188" s="111"/>
      <c r="U188" s="111"/>
      <c r="V188" s="111"/>
      <c r="W188" s="111"/>
      <c r="X188" s="111"/>
      <c r="Y188" s="111"/>
      <c r="Z188" s="111"/>
      <c r="AA188" s="111"/>
    </row>
    <row r="189" spans="1:27" s="118" customFormat="1" x14ac:dyDescent="0.2">
      <c r="A189" s="10"/>
      <c r="B189" s="10"/>
      <c r="C189" s="157"/>
      <c r="D189" s="115"/>
      <c r="E189" s="158"/>
      <c r="F189" s="267"/>
      <c r="G189" s="267"/>
      <c r="H189" s="267"/>
      <c r="I189" s="250"/>
      <c r="J189" s="253"/>
      <c r="K189" s="137"/>
      <c r="L189" s="137"/>
      <c r="M189" s="137"/>
      <c r="N189" s="138"/>
      <c r="O189" s="167"/>
      <c r="P189" s="111"/>
      <c r="Q189" s="111"/>
      <c r="R189" s="111"/>
      <c r="S189" s="111"/>
      <c r="T189" s="111"/>
      <c r="U189" s="111"/>
      <c r="V189" s="111"/>
      <c r="W189" s="111"/>
      <c r="X189" s="111"/>
      <c r="Y189" s="111"/>
      <c r="Z189" s="111"/>
      <c r="AA189" s="111"/>
    </row>
    <row r="190" spans="1:27" s="118" customFormat="1" ht="20.399999999999999" x14ac:dyDescent="0.2">
      <c r="A190" s="9" t="s">
        <v>731</v>
      </c>
      <c r="B190" s="9"/>
      <c r="C190" s="370"/>
      <c r="D190" s="371" t="str">
        <f>'ORÇAMENTO PINTURA'!D25</f>
        <v>PINTURA TINTA DE ACABAMENTO (PIGMENTADA) A ÓLEO EM MADEIRA, 2 DEMÃOS. AF_01/2021</v>
      </c>
      <c r="E190" s="9" t="s">
        <v>9</v>
      </c>
      <c r="F190" s="362"/>
      <c r="G190" s="362"/>
      <c r="H190" s="362"/>
      <c r="I190" s="245"/>
      <c r="J190" s="362"/>
      <c r="K190" s="137"/>
      <c r="L190" s="137"/>
      <c r="M190" s="137"/>
      <c r="N190" s="138"/>
      <c r="O190" s="167"/>
      <c r="P190" s="111"/>
      <c r="Q190" s="111"/>
      <c r="R190" s="111"/>
      <c r="S190" s="111"/>
      <c r="T190" s="111"/>
      <c r="U190" s="111"/>
      <c r="V190" s="111"/>
      <c r="W190" s="111"/>
      <c r="X190" s="111"/>
      <c r="Y190" s="111"/>
      <c r="Z190" s="111"/>
      <c r="AA190" s="111"/>
    </row>
    <row r="191" spans="1:27" s="118" customFormat="1" x14ac:dyDescent="0.2">
      <c r="A191" s="10"/>
      <c r="B191" s="10"/>
      <c r="C191" s="157"/>
      <c r="D191" s="110"/>
      <c r="E191" s="158"/>
      <c r="F191" s="253">
        <v>6</v>
      </c>
      <c r="G191" s="253"/>
      <c r="H191" s="253">
        <v>0.6</v>
      </c>
      <c r="I191" s="249">
        <v>2.1</v>
      </c>
      <c r="J191" s="253">
        <f t="shared" ref="J191:J194" si="12">ROUND(PRODUCT(F191:I191),2)</f>
        <v>7.56</v>
      </c>
      <c r="K191" s="137"/>
      <c r="L191" s="137"/>
      <c r="M191" s="137"/>
      <c r="N191" s="138"/>
      <c r="O191" s="167"/>
      <c r="P191" s="111"/>
      <c r="Q191" s="111"/>
      <c r="R191" s="111"/>
      <c r="S191" s="111"/>
      <c r="T191" s="111"/>
      <c r="U191" s="111"/>
      <c r="V191" s="111"/>
      <c r="W191" s="111"/>
      <c r="X191" s="111"/>
      <c r="Y191" s="111"/>
      <c r="Z191" s="111"/>
      <c r="AA191" s="111"/>
    </row>
    <row r="192" spans="1:27" s="118" customFormat="1" x14ac:dyDescent="0.2">
      <c r="A192" s="10"/>
      <c r="B192" s="10"/>
      <c r="C192" s="157"/>
      <c r="D192" s="110"/>
      <c r="E192" s="158"/>
      <c r="F192" s="253">
        <v>6</v>
      </c>
      <c r="G192" s="253"/>
      <c r="H192" s="253">
        <v>0.7</v>
      </c>
      <c r="I192" s="249">
        <v>2.1</v>
      </c>
      <c r="J192" s="253">
        <f t="shared" si="12"/>
        <v>8.82</v>
      </c>
      <c r="K192" s="137"/>
      <c r="L192" s="137"/>
      <c r="M192" s="137"/>
      <c r="N192" s="138"/>
      <c r="O192" s="167"/>
      <c r="P192" s="111"/>
      <c r="Q192" s="111"/>
      <c r="R192" s="111"/>
      <c r="S192" s="111"/>
      <c r="T192" s="111"/>
      <c r="U192" s="111"/>
      <c r="V192" s="111"/>
      <c r="W192" s="111"/>
      <c r="X192" s="111"/>
      <c r="Y192" s="111"/>
      <c r="Z192" s="111"/>
      <c r="AA192" s="111"/>
    </row>
    <row r="193" spans="1:28" s="118" customFormat="1" x14ac:dyDescent="0.2">
      <c r="A193" s="10"/>
      <c r="B193" s="10"/>
      <c r="C193" s="157"/>
      <c r="D193" s="110"/>
      <c r="E193" s="158"/>
      <c r="F193" s="253">
        <v>20</v>
      </c>
      <c r="G193" s="253"/>
      <c r="H193" s="253">
        <v>0.8</v>
      </c>
      <c r="I193" s="249">
        <v>2.1</v>
      </c>
      <c r="J193" s="253">
        <f t="shared" si="12"/>
        <v>33.6</v>
      </c>
      <c r="K193" s="137"/>
      <c r="L193" s="137"/>
      <c r="M193" s="137"/>
      <c r="N193" s="138"/>
      <c r="O193" s="167"/>
      <c r="P193" s="111"/>
      <c r="Q193" s="111"/>
      <c r="R193" s="111"/>
      <c r="S193" s="111"/>
      <c r="T193" s="111"/>
      <c r="U193" s="111"/>
      <c r="V193" s="111"/>
      <c r="W193" s="111"/>
      <c r="X193" s="111"/>
      <c r="Y193" s="111"/>
      <c r="Z193" s="111"/>
      <c r="AA193" s="111"/>
    </row>
    <row r="194" spans="1:28" s="118" customFormat="1" x14ac:dyDescent="0.2">
      <c r="A194" s="10"/>
      <c r="B194" s="10"/>
      <c r="C194" s="157"/>
      <c r="D194" s="110"/>
      <c r="E194" s="158"/>
      <c r="F194" s="253">
        <v>2</v>
      </c>
      <c r="G194" s="253"/>
      <c r="H194" s="253">
        <v>1</v>
      </c>
      <c r="I194" s="249">
        <v>2.1</v>
      </c>
      <c r="J194" s="253">
        <f t="shared" si="12"/>
        <v>4.2</v>
      </c>
      <c r="K194" s="137"/>
      <c r="L194" s="137"/>
      <c r="M194" s="137"/>
      <c r="N194" s="138"/>
      <c r="O194" s="167"/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111"/>
      <c r="AA194" s="111"/>
    </row>
    <row r="195" spans="1:28" s="118" customFormat="1" x14ac:dyDescent="0.2">
      <c r="A195" s="10"/>
      <c r="B195" s="10"/>
      <c r="C195" s="157"/>
      <c r="D195" s="110"/>
      <c r="E195" s="158"/>
      <c r="F195" s="267"/>
      <c r="G195" s="267"/>
      <c r="H195" s="267"/>
      <c r="I195" s="246" t="str">
        <f>"Total item "&amp;A190</f>
        <v>Total item 3.1.5</v>
      </c>
      <c r="J195" s="261">
        <f>SUM(J191:J194)</f>
        <v>54.180000000000007</v>
      </c>
      <c r="K195" s="137"/>
      <c r="L195" s="137"/>
      <c r="M195" s="137"/>
      <c r="N195" s="138"/>
      <c r="O195" s="167"/>
      <c r="P195" s="111"/>
      <c r="Q195" s="111"/>
      <c r="R195" s="111"/>
      <c r="S195" s="111"/>
      <c r="T195" s="111"/>
      <c r="U195" s="111"/>
      <c r="V195" s="111"/>
      <c r="W195" s="111"/>
      <c r="X195" s="111"/>
      <c r="Y195" s="111"/>
      <c r="Z195" s="111"/>
      <c r="AA195" s="111"/>
    </row>
    <row r="196" spans="1:28" s="118" customFormat="1" x14ac:dyDescent="0.2">
      <c r="A196" s="10"/>
      <c r="B196" s="10"/>
      <c r="C196" s="157"/>
      <c r="D196" s="110"/>
      <c r="E196" s="158"/>
      <c r="F196" s="267"/>
      <c r="G196" s="267"/>
      <c r="H196" s="267"/>
      <c r="I196" s="250"/>
      <c r="J196" s="266"/>
      <c r="K196" s="137"/>
      <c r="L196" s="137"/>
      <c r="M196" s="137"/>
      <c r="N196" s="138"/>
      <c r="O196" s="167"/>
      <c r="P196" s="111"/>
      <c r="Q196" s="111"/>
      <c r="R196" s="111"/>
      <c r="S196" s="111"/>
      <c r="T196" s="111"/>
      <c r="U196" s="111"/>
      <c r="V196" s="111"/>
      <c r="W196" s="111"/>
      <c r="X196" s="111"/>
      <c r="Y196" s="111"/>
      <c r="Z196" s="111"/>
      <c r="AA196" s="111"/>
    </row>
    <row r="197" spans="1:28" s="118" customFormat="1" x14ac:dyDescent="0.2">
      <c r="A197" s="10"/>
      <c r="B197" s="10"/>
      <c r="C197" s="157"/>
      <c r="D197" s="110"/>
      <c r="E197" s="158"/>
      <c r="F197" s="267"/>
      <c r="G197" s="267"/>
      <c r="H197" s="267"/>
      <c r="I197" s="250"/>
      <c r="J197" s="266"/>
      <c r="K197" s="137"/>
      <c r="L197" s="137"/>
      <c r="M197" s="137"/>
      <c r="N197" s="138"/>
      <c r="O197" s="167"/>
      <c r="P197" s="111"/>
      <c r="Q197" s="111"/>
      <c r="R197" s="111"/>
      <c r="S197" s="111"/>
      <c r="T197" s="111"/>
      <c r="U197" s="111"/>
      <c r="V197" s="111"/>
      <c r="W197" s="111"/>
      <c r="X197" s="111"/>
      <c r="Y197" s="111"/>
      <c r="Z197" s="111"/>
      <c r="AA197" s="111"/>
    </row>
    <row r="198" spans="1:28" s="241" customFormat="1" ht="26.4" x14ac:dyDescent="0.25">
      <c r="A198" s="236" t="s">
        <v>16</v>
      </c>
      <c r="B198" s="236"/>
      <c r="C198" s="237"/>
      <c r="D198" s="289" t="s">
        <v>974</v>
      </c>
      <c r="E198" s="236"/>
      <c r="F198" s="259"/>
      <c r="G198" s="259"/>
      <c r="H198" s="259"/>
      <c r="I198" s="247"/>
      <c r="J198" s="259"/>
      <c r="K198" s="238"/>
      <c r="L198" s="238"/>
      <c r="M198" s="238"/>
      <c r="N198" s="239" t="e">
        <f>SUM(#REF!,N199,#REF!)</f>
        <v>#REF!</v>
      </c>
      <c r="O198" s="284" t="e">
        <f>N198/$N$1660</f>
        <v>#REF!</v>
      </c>
      <c r="P198" s="240" t="s">
        <v>533</v>
      </c>
      <c r="Q198" s="276" t="s">
        <v>746</v>
      </c>
      <c r="R198" s="240"/>
      <c r="S198" s="240"/>
      <c r="T198" s="240"/>
      <c r="U198" s="240"/>
      <c r="V198" s="240"/>
      <c r="W198" s="240"/>
      <c r="X198" s="240"/>
      <c r="Y198" s="240"/>
      <c r="Z198" s="240"/>
      <c r="AA198" s="240"/>
    </row>
    <row r="199" spans="1:28" s="145" customFormat="1" x14ac:dyDescent="0.2">
      <c r="A199" s="140" t="s">
        <v>17</v>
      </c>
      <c r="B199" s="140"/>
      <c r="C199" s="141"/>
      <c r="D199" s="112" t="s">
        <v>987</v>
      </c>
      <c r="E199" s="140"/>
      <c r="F199" s="260"/>
      <c r="G199" s="260"/>
      <c r="H199" s="260"/>
      <c r="I199" s="248"/>
      <c r="J199" s="260"/>
      <c r="K199" s="142"/>
      <c r="L199" s="142"/>
      <c r="M199" s="142"/>
      <c r="N199" s="143"/>
      <c r="O199" s="285"/>
      <c r="P199" s="144"/>
      <c r="Q199" s="144"/>
      <c r="R199" s="144"/>
      <c r="S199" s="144"/>
      <c r="T199" s="144"/>
      <c r="U199" s="144"/>
      <c r="V199" s="144"/>
      <c r="W199" s="144"/>
      <c r="X199" s="144"/>
      <c r="Y199" s="144"/>
      <c r="Z199" s="144"/>
      <c r="AA199" s="144"/>
    </row>
    <row r="200" spans="1:28" s="118" customFormat="1" x14ac:dyDescent="0.2">
      <c r="A200" s="10"/>
      <c r="B200" s="10"/>
      <c r="C200" s="157"/>
      <c r="D200" s="110"/>
      <c r="E200" s="158"/>
      <c r="F200" s="267"/>
      <c r="G200" s="267"/>
      <c r="H200" s="267"/>
      <c r="I200" s="250"/>
      <c r="J200" s="266"/>
      <c r="K200" s="137"/>
      <c r="L200" s="137"/>
      <c r="M200" s="137"/>
      <c r="N200" s="138"/>
      <c r="O200" s="167"/>
      <c r="P200" s="111"/>
      <c r="Q200" s="111"/>
      <c r="R200" s="111"/>
      <c r="S200" s="111"/>
      <c r="T200" s="111"/>
      <c r="U200" s="111"/>
      <c r="V200" s="111"/>
      <c r="W200" s="111"/>
      <c r="X200" s="111"/>
      <c r="Y200" s="111"/>
      <c r="Z200" s="111"/>
      <c r="AA200" s="111"/>
    </row>
    <row r="201" spans="1:28" s="147" customFormat="1" ht="21" customHeight="1" x14ac:dyDescent="0.2">
      <c r="A201" s="9" t="s">
        <v>405</v>
      </c>
      <c r="B201" s="9"/>
      <c r="C201" s="197"/>
      <c r="D201" s="113" t="str">
        <f>'ORÇAMENTO PINTURA'!D28</f>
        <v>APLICAÇÃO DE FUNDO SELADOR ACRÍLICO EM PAREDES, UMA DEMÃO. AF_06/2014</v>
      </c>
      <c r="E201" s="9" t="s">
        <v>9</v>
      </c>
      <c r="F201" s="261"/>
      <c r="G201" s="261"/>
      <c r="H201" s="261"/>
      <c r="I201" s="245"/>
      <c r="J201" s="261"/>
      <c r="K201" s="131"/>
      <c r="L201" s="131"/>
      <c r="M201" s="131"/>
      <c r="N201" s="133"/>
      <c r="O201" s="286"/>
      <c r="P201" s="146"/>
      <c r="Q201" s="146"/>
      <c r="R201" s="146"/>
      <c r="S201" s="146"/>
      <c r="T201" s="146"/>
      <c r="U201" s="146"/>
      <c r="V201" s="146"/>
      <c r="W201" s="146"/>
      <c r="X201" s="146"/>
      <c r="Y201" s="146"/>
      <c r="Z201" s="146"/>
      <c r="AA201" s="146"/>
    </row>
    <row r="202" spans="1:28" s="118" customFormat="1" x14ac:dyDescent="0.2">
      <c r="A202" s="6"/>
      <c r="B202" s="6"/>
      <c r="C202" s="155"/>
      <c r="D202" s="3" t="s">
        <v>976</v>
      </c>
      <c r="E202" s="148"/>
      <c r="F202" s="253"/>
      <c r="G202" s="253"/>
      <c r="H202" s="253"/>
      <c r="I202" s="246"/>
      <c r="J202" s="253"/>
      <c r="K202" s="137"/>
      <c r="L202" s="137"/>
      <c r="M202" s="137"/>
      <c r="N202" s="138"/>
      <c r="O202" s="167"/>
      <c r="P202" s="111"/>
      <c r="Q202" s="111"/>
      <c r="R202" s="111"/>
      <c r="S202" s="111"/>
      <c r="T202" s="111"/>
      <c r="U202" s="111"/>
      <c r="V202" s="111"/>
      <c r="W202" s="111"/>
      <c r="X202" s="111"/>
      <c r="Y202" s="111"/>
      <c r="Z202" s="111"/>
      <c r="AA202" s="111"/>
    </row>
    <row r="203" spans="1:28" s="118" customFormat="1" x14ac:dyDescent="0.2">
      <c r="A203" s="6"/>
      <c r="B203" s="6"/>
      <c r="C203" s="155"/>
      <c r="D203" s="2" t="s">
        <v>977</v>
      </c>
      <c r="E203" s="148"/>
      <c r="F203" s="253">
        <v>2</v>
      </c>
      <c r="G203" s="253">
        <v>8</v>
      </c>
      <c r="H203" s="253"/>
      <c r="I203" s="246">
        <v>2.6</v>
      </c>
      <c r="J203" s="253">
        <f t="shared" ref="J203:J212" si="13">ROUND(PRODUCT(F203:I203),2)</f>
        <v>41.6</v>
      </c>
      <c r="K203" s="137"/>
      <c r="L203" s="137"/>
      <c r="M203" s="137"/>
      <c r="N203" s="138"/>
      <c r="O203" s="167"/>
      <c r="P203" s="111"/>
      <c r="Q203" s="111"/>
      <c r="R203" s="111"/>
      <c r="S203" s="111"/>
      <c r="T203" s="111"/>
      <c r="U203" s="111"/>
      <c r="V203" s="111"/>
      <c r="W203" s="111"/>
      <c r="X203" s="111"/>
      <c r="Y203" s="111"/>
      <c r="Z203" s="111"/>
      <c r="AA203" s="111"/>
    </row>
    <row r="204" spans="1:28" s="118" customFormat="1" x14ac:dyDescent="0.2">
      <c r="A204" s="6"/>
      <c r="B204" s="6"/>
      <c r="C204" s="155"/>
      <c r="D204" s="2"/>
      <c r="E204" s="148"/>
      <c r="F204" s="253">
        <v>2</v>
      </c>
      <c r="G204" s="253">
        <v>6</v>
      </c>
      <c r="H204" s="253"/>
      <c r="I204" s="246">
        <v>2.6</v>
      </c>
      <c r="J204" s="253">
        <f t="shared" si="13"/>
        <v>31.2</v>
      </c>
      <c r="K204" s="137"/>
      <c r="L204" s="137"/>
      <c r="M204" s="137"/>
      <c r="N204" s="138"/>
      <c r="O204" s="167"/>
      <c r="P204" s="111"/>
      <c r="Q204" s="111"/>
      <c r="R204" s="111"/>
      <c r="S204" s="111"/>
      <c r="T204" s="111"/>
      <c r="U204" s="111"/>
      <c r="V204" s="111"/>
      <c r="W204" s="111"/>
      <c r="X204" s="111"/>
      <c r="Y204" s="111"/>
      <c r="Z204" s="111"/>
      <c r="AA204" s="111"/>
    </row>
    <row r="205" spans="1:28" s="118" customFormat="1" x14ac:dyDescent="0.2">
      <c r="A205" s="6"/>
      <c r="B205" s="6"/>
      <c r="C205" s="155"/>
      <c r="D205" s="2" t="s">
        <v>978</v>
      </c>
      <c r="E205" s="148"/>
      <c r="F205" s="253">
        <v>2</v>
      </c>
      <c r="G205" s="253">
        <v>8</v>
      </c>
      <c r="H205" s="253"/>
      <c r="I205" s="246">
        <v>3.9</v>
      </c>
      <c r="J205" s="253">
        <f t="shared" si="13"/>
        <v>62.4</v>
      </c>
      <c r="K205" s="137"/>
      <c r="L205" s="137"/>
      <c r="M205" s="137"/>
      <c r="N205" s="138"/>
      <c r="O205" s="167"/>
      <c r="P205" s="111"/>
      <c r="Q205" s="120"/>
      <c r="R205" s="111"/>
      <c r="S205" s="111"/>
      <c r="T205" s="111"/>
      <c r="U205" s="111"/>
      <c r="V205" s="111"/>
      <c r="W205" s="111"/>
      <c r="X205" s="111"/>
      <c r="Y205" s="111"/>
      <c r="Z205" s="111"/>
      <c r="AA205" s="111"/>
      <c r="AB205" s="111"/>
    </row>
    <row r="206" spans="1:28" s="118" customFormat="1" x14ac:dyDescent="0.2">
      <c r="A206" s="6"/>
      <c r="B206" s="6"/>
      <c r="C206" s="156"/>
      <c r="D206" s="2"/>
      <c r="E206" s="148"/>
      <c r="F206" s="253">
        <v>2</v>
      </c>
      <c r="G206" s="253">
        <v>6</v>
      </c>
      <c r="H206" s="253"/>
      <c r="I206" s="246">
        <v>3.3</v>
      </c>
      <c r="J206" s="253">
        <f t="shared" si="13"/>
        <v>39.6</v>
      </c>
      <c r="K206" s="137"/>
      <c r="L206" s="137"/>
      <c r="M206" s="137"/>
      <c r="N206" s="138"/>
      <c r="O206" s="167"/>
      <c r="P206" s="111"/>
      <c r="Q206" s="120"/>
      <c r="R206" s="111"/>
      <c r="S206" s="111"/>
      <c r="T206" s="111"/>
      <c r="U206" s="111"/>
      <c r="V206" s="111"/>
      <c r="W206" s="111"/>
      <c r="X206" s="111"/>
      <c r="Y206" s="111"/>
      <c r="Z206" s="111"/>
      <c r="AA206" s="111"/>
      <c r="AB206" s="111"/>
    </row>
    <row r="207" spans="1:28" s="154" customFormat="1" x14ac:dyDescent="0.2">
      <c r="A207" s="6"/>
      <c r="B207" s="6"/>
      <c r="C207" s="7"/>
      <c r="D207" s="2" t="s">
        <v>979</v>
      </c>
      <c r="E207" s="148"/>
      <c r="F207" s="253">
        <v>2</v>
      </c>
      <c r="G207" s="253">
        <v>16</v>
      </c>
      <c r="H207" s="253"/>
      <c r="I207" s="246">
        <v>3.3</v>
      </c>
      <c r="J207" s="253">
        <f t="shared" si="13"/>
        <v>105.6</v>
      </c>
      <c r="K207" s="151"/>
      <c r="L207" s="151"/>
      <c r="M207" s="151"/>
      <c r="N207" s="152"/>
      <c r="O207" s="283"/>
      <c r="P207" s="153"/>
      <c r="Q207" s="153"/>
      <c r="R207" s="153"/>
      <c r="S207" s="153"/>
      <c r="T207" s="153"/>
      <c r="U207" s="153"/>
      <c r="V207" s="153"/>
      <c r="W207" s="153"/>
      <c r="X207" s="153"/>
      <c r="Y207" s="153"/>
      <c r="Z207" s="153"/>
      <c r="AA207" s="153"/>
    </row>
    <row r="208" spans="1:28" s="313" customFormat="1" x14ac:dyDescent="0.2">
      <c r="A208" s="6"/>
      <c r="B208" s="6"/>
      <c r="C208" s="7"/>
      <c r="D208" s="2"/>
      <c r="E208" s="148"/>
      <c r="F208" s="253">
        <v>2</v>
      </c>
      <c r="G208" s="253">
        <v>6</v>
      </c>
      <c r="H208" s="253"/>
      <c r="I208" s="246">
        <v>3.9</v>
      </c>
      <c r="J208" s="253">
        <f t="shared" si="13"/>
        <v>46.8</v>
      </c>
      <c r="K208" s="136"/>
      <c r="L208" s="136"/>
      <c r="M208" s="136"/>
      <c r="N208" s="199"/>
      <c r="O208" s="283"/>
      <c r="P208" s="312"/>
      <c r="Q208" s="120"/>
      <c r="R208" s="312"/>
      <c r="S208" s="312"/>
      <c r="T208" s="312"/>
      <c r="U208" s="312"/>
      <c r="V208" s="312"/>
      <c r="W208" s="312"/>
      <c r="X208" s="312"/>
      <c r="Y208" s="312"/>
      <c r="Z208" s="312"/>
      <c r="AA208" s="312"/>
      <c r="AB208" s="312"/>
    </row>
    <row r="209" spans="1:28" s="118" customFormat="1" x14ac:dyDescent="0.2">
      <c r="A209" s="6"/>
      <c r="B209" s="6"/>
      <c r="C209" s="155"/>
      <c r="D209" s="2"/>
      <c r="E209" s="148"/>
      <c r="F209" s="253">
        <v>2</v>
      </c>
      <c r="G209" s="253">
        <v>4.3499999999999996</v>
      </c>
      <c r="H209" s="253"/>
      <c r="I209" s="246">
        <v>3.3</v>
      </c>
      <c r="J209" s="253">
        <f t="shared" si="13"/>
        <v>28.71</v>
      </c>
      <c r="K209" s="137"/>
      <c r="L209" s="137"/>
      <c r="M209" s="137"/>
      <c r="N209" s="138"/>
      <c r="O209" s="167"/>
      <c r="P209" s="111"/>
      <c r="Q209" s="120"/>
      <c r="R209" s="111"/>
      <c r="S209" s="111"/>
      <c r="T209" s="111"/>
      <c r="U209" s="111"/>
      <c r="V209" s="111"/>
      <c r="W209" s="111"/>
      <c r="X209" s="111"/>
      <c r="Y209" s="111"/>
      <c r="Z209" s="111"/>
      <c r="AA209" s="111"/>
      <c r="AB209" s="111"/>
    </row>
    <row r="210" spans="1:28" s="118" customFormat="1" x14ac:dyDescent="0.2">
      <c r="A210" s="6"/>
      <c r="B210" s="6"/>
      <c r="C210" s="155"/>
      <c r="D210" s="2"/>
      <c r="E210" s="148"/>
      <c r="F210" s="253">
        <v>2</v>
      </c>
      <c r="G210" s="253">
        <v>3.8</v>
      </c>
      <c r="H210" s="253"/>
      <c r="I210" s="246">
        <v>3.3</v>
      </c>
      <c r="J210" s="253">
        <f t="shared" si="13"/>
        <v>25.08</v>
      </c>
      <c r="K210" s="137"/>
      <c r="L210" s="137"/>
      <c r="M210" s="137"/>
      <c r="N210" s="138"/>
      <c r="O210" s="167"/>
      <c r="P210" s="111"/>
      <c r="Q210" s="120"/>
      <c r="R210" s="111"/>
      <c r="S210" s="111"/>
      <c r="T210" s="111"/>
      <c r="U210" s="111"/>
      <c r="V210" s="111"/>
      <c r="W210" s="111"/>
      <c r="X210" s="111"/>
      <c r="Y210" s="111"/>
      <c r="Z210" s="111"/>
      <c r="AA210" s="111"/>
      <c r="AB210" s="111"/>
    </row>
    <row r="211" spans="1:28" s="154" customFormat="1" x14ac:dyDescent="0.2">
      <c r="A211" s="6"/>
      <c r="B211" s="6"/>
      <c r="C211" s="7"/>
      <c r="D211" s="2" t="s">
        <v>980</v>
      </c>
      <c r="E211" s="148"/>
      <c r="F211" s="253">
        <v>8</v>
      </c>
      <c r="G211" s="253">
        <v>1.1000000000000001</v>
      </c>
      <c r="H211" s="253"/>
      <c r="I211" s="246">
        <v>3</v>
      </c>
      <c r="J211" s="253">
        <f t="shared" si="13"/>
        <v>26.4</v>
      </c>
      <c r="K211" s="151"/>
      <c r="L211" s="151"/>
      <c r="M211" s="151"/>
      <c r="N211" s="152"/>
      <c r="O211" s="283"/>
      <c r="P211" s="153"/>
      <c r="Q211" s="153"/>
      <c r="R211" s="153"/>
      <c r="S211" s="153"/>
      <c r="T211" s="153"/>
      <c r="U211" s="153"/>
      <c r="V211" s="153"/>
      <c r="W211" s="153"/>
      <c r="X211" s="153"/>
      <c r="Y211" s="153"/>
      <c r="Z211" s="153"/>
      <c r="AA211" s="153"/>
    </row>
    <row r="212" spans="1:28" s="147" customFormat="1" x14ac:dyDescent="0.2">
      <c r="A212" s="6"/>
      <c r="B212" s="9"/>
      <c r="C212" s="13"/>
      <c r="D212" s="2"/>
      <c r="E212" s="148"/>
      <c r="F212" s="253">
        <v>8</v>
      </c>
      <c r="G212" s="253">
        <v>0.2</v>
      </c>
      <c r="H212" s="253"/>
      <c r="I212" s="246">
        <v>3</v>
      </c>
      <c r="J212" s="253">
        <f t="shared" si="13"/>
        <v>4.8</v>
      </c>
      <c r="K212" s="131"/>
      <c r="L212" s="131"/>
      <c r="M212" s="131"/>
      <c r="N212" s="133"/>
      <c r="O212" s="286"/>
      <c r="P212" s="146"/>
      <c r="Q212" s="120"/>
      <c r="R212" s="146"/>
      <c r="S212" s="146"/>
      <c r="T212" s="146"/>
      <c r="U212" s="146"/>
      <c r="V212" s="146"/>
      <c r="W212" s="146"/>
      <c r="X212" s="146"/>
      <c r="Y212" s="146"/>
      <c r="Z212" s="146"/>
      <c r="AA212" s="146"/>
      <c r="AB212" s="146"/>
    </row>
    <row r="213" spans="1:28" s="118" customFormat="1" x14ac:dyDescent="0.2">
      <c r="A213" s="6"/>
      <c r="B213" s="6"/>
      <c r="C213" s="155"/>
      <c r="D213" s="108"/>
      <c r="E213" s="148"/>
      <c r="F213" s="253"/>
      <c r="G213" s="253"/>
      <c r="H213" s="253"/>
      <c r="I213" s="246" t="str">
        <f>"Total item "&amp;A201</f>
        <v>Total item 4.1.1</v>
      </c>
      <c r="J213" s="261">
        <f>SUM(J203:J212)</f>
        <v>412.18999999999994</v>
      </c>
      <c r="K213" s="137"/>
      <c r="L213" s="137"/>
      <c r="M213" s="137"/>
      <c r="N213" s="138"/>
      <c r="O213" s="167"/>
      <c r="P213" s="111"/>
      <c r="Q213" s="120"/>
      <c r="R213" s="111"/>
      <c r="S213" s="111"/>
      <c r="T213" s="111"/>
      <c r="U213" s="111"/>
      <c r="V213" s="111"/>
      <c r="W213" s="111"/>
      <c r="X213" s="111"/>
      <c r="Y213" s="111"/>
      <c r="Z213" s="111"/>
      <c r="AA213" s="111"/>
      <c r="AB213" s="111"/>
    </row>
    <row r="214" spans="1:28" s="147" customFormat="1" ht="39.6" customHeight="1" x14ac:dyDescent="0.2">
      <c r="A214" s="9" t="s">
        <v>406</v>
      </c>
      <c r="B214" s="9"/>
      <c r="C214" s="13"/>
      <c r="D214" s="113" t="str">
        <f>'ORÇAMENTO PINTURA'!D29</f>
        <v>PINTURA COM TINTA ALQUÍDICA DE FUNDO E ACABAMENTO (ESMALTE SINTÉTICO GRAFITE) APLICADA A ROLO OU PINCEL SOBRE PERFIL METÁLICO EXECUTADO EM FÁBRICA (POR DEMÃO). AF_01/2020</v>
      </c>
      <c r="E214" s="9" t="s">
        <v>9</v>
      </c>
      <c r="F214" s="261"/>
      <c r="G214" s="261"/>
      <c r="H214" s="261"/>
      <c r="I214" s="245"/>
      <c r="J214" s="261"/>
      <c r="K214" s="131"/>
      <c r="L214" s="106"/>
      <c r="M214" s="131"/>
      <c r="N214" s="133"/>
      <c r="O214" s="286"/>
      <c r="P214" s="146"/>
      <c r="Q214" s="146"/>
      <c r="R214" s="146"/>
      <c r="S214" s="146"/>
      <c r="T214" s="146"/>
      <c r="U214" s="146"/>
      <c r="V214" s="146"/>
      <c r="W214" s="146"/>
      <c r="X214" s="146"/>
      <c r="Y214" s="146"/>
      <c r="Z214" s="146"/>
      <c r="AA214" s="146"/>
    </row>
    <row r="215" spans="1:28" s="147" customFormat="1" x14ac:dyDescent="0.2">
      <c r="A215" s="148"/>
      <c r="B215" s="148"/>
      <c r="C215" s="14"/>
      <c r="D215" s="2" t="s">
        <v>983</v>
      </c>
      <c r="E215" s="148"/>
      <c r="F215" s="253"/>
      <c r="G215" s="253">
        <v>1</v>
      </c>
      <c r="H215" s="253"/>
      <c r="I215" s="249">
        <v>1.2</v>
      </c>
      <c r="J215" s="253">
        <f t="shared" ref="J215" si="14">ROUND(PRODUCT(F215:I215),2)</f>
        <v>1.2</v>
      </c>
      <c r="K215" s="131"/>
      <c r="L215" s="106"/>
      <c r="M215" s="131"/>
      <c r="N215" s="133"/>
      <c r="O215" s="286"/>
      <c r="P215" s="146"/>
      <c r="Q215" s="146"/>
      <c r="R215" s="146"/>
      <c r="S215" s="146"/>
      <c r="T215" s="146"/>
      <c r="U215" s="146"/>
      <c r="V215" s="146"/>
      <c r="W215" s="146"/>
      <c r="X215" s="146"/>
      <c r="Y215" s="146"/>
      <c r="Z215" s="146"/>
      <c r="AA215" s="146"/>
    </row>
    <row r="216" spans="1:28" s="147" customFormat="1" x14ac:dyDescent="0.2">
      <c r="A216" s="148"/>
      <c r="B216" s="148"/>
      <c r="C216" s="14"/>
      <c r="D216" s="108"/>
      <c r="E216" s="148"/>
      <c r="F216" s="253"/>
      <c r="G216" s="253"/>
      <c r="H216" s="253"/>
      <c r="I216" s="246" t="str">
        <f>"Total item "&amp;A214</f>
        <v>Total item 4.1.2</v>
      </c>
      <c r="J216" s="261">
        <f>SUM(J215)</f>
        <v>1.2</v>
      </c>
      <c r="K216" s="131"/>
      <c r="L216" s="106"/>
      <c r="M216" s="131"/>
      <c r="N216" s="133"/>
      <c r="O216" s="286"/>
      <c r="P216" s="146"/>
      <c r="Q216" s="146"/>
      <c r="R216" s="146"/>
      <c r="S216" s="146"/>
      <c r="T216" s="146"/>
      <c r="U216" s="146"/>
      <c r="V216" s="146"/>
      <c r="W216" s="146"/>
      <c r="X216" s="146"/>
      <c r="Y216" s="146"/>
      <c r="Z216" s="146"/>
      <c r="AA216" s="146"/>
    </row>
    <row r="217" spans="1:28" s="147" customFormat="1" x14ac:dyDescent="0.2">
      <c r="A217" s="148"/>
      <c r="B217" s="148"/>
      <c r="C217" s="14"/>
      <c r="D217" s="314"/>
      <c r="E217" s="148"/>
      <c r="F217" s="253"/>
      <c r="G217" s="253"/>
      <c r="H217" s="253"/>
      <c r="I217" s="366"/>
      <c r="J217" s="253"/>
      <c r="K217" s="131"/>
      <c r="L217" s="106"/>
      <c r="M217" s="131"/>
      <c r="N217" s="133"/>
      <c r="O217" s="286"/>
      <c r="P217" s="146"/>
      <c r="Q217" s="146"/>
      <c r="R217" s="146"/>
      <c r="S217" s="146"/>
      <c r="T217" s="146"/>
      <c r="U217" s="146"/>
      <c r="V217" s="146"/>
      <c r="W217" s="146"/>
      <c r="X217" s="146"/>
      <c r="Y217" s="146"/>
      <c r="Z217" s="146"/>
      <c r="AA217" s="146"/>
    </row>
    <row r="218" spans="1:28" s="147" customFormat="1" ht="20.399999999999999" x14ac:dyDescent="0.2">
      <c r="A218" s="9" t="s">
        <v>407</v>
      </c>
      <c r="B218" s="9"/>
      <c r="C218" s="13"/>
      <c r="D218" s="113" t="str">
        <f>'ORÇAMENTO PINTURA'!D30</f>
        <v>APLICAÇÃO MANUAL DE PINTURA COM TINTA LÁTEX ACRÍLICA EM PAREDES, DUAS DEMÃOS. AF_06/2014</v>
      </c>
      <c r="E218" s="9" t="s">
        <v>9</v>
      </c>
      <c r="F218" s="261"/>
      <c r="G218" s="261"/>
      <c r="H218" s="261"/>
      <c r="I218" s="388"/>
      <c r="J218" s="261"/>
      <c r="K218" s="131"/>
      <c r="L218" s="106"/>
      <c r="M218" s="131"/>
      <c r="N218" s="133"/>
      <c r="O218" s="286"/>
      <c r="P218" s="146"/>
      <c r="Q218" s="146"/>
      <c r="R218" s="146"/>
      <c r="S218" s="146"/>
      <c r="T218" s="146"/>
      <c r="U218" s="146"/>
      <c r="V218" s="146"/>
      <c r="W218" s="146"/>
      <c r="X218" s="146"/>
      <c r="Y218" s="146"/>
      <c r="Z218" s="146"/>
      <c r="AA218" s="146"/>
    </row>
    <row r="219" spans="1:28" s="147" customFormat="1" x14ac:dyDescent="0.2">
      <c r="A219" s="148"/>
      <c r="B219" s="148"/>
      <c r="C219" s="14"/>
      <c r="D219" s="3" t="s">
        <v>976</v>
      </c>
      <c r="E219" s="148"/>
      <c r="F219" s="253"/>
      <c r="G219" s="253"/>
      <c r="H219" s="253"/>
      <c r="I219" s="246"/>
      <c r="J219" s="253"/>
      <c r="K219" s="131"/>
      <c r="L219" s="106"/>
      <c r="M219" s="131"/>
      <c r="N219" s="133"/>
      <c r="O219" s="286"/>
      <c r="P219" s="146"/>
      <c r="Q219" s="146"/>
      <c r="R219" s="146"/>
      <c r="S219" s="146"/>
      <c r="T219" s="146"/>
      <c r="U219" s="146"/>
      <c r="V219" s="146"/>
      <c r="W219" s="146"/>
      <c r="X219" s="146"/>
      <c r="Y219" s="146"/>
      <c r="Z219" s="146"/>
      <c r="AA219" s="146"/>
    </row>
    <row r="220" spans="1:28" s="147" customFormat="1" x14ac:dyDescent="0.2">
      <c r="A220" s="148"/>
      <c r="B220" s="148"/>
      <c r="C220" s="14"/>
      <c r="D220" s="2" t="s">
        <v>977</v>
      </c>
      <c r="E220" s="148"/>
      <c r="F220" s="253">
        <v>2</v>
      </c>
      <c r="G220" s="253">
        <v>8</v>
      </c>
      <c r="H220" s="253"/>
      <c r="I220" s="249">
        <v>2.6</v>
      </c>
      <c r="J220" s="253">
        <f t="shared" ref="J220:J229" si="15">ROUND(PRODUCT(F220:I220),2)</f>
        <v>41.6</v>
      </c>
      <c r="K220" s="131"/>
      <c r="L220" s="106"/>
      <c r="M220" s="131"/>
      <c r="N220" s="133"/>
      <c r="O220" s="286"/>
      <c r="P220" s="146"/>
      <c r="Q220" s="146"/>
      <c r="R220" s="146"/>
      <c r="S220" s="146"/>
      <c r="T220" s="146"/>
      <c r="U220" s="146"/>
      <c r="V220" s="146"/>
      <c r="W220" s="146"/>
      <c r="X220" s="146"/>
      <c r="Y220" s="146"/>
      <c r="Z220" s="146"/>
      <c r="AA220" s="146"/>
    </row>
    <row r="221" spans="1:28" s="147" customFormat="1" x14ac:dyDescent="0.2">
      <c r="A221" s="148"/>
      <c r="B221" s="148"/>
      <c r="C221" s="14"/>
      <c r="D221" s="2"/>
      <c r="E221" s="148"/>
      <c r="F221" s="253">
        <v>2</v>
      </c>
      <c r="G221" s="253">
        <v>6</v>
      </c>
      <c r="H221" s="253"/>
      <c r="I221" s="249">
        <v>2.6</v>
      </c>
      <c r="J221" s="253">
        <f t="shared" si="15"/>
        <v>31.2</v>
      </c>
      <c r="K221" s="131"/>
      <c r="L221" s="106"/>
      <c r="M221" s="131"/>
      <c r="N221" s="133"/>
      <c r="O221" s="286"/>
      <c r="P221" s="146"/>
      <c r="Q221" s="146"/>
      <c r="R221" s="146"/>
      <c r="S221" s="146"/>
      <c r="T221" s="146"/>
      <c r="U221" s="146"/>
      <c r="V221" s="146"/>
      <c r="W221" s="146"/>
      <c r="X221" s="146"/>
      <c r="Y221" s="146"/>
      <c r="Z221" s="146"/>
      <c r="AA221" s="146"/>
    </row>
    <row r="222" spans="1:28" s="147" customFormat="1" x14ac:dyDescent="0.2">
      <c r="A222" s="148"/>
      <c r="B222" s="148"/>
      <c r="C222" s="14"/>
      <c r="D222" s="2" t="s">
        <v>978</v>
      </c>
      <c r="E222" s="148"/>
      <c r="F222" s="253">
        <v>2</v>
      </c>
      <c r="G222" s="253">
        <v>8</v>
      </c>
      <c r="H222" s="253"/>
      <c r="I222" s="249">
        <v>3.9</v>
      </c>
      <c r="J222" s="253">
        <f t="shared" si="15"/>
        <v>62.4</v>
      </c>
      <c r="K222" s="131"/>
      <c r="L222" s="106"/>
      <c r="M222" s="131"/>
      <c r="N222" s="133"/>
      <c r="O222" s="286"/>
      <c r="P222" s="146"/>
      <c r="Q222" s="146"/>
      <c r="R222" s="146"/>
      <c r="S222" s="146"/>
      <c r="T222" s="146"/>
      <c r="U222" s="146"/>
      <c r="V222" s="146"/>
      <c r="W222" s="146"/>
      <c r="X222" s="146"/>
      <c r="Y222" s="146"/>
      <c r="Z222" s="146"/>
      <c r="AA222" s="146"/>
    </row>
    <row r="223" spans="1:28" s="147" customFormat="1" x14ac:dyDescent="0.2">
      <c r="A223" s="148"/>
      <c r="B223" s="148"/>
      <c r="C223" s="14"/>
      <c r="D223" s="2"/>
      <c r="E223" s="148"/>
      <c r="F223" s="253">
        <v>2</v>
      </c>
      <c r="G223" s="253">
        <v>6</v>
      </c>
      <c r="H223" s="253"/>
      <c r="I223" s="249">
        <v>3.3</v>
      </c>
      <c r="J223" s="253">
        <f t="shared" si="15"/>
        <v>39.6</v>
      </c>
      <c r="K223" s="131"/>
      <c r="L223" s="106"/>
      <c r="M223" s="131"/>
      <c r="N223" s="133"/>
      <c r="O223" s="286"/>
      <c r="P223" s="146"/>
      <c r="Q223" s="146"/>
      <c r="R223" s="146"/>
      <c r="S223" s="146"/>
      <c r="T223" s="146"/>
      <c r="U223" s="146"/>
      <c r="V223" s="146"/>
      <c r="W223" s="146"/>
      <c r="X223" s="146"/>
      <c r="Y223" s="146"/>
      <c r="Z223" s="146"/>
      <c r="AA223" s="146"/>
    </row>
    <row r="224" spans="1:28" s="147" customFormat="1" x14ac:dyDescent="0.2">
      <c r="A224" s="148"/>
      <c r="B224" s="148"/>
      <c r="C224" s="14"/>
      <c r="D224" s="2" t="s">
        <v>979</v>
      </c>
      <c r="E224" s="148"/>
      <c r="F224" s="253">
        <v>2</v>
      </c>
      <c r="G224" s="253">
        <v>16</v>
      </c>
      <c r="H224" s="253"/>
      <c r="I224" s="249">
        <v>3.3</v>
      </c>
      <c r="J224" s="253">
        <f t="shared" si="15"/>
        <v>105.6</v>
      </c>
      <c r="K224" s="131"/>
      <c r="L224" s="106"/>
      <c r="M224" s="131"/>
      <c r="N224" s="133"/>
      <c r="O224" s="286"/>
      <c r="P224" s="146"/>
      <c r="Q224" s="146"/>
      <c r="R224" s="146"/>
      <c r="S224" s="146"/>
      <c r="T224" s="146"/>
      <c r="U224" s="146"/>
      <c r="V224" s="146"/>
      <c r="W224" s="146"/>
      <c r="X224" s="146"/>
      <c r="Y224" s="146"/>
      <c r="Z224" s="146"/>
      <c r="AA224" s="146"/>
    </row>
    <row r="225" spans="1:27" s="147" customFormat="1" x14ac:dyDescent="0.2">
      <c r="A225" s="148"/>
      <c r="B225" s="148"/>
      <c r="C225" s="14"/>
      <c r="D225" s="2"/>
      <c r="E225" s="148"/>
      <c r="F225" s="253">
        <v>2</v>
      </c>
      <c r="G225" s="253">
        <v>6</v>
      </c>
      <c r="H225" s="253"/>
      <c r="I225" s="249">
        <v>3.9</v>
      </c>
      <c r="J225" s="253">
        <f t="shared" si="15"/>
        <v>46.8</v>
      </c>
      <c r="K225" s="131"/>
      <c r="L225" s="106"/>
      <c r="M225" s="131"/>
      <c r="N225" s="133"/>
      <c r="O225" s="286"/>
      <c r="P225" s="146"/>
      <c r="Q225" s="146"/>
      <c r="R225" s="146"/>
      <c r="S225" s="146"/>
      <c r="T225" s="146"/>
      <c r="U225" s="146"/>
      <c r="V225" s="146"/>
      <c r="W225" s="146"/>
      <c r="X225" s="146"/>
      <c r="Y225" s="146"/>
      <c r="Z225" s="146"/>
      <c r="AA225" s="146"/>
    </row>
    <row r="226" spans="1:27" s="147" customFormat="1" x14ac:dyDescent="0.2">
      <c r="A226" s="148"/>
      <c r="B226" s="148"/>
      <c r="C226" s="14"/>
      <c r="D226" s="2"/>
      <c r="E226" s="148"/>
      <c r="F226" s="253">
        <v>2</v>
      </c>
      <c r="G226" s="253">
        <v>4.3499999999999996</v>
      </c>
      <c r="H226" s="253"/>
      <c r="I226" s="249">
        <v>3.3</v>
      </c>
      <c r="J226" s="253">
        <f t="shared" si="15"/>
        <v>28.71</v>
      </c>
      <c r="K226" s="131"/>
      <c r="L226" s="106"/>
      <c r="M226" s="131"/>
      <c r="N226" s="133"/>
      <c r="O226" s="286"/>
      <c r="P226" s="146"/>
      <c r="Q226" s="146"/>
      <c r="R226" s="146"/>
      <c r="S226" s="146"/>
      <c r="T226" s="146"/>
      <c r="U226" s="146"/>
      <c r="V226" s="146"/>
      <c r="W226" s="146"/>
      <c r="X226" s="146"/>
      <c r="Y226" s="146"/>
      <c r="Z226" s="146"/>
      <c r="AA226" s="146"/>
    </row>
    <row r="227" spans="1:27" s="147" customFormat="1" x14ac:dyDescent="0.2">
      <c r="A227" s="148"/>
      <c r="B227" s="148"/>
      <c r="C227" s="14"/>
      <c r="D227" s="2"/>
      <c r="E227" s="148"/>
      <c r="F227" s="253">
        <v>2</v>
      </c>
      <c r="G227" s="253">
        <v>3.8</v>
      </c>
      <c r="H227" s="253"/>
      <c r="I227" s="249">
        <v>3.3</v>
      </c>
      <c r="J227" s="253">
        <f t="shared" si="15"/>
        <v>25.08</v>
      </c>
      <c r="K227" s="131"/>
      <c r="L227" s="106"/>
      <c r="M227" s="131"/>
      <c r="N227" s="133"/>
      <c r="O227" s="286"/>
      <c r="P227" s="146"/>
      <c r="Q227" s="146"/>
      <c r="R227" s="146"/>
      <c r="S227" s="146"/>
      <c r="T227" s="146"/>
      <c r="U227" s="146"/>
      <c r="V227" s="146"/>
      <c r="W227" s="146"/>
      <c r="X227" s="146"/>
      <c r="Y227" s="146"/>
      <c r="Z227" s="146"/>
      <c r="AA227" s="146"/>
    </row>
    <row r="228" spans="1:27" s="147" customFormat="1" x14ac:dyDescent="0.2">
      <c r="A228" s="148"/>
      <c r="B228" s="148"/>
      <c r="C228" s="14"/>
      <c r="D228" s="2" t="s">
        <v>980</v>
      </c>
      <c r="E228" s="148"/>
      <c r="F228" s="253">
        <v>8</v>
      </c>
      <c r="G228" s="253">
        <v>1.1000000000000001</v>
      </c>
      <c r="H228" s="253"/>
      <c r="I228" s="249">
        <v>3</v>
      </c>
      <c r="J228" s="253">
        <f t="shared" si="15"/>
        <v>26.4</v>
      </c>
      <c r="K228" s="131"/>
      <c r="L228" s="106"/>
      <c r="M228" s="131"/>
      <c r="N228" s="133"/>
      <c r="O228" s="286"/>
      <c r="P228" s="146"/>
      <c r="Q228" s="146"/>
      <c r="R228" s="146"/>
      <c r="S228" s="146"/>
      <c r="T228" s="146"/>
      <c r="U228" s="146"/>
      <c r="V228" s="146"/>
      <c r="W228" s="146"/>
      <c r="X228" s="146"/>
      <c r="Y228" s="146"/>
      <c r="Z228" s="146"/>
      <c r="AA228" s="146"/>
    </row>
    <row r="229" spans="1:27" s="147" customFormat="1" x14ac:dyDescent="0.2">
      <c r="A229" s="148"/>
      <c r="B229" s="148"/>
      <c r="C229" s="14"/>
      <c r="D229" s="2"/>
      <c r="E229" s="148"/>
      <c r="F229" s="253">
        <v>8</v>
      </c>
      <c r="G229" s="253">
        <v>0.2</v>
      </c>
      <c r="H229" s="253"/>
      <c r="I229" s="249">
        <v>3</v>
      </c>
      <c r="J229" s="253">
        <f t="shared" si="15"/>
        <v>4.8</v>
      </c>
      <c r="K229" s="131"/>
      <c r="L229" s="106"/>
      <c r="M229" s="131"/>
      <c r="N229" s="133"/>
      <c r="O229" s="286"/>
      <c r="P229" s="146"/>
      <c r="Q229" s="146"/>
      <c r="R229" s="146"/>
      <c r="S229" s="146"/>
      <c r="T229" s="146"/>
      <c r="U229" s="146"/>
      <c r="V229" s="146"/>
      <c r="W229" s="146"/>
      <c r="X229" s="146"/>
      <c r="Y229" s="146"/>
      <c r="Z229" s="146"/>
      <c r="AA229" s="146"/>
    </row>
    <row r="230" spans="1:27" s="147" customFormat="1" x14ac:dyDescent="0.2">
      <c r="A230" s="148"/>
      <c r="B230" s="148"/>
      <c r="C230" s="14"/>
      <c r="D230" s="108"/>
      <c r="E230" s="148"/>
      <c r="F230" s="253"/>
      <c r="G230" s="253"/>
      <c r="H230" s="253"/>
      <c r="I230" s="246" t="str">
        <f>"Total item "&amp;A218</f>
        <v>Total item 4.1.3</v>
      </c>
      <c r="J230" s="261">
        <f>SUM(J220:J229)</f>
        <v>412.18999999999994</v>
      </c>
      <c r="K230" s="131"/>
      <c r="L230" s="106"/>
      <c r="M230" s="131"/>
      <c r="N230" s="133"/>
      <c r="O230" s="286"/>
      <c r="P230" s="146"/>
      <c r="Q230" s="146"/>
      <c r="R230" s="146"/>
      <c r="S230" s="146"/>
      <c r="T230" s="146"/>
      <c r="U230" s="146"/>
      <c r="V230" s="146"/>
      <c r="W230" s="146"/>
      <c r="X230" s="146"/>
      <c r="Y230" s="146"/>
      <c r="Z230" s="146"/>
      <c r="AA230" s="146"/>
    </row>
    <row r="231" spans="1:27" s="147" customFormat="1" x14ac:dyDescent="0.2">
      <c r="A231" s="148"/>
      <c r="B231" s="148"/>
      <c r="C231" s="14"/>
      <c r="D231" s="314"/>
      <c r="E231" s="148"/>
      <c r="F231" s="253"/>
      <c r="G231" s="253"/>
      <c r="H231" s="253"/>
      <c r="I231" s="366"/>
      <c r="J231" s="253"/>
      <c r="K231" s="131"/>
      <c r="L231" s="106"/>
      <c r="M231" s="131"/>
      <c r="N231" s="133"/>
      <c r="O231" s="286"/>
      <c r="P231" s="146"/>
      <c r="Q231" s="146"/>
      <c r="R231" s="146"/>
      <c r="S231" s="146"/>
      <c r="T231" s="146"/>
      <c r="U231" s="146"/>
      <c r="V231" s="146"/>
      <c r="W231" s="146"/>
      <c r="X231" s="146"/>
      <c r="Y231" s="146"/>
      <c r="Z231" s="146"/>
      <c r="AA231" s="146"/>
    </row>
    <row r="232" spans="1:27" s="147" customFormat="1" ht="20.399999999999999" x14ac:dyDescent="0.2">
      <c r="A232" s="9" t="s">
        <v>408</v>
      </c>
      <c r="B232" s="9"/>
      <c r="C232" s="13"/>
      <c r="D232" s="113" t="str">
        <f>'ORÇAMENTO PINTURA'!D31</f>
        <v>APLICAÇÃO MANUAL DE PINTURA COM TINTA LÁTEX ACRÍLICA EM TETO, DUAS DEMÃOS. AF_06/2014</v>
      </c>
      <c r="E232" s="9" t="s">
        <v>9</v>
      </c>
      <c r="F232" s="261"/>
      <c r="G232" s="261"/>
      <c r="H232" s="261"/>
      <c r="I232" s="388"/>
      <c r="J232" s="261"/>
      <c r="K232" s="131"/>
      <c r="L232" s="106"/>
      <c r="M232" s="131"/>
      <c r="N232" s="133"/>
      <c r="O232" s="286"/>
      <c r="P232" s="146"/>
      <c r="Q232" s="146"/>
      <c r="R232" s="146"/>
      <c r="S232" s="146"/>
      <c r="T232" s="146"/>
      <c r="U232" s="146"/>
      <c r="V232" s="146"/>
      <c r="W232" s="146"/>
      <c r="X232" s="146"/>
      <c r="Y232" s="146"/>
      <c r="Z232" s="146"/>
      <c r="AA232" s="146"/>
    </row>
    <row r="233" spans="1:27" s="118" customFormat="1" x14ac:dyDescent="0.2">
      <c r="A233" s="6"/>
      <c r="B233" s="6"/>
      <c r="C233" s="155"/>
      <c r="D233" s="2" t="s">
        <v>1024</v>
      </c>
      <c r="E233" s="148"/>
      <c r="F233" s="253"/>
      <c r="G233" s="253">
        <v>6</v>
      </c>
      <c r="H233" s="253">
        <v>8</v>
      </c>
      <c r="I233" s="246"/>
      <c r="J233" s="253">
        <f t="shared" ref="J233" si="16">ROUND(PRODUCT(F233:I233),2)</f>
        <v>48</v>
      </c>
      <c r="K233" s="137"/>
      <c r="L233" s="137"/>
      <c r="M233" s="137"/>
      <c r="N233" s="138"/>
      <c r="O233" s="167"/>
      <c r="P233" s="111"/>
      <c r="Q233" s="111"/>
      <c r="R233" s="111"/>
      <c r="S233" s="111"/>
      <c r="T233" s="111"/>
      <c r="U233" s="111"/>
      <c r="V233" s="111"/>
      <c r="W233" s="111"/>
      <c r="X233" s="111"/>
      <c r="Y233" s="111"/>
      <c r="Z233" s="111"/>
      <c r="AA233" s="111"/>
    </row>
    <row r="234" spans="1:27" s="118" customFormat="1" x14ac:dyDescent="0.2">
      <c r="A234" s="6"/>
      <c r="B234" s="6"/>
      <c r="C234" s="156"/>
      <c r="D234" s="108"/>
      <c r="E234" s="148"/>
      <c r="F234" s="253"/>
      <c r="G234" s="253"/>
      <c r="H234" s="253"/>
      <c r="I234" s="246" t="str">
        <f>"Total item "&amp;A232</f>
        <v>Total item 4.1.4</v>
      </c>
      <c r="J234" s="261">
        <f>SUM(J233)</f>
        <v>48</v>
      </c>
      <c r="K234" s="137"/>
      <c r="L234" s="137"/>
      <c r="M234" s="137"/>
      <c r="N234" s="138"/>
      <c r="O234" s="167"/>
      <c r="P234" s="111"/>
      <c r="Q234" s="111"/>
      <c r="R234" s="111"/>
      <c r="S234" s="111"/>
      <c r="T234" s="111"/>
      <c r="U234" s="111"/>
      <c r="V234" s="111"/>
      <c r="W234" s="111"/>
      <c r="X234" s="111"/>
      <c r="Y234" s="111"/>
      <c r="Z234" s="111"/>
      <c r="AA234" s="111"/>
    </row>
    <row r="235" spans="1:27" s="118" customFormat="1" x14ac:dyDescent="0.2">
      <c r="A235" s="6"/>
      <c r="B235" s="6"/>
      <c r="C235" s="156"/>
      <c r="D235" s="108"/>
      <c r="E235" s="148"/>
      <c r="F235" s="253"/>
      <c r="G235" s="253"/>
      <c r="H235" s="253"/>
      <c r="I235" s="246"/>
      <c r="J235" s="258"/>
      <c r="K235" s="137"/>
      <c r="L235" s="137"/>
      <c r="M235" s="137"/>
      <c r="N235" s="138"/>
      <c r="O235" s="167"/>
      <c r="P235" s="111"/>
      <c r="Q235" s="111"/>
      <c r="R235" s="111"/>
      <c r="S235" s="111"/>
      <c r="T235" s="111"/>
      <c r="U235" s="111"/>
      <c r="V235" s="111"/>
      <c r="W235" s="111"/>
      <c r="X235" s="111"/>
      <c r="Y235" s="111"/>
      <c r="Z235" s="111"/>
      <c r="AA235" s="111"/>
    </row>
    <row r="236" spans="1:27" s="139" customFormat="1" ht="21" customHeight="1" x14ac:dyDescent="0.2">
      <c r="A236" s="9" t="s">
        <v>593</v>
      </c>
      <c r="B236" s="9"/>
      <c r="C236" s="13"/>
      <c r="D236" s="109" t="str">
        <f>'ORÇAMENTO PINTURA'!D32</f>
        <v>PINTURA TINTA DE ACABAMENTO (PIGMENTADA) A ÓLEO EM MADEIRA, 2 DEMÃOS. AF_01/2021</v>
      </c>
      <c r="E236" s="9" t="s">
        <v>9</v>
      </c>
      <c r="F236" s="261"/>
      <c r="G236" s="261"/>
      <c r="H236" s="261"/>
      <c r="I236" s="245"/>
      <c r="J236" s="261"/>
      <c r="K236" s="137"/>
      <c r="L236" s="137"/>
      <c r="M236" s="137"/>
      <c r="N236" s="138"/>
      <c r="O236" s="283"/>
      <c r="P236" s="120"/>
      <c r="Q236" s="120"/>
      <c r="R236" s="120"/>
      <c r="S236" s="120"/>
      <c r="T236" s="120"/>
      <c r="U236" s="120"/>
      <c r="V236" s="120"/>
      <c r="W236" s="120"/>
      <c r="X236" s="120"/>
      <c r="Y236" s="120"/>
      <c r="Z236" s="120"/>
      <c r="AA236" s="120"/>
    </row>
    <row r="237" spans="1:27" s="139" customFormat="1" x14ac:dyDescent="0.2">
      <c r="A237" s="6"/>
      <c r="B237" s="6"/>
      <c r="C237" s="7"/>
      <c r="D237" s="2" t="s">
        <v>981</v>
      </c>
      <c r="E237" s="148"/>
      <c r="F237" s="253">
        <v>10</v>
      </c>
      <c r="G237" s="253"/>
      <c r="H237" s="253">
        <v>0.8</v>
      </c>
      <c r="I237" s="249">
        <v>2.1</v>
      </c>
      <c r="J237" s="253">
        <f t="shared" ref="J237:J240" si="17">ROUND(PRODUCT(F237:I237),2)</f>
        <v>16.8</v>
      </c>
      <c r="K237" s="137"/>
      <c r="L237" s="137"/>
      <c r="M237" s="137"/>
      <c r="N237" s="138"/>
      <c r="O237" s="283"/>
      <c r="P237" s="120"/>
      <c r="Q237" s="120"/>
      <c r="R237" s="120"/>
      <c r="S237" s="120"/>
      <c r="T237" s="120"/>
      <c r="U237" s="120"/>
      <c r="V237" s="120"/>
      <c r="W237" s="120"/>
      <c r="X237" s="120"/>
      <c r="Y237" s="120"/>
      <c r="Z237" s="120"/>
      <c r="AA237" s="120"/>
    </row>
    <row r="238" spans="1:27" s="139" customFormat="1" x14ac:dyDescent="0.2">
      <c r="A238" s="6"/>
      <c r="B238" s="6"/>
      <c r="C238" s="7"/>
      <c r="D238" s="2"/>
      <c r="E238" s="148"/>
      <c r="F238" s="253">
        <v>6</v>
      </c>
      <c r="G238" s="253"/>
      <c r="H238" s="253">
        <v>0.6</v>
      </c>
      <c r="I238" s="249">
        <v>2.1</v>
      </c>
      <c r="J238" s="253">
        <f t="shared" si="17"/>
        <v>7.56</v>
      </c>
      <c r="K238" s="137"/>
      <c r="L238" s="137"/>
      <c r="M238" s="137"/>
      <c r="N238" s="138"/>
      <c r="O238" s="283"/>
      <c r="P238" s="120"/>
      <c r="Q238" s="120"/>
      <c r="R238" s="120"/>
      <c r="S238" s="120"/>
      <c r="T238" s="120"/>
      <c r="U238" s="120"/>
      <c r="V238" s="120"/>
      <c r="W238" s="120"/>
      <c r="X238" s="120"/>
      <c r="Y238" s="120"/>
      <c r="Z238" s="120"/>
      <c r="AA238" s="120"/>
    </row>
    <row r="239" spans="1:27" s="139" customFormat="1" x14ac:dyDescent="0.2">
      <c r="A239" s="6"/>
      <c r="B239" s="6"/>
      <c r="C239" s="7"/>
      <c r="D239" s="2" t="s">
        <v>982</v>
      </c>
      <c r="E239" s="148"/>
      <c r="F239" s="253">
        <v>12</v>
      </c>
      <c r="G239" s="253"/>
      <c r="H239" s="253">
        <v>1.5</v>
      </c>
      <c r="I239" s="249">
        <v>1.1000000000000001</v>
      </c>
      <c r="J239" s="253">
        <f t="shared" si="17"/>
        <v>19.8</v>
      </c>
      <c r="K239" s="137"/>
      <c r="L239" s="137"/>
      <c r="M239" s="137"/>
      <c r="N239" s="138"/>
      <c r="O239" s="283"/>
      <c r="P239" s="120"/>
      <c r="Q239" s="120"/>
      <c r="R239" s="120"/>
      <c r="S239" s="120"/>
      <c r="T239" s="120"/>
      <c r="U239" s="120"/>
      <c r="V239" s="120"/>
      <c r="W239" s="120"/>
      <c r="X239" s="120"/>
      <c r="Y239" s="120"/>
      <c r="Z239" s="120"/>
      <c r="AA239" s="120"/>
    </row>
    <row r="240" spans="1:27" s="139" customFormat="1" x14ac:dyDescent="0.2">
      <c r="A240" s="6"/>
      <c r="B240" s="6"/>
      <c r="C240" s="7"/>
      <c r="D240" s="2"/>
      <c r="E240" s="148"/>
      <c r="F240" s="253">
        <v>2</v>
      </c>
      <c r="G240" s="253"/>
      <c r="H240" s="253">
        <v>0.8</v>
      </c>
      <c r="I240" s="249">
        <v>1</v>
      </c>
      <c r="J240" s="253">
        <f t="shared" si="17"/>
        <v>1.6</v>
      </c>
      <c r="K240" s="137"/>
      <c r="L240" s="137"/>
      <c r="M240" s="137"/>
      <c r="N240" s="138"/>
      <c r="O240" s="283"/>
      <c r="P240" s="120"/>
      <c r="Q240" s="120"/>
      <c r="R240" s="120"/>
      <c r="S240" s="120"/>
      <c r="T240" s="120"/>
      <c r="U240" s="120"/>
      <c r="V240" s="120"/>
      <c r="W240" s="120"/>
      <c r="X240" s="120"/>
      <c r="Y240" s="120"/>
      <c r="Z240" s="120"/>
      <c r="AA240" s="120"/>
    </row>
    <row r="241" spans="1:27" s="139" customFormat="1" x14ac:dyDescent="0.2">
      <c r="A241" s="6"/>
      <c r="B241" s="6"/>
      <c r="C241" s="7"/>
      <c r="D241" s="2"/>
      <c r="E241" s="148"/>
      <c r="F241" s="253"/>
      <c r="G241" s="253"/>
      <c r="H241" s="253"/>
      <c r="I241" s="246" t="str">
        <f>"Total item "&amp;A236</f>
        <v>Total item 4.1.5</v>
      </c>
      <c r="J241" s="261">
        <f>SUM(J237:J240)</f>
        <v>45.76</v>
      </c>
      <c r="K241" s="137"/>
      <c r="L241" s="137"/>
      <c r="M241" s="137"/>
      <c r="N241" s="138"/>
      <c r="O241" s="283"/>
      <c r="P241" s="120"/>
      <c r="Q241" s="120"/>
      <c r="R241" s="120"/>
      <c r="S241" s="120"/>
      <c r="T241" s="120"/>
      <c r="U241" s="120"/>
      <c r="V241" s="120"/>
      <c r="W241" s="120"/>
      <c r="X241" s="120"/>
      <c r="Y241" s="120"/>
      <c r="Z241" s="120"/>
      <c r="AA241" s="120"/>
    </row>
    <row r="242" spans="1:27" s="241" customFormat="1" ht="13.2" x14ac:dyDescent="0.25">
      <c r="A242" s="236" t="s">
        <v>19</v>
      </c>
      <c r="B242" s="236"/>
      <c r="C242" s="237"/>
      <c r="D242" s="289" t="s">
        <v>1026</v>
      </c>
      <c r="E242" s="331"/>
      <c r="F242" s="334"/>
      <c r="G242" s="334"/>
      <c r="H242" s="334"/>
      <c r="I242" s="335"/>
      <c r="J242" s="334"/>
      <c r="K242" s="238"/>
      <c r="L242" s="238"/>
      <c r="M242" s="238"/>
      <c r="N242" s="239" t="e">
        <f>N243+N295+N312+N326+#REF!</f>
        <v>#VALUE!</v>
      </c>
      <c r="O242" s="284" t="e">
        <f>N242/$N$1660</f>
        <v>#VALUE!</v>
      </c>
      <c r="P242" s="240" t="s">
        <v>533</v>
      </c>
      <c r="Q242" s="240" t="s">
        <v>533</v>
      </c>
      <c r="R242" s="240"/>
      <c r="S242" s="240"/>
      <c r="T242" s="240"/>
      <c r="U242" s="240"/>
      <c r="V242" s="240"/>
      <c r="W242" s="240"/>
      <c r="X242" s="240"/>
      <c r="Y242" s="240"/>
      <c r="Z242" s="240"/>
      <c r="AA242" s="240"/>
    </row>
    <row r="243" spans="1:27" s="145" customFormat="1" x14ac:dyDescent="0.2">
      <c r="A243" s="140" t="s">
        <v>20</v>
      </c>
      <c r="B243" s="140"/>
      <c r="C243" s="141"/>
      <c r="D243" s="112" t="s">
        <v>987</v>
      </c>
      <c r="E243" s="192"/>
      <c r="F243" s="269"/>
      <c r="G243" s="269"/>
      <c r="H243" s="269"/>
      <c r="I243" s="254"/>
      <c r="J243" s="269"/>
      <c r="K243" s="142"/>
      <c r="L243" s="142"/>
      <c r="M243" s="142"/>
      <c r="N243" s="143" t="e">
        <f>SUM(N244:N294)</f>
        <v>#VALUE!</v>
      </c>
      <c r="O243" s="285"/>
      <c r="P243" s="144"/>
      <c r="Q243" s="144"/>
      <c r="R243" s="144"/>
      <c r="S243" s="144"/>
      <c r="T243" s="144"/>
      <c r="U243" s="144"/>
      <c r="V243" s="144"/>
      <c r="W243" s="144"/>
      <c r="X243" s="144"/>
      <c r="Y243" s="144"/>
      <c r="Z243" s="144"/>
      <c r="AA243" s="144"/>
    </row>
    <row r="244" spans="1:27" s="147" customFormat="1" ht="20.399999999999999" x14ac:dyDescent="0.2">
      <c r="A244" s="9" t="s">
        <v>601</v>
      </c>
      <c r="B244" s="9"/>
      <c r="C244" s="13"/>
      <c r="D244" s="113" t="str">
        <f>'ORÇAMENTO PINTURA'!D36</f>
        <v>APLICAÇÃO DE FUNDO SELADOR ACRÍLICO EM PAREDES, UMA DEMÃO. AF_06/2014</v>
      </c>
      <c r="E244" s="9" t="s">
        <v>9</v>
      </c>
      <c r="F244" s="261"/>
      <c r="G244" s="338"/>
      <c r="H244" s="338"/>
      <c r="I244" s="257"/>
      <c r="J244" s="338"/>
      <c r="K244" s="131">
        <f>J251</f>
        <v>4.32</v>
      </c>
      <c r="L244" s="131">
        <v>166.81</v>
      </c>
      <c r="M244" s="131">
        <f>ROUND(L244*(1+$Q$5),2)</f>
        <v>211.06</v>
      </c>
      <c r="N244" s="133">
        <f>TRUNC(K244*M244,2)</f>
        <v>911.77</v>
      </c>
      <c r="O244" s="286"/>
      <c r="P244" s="146"/>
      <c r="Q244" s="146"/>
      <c r="R244" s="146"/>
      <c r="S244" s="146"/>
      <c r="T244" s="146"/>
      <c r="U244" s="146"/>
      <c r="V244" s="146"/>
      <c r="W244" s="146"/>
      <c r="X244" s="146"/>
      <c r="Y244" s="146"/>
      <c r="Z244" s="146"/>
      <c r="AA244" s="146"/>
    </row>
    <row r="245" spans="1:27" s="395" customFormat="1" ht="30.6" x14ac:dyDescent="0.2">
      <c r="A245" s="389"/>
      <c r="B245" s="389"/>
      <c r="C245" s="390"/>
      <c r="D245" s="391" t="s">
        <v>976</v>
      </c>
      <c r="E245" s="389"/>
      <c r="F245" s="258"/>
      <c r="G245" s="258"/>
      <c r="H245" s="258"/>
      <c r="I245" s="397" t="s">
        <v>1033</v>
      </c>
      <c r="J245" s="258"/>
      <c r="K245" s="258"/>
      <c r="L245" s="258"/>
      <c r="M245" s="258"/>
      <c r="N245" s="392"/>
      <c r="O245" s="393"/>
      <c r="P245" s="394"/>
      <c r="Q245" s="394"/>
      <c r="R245" s="394"/>
      <c r="S245" s="394"/>
      <c r="T245" s="394"/>
      <c r="U245" s="394"/>
      <c r="V245" s="394"/>
      <c r="W245" s="394"/>
      <c r="X245" s="394"/>
      <c r="Y245" s="394"/>
      <c r="Z245" s="394"/>
      <c r="AA245" s="394"/>
    </row>
    <row r="246" spans="1:27" s="118" customFormat="1" x14ac:dyDescent="0.2">
      <c r="A246" s="10"/>
      <c r="B246" s="10"/>
      <c r="C246" s="191"/>
      <c r="D246" s="2" t="s">
        <v>1027</v>
      </c>
      <c r="E246" s="148"/>
      <c r="F246" s="253">
        <v>2</v>
      </c>
      <c r="G246" s="253">
        <v>2.15</v>
      </c>
      <c r="H246" s="253"/>
      <c r="I246" s="249">
        <v>1.2</v>
      </c>
      <c r="J246" s="253">
        <f t="shared" ref="J246:J258" si="18">ROUND(PRODUCT(F246:I246),2)</f>
        <v>5.16</v>
      </c>
      <c r="K246" s="137"/>
      <c r="L246" s="137"/>
      <c r="M246" s="137"/>
      <c r="N246" s="138"/>
      <c r="O246" s="167"/>
      <c r="P246" s="111"/>
      <c r="Q246" s="111"/>
      <c r="R246" s="111"/>
      <c r="S246" s="111"/>
      <c r="T246" s="111"/>
      <c r="U246" s="111"/>
      <c r="V246" s="111"/>
      <c r="W246" s="111"/>
      <c r="X246" s="111"/>
      <c r="Y246" s="111"/>
      <c r="Z246" s="111"/>
      <c r="AA246" s="111"/>
    </row>
    <row r="247" spans="1:27" s="118" customFormat="1" x14ac:dyDescent="0.2">
      <c r="A247" s="10"/>
      <c r="B247" s="10"/>
      <c r="C247" s="191"/>
      <c r="D247" s="2"/>
      <c r="E247" s="148"/>
      <c r="F247" s="253">
        <v>2</v>
      </c>
      <c r="G247" s="253">
        <v>3</v>
      </c>
      <c r="H247" s="253"/>
      <c r="I247" s="249">
        <v>1.2</v>
      </c>
      <c r="J247" s="253">
        <f t="shared" si="18"/>
        <v>7.2</v>
      </c>
      <c r="K247" s="137"/>
      <c r="L247" s="137"/>
      <c r="M247" s="137"/>
      <c r="N247" s="138"/>
      <c r="O247" s="167"/>
      <c r="P247" s="111"/>
      <c r="Q247" s="111"/>
      <c r="R247" s="111"/>
      <c r="S247" s="111"/>
      <c r="T247" s="111"/>
      <c r="U247" s="111"/>
      <c r="V247" s="111"/>
      <c r="W247" s="111"/>
      <c r="X247" s="111"/>
      <c r="Y247" s="111"/>
      <c r="Z247" s="111"/>
      <c r="AA247" s="111"/>
    </row>
    <row r="248" spans="1:27" s="118" customFormat="1" x14ac:dyDescent="0.2">
      <c r="A248" s="10"/>
      <c r="B248" s="10"/>
      <c r="C248" s="191"/>
      <c r="D248" s="2" t="s">
        <v>1028</v>
      </c>
      <c r="E248" s="148"/>
      <c r="F248" s="253">
        <v>2</v>
      </c>
      <c r="G248" s="253">
        <v>2.9</v>
      </c>
      <c r="H248" s="253"/>
      <c r="I248" s="249">
        <v>1.2</v>
      </c>
      <c r="J248" s="253">
        <f t="shared" si="18"/>
        <v>6.96</v>
      </c>
      <c r="K248" s="137"/>
      <c r="L248" s="137"/>
      <c r="M248" s="137"/>
      <c r="N248" s="138"/>
      <c r="O248" s="167"/>
      <c r="P248" s="111"/>
      <c r="Q248" s="111"/>
      <c r="R248" s="111"/>
      <c r="S248" s="111"/>
      <c r="T248" s="111"/>
      <c r="U248" s="111"/>
      <c r="V248" s="111"/>
      <c r="W248" s="111"/>
      <c r="X248" s="111"/>
      <c r="Y248" s="111"/>
      <c r="Z248" s="111"/>
      <c r="AA248" s="111"/>
    </row>
    <row r="249" spans="1:27" s="118" customFormat="1" x14ac:dyDescent="0.2">
      <c r="A249" s="10"/>
      <c r="B249" s="10"/>
      <c r="C249" s="191"/>
      <c r="D249" s="2"/>
      <c r="E249" s="148"/>
      <c r="F249" s="253">
        <v>2</v>
      </c>
      <c r="G249" s="253">
        <v>2.5499999999999998</v>
      </c>
      <c r="H249" s="253"/>
      <c r="I249" s="249">
        <v>1.2</v>
      </c>
      <c r="J249" s="253">
        <f t="shared" si="18"/>
        <v>6.12</v>
      </c>
      <c r="K249" s="137"/>
      <c r="L249" s="137"/>
      <c r="M249" s="137"/>
      <c r="N249" s="138"/>
      <c r="O249" s="167"/>
      <c r="P249" s="111"/>
      <c r="Q249" s="111"/>
      <c r="R249" s="111"/>
      <c r="S249" s="111"/>
      <c r="T249" s="111"/>
      <c r="U249" s="111"/>
      <c r="V249" s="111"/>
      <c r="W249" s="111"/>
      <c r="X249" s="111"/>
      <c r="Y249" s="111"/>
      <c r="Z249" s="111"/>
      <c r="AA249" s="111"/>
    </row>
    <row r="250" spans="1:27" s="118" customFormat="1" x14ac:dyDescent="0.2">
      <c r="A250" s="10"/>
      <c r="B250" s="10"/>
      <c r="C250" s="191"/>
      <c r="D250" s="2" t="s">
        <v>1029</v>
      </c>
      <c r="E250" s="148"/>
      <c r="F250" s="253">
        <v>2</v>
      </c>
      <c r="G250" s="253">
        <v>2.5499999999999998</v>
      </c>
      <c r="H250" s="253"/>
      <c r="I250" s="249">
        <v>1.2</v>
      </c>
      <c r="J250" s="253">
        <f t="shared" si="18"/>
        <v>6.12</v>
      </c>
      <c r="K250" s="137"/>
      <c r="L250" s="137"/>
      <c r="M250" s="137"/>
      <c r="N250" s="138"/>
      <c r="O250" s="167"/>
      <c r="P250" s="111"/>
      <c r="Q250" s="111"/>
      <c r="R250" s="111"/>
      <c r="S250" s="111"/>
      <c r="T250" s="111"/>
      <c r="U250" s="111"/>
      <c r="V250" s="111"/>
      <c r="W250" s="111"/>
      <c r="X250" s="111"/>
      <c r="Y250" s="111"/>
      <c r="Z250" s="111"/>
      <c r="AA250" s="111"/>
    </row>
    <row r="251" spans="1:27" s="118" customFormat="1" x14ac:dyDescent="0.2">
      <c r="A251" s="10"/>
      <c r="B251" s="10"/>
      <c r="C251" s="190"/>
      <c r="D251" s="108"/>
      <c r="E251" s="148"/>
      <c r="F251" s="253">
        <v>2</v>
      </c>
      <c r="G251" s="253">
        <v>1.8</v>
      </c>
      <c r="H251" s="253"/>
      <c r="I251" s="249">
        <v>1.2</v>
      </c>
      <c r="J251" s="253">
        <f t="shared" si="18"/>
        <v>4.32</v>
      </c>
      <c r="K251" s="137"/>
      <c r="L251" s="137"/>
      <c r="M251" s="137"/>
      <c r="N251" s="138"/>
      <c r="O251" s="167"/>
      <c r="P251" s="111"/>
      <c r="Q251" s="111"/>
      <c r="R251" s="111"/>
      <c r="S251" s="111"/>
      <c r="T251" s="111"/>
      <c r="U251" s="111"/>
      <c r="V251" s="111"/>
      <c r="W251" s="111"/>
      <c r="X251" s="111"/>
      <c r="Y251" s="111"/>
      <c r="Z251" s="111"/>
      <c r="AA251" s="111"/>
    </row>
    <row r="252" spans="1:27" s="139" customFormat="1" x14ac:dyDescent="0.2">
      <c r="A252" s="10"/>
      <c r="B252" s="10"/>
      <c r="C252" s="15"/>
      <c r="D252" s="2" t="s">
        <v>968</v>
      </c>
      <c r="E252" s="148"/>
      <c r="F252" s="253">
        <v>1</v>
      </c>
      <c r="G252" s="253">
        <v>3.6</v>
      </c>
      <c r="H252" s="258"/>
      <c r="I252" s="249">
        <v>1.2</v>
      </c>
      <c r="J252" s="253">
        <f t="shared" si="18"/>
        <v>4.32</v>
      </c>
      <c r="K252" s="137"/>
      <c r="L252" s="137"/>
      <c r="M252" s="137"/>
      <c r="N252" s="138"/>
      <c r="O252" s="283"/>
      <c r="P252" s="120"/>
      <c r="Q252" s="120"/>
      <c r="R252" s="120"/>
      <c r="S252" s="120"/>
      <c r="T252" s="120"/>
      <c r="U252" s="120"/>
      <c r="V252" s="120"/>
      <c r="W252" s="120"/>
      <c r="X252" s="120"/>
      <c r="Y252" s="120"/>
      <c r="Z252" s="120"/>
      <c r="AA252" s="120"/>
    </row>
    <row r="253" spans="1:27" s="118" customFormat="1" x14ac:dyDescent="0.2">
      <c r="A253" s="10"/>
      <c r="B253" s="10"/>
      <c r="C253" s="191"/>
      <c r="D253" s="3"/>
      <c r="E253" s="148"/>
      <c r="F253" s="253">
        <v>1</v>
      </c>
      <c r="G253" s="253">
        <v>3.15</v>
      </c>
      <c r="H253" s="253"/>
      <c r="I253" s="249">
        <v>1.2</v>
      </c>
      <c r="J253" s="253">
        <f t="shared" si="18"/>
        <v>3.78</v>
      </c>
      <c r="K253" s="137"/>
      <c r="L253" s="137"/>
      <c r="M253" s="137"/>
      <c r="N253" s="138"/>
      <c r="O253" s="167"/>
      <c r="P253" s="111"/>
      <c r="Q253" s="111"/>
      <c r="R253" s="111"/>
      <c r="S253" s="111"/>
      <c r="T253" s="111"/>
      <c r="U253" s="111"/>
      <c r="V253" s="111"/>
      <c r="W253" s="111"/>
      <c r="X253" s="111"/>
      <c r="Y253" s="111"/>
      <c r="Z253" s="111"/>
      <c r="AA253" s="111"/>
    </row>
    <row r="254" spans="1:27" s="118" customFormat="1" x14ac:dyDescent="0.2">
      <c r="A254" s="10"/>
      <c r="B254" s="10"/>
      <c r="C254" s="191"/>
      <c r="D254" s="2"/>
      <c r="E254" s="148"/>
      <c r="F254" s="253">
        <v>1</v>
      </c>
      <c r="G254" s="253">
        <v>5.6</v>
      </c>
      <c r="H254" s="253"/>
      <c r="I254" s="249">
        <v>1.2</v>
      </c>
      <c r="J254" s="253">
        <f t="shared" si="18"/>
        <v>6.72</v>
      </c>
      <c r="K254" s="137"/>
      <c r="L254" s="137"/>
      <c r="M254" s="137"/>
      <c r="N254" s="138"/>
      <c r="O254" s="167"/>
      <c r="P254" s="111"/>
      <c r="Q254" s="111"/>
      <c r="R254" s="111"/>
      <c r="S254" s="111"/>
      <c r="T254" s="111"/>
      <c r="U254" s="111"/>
      <c r="V254" s="111"/>
      <c r="W254" s="111"/>
      <c r="X254" s="111"/>
      <c r="Y254" s="111"/>
      <c r="Z254" s="111"/>
      <c r="AA254" s="111"/>
    </row>
    <row r="255" spans="1:27" s="118" customFormat="1" x14ac:dyDescent="0.2">
      <c r="A255" s="10"/>
      <c r="B255" s="10"/>
      <c r="C255" s="191"/>
      <c r="D255" s="2"/>
      <c r="E255" s="148"/>
      <c r="F255" s="253">
        <v>1</v>
      </c>
      <c r="G255" s="253">
        <v>1.9</v>
      </c>
      <c r="H255" s="253"/>
      <c r="I255" s="249">
        <v>1.2</v>
      </c>
      <c r="J255" s="253">
        <f t="shared" si="18"/>
        <v>2.2799999999999998</v>
      </c>
      <c r="K255" s="137"/>
      <c r="L255" s="137"/>
      <c r="M255" s="137"/>
      <c r="N255" s="138"/>
      <c r="O255" s="167"/>
      <c r="P255" s="111"/>
      <c r="Q255" s="111"/>
      <c r="R255" s="111"/>
      <c r="S255" s="111"/>
      <c r="T255" s="111"/>
      <c r="U255" s="111"/>
      <c r="V255" s="111"/>
      <c r="W255" s="111"/>
      <c r="X255" s="111"/>
      <c r="Y255" s="111"/>
      <c r="Z255" s="111"/>
      <c r="AA255" s="111"/>
    </row>
    <row r="256" spans="1:27" s="118" customFormat="1" x14ac:dyDescent="0.2">
      <c r="A256" s="10"/>
      <c r="B256" s="10"/>
      <c r="C256" s="191"/>
      <c r="D256" s="2"/>
      <c r="E256" s="148"/>
      <c r="F256" s="253">
        <v>1</v>
      </c>
      <c r="G256" s="253">
        <v>4.47</v>
      </c>
      <c r="H256" s="253"/>
      <c r="I256" s="249">
        <v>1.2</v>
      </c>
      <c r="J256" s="253">
        <f t="shared" si="18"/>
        <v>5.36</v>
      </c>
      <c r="K256" s="137"/>
      <c r="L256" s="137"/>
      <c r="M256" s="137"/>
      <c r="N256" s="138"/>
      <c r="O256" s="167"/>
      <c r="P256" s="111"/>
      <c r="Q256" s="111"/>
      <c r="R256" s="111"/>
      <c r="S256" s="111"/>
      <c r="T256" s="111"/>
      <c r="U256" s="111"/>
      <c r="V256" s="111"/>
      <c r="W256" s="111"/>
      <c r="X256" s="111"/>
      <c r="Y256" s="111"/>
      <c r="Z256" s="111"/>
      <c r="AA256" s="111"/>
    </row>
    <row r="257" spans="1:27" s="118" customFormat="1" x14ac:dyDescent="0.2">
      <c r="A257" s="10"/>
      <c r="B257" s="10"/>
      <c r="C257" s="191"/>
      <c r="D257" s="2"/>
      <c r="E257" s="148"/>
      <c r="F257" s="253">
        <v>1</v>
      </c>
      <c r="G257" s="253">
        <v>3.4</v>
      </c>
      <c r="H257" s="253"/>
      <c r="I257" s="249">
        <v>1.2</v>
      </c>
      <c r="J257" s="253">
        <f t="shared" si="18"/>
        <v>4.08</v>
      </c>
      <c r="K257" s="137"/>
      <c r="L257" s="137"/>
      <c r="M257" s="137"/>
      <c r="N257" s="138"/>
      <c r="O257" s="167"/>
      <c r="P257" s="111"/>
      <c r="Q257" s="111"/>
      <c r="R257" s="111"/>
      <c r="S257" s="111"/>
      <c r="T257" s="111"/>
      <c r="U257" s="111"/>
      <c r="V257" s="111"/>
      <c r="W257" s="111"/>
      <c r="X257" s="111"/>
      <c r="Y257" s="111"/>
      <c r="Z257" s="111"/>
      <c r="AA257" s="111"/>
    </row>
    <row r="258" spans="1:27" s="118" customFormat="1" x14ac:dyDescent="0.2">
      <c r="A258" s="10"/>
      <c r="B258" s="10"/>
      <c r="C258" s="190"/>
      <c r="D258" s="108"/>
      <c r="E258" s="148"/>
      <c r="F258" s="253">
        <v>1</v>
      </c>
      <c r="G258" s="253">
        <v>1.23</v>
      </c>
      <c r="H258" s="253"/>
      <c r="I258" s="249">
        <v>1.2</v>
      </c>
      <c r="J258" s="253">
        <f t="shared" si="18"/>
        <v>1.48</v>
      </c>
      <c r="K258" s="137"/>
      <c r="L258" s="137"/>
      <c r="M258" s="137"/>
      <c r="N258" s="138"/>
      <c r="O258" s="167"/>
      <c r="P258" s="111"/>
      <c r="Q258" s="111"/>
      <c r="R258" s="111"/>
      <c r="S258" s="111"/>
      <c r="T258" s="111"/>
      <c r="U258" s="111"/>
      <c r="V258" s="111"/>
      <c r="W258" s="111"/>
      <c r="X258" s="111"/>
      <c r="Y258" s="111"/>
      <c r="Z258" s="111"/>
      <c r="AA258" s="111"/>
    </row>
    <row r="259" spans="1:27" s="161" customFormat="1" x14ac:dyDescent="0.2">
      <c r="A259" s="10"/>
      <c r="B259" s="10"/>
      <c r="C259" s="191"/>
      <c r="D259" s="108"/>
      <c r="E259" s="148"/>
      <c r="F259" s="253">
        <v>2</v>
      </c>
      <c r="G259" s="253">
        <v>2.48</v>
      </c>
      <c r="H259" s="253"/>
      <c r="I259" s="249">
        <v>2.7</v>
      </c>
      <c r="J259" s="253">
        <f t="shared" ref="J259:J284" si="19">ROUND(PRODUCT(F259:I259),2)</f>
        <v>13.39</v>
      </c>
      <c r="K259" s="151"/>
      <c r="L259" s="151"/>
      <c r="M259" s="151"/>
      <c r="N259" s="152"/>
      <c r="O259" s="167"/>
      <c r="P259" s="114"/>
      <c r="Q259" s="114"/>
      <c r="R259" s="114"/>
      <c r="S259" s="114"/>
      <c r="T259" s="114"/>
      <c r="U259" s="114"/>
      <c r="V259" s="114"/>
      <c r="W259" s="114"/>
      <c r="X259" s="114"/>
      <c r="Y259" s="114"/>
      <c r="Z259" s="114"/>
      <c r="AA259" s="114"/>
    </row>
    <row r="260" spans="1:27" s="313" customFormat="1" x14ac:dyDescent="0.2">
      <c r="A260" s="10"/>
      <c r="B260" s="10"/>
      <c r="C260" s="15"/>
      <c r="D260" s="396" t="s">
        <v>1030</v>
      </c>
      <c r="E260" s="6"/>
      <c r="F260" s="253">
        <v>8</v>
      </c>
      <c r="G260" s="253">
        <v>3</v>
      </c>
      <c r="H260" s="253"/>
      <c r="I260" s="249">
        <v>1.2</v>
      </c>
      <c r="J260" s="253">
        <f t="shared" si="19"/>
        <v>28.8</v>
      </c>
      <c r="K260" s="136">
        <f>J264</f>
        <v>6.72</v>
      </c>
      <c r="L260" s="136" t="e">
        <f>'COMPOSICOES - SINAPI COM DESON'!G36</f>
        <v>#VALUE!</v>
      </c>
      <c r="M260" s="136" t="e">
        <f>ROUND(L260*(1+$Q$5),2)</f>
        <v>#VALUE!</v>
      </c>
      <c r="N260" s="199" t="e">
        <f>TRUNC(K260*M260,2)</f>
        <v>#VALUE!</v>
      </c>
      <c r="O260" s="283"/>
      <c r="P260" s="312"/>
      <c r="Q260" s="312"/>
      <c r="R260" s="312"/>
      <c r="S260" s="312"/>
      <c r="T260" s="312"/>
      <c r="U260" s="312"/>
      <c r="V260" s="312"/>
      <c r="W260" s="312"/>
      <c r="X260" s="312"/>
      <c r="Y260" s="312"/>
      <c r="Z260" s="312"/>
      <c r="AA260" s="312"/>
    </row>
    <row r="261" spans="1:27" s="118" customFormat="1" x14ac:dyDescent="0.2">
      <c r="A261" s="10"/>
      <c r="B261" s="10"/>
      <c r="C261" s="191"/>
      <c r="D261" s="2"/>
      <c r="E261" s="148"/>
      <c r="F261" s="253">
        <v>4</v>
      </c>
      <c r="G261" s="253">
        <v>2.5</v>
      </c>
      <c r="H261" s="253"/>
      <c r="I261" s="249">
        <v>1.2</v>
      </c>
      <c r="J261" s="253">
        <f t="shared" si="19"/>
        <v>12</v>
      </c>
      <c r="K261" s="137"/>
      <c r="L261" s="137"/>
      <c r="M261" s="137"/>
      <c r="N261" s="138"/>
      <c r="O261" s="167"/>
      <c r="P261" s="111"/>
      <c r="Q261" s="111" t="s">
        <v>400</v>
      </c>
      <c r="R261" s="111"/>
      <c r="S261" s="111"/>
      <c r="T261" s="111"/>
      <c r="U261" s="111"/>
      <c r="V261" s="111"/>
      <c r="W261" s="111"/>
      <c r="X261" s="111"/>
      <c r="Y261" s="111"/>
      <c r="Z261" s="111"/>
      <c r="AA261" s="111"/>
    </row>
    <row r="262" spans="1:27" s="118" customFormat="1" x14ac:dyDescent="0.2">
      <c r="A262" s="10"/>
      <c r="B262" s="10"/>
      <c r="C262" s="191"/>
      <c r="D262" s="2" t="s">
        <v>1031</v>
      </c>
      <c r="E262" s="148"/>
      <c r="F262" s="253">
        <v>4</v>
      </c>
      <c r="G262" s="253">
        <v>3</v>
      </c>
      <c r="H262" s="253"/>
      <c r="I262" s="249">
        <v>1.2</v>
      </c>
      <c r="J262" s="253">
        <f t="shared" si="19"/>
        <v>14.4</v>
      </c>
      <c r="K262" s="137"/>
      <c r="L262" s="137"/>
      <c r="M262" s="137"/>
      <c r="N262" s="138"/>
      <c r="O262" s="167"/>
      <c r="P262" s="111"/>
      <c r="Q262" s="111"/>
      <c r="R262" s="111"/>
      <c r="S262" s="111"/>
      <c r="T262" s="111"/>
      <c r="U262" s="111"/>
      <c r="V262" s="111"/>
      <c r="W262" s="111"/>
      <c r="X262" s="111"/>
      <c r="Y262" s="111"/>
      <c r="Z262" s="111"/>
      <c r="AA262" s="111"/>
    </row>
    <row r="263" spans="1:27" s="118" customFormat="1" x14ac:dyDescent="0.2">
      <c r="A263" s="10"/>
      <c r="B263" s="10"/>
      <c r="C263" s="191"/>
      <c r="D263" s="2"/>
      <c r="E263" s="148"/>
      <c r="F263" s="253">
        <v>2</v>
      </c>
      <c r="G263" s="253">
        <v>2.2000000000000002</v>
      </c>
      <c r="H263" s="253"/>
      <c r="I263" s="249">
        <v>1.2</v>
      </c>
      <c r="J263" s="253">
        <f t="shared" si="19"/>
        <v>5.28</v>
      </c>
      <c r="K263" s="137"/>
      <c r="L263" s="137"/>
      <c r="M263" s="137"/>
      <c r="N263" s="138"/>
      <c r="O263" s="167"/>
      <c r="P263" s="111"/>
      <c r="Q263" s="111"/>
      <c r="R263" s="111"/>
      <c r="S263" s="111"/>
      <c r="T263" s="111"/>
      <c r="U263" s="111"/>
      <c r="V263" s="111"/>
      <c r="W263" s="111"/>
      <c r="X263" s="111"/>
      <c r="Y263" s="111"/>
      <c r="Z263" s="111"/>
      <c r="AA263" s="111"/>
    </row>
    <row r="264" spans="1:27" s="118" customFormat="1" x14ac:dyDescent="0.2">
      <c r="A264" s="10"/>
      <c r="B264" s="10"/>
      <c r="C264" s="191"/>
      <c r="D264" s="108"/>
      <c r="E264" s="148"/>
      <c r="F264" s="253">
        <v>2</v>
      </c>
      <c r="G264" s="253">
        <v>2.8</v>
      </c>
      <c r="H264" s="253"/>
      <c r="I264" s="249">
        <v>1.2</v>
      </c>
      <c r="J264" s="253">
        <f t="shared" si="19"/>
        <v>6.72</v>
      </c>
      <c r="K264" s="137"/>
      <c r="L264" s="137"/>
      <c r="M264" s="137"/>
      <c r="N264" s="138"/>
      <c r="O264" s="167"/>
      <c r="P264" s="111"/>
      <c r="Q264" s="111"/>
      <c r="R264" s="111"/>
      <c r="S264" s="111"/>
      <c r="T264" s="111"/>
      <c r="U264" s="111"/>
      <c r="V264" s="111"/>
      <c r="W264" s="111"/>
      <c r="X264" s="111"/>
      <c r="Y264" s="111"/>
      <c r="Z264" s="111"/>
      <c r="AA264" s="111"/>
    </row>
    <row r="265" spans="1:27" s="139" customFormat="1" x14ac:dyDescent="0.2">
      <c r="A265" s="10"/>
      <c r="B265" s="10"/>
      <c r="C265" s="15"/>
      <c r="D265" s="2" t="s">
        <v>1032</v>
      </c>
      <c r="E265" s="6"/>
      <c r="F265" s="253">
        <v>4</v>
      </c>
      <c r="G265" s="253">
        <v>1.85</v>
      </c>
      <c r="H265" s="258"/>
      <c r="I265" s="249">
        <v>1.2</v>
      </c>
      <c r="J265" s="253">
        <f t="shared" si="19"/>
        <v>8.8800000000000008</v>
      </c>
      <c r="K265" s="137"/>
      <c r="L265" s="137"/>
      <c r="M265" s="137"/>
      <c r="N265" s="138"/>
      <c r="O265" s="283"/>
      <c r="P265" s="120"/>
      <c r="Q265" s="120"/>
      <c r="R265" s="120"/>
      <c r="S265" s="120"/>
      <c r="T265" s="120"/>
      <c r="U265" s="120"/>
      <c r="V265" s="120"/>
      <c r="W265" s="120"/>
      <c r="X265" s="120"/>
      <c r="Y265" s="120"/>
      <c r="Z265" s="120"/>
      <c r="AA265" s="120"/>
    </row>
    <row r="266" spans="1:27" s="313" customFormat="1" x14ac:dyDescent="0.2">
      <c r="A266" s="10"/>
      <c r="B266" s="10"/>
      <c r="C266" s="15"/>
      <c r="D266" s="310"/>
      <c r="E266" s="6"/>
      <c r="F266" s="253">
        <v>2</v>
      </c>
      <c r="G266" s="253">
        <v>1.88</v>
      </c>
      <c r="H266" s="258"/>
      <c r="I266" s="249">
        <v>1.2</v>
      </c>
      <c r="J266" s="253">
        <f t="shared" si="19"/>
        <v>4.51</v>
      </c>
      <c r="K266" s="136">
        <f>J270</f>
        <v>7.5</v>
      </c>
      <c r="L266" s="136">
        <v>116.08</v>
      </c>
      <c r="M266" s="136">
        <f>ROUND(L266*(1+$Q$5),2)</f>
        <v>146.88</v>
      </c>
      <c r="N266" s="199">
        <f>TRUNC(K266*M266,2)</f>
        <v>1101.5999999999999</v>
      </c>
      <c r="O266" s="283"/>
      <c r="P266" s="312"/>
      <c r="Q266" s="312"/>
      <c r="R266" s="312"/>
      <c r="S266" s="312"/>
      <c r="T266" s="312"/>
      <c r="U266" s="312"/>
      <c r="V266" s="312"/>
      <c r="W266" s="312"/>
      <c r="X266" s="312"/>
      <c r="Y266" s="312"/>
      <c r="Z266" s="312"/>
      <c r="AA266" s="312"/>
    </row>
    <row r="267" spans="1:27" s="118" customFormat="1" x14ac:dyDescent="0.2">
      <c r="A267" s="10"/>
      <c r="B267" s="10"/>
      <c r="C267" s="191"/>
      <c r="D267" s="2"/>
      <c r="E267" s="148"/>
      <c r="F267" s="253">
        <v>2</v>
      </c>
      <c r="G267" s="253">
        <v>2.75</v>
      </c>
      <c r="H267" s="253"/>
      <c r="I267" s="249">
        <v>1.2</v>
      </c>
      <c r="J267" s="253">
        <f t="shared" si="19"/>
        <v>6.6</v>
      </c>
      <c r="K267" s="137"/>
      <c r="L267" s="137"/>
      <c r="M267" s="137"/>
      <c r="N267" s="138"/>
      <c r="O267" s="167"/>
      <c r="P267" s="111"/>
      <c r="Q267" s="111"/>
      <c r="R267" s="111"/>
      <c r="S267" s="111"/>
      <c r="T267" s="111"/>
      <c r="U267" s="111"/>
      <c r="V267" s="111"/>
      <c r="W267" s="111"/>
      <c r="X267" s="111"/>
      <c r="Y267" s="111"/>
      <c r="Z267" s="111"/>
      <c r="AA267" s="111"/>
    </row>
    <row r="268" spans="1:27" s="118" customFormat="1" x14ac:dyDescent="0.2">
      <c r="A268" s="10"/>
      <c r="B268" s="10"/>
      <c r="C268" s="191"/>
      <c r="D268" s="2"/>
      <c r="E268" s="148"/>
      <c r="F268" s="253">
        <v>1</v>
      </c>
      <c r="G268" s="253">
        <v>8.4499999999999993</v>
      </c>
      <c r="H268" s="253"/>
      <c r="I268" s="249">
        <v>1.2</v>
      </c>
      <c r="J268" s="253">
        <f t="shared" si="19"/>
        <v>10.14</v>
      </c>
      <c r="K268" s="137"/>
      <c r="L268" s="137"/>
      <c r="M268" s="137"/>
      <c r="N268" s="138"/>
      <c r="O268" s="167"/>
      <c r="P268" s="111"/>
      <c r="Q268" s="111"/>
      <c r="R268" s="111"/>
      <c r="S268" s="111"/>
      <c r="T268" s="111"/>
      <c r="U268" s="111"/>
      <c r="V268" s="111"/>
      <c r="W268" s="111"/>
      <c r="X268" s="111"/>
      <c r="Y268" s="111"/>
      <c r="Z268" s="111"/>
      <c r="AA268" s="111"/>
    </row>
    <row r="269" spans="1:27" s="118" customFormat="1" x14ac:dyDescent="0.2">
      <c r="A269" s="10"/>
      <c r="B269" s="10"/>
      <c r="C269" s="191"/>
      <c r="D269" s="2"/>
      <c r="E269" s="148"/>
      <c r="F269" s="253">
        <v>1</v>
      </c>
      <c r="G269" s="253">
        <v>7.47</v>
      </c>
      <c r="H269" s="253"/>
      <c r="I269" s="249">
        <v>1.2</v>
      </c>
      <c r="J269" s="253">
        <f t="shared" si="19"/>
        <v>8.9600000000000009</v>
      </c>
      <c r="K269" s="137"/>
      <c r="L269" s="137"/>
      <c r="M269" s="137"/>
      <c r="N269" s="138"/>
      <c r="O269" s="167"/>
      <c r="P269" s="111"/>
      <c r="Q269" s="111"/>
      <c r="R269" s="111"/>
      <c r="S269" s="111"/>
      <c r="T269" s="111"/>
      <c r="U269" s="111"/>
      <c r="V269" s="111"/>
      <c r="W269" s="111"/>
      <c r="X269" s="111"/>
      <c r="Y269" s="111"/>
      <c r="Z269" s="111"/>
      <c r="AA269" s="111"/>
    </row>
    <row r="270" spans="1:27" s="118" customFormat="1" x14ac:dyDescent="0.2">
      <c r="A270" s="10"/>
      <c r="B270" s="10"/>
      <c r="C270" s="190"/>
      <c r="D270" s="108"/>
      <c r="E270" s="148"/>
      <c r="F270" s="253">
        <v>1</v>
      </c>
      <c r="G270" s="253">
        <v>6.25</v>
      </c>
      <c r="H270" s="253"/>
      <c r="I270" s="249">
        <v>1.2</v>
      </c>
      <c r="J270" s="253">
        <f t="shared" si="19"/>
        <v>7.5</v>
      </c>
      <c r="K270" s="137"/>
      <c r="L270" s="137"/>
      <c r="M270" s="137"/>
      <c r="N270" s="138"/>
      <c r="O270" s="167"/>
      <c r="P270" s="111"/>
      <c r="Q270" s="111"/>
      <c r="R270" s="111"/>
      <c r="S270" s="111"/>
      <c r="T270" s="111"/>
      <c r="U270" s="111"/>
      <c r="V270" s="111"/>
      <c r="W270" s="111"/>
      <c r="X270" s="111"/>
      <c r="Y270" s="111"/>
      <c r="Z270" s="111"/>
      <c r="AA270" s="111"/>
    </row>
    <row r="271" spans="1:27" s="139" customFormat="1" x14ac:dyDescent="0.2">
      <c r="A271" s="10"/>
      <c r="B271" s="10"/>
      <c r="C271" s="15"/>
      <c r="D271" s="116"/>
      <c r="E271" s="6"/>
      <c r="F271" s="253">
        <v>1</v>
      </c>
      <c r="G271" s="253">
        <v>5.18</v>
      </c>
      <c r="H271" s="258"/>
      <c r="I271" s="249">
        <v>1.2</v>
      </c>
      <c r="J271" s="253">
        <f t="shared" si="19"/>
        <v>6.22</v>
      </c>
      <c r="K271" s="137"/>
      <c r="L271" s="137"/>
      <c r="M271" s="137"/>
      <c r="N271" s="138"/>
      <c r="O271" s="283"/>
      <c r="P271" s="120"/>
      <c r="Q271" s="120"/>
      <c r="R271" s="120"/>
      <c r="S271" s="120"/>
      <c r="T271" s="120"/>
      <c r="U271" s="120"/>
      <c r="V271" s="120"/>
      <c r="W271" s="120"/>
      <c r="X271" s="120"/>
      <c r="Y271" s="120"/>
      <c r="Z271" s="120"/>
      <c r="AA271" s="120"/>
    </row>
    <row r="272" spans="1:27" s="313" customFormat="1" x14ac:dyDescent="0.2">
      <c r="A272" s="10"/>
      <c r="B272" s="10"/>
      <c r="C272" s="15"/>
      <c r="D272" s="396" t="s">
        <v>1016</v>
      </c>
      <c r="E272" s="148"/>
      <c r="F272" s="253">
        <v>2</v>
      </c>
      <c r="G272" s="253">
        <v>3.15</v>
      </c>
      <c r="H272" s="258"/>
      <c r="I272" s="249">
        <v>1.2</v>
      </c>
      <c r="J272" s="253">
        <f t="shared" si="19"/>
        <v>7.56</v>
      </c>
      <c r="K272" s="136">
        <f>J282</f>
        <v>-3.05</v>
      </c>
      <c r="L272" s="136">
        <f>'COMPOSICOES - SINAPI COM DESON'!G50</f>
        <v>104.48</v>
      </c>
      <c r="M272" s="136">
        <f>ROUND(L272*(1+$Q$5),2)</f>
        <v>132.19999999999999</v>
      </c>
      <c r="N272" s="199">
        <f>TRUNC(K272*M272,2)</f>
        <v>-403.21</v>
      </c>
      <c r="O272" s="283"/>
      <c r="P272" s="312"/>
      <c r="Q272" s="312"/>
      <c r="R272" s="312"/>
      <c r="S272" s="312"/>
      <c r="T272" s="312"/>
      <c r="U272" s="312"/>
      <c r="V272" s="312"/>
      <c r="W272" s="312"/>
      <c r="X272" s="312"/>
      <c r="Y272" s="312"/>
      <c r="Z272" s="312"/>
      <c r="AA272" s="312"/>
    </row>
    <row r="273" spans="1:27" s="174" customFormat="1" x14ac:dyDescent="0.2">
      <c r="A273" s="177"/>
      <c r="B273" s="177"/>
      <c r="C273" s="178"/>
      <c r="D273" s="2"/>
      <c r="E273" s="170"/>
      <c r="F273" s="253">
        <v>2</v>
      </c>
      <c r="G273" s="253">
        <v>1.83</v>
      </c>
      <c r="H273" s="253"/>
      <c r="I273" s="249">
        <v>1.2</v>
      </c>
      <c r="J273" s="253">
        <f t="shared" si="19"/>
        <v>4.3899999999999997</v>
      </c>
      <c r="K273" s="172"/>
      <c r="L273" s="172"/>
      <c r="M273" s="172"/>
      <c r="N273" s="173"/>
      <c r="O273" s="287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</row>
    <row r="274" spans="1:27" s="174" customFormat="1" x14ac:dyDescent="0.2">
      <c r="A274" s="177"/>
      <c r="B274" s="177"/>
      <c r="C274" s="178"/>
      <c r="D274" s="2" t="s">
        <v>979</v>
      </c>
      <c r="E274" s="170"/>
      <c r="F274" s="253">
        <v>2</v>
      </c>
      <c r="G274" s="253">
        <v>14.5</v>
      </c>
      <c r="H274" s="253"/>
      <c r="I274" s="249">
        <v>2</v>
      </c>
      <c r="J274" s="253">
        <f t="shared" si="19"/>
        <v>58</v>
      </c>
      <c r="K274" s="172"/>
      <c r="L274" s="172"/>
      <c r="M274" s="172"/>
      <c r="N274" s="173"/>
      <c r="O274" s="287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</row>
    <row r="275" spans="1:27" s="174" customFormat="1" x14ac:dyDescent="0.2">
      <c r="A275" s="177"/>
      <c r="B275" s="177"/>
      <c r="C275" s="178"/>
      <c r="D275" s="2"/>
      <c r="E275" s="170"/>
      <c r="F275" s="253">
        <v>2</v>
      </c>
      <c r="G275" s="253">
        <v>14.5</v>
      </c>
      <c r="H275" s="253"/>
      <c r="I275" s="249">
        <v>3</v>
      </c>
      <c r="J275" s="253">
        <f t="shared" si="19"/>
        <v>87</v>
      </c>
      <c r="K275" s="172"/>
      <c r="L275" s="172"/>
      <c r="M275" s="172"/>
      <c r="N275" s="173"/>
      <c r="O275" s="287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</row>
    <row r="276" spans="1:27" s="174" customFormat="1" x14ac:dyDescent="0.2">
      <c r="A276" s="177"/>
      <c r="B276" s="177"/>
      <c r="C276" s="178"/>
      <c r="D276" s="2"/>
      <c r="E276" s="170"/>
      <c r="F276" s="253">
        <v>1</v>
      </c>
      <c r="G276" s="253">
        <v>12.25</v>
      </c>
      <c r="H276" s="253"/>
      <c r="I276" s="249">
        <v>1.5</v>
      </c>
      <c r="J276" s="253">
        <f t="shared" si="19"/>
        <v>18.38</v>
      </c>
      <c r="K276" s="172"/>
      <c r="L276" s="172"/>
      <c r="M276" s="172"/>
      <c r="N276" s="173"/>
      <c r="O276" s="287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</row>
    <row r="277" spans="1:27" s="174" customFormat="1" x14ac:dyDescent="0.2">
      <c r="A277" s="177"/>
      <c r="B277" s="177"/>
      <c r="C277" s="178"/>
      <c r="D277" s="2"/>
      <c r="E277" s="170"/>
      <c r="F277" s="253">
        <v>2</v>
      </c>
      <c r="G277" s="253">
        <v>5.17</v>
      </c>
      <c r="H277" s="253"/>
      <c r="I277" s="249">
        <v>3</v>
      </c>
      <c r="J277" s="253">
        <f t="shared" si="19"/>
        <v>31.02</v>
      </c>
      <c r="K277" s="172"/>
      <c r="L277" s="172"/>
      <c r="M277" s="172"/>
      <c r="N277" s="173"/>
      <c r="O277" s="287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</row>
    <row r="278" spans="1:27" s="174" customFormat="1" x14ac:dyDescent="0.2">
      <c r="A278" s="177"/>
      <c r="B278" s="177"/>
      <c r="C278" s="178"/>
      <c r="D278" s="2"/>
      <c r="E278" s="170"/>
      <c r="F278" s="253">
        <v>2</v>
      </c>
      <c r="G278" s="253">
        <v>3.25</v>
      </c>
      <c r="H278" s="253"/>
      <c r="I278" s="249">
        <v>3</v>
      </c>
      <c r="J278" s="253">
        <f t="shared" si="19"/>
        <v>19.5</v>
      </c>
      <c r="K278" s="172"/>
      <c r="L278" s="172"/>
      <c r="M278" s="172"/>
      <c r="N278" s="173"/>
      <c r="O278" s="287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</row>
    <row r="279" spans="1:27" s="174" customFormat="1" x14ac:dyDescent="0.2">
      <c r="A279" s="177"/>
      <c r="B279" s="177"/>
      <c r="C279" s="178"/>
      <c r="D279" s="2" t="s">
        <v>1034</v>
      </c>
      <c r="E279" s="170"/>
      <c r="F279" s="253"/>
      <c r="G279" s="253"/>
      <c r="H279" s="253"/>
      <c r="I279" s="249"/>
      <c r="J279" s="253"/>
      <c r="K279" s="172"/>
      <c r="L279" s="172"/>
      <c r="M279" s="172"/>
      <c r="N279" s="173"/>
      <c r="O279" s="287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</row>
    <row r="280" spans="1:27" s="174" customFormat="1" x14ac:dyDescent="0.2">
      <c r="A280" s="177"/>
      <c r="B280" s="177"/>
      <c r="C280" s="178"/>
      <c r="D280" s="2" t="s">
        <v>1035</v>
      </c>
      <c r="E280" s="170"/>
      <c r="F280" s="253">
        <v>-13</v>
      </c>
      <c r="G280" s="253">
        <v>0.8</v>
      </c>
      <c r="H280" s="253"/>
      <c r="I280" s="249">
        <v>2.1</v>
      </c>
      <c r="J280" s="253">
        <f t="shared" si="19"/>
        <v>-21.84</v>
      </c>
      <c r="K280" s="172"/>
      <c r="L280" s="172"/>
      <c r="M280" s="172"/>
      <c r="N280" s="173"/>
      <c r="O280" s="287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</row>
    <row r="281" spans="1:27" s="174" customFormat="1" x14ac:dyDescent="0.2">
      <c r="A281" s="177"/>
      <c r="B281" s="177"/>
      <c r="C281" s="178"/>
      <c r="D281" s="2"/>
      <c r="E281" s="170"/>
      <c r="F281" s="253">
        <v>-10</v>
      </c>
      <c r="G281" s="253">
        <v>1</v>
      </c>
      <c r="H281" s="253"/>
      <c r="I281" s="249">
        <v>1</v>
      </c>
      <c r="J281" s="253">
        <f t="shared" si="19"/>
        <v>-10</v>
      </c>
      <c r="K281" s="172"/>
      <c r="L281" s="172"/>
      <c r="M281" s="172"/>
      <c r="N281" s="173"/>
      <c r="O281" s="287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</row>
    <row r="282" spans="1:27" s="174" customFormat="1" x14ac:dyDescent="0.2">
      <c r="A282" s="177"/>
      <c r="B282" s="177"/>
      <c r="C282" s="178"/>
      <c r="D282" s="175"/>
      <c r="E282" s="176"/>
      <c r="F282" s="264">
        <v>-1</v>
      </c>
      <c r="G282" s="264">
        <v>1.45</v>
      </c>
      <c r="H282" s="264"/>
      <c r="I282" s="398">
        <v>2.1</v>
      </c>
      <c r="J282" s="253">
        <f t="shared" si="19"/>
        <v>-3.05</v>
      </c>
      <c r="K282" s="172"/>
      <c r="L282" s="172"/>
      <c r="M282" s="172"/>
      <c r="N282" s="173"/>
      <c r="O282" s="287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</row>
    <row r="283" spans="1:27" s="174" customFormat="1" x14ac:dyDescent="0.2">
      <c r="A283" s="177"/>
      <c r="B283" s="177"/>
      <c r="C283" s="178"/>
      <c r="D283" s="175"/>
      <c r="E283" s="176"/>
      <c r="F283" s="264">
        <v>-2</v>
      </c>
      <c r="G283" s="264">
        <v>0.7</v>
      </c>
      <c r="H283" s="264"/>
      <c r="I283" s="251">
        <v>2.1</v>
      </c>
      <c r="J283" s="262">
        <f t="shared" si="19"/>
        <v>-2.94</v>
      </c>
      <c r="K283" s="172"/>
      <c r="L283" s="172"/>
      <c r="M283" s="172"/>
      <c r="N283" s="173"/>
      <c r="O283" s="287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</row>
    <row r="284" spans="1:27" s="313" customFormat="1" x14ac:dyDescent="0.2">
      <c r="A284" s="10"/>
      <c r="B284" s="10"/>
      <c r="C284" s="15"/>
      <c r="D284" s="310"/>
      <c r="E284" s="6"/>
      <c r="F284" s="258">
        <v>-1</v>
      </c>
      <c r="G284" s="258">
        <v>0.9</v>
      </c>
      <c r="H284" s="258"/>
      <c r="I284" s="246">
        <v>2.1</v>
      </c>
      <c r="J284" s="258">
        <f t="shared" si="19"/>
        <v>-1.89</v>
      </c>
      <c r="K284" s="136" t="e">
        <f>#REF!</f>
        <v>#REF!</v>
      </c>
      <c r="L284" s="136">
        <v>73.44</v>
      </c>
      <c r="M284" s="136">
        <f>ROUND(L284*(1+$Q$5),2)</f>
        <v>92.92</v>
      </c>
      <c r="N284" s="199" t="e">
        <f>TRUNC(K284*M284,2)</f>
        <v>#REF!</v>
      </c>
      <c r="O284" s="283"/>
      <c r="P284" s="312"/>
      <c r="Q284" s="312"/>
      <c r="R284" s="312"/>
      <c r="S284" s="312"/>
      <c r="T284" s="312"/>
      <c r="U284" s="312"/>
      <c r="V284" s="312"/>
      <c r="W284" s="312"/>
      <c r="X284" s="312"/>
      <c r="Y284" s="312"/>
      <c r="Z284" s="312"/>
      <c r="AA284" s="312"/>
    </row>
    <row r="285" spans="1:27" s="118" customFormat="1" x14ac:dyDescent="0.2">
      <c r="A285" s="10"/>
      <c r="B285" s="10"/>
      <c r="C285" s="191"/>
      <c r="D285" s="2"/>
      <c r="E285" s="170"/>
      <c r="F285" s="253"/>
      <c r="G285" s="253"/>
      <c r="H285" s="253"/>
      <c r="I285" s="246" t="str">
        <f>"Total item "&amp;A244</f>
        <v>Total item 5.1.1</v>
      </c>
      <c r="J285" s="261">
        <f>SUM(J246:J284)</f>
        <v>383.42999999999995</v>
      </c>
      <c r="K285" s="137"/>
      <c r="L285" s="137"/>
      <c r="M285" s="137"/>
      <c r="N285" s="138"/>
      <c r="O285" s="167"/>
      <c r="P285" s="111"/>
      <c r="Q285" s="111"/>
      <c r="R285" s="111"/>
      <c r="S285" s="111"/>
      <c r="T285" s="111"/>
      <c r="U285" s="111"/>
      <c r="V285" s="111"/>
      <c r="W285" s="111"/>
      <c r="X285" s="111"/>
      <c r="Y285" s="111"/>
      <c r="Z285" s="111"/>
      <c r="AA285" s="111"/>
    </row>
    <row r="286" spans="1:27" s="139" customFormat="1" x14ac:dyDescent="0.2">
      <c r="A286" s="10"/>
      <c r="B286" s="10"/>
      <c r="C286" s="15"/>
      <c r="D286" s="116"/>
      <c r="E286" s="6"/>
      <c r="F286" s="258"/>
      <c r="G286" s="258"/>
      <c r="H286" s="258"/>
      <c r="I286" s="246"/>
      <c r="J286" s="258"/>
      <c r="K286" s="137"/>
      <c r="L286" s="137"/>
      <c r="M286" s="137"/>
      <c r="N286" s="138"/>
      <c r="O286" s="283"/>
      <c r="P286" s="120"/>
      <c r="Q286" s="120"/>
      <c r="R286" s="120"/>
      <c r="S286" s="120"/>
      <c r="T286" s="120"/>
      <c r="U286" s="120"/>
      <c r="V286" s="120"/>
      <c r="W286" s="120"/>
      <c r="X286" s="120"/>
      <c r="Y286" s="120"/>
      <c r="Z286" s="120"/>
      <c r="AA286" s="120"/>
    </row>
    <row r="287" spans="1:27" s="147" customFormat="1" ht="40.200000000000003" customHeight="1" x14ac:dyDescent="0.2">
      <c r="A287" s="9" t="s">
        <v>602</v>
      </c>
      <c r="B287" s="184"/>
      <c r="C287" s="185"/>
      <c r="D287" s="113" t="str">
        <f>'ORÇAMENTO PINTURA'!D37</f>
        <v>PINTURA COM TINTA ALQUÍDICA DE FUNDO E ACABAMENTO (ESMALTE SINTÉTICO GRAFITE) APLICADA A ROLO OU PINCEL SOBRE PERFIL METÁLICO EXECUTADO EM FÁBRICA (POR DEMÃO). AF_01/2020</v>
      </c>
      <c r="E287" s="9" t="s">
        <v>9</v>
      </c>
      <c r="F287" s="261"/>
      <c r="G287" s="261"/>
      <c r="H287" s="261"/>
      <c r="I287" s="245"/>
      <c r="J287" s="261"/>
      <c r="K287" s="131">
        <f>J289</f>
        <v>9</v>
      </c>
      <c r="L287" s="131">
        <v>65.69</v>
      </c>
      <c r="M287" s="131">
        <f>ROUND(L287*(1+$Q$5),2)</f>
        <v>83.12</v>
      </c>
      <c r="N287" s="133">
        <f>TRUNC(K287*M287,2)</f>
        <v>748.08</v>
      </c>
      <c r="O287" s="286"/>
      <c r="P287" s="146"/>
      <c r="Q287" s="146"/>
      <c r="R287" s="146"/>
      <c r="S287" s="146"/>
      <c r="T287" s="146"/>
      <c r="U287" s="146"/>
      <c r="V287" s="146"/>
      <c r="W287" s="146"/>
      <c r="X287" s="146"/>
      <c r="Y287" s="146"/>
      <c r="Z287" s="146"/>
      <c r="AA287" s="146"/>
    </row>
    <row r="288" spans="1:27" s="118" customFormat="1" x14ac:dyDescent="0.2">
      <c r="A288" s="10"/>
      <c r="B288" s="10"/>
      <c r="C288" s="10"/>
      <c r="D288" s="2" t="s">
        <v>1036</v>
      </c>
      <c r="E288" s="148"/>
      <c r="F288" s="253">
        <v>2</v>
      </c>
      <c r="G288" s="253">
        <v>1.5</v>
      </c>
      <c r="H288" s="253"/>
      <c r="I288" s="246">
        <v>1</v>
      </c>
      <c r="J288" s="258">
        <f t="shared" ref="J288:J293" si="20">ROUND(PRODUCT(F288:I288),2)</f>
        <v>3</v>
      </c>
      <c r="K288" s="137"/>
      <c r="L288" s="137"/>
      <c r="M288" s="137"/>
      <c r="N288" s="138"/>
      <c r="O288" s="167"/>
      <c r="P288" s="111"/>
      <c r="Q288" s="111"/>
      <c r="R288" s="111"/>
      <c r="S288" s="111"/>
      <c r="T288" s="111"/>
      <c r="U288" s="111"/>
      <c r="V288" s="111"/>
      <c r="W288" s="111"/>
      <c r="X288" s="111"/>
      <c r="Y288" s="111"/>
      <c r="Z288" s="111"/>
      <c r="AA288" s="111"/>
    </row>
    <row r="289" spans="1:28" s="118" customFormat="1" x14ac:dyDescent="0.2">
      <c r="A289" s="10"/>
      <c r="B289" s="10"/>
      <c r="C289" s="191"/>
      <c r="D289" s="108"/>
      <c r="E289" s="148"/>
      <c r="F289" s="253">
        <v>9</v>
      </c>
      <c r="G289" s="253">
        <v>1</v>
      </c>
      <c r="H289" s="253"/>
      <c r="I289" s="246">
        <v>1</v>
      </c>
      <c r="J289" s="258">
        <f t="shared" si="20"/>
        <v>9</v>
      </c>
      <c r="K289" s="137"/>
      <c r="L289" s="137"/>
      <c r="M289" s="137"/>
      <c r="N289" s="138"/>
      <c r="O289" s="167"/>
      <c r="P289" s="111"/>
      <c r="Q289" s="111"/>
      <c r="R289" s="111"/>
      <c r="S289" s="111"/>
      <c r="T289" s="111"/>
      <c r="U289" s="111"/>
      <c r="V289" s="111"/>
      <c r="W289" s="111"/>
      <c r="X289" s="111"/>
      <c r="Y289" s="111"/>
      <c r="Z289" s="111"/>
      <c r="AA289" s="111"/>
    </row>
    <row r="290" spans="1:28" s="118" customFormat="1" x14ac:dyDescent="0.2">
      <c r="A290" s="10"/>
      <c r="B290" s="10"/>
      <c r="C290" s="191"/>
      <c r="D290" s="108"/>
      <c r="E290" s="148"/>
      <c r="F290" s="253">
        <v>2</v>
      </c>
      <c r="G290" s="253">
        <v>1</v>
      </c>
      <c r="H290" s="253"/>
      <c r="I290" s="246">
        <v>0.4</v>
      </c>
      <c r="J290" s="258">
        <f t="shared" si="20"/>
        <v>0.8</v>
      </c>
      <c r="K290" s="137"/>
      <c r="L290" s="137"/>
      <c r="M290" s="137"/>
      <c r="N290" s="138"/>
      <c r="O290" s="167"/>
      <c r="P290" s="111"/>
      <c r="Q290" s="111"/>
      <c r="R290" s="111"/>
      <c r="S290" s="111"/>
      <c r="T290" s="111"/>
      <c r="U290" s="111"/>
      <c r="V290" s="111"/>
      <c r="W290" s="111"/>
      <c r="X290" s="111"/>
      <c r="Y290" s="111"/>
      <c r="Z290" s="111"/>
      <c r="AA290" s="111"/>
    </row>
    <row r="291" spans="1:28" s="313" customFormat="1" x14ac:dyDescent="0.2">
      <c r="A291" s="10"/>
      <c r="B291" s="10"/>
      <c r="C291" s="15"/>
      <c r="D291" s="310"/>
      <c r="E291" s="6"/>
      <c r="F291" s="258">
        <v>1</v>
      </c>
      <c r="G291" s="258">
        <v>1.45</v>
      </c>
      <c r="H291" s="258"/>
      <c r="I291" s="246">
        <v>2.1</v>
      </c>
      <c r="J291" s="258">
        <f t="shared" si="20"/>
        <v>3.05</v>
      </c>
      <c r="K291" s="136">
        <f>J293</f>
        <v>2.1</v>
      </c>
      <c r="L291" s="136">
        <v>14.55</v>
      </c>
      <c r="M291" s="136">
        <f>ROUND(L291*(1+$Q$5),2)</f>
        <v>18.41</v>
      </c>
      <c r="N291" s="199">
        <f>TRUNC(K291*M291,2)</f>
        <v>38.659999999999997</v>
      </c>
      <c r="O291" s="283"/>
      <c r="P291" s="312"/>
      <c r="Q291" s="312"/>
      <c r="R291" s="312"/>
      <c r="S291" s="312"/>
      <c r="T291" s="312"/>
      <c r="U291" s="312"/>
      <c r="V291" s="312"/>
      <c r="W291" s="312"/>
      <c r="X291" s="312"/>
      <c r="Y291" s="312"/>
      <c r="Z291" s="312"/>
      <c r="AA291" s="312"/>
    </row>
    <row r="292" spans="1:28" s="118" customFormat="1" x14ac:dyDescent="0.2">
      <c r="A292" s="10"/>
      <c r="B292" s="10"/>
      <c r="C292" s="10"/>
      <c r="D292" s="2"/>
      <c r="E292" s="148"/>
      <c r="F292" s="253">
        <v>1</v>
      </c>
      <c r="G292" s="253">
        <v>0.7</v>
      </c>
      <c r="H292" s="253"/>
      <c r="I292" s="246">
        <v>2.1</v>
      </c>
      <c r="J292" s="258">
        <f t="shared" si="20"/>
        <v>1.47</v>
      </c>
      <c r="K292" s="137"/>
      <c r="L292" s="137"/>
      <c r="M292" s="137"/>
      <c r="N292" s="138"/>
      <c r="O292" s="167"/>
      <c r="P292" s="111"/>
      <c r="Q292" s="111"/>
      <c r="R292" s="111"/>
      <c r="S292" s="111"/>
      <c r="T292" s="111"/>
      <c r="U292" s="111"/>
      <c r="V292" s="111"/>
      <c r="W292" s="111"/>
      <c r="X292" s="111"/>
      <c r="Y292" s="111"/>
      <c r="Z292" s="111"/>
      <c r="AA292" s="111"/>
    </row>
    <row r="293" spans="1:28" s="118" customFormat="1" x14ac:dyDescent="0.2">
      <c r="A293" s="10"/>
      <c r="B293" s="10"/>
      <c r="C293" s="191"/>
      <c r="D293" s="108"/>
      <c r="E293" s="148"/>
      <c r="F293" s="253">
        <v>1</v>
      </c>
      <c r="G293" s="253">
        <v>1</v>
      </c>
      <c r="H293" s="253"/>
      <c r="I293" s="246">
        <v>2.1</v>
      </c>
      <c r="J293" s="258">
        <f t="shared" si="20"/>
        <v>2.1</v>
      </c>
      <c r="K293" s="137"/>
      <c r="L293" s="137"/>
      <c r="M293" s="137"/>
      <c r="N293" s="138"/>
      <c r="O293" s="167"/>
      <c r="P293" s="111"/>
      <c r="Q293" s="111"/>
      <c r="R293" s="111"/>
      <c r="S293" s="111"/>
      <c r="T293" s="111"/>
      <c r="U293" s="111"/>
      <c r="V293" s="111"/>
      <c r="W293" s="111"/>
      <c r="X293" s="111"/>
      <c r="Y293" s="111"/>
      <c r="Z293" s="111"/>
      <c r="AA293" s="111"/>
    </row>
    <row r="294" spans="1:28" s="118" customFormat="1" x14ac:dyDescent="0.2">
      <c r="A294" s="10"/>
      <c r="B294" s="10"/>
      <c r="C294" s="191"/>
      <c r="D294" s="108"/>
      <c r="E294" s="148"/>
      <c r="F294" s="253"/>
      <c r="G294" s="253"/>
      <c r="H294" s="253"/>
      <c r="I294" s="246" t="str">
        <f>"Total item "&amp;A287</f>
        <v>Total item 5.1.2</v>
      </c>
      <c r="J294" s="261">
        <v>20.420000000000002</v>
      </c>
      <c r="K294" s="137"/>
      <c r="L294" s="137"/>
      <c r="M294" s="137"/>
      <c r="N294" s="138"/>
      <c r="O294" s="167"/>
      <c r="P294" s="111"/>
      <c r="Q294" s="111"/>
      <c r="R294" s="111"/>
      <c r="S294" s="111"/>
      <c r="T294" s="111"/>
      <c r="U294" s="111"/>
      <c r="V294" s="111"/>
      <c r="W294" s="111"/>
      <c r="X294" s="111"/>
      <c r="Y294" s="111"/>
      <c r="Z294" s="111"/>
      <c r="AA294" s="111"/>
    </row>
    <row r="295" spans="1:28" s="118" customFormat="1" x14ac:dyDescent="0.2">
      <c r="A295" s="10"/>
      <c r="B295" s="10"/>
      <c r="C295" s="15"/>
      <c r="D295" s="116"/>
      <c r="E295" s="6"/>
      <c r="F295" s="258"/>
      <c r="G295" s="258"/>
      <c r="H295" s="258"/>
      <c r="I295" s="246"/>
      <c r="J295" s="258"/>
      <c r="K295" s="137"/>
      <c r="L295" s="137"/>
      <c r="M295" s="137"/>
      <c r="N295" s="199">
        <f>SUM(N297:N310)</f>
        <v>758.7700000000001</v>
      </c>
      <c r="O295" s="167"/>
      <c r="P295" s="111"/>
      <c r="Q295" s="111"/>
      <c r="R295" s="111"/>
      <c r="S295" s="111"/>
      <c r="T295" s="111"/>
      <c r="U295" s="111"/>
      <c r="V295" s="111"/>
      <c r="W295" s="111"/>
      <c r="X295" s="111"/>
      <c r="Y295" s="111"/>
      <c r="Z295" s="111"/>
      <c r="AA295" s="111"/>
    </row>
    <row r="296" spans="1:28" s="118" customFormat="1" x14ac:dyDescent="0.2">
      <c r="A296" s="10"/>
      <c r="B296" s="10"/>
      <c r="C296" s="157"/>
      <c r="D296" s="108"/>
      <c r="E296" s="148"/>
      <c r="F296" s="253"/>
      <c r="G296" s="253"/>
      <c r="H296" s="253"/>
      <c r="I296" s="246"/>
      <c r="J296" s="258"/>
      <c r="K296" s="137"/>
      <c r="L296" s="137"/>
      <c r="M296" s="137"/>
      <c r="N296" s="138"/>
      <c r="O296" s="167"/>
      <c r="P296" s="111"/>
      <c r="Q296" s="111"/>
      <c r="R296" s="111"/>
      <c r="S296" s="111"/>
      <c r="T296" s="111"/>
      <c r="U296" s="111"/>
      <c r="V296" s="111"/>
      <c r="W296" s="111"/>
      <c r="X296" s="111"/>
      <c r="Y296" s="111"/>
      <c r="Z296" s="111"/>
      <c r="AA296" s="111"/>
    </row>
    <row r="297" spans="1:28" s="147" customFormat="1" ht="24" customHeight="1" x14ac:dyDescent="0.2">
      <c r="A297" s="184" t="s">
        <v>603</v>
      </c>
      <c r="B297" s="184"/>
      <c r="C297" s="344"/>
      <c r="D297" s="113" t="str">
        <f>'ORÇAMENTO PINTURA'!D38</f>
        <v>APLICAÇÃO MANUAL DE PINTURA COM TINTA LÁTEX ACRÍLICA EM PAREDES, DUAS DEMÃOS. AF_06/2014</v>
      </c>
      <c r="E297" s="9"/>
      <c r="F297" s="261"/>
      <c r="G297" s="261"/>
      <c r="H297" s="261"/>
      <c r="I297" s="245"/>
      <c r="J297" s="261"/>
      <c r="K297" s="131">
        <f>J300</f>
        <v>7.2</v>
      </c>
      <c r="L297" s="131">
        <v>59.97</v>
      </c>
      <c r="M297" s="131">
        <f>ROUND(L297*(1+$Q$5),2)</f>
        <v>75.88</v>
      </c>
      <c r="N297" s="133">
        <f>TRUNC(K297*M297,2)</f>
        <v>546.33000000000004</v>
      </c>
      <c r="O297" s="286"/>
      <c r="P297" s="146"/>
      <c r="Q297" s="146"/>
      <c r="R297" s="146"/>
      <c r="S297" s="146"/>
      <c r="T297" s="146"/>
      <c r="U297" s="146"/>
      <c r="V297" s="146"/>
      <c r="W297" s="146"/>
      <c r="X297" s="146"/>
      <c r="Y297" s="146"/>
      <c r="Z297" s="146"/>
      <c r="AA297" s="146"/>
    </row>
    <row r="298" spans="1:28" s="118" customFormat="1" ht="30.6" x14ac:dyDescent="0.2">
      <c r="A298" s="10"/>
      <c r="B298" s="10"/>
      <c r="C298" s="191"/>
      <c r="D298" s="391" t="s">
        <v>976</v>
      </c>
      <c r="E298" s="389"/>
      <c r="F298" s="258"/>
      <c r="G298" s="258"/>
      <c r="H298" s="258"/>
      <c r="I298" s="397" t="s">
        <v>1033</v>
      </c>
      <c r="J298" s="258"/>
      <c r="K298" s="137"/>
      <c r="L298" s="137"/>
      <c r="M298" s="137"/>
      <c r="N298" s="138"/>
      <c r="O298" s="167"/>
      <c r="P298" s="111"/>
      <c r="Q298" s="111"/>
      <c r="R298" s="111"/>
      <c r="S298" s="111"/>
      <c r="T298" s="111"/>
      <c r="U298" s="111"/>
      <c r="V298" s="111"/>
      <c r="W298" s="111"/>
      <c r="X298" s="111"/>
      <c r="Y298" s="111"/>
      <c r="Z298" s="111"/>
      <c r="AA298" s="111"/>
    </row>
    <row r="299" spans="1:28" s="118" customFormat="1" x14ac:dyDescent="0.2">
      <c r="A299" s="10"/>
      <c r="B299" s="10"/>
      <c r="C299" s="191"/>
      <c r="D299" s="2" t="s">
        <v>1027</v>
      </c>
      <c r="E299" s="148"/>
      <c r="F299" s="253">
        <v>2</v>
      </c>
      <c r="G299" s="253">
        <v>2.15</v>
      </c>
      <c r="H299" s="253"/>
      <c r="I299" s="249">
        <v>1.2</v>
      </c>
      <c r="J299" s="253">
        <f t="shared" ref="J299:J331" si="21">ROUND(PRODUCT(F299:I299),2)</f>
        <v>5.16</v>
      </c>
      <c r="K299" s="137"/>
      <c r="L299" s="137"/>
      <c r="M299" s="137"/>
      <c r="N299" s="138"/>
      <c r="O299" s="167"/>
      <c r="P299" s="111"/>
      <c r="Q299" s="111"/>
      <c r="R299" s="111"/>
      <c r="S299" s="111"/>
      <c r="T299" s="111"/>
      <c r="U299" s="111"/>
      <c r="V299" s="111"/>
      <c r="W299" s="111"/>
      <c r="X299" s="111"/>
      <c r="Y299" s="111"/>
      <c r="Z299" s="111"/>
      <c r="AA299" s="111"/>
    </row>
    <row r="300" spans="1:28" s="118" customFormat="1" x14ac:dyDescent="0.2">
      <c r="A300" s="10"/>
      <c r="B300" s="10"/>
      <c r="C300" s="191"/>
      <c r="D300" s="2"/>
      <c r="E300" s="148"/>
      <c r="F300" s="253">
        <v>2</v>
      </c>
      <c r="G300" s="253">
        <v>3</v>
      </c>
      <c r="H300" s="253"/>
      <c r="I300" s="249">
        <v>1.2</v>
      </c>
      <c r="J300" s="253">
        <f t="shared" si="21"/>
        <v>7.2</v>
      </c>
      <c r="K300" s="137"/>
      <c r="L300" s="137"/>
      <c r="M300" s="137"/>
      <c r="N300" s="138"/>
      <c r="O300" s="167"/>
      <c r="P300" s="111"/>
      <c r="Q300" s="111"/>
      <c r="R300" s="111"/>
      <c r="S300" s="111"/>
      <c r="T300" s="111"/>
      <c r="U300" s="111"/>
      <c r="V300" s="111"/>
      <c r="W300" s="111"/>
      <c r="X300" s="111"/>
      <c r="Y300" s="111"/>
      <c r="Z300" s="111"/>
      <c r="AA300" s="111"/>
    </row>
    <row r="301" spans="1:28" s="161" customFormat="1" x14ac:dyDescent="0.2">
      <c r="A301" s="10"/>
      <c r="B301" s="10"/>
      <c r="C301" s="157"/>
      <c r="D301" s="2" t="s">
        <v>1028</v>
      </c>
      <c r="E301" s="148"/>
      <c r="F301" s="253">
        <v>2</v>
      </c>
      <c r="G301" s="253">
        <v>2.9</v>
      </c>
      <c r="H301" s="253"/>
      <c r="I301" s="249">
        <v>1.2</v>
      </c>
      <c r="J301" s="253">
        <f t="shared" si="21"/>
        <v>6.96</v>
      </c>
      <c r="K301" s="151"/>
      <c r="L301" s="151"/>
      <c r="M301" s="151"/>
      <c r="N301" s="152"/>
      <c r="O301" s="167"/>
      <c r="P301" s="114"/>
      <c r="Q301" s="114"/>
      <c r="R301" s="114"/>
      <c r="S301" s="114"/>
      <c r="T301" s="114"/>
      <c r="U301" s="114"/>
      <c r="V301" s="114"/>
      <c r="W301" s="114"/>
      <c r="X301" s="114"/>
      <c r="Y301" s="114"/>
      <c r="Z301" s="114"/>
      <c r="AA301" s="114"/>
    </row>
    <row r="302" spans="1:28" s="313" customFormat="1" ht="10.5" customHeight="1" x14ac:dyDescent="0.2">
      <c r="A302" s="10"/>
      <c r="B302" s="10"/>
      <c r="C302" s="15"/>
      <c r="D302" s="2"/>
      <c r="E302" s="148"/>
      <c r="F302" s="253">
        <v>2</v>
      </c>
      <c r="G302" s="253">
        <v>2.5499999999999998</v>
      </c>
      <c r="H302" s="253"/>
      <c r="I302" s="249">
        <v>1.2</v>
      </c>
      <c r="J302" s="253">
        <f t="shared" si="21"/>
        <v>6.12</v>
      </c>
      <c r="K302" s="136">
        <f>J305</f>
        <v>4.32</v>
      </c>
      <c r="L302" s="136">
        <v>5.8</v>
      </c>
      <c r="M302" s="136">
        <f>ROUND(L302*(1+$Q$5),2)</f>
        <v>7.34</v>
      </c>
      <c r="N302" s="199">
        <f>TRUNC(K302*M302,2)</f>
        <v>31.7</v>
      </c>
      <c r="O302" s="283"/>
      <c r="P302" s="312"/>
      <c r="Q302" s="153"/>
      <c r="R302" s="312"/>
      <c r="S302" s="312"/>
      <c r="T302" s="312"/>
      <c r="U302" s="312"/>
      <c r="V302" s="312"/>
      <c r="W302" s="312"/>
      <c r="X302" s="312"/>
      <c r="Y302" s="312"/>
      <c r="Z302" s="312"/>
      <c r="AA302" s="312"/>
      <c r="AB302" s="312"/>
    </row>
    <row r="303" spans="1:28" s="118" customFormat="1" x14ac:dyDescent="0.2">
      <c r="A303" s="10"/>
      <c r="B303" s="10"/>
      <c r="C303" s="191"/>
      <c r="D303" s="2" t="s">
        <v>1029</v>
      </c>
      <c r="E303" s="148"/>
      <c r="F303" s="253">
        <v>2</v>
      </c>
      <c r="G303" s="253">
        <v>2.5499999999999998</v>
      </c>
      <c r="H303" s="253"/>
      <c r="I303" s="249">
        <v>1.2</v>
      </c>
      <c r="J303" s="253">
        <f t="shared" si="21"/>
        <v>6.12</v>
      </c>
      <c r="K303" s="137"/>
      <c r="L303" s="137"/>
      <c r="M303" s="137"/>
      <c r="N303" s="138"/>
      <c r="O303" s="167"/>
      <c r="P303" s="111"/>
      <c r="Q303" s="153"/>
      <c r="R303" s="111"/>
      <c r="S303" s="111"/>
      <c r="T303" s="111"/>
      <c r="U303" s="111"/>
      <c r="V303" s="111"/>
      <c r="W303" s="111"/>
      <c r="X303" s="111"/>
      <c r="Y303" s="111"/>
      <c r="Z303" s="111"/>
      <c r="AA303" s="111"/>
      <c r="AB303" s="111"/>
    </row>
    <row r="304" spans="1:28" s="118" customFormat="1" x14ac:dyDescent="0.2">
      <c r="A304" s="10"/>
      <c r="B304" s="10"/>
      <c r="C304" s="191"/>
      <c r="D304" s="108"/>
      <c r="E304" s="148"/>
      <c r="F304" s="253">
        <v>2</v>
      </c>
      <c r="G304" s="253">
        <v>1.8</v>
      </c>
      <c r="H304" s="253"/>
      <c r="I304" s="249">
        <v>1.2</v>
      </c>
      <c r="J304" s="253">
        <f t="shared" si="21"/>
        <v>4.32</v>
      </c>
      <c r="K304" s="137"/>
      <c r="L304" s="137"/>
      <c r="M304" s="137"/>
      <c r="N304" s="138"/>
      <c r="O304" s="167"/>
      <c r="P304" s="111"/>
      <c r="Q304" s="153"/>
      <c r="R304" s="111"/>
      <c r="S304" s="111"/>
      <c r="T304" s="111"/>
      <c r="U304" s="111"/>
      <c r="V304" s="111"/>
      <c r="W304" s="111"/>
      <c r="X304" s="111"/>
      <c r="Y304" s="111"/>
      <c r="Z304" s="111"/>
      <c r="AA304" s="111"/>
      <c r="AB304" s="111"/>
    </row>
    <row r="305" spans="1:28" s="118" customFormat="1" x14ac:dyDescent="0.2">
      <c r="A305" s="10"/>
      <c r="B305" s="10"/>
      <c r="C305" s="191"/>
      <c r="D305" s="2" t="s">
        <v>968</v>
      </c>
      <c r="E305" s="148"/>
      <c r="F305" s="253">
        <v>1</v>
      </c>
      <c r="G305" s="253">
        <v>3.6</v>
      </c>
      <c r="H305" s="258"/>
      <c r="I305" s="249">
        <v>1.2</v>
      </c>
      <c r="J305" s="253">
        <f t="shared" si="21"/>
        <v>4.32</v>
      </c>
      <c r="K305" s="137"/>
      <c r="L305" s="137"/>
      <c r="M305" s="137"/>
      <c r="N305" s="138"/>
      <c r="O305" s="167"/>
      <c r="P305" s="111"/>
      <c r="Q305" s="153"/>
      <c r="R305" s="111"/>
      <c r="S305" s="111"/>
      <c r="T305" s="111"/>
      <c r="U305" s="111"/>
      <c r="V305" s="111"/>
      <c r="W305" s="111"/>
      <c r="X305" s="111"/>
      <c r="Y305" s="111"/>
      <c r="Z305" s="111"/>
      <c r="AA305" s="111"/>
      <c r="AB305" s="111"/>
    </row>
    <row r="306" spans="1:28" s="154" customFormat="1" x14ac:dyDescent="0.2">
      <c r="A306" s="10"/>
      <c r="B306" s="10"/>
      <c r="C306" s="15"/>
      <c r="D306" s="3"/>
      <c r="E306" s="148"/>
      <c r="F306" s="253">
        <v>1</v>
      </c>
      <c r="G306" s="253">
        <v>3.15</v>
      </c>
      <c r="H306" s="253"/>
      <c r="I306" s="249">
        <v>1.2</v>
      </c>
      <c r="J306" s="253">
        <f t="shared" si="21"/>
        <v>3.78</v>
      </c>
      <c r="K306" s="151"/>
      <c r="L306" s="151"/>
      <c r="M306" s="151"/>
      <c r="N306" s="152"/>
      <c r="O306" s="283"/>
      <c r="P306" s="153"/>
      <c r="Q306" s="153"/>
      <c r="R306" s="153"/>
      <c r="S306" s="153"/>
      <c r="T306" s="153"/>
      <c r="U306" s="153"/>
      <c r="V306" s="153"/>
      <c r="W306" s="153"/>
      <c r="X306" s="153"/>
      <c r="Y306" s="153"/>
      <c r="Z306" s="153"/>
      <c r="AA306" s="153"/>
    </row>
    <row r="307" spans="1:28" s="313" customFormat="1" x14ac:dyDescent="0.2">
      <c r="A307" s="10"/>
      <c r="B307" s="10"/>
      <c r="C307" s="15"/>
      <c r="D307" s="2"/>
      <c r="E307" s="148"/>
      <c r="F307" s="253">
        <v>1</v>
      </c>
      <c r="G307" s="253">
        <v>5.6</v>
      </c>
      <c r="H307" s="253"/>
      <c r="I307" s="249">
        <v>1.2</v>
      </c>
      <c r="J307" s="253">
        <f t="shared" si="21"/>
        <v>6.72</v>
      </c>
      <c r="K307" s="136">
        <f>J310</f>
        <v>4.08</v>
      </c>
      <c r="L307" s="136">
        <v>35.01</v>
      </c>
      <c r="M307" s="136">
        <f>ROUND(L307*(1+$Q$5),2)</f>
        <v>44.3</v>
      </c>
      <c r="N307" s="199">
        <f>TRUNC(K307*M307,2)</f>
        <v>180.74</v>
      </c>
      <c r="O307" s="283"/>
      <c r="P307" s="312"/>
      <c r="Q307" s="312"/>
      <c r="R307" s="312"/>
      <c r="S307" s="312"/>
      <c r="T307" s="312"/>
      <c r="U307" s="312"/>
      <c r="V307" s="312"/>
      <c r="W307" s="312"/>
      <c r="X307" s="312"/>
      <c r="Y307" s="312"/>
      <c r="Z307" s="312"/>
      <c r="AA307" s="312"/>
    </row>
    <row r="308" spans="1:28" s="118" customFormat="1" x14ac:dyDescent="0.2">
      <c r="A308" s="10"/>
      <c r="B308" s="10"/>
      <c r="C308" s="15"/>
      <c r="D308" s="2"/>
      <c r="E308" s="148"/>
      <c r="F308" s="253">
        <v>1</v>
      </c>
      <c r="G308" s="253">
        <v>1.9</v>
      </c>
      <c r="H308" s="253"/>
      <c r="I308" s="249">
        <v>1.2</v>
      </c>
      <c r="J308" s="253">
        <f t="shared" si="21"/>
        <v>2.2799999999999998</v>
      </c>
      <c r="K308" s="137"/>
      <c r="L308" s="137"/>
      <c r="M308" s="137"/>
      <c r="N308" s="138"/>
      <c r="O308" s="167"/>
      <c r="P308" s="111"/>
      <c r="Q308" s="111"/>
      <c r="R308" s="111"/>
      <c r="S308" s="111"/>
      <c r="T308" s="111"/>
      <c r="U308" s="111"/>
      <c r="V308" s="111"/>
      <c r="W308" s="111"/>
      <c r="X308" s="111"/>
      <c r="Y308" s="111"/>
      <c r="Z308" s="111"/>
      <c r="AA308" s="111"/>
    </row>
    <row r="309" spans="1:28" s="118" customFormat="1" x14ac:dyDescent="0.2">
      <c r="A309" s="10"/>
      <c r="B309" s="10"/>
      <c r="C309" s="15"/>
      <c r="D309" s="2"/>
      <c r="E309" s="148"/>
      <c r="F309" s="253">
        <v>1</v>
      </c>
      <c r="G309" s="253">
        <v>4.47</v>
      </c>
      <c r="H309" s="253"/>
      <c r="I309" s="249">
        <v>1.2</v>
      </c>
      <c r="J309" s="253">
        <f t="shared" si="21"/>
        <v>5.36</v>
      </c>
      <c r="K309" s="137"/>
      <c r="L309" s="137"/>
      <c r="M309" s="137"/>
      <c r="N309" s="138"/>
      <c r="O309" s="167"/>
      <c r="P309" s="111"/>
      <c r="Q309" s="111"/>
      <c r="R309" s="111"/>
      <c r="S309" s="111"/>
      <c r="T309" s="111"/>
      <c r="U309" s="111"/>
      <c r="V309" s="111"/>
      <c r="W309" s="111"/>
      <c r="X309" s="111"/>
      <c r="Y309" s="111"/>
      <c r="Z309" s="111"/>
      <c r="AA309" s="111"/>
    </row>
    <row r="310" spans="1:28" s="118" customFormat="1" x14ac:dyDescent="0.2">
      <c r="A310" s="10"/>
      <c r="B310" s="10"/>
      <c r="C310" s="15"/>
      <c r="D310" s="2"/>
      <c r="E310" s="148"/>
      <c r="F310" s="253">
        <v>1</v>
      </c>
      <c r="G310" s="253">
        <v>3.4</v>
      </c>
      <c r="H310" s="253"/>
      <c r="I310" s="249">
        <v>1.2</v>
      </c>
      <c r="J310" s="253">
        <f t="shared" si="21"/>
        <v>4.08</v>
      </c>
      <c r="K310" s="137"/>
      <c r="L310" s="137"/>
      <c r="M310" s="137"/>
      <c r="N310" s="138"/>
      <c r="O310" s="167"/>
      <c r="P310" s="111"/>
      <c r="Q310" s="111"/>
      <c r="R310" s="111"/>
      <c r="S310" s="111"/>
      <c r="T310" s="111"/>
      <c r="U310" s="111"/>
      <c r="V310" s="111"/>
      <c r="W310" s="111"/>
      <c r="X310" s="111"/>
      <c r="Y310" s="111"/>
      <c r="Z310" s="111"/>
      <c r="AA310" s="111"/>
    </row>
    <row r="311" spans="1:28" s="118" customFormat="1" x14ac:dyDescent="0.2">
      <c r="A311" s="10"/>
      <c r="B311" s="10"/>
      <c r="C311" s="157"/>
      <c r="D311" s="108"/>
      <c r="E311" s="148"/>
      <c r="F311" s="253">
        <v>1</v>
      </c>
      <c r="G311" s="253">
        <v>1.23</v>
      </c>
      <c r="H311" s="253"/>
      <c r="I311" s="249">
        <v>1.2</v>
      </c>
      <c r="J311" s="253">
        <f t="shared" si="21"/>
        <v>1.48</v>
      </c>
      <c r="K311" s="137"/>
      <c r="L311" s="137"/>
      <c r="M311" s="137"/>
      <c r="N311" s="138"/>
      <c r="O311" s="167"/>
      <c r="P311" s="111"/>
      <c r="Q311" s="111"/>
      <c r="R311" s="111"/>
      <c r="S311" s="111"/>
      <c r="T311" s="111"/>
      <c r="U311" s="111"/>
      <c r="V311" s="111"/>
      <c r="W311" s="111"/>
      <c r="X311" s="111"/>
      <c r="Y311" s="111"/>
      <c r="Z311" s="111"/>
      <c r="AA311" s="111"/>
    </row>
    <row r="312" spans="1:28" s="118" customFormat="1" x14ac:dyDescent="0.2">
      <c r="A312" s="10"/>
      <c r="B312" s="10"/>
      <c r="C312" s="15"/>
      <c r="D312" s="108"/>
      <c r="E312" s="148"/>
      <c r="F312" s="253">
        <v>2</v>
      </c>
      <c r="G312" s="253">
        <v>2.48</v>
      </c>
      <c r="H312" s="253"/>
      <c r="I312" s="249">
        <v>2.7</v>
      </c>
      <c r="J312" s="253">
        <f t="shared" si="21"/>
        <v>13.39</v>
      </c>
      <c r="K312" s="137"/>
      <c r="L312" s="137"/>
      <c r="M312" s="137"/>
      <c r="N312" s="199">
        <f>SUM(N314:N324)</f>
        <v>2775.01</v>
      </c>
      <c r="O312" s="167"/>
      <c r="P312" s="111"/>
      <c r="Q312" s="111"/>
      <c r="R312" s="111"/>
      <c r="S312" s="111"/>
      <c r="T312" s="111"/>
      <c r="U312" s="111"/>
      <c r="V312" s="111"/>
      <c r="W312" s="111"/>
      <c r="X312" s="111"/>
      <c r="Y312" s="111"/>
      <c r="Z312" s="111"/>
      <c r="AA312" s="111"/>
    </row>
    <row r="313" spans="1:28" s="118" customFormat="1" x14ac:dyDescent="0.2">
      <c r="A313" s="10"/>
      <c r="B313" s="10"/>
      <c r="C313" s="157"/>
      <c r="D313" s="396" t="s">
        <v>1030</v>
      </c>
      <c r="E313" s="6"/>
      <c r="F313" s="253">
        <v>8</v>
      </c>
      <c r="G313" s="253">
        <v>3</v>
      </c>
      <c r="H313" s="253"/>
      <c r="I313" s="249">
        <v>1.2</v>
      </c>
      <c r="J313" s="253">
        <f t="shared" si="21"/>
        <v>28.8</v>
      </c>
      <c r="K313" s="137"/>
      <c r="L313" s="137"/>
      <c r="M313" s="137"/>
      <c r="N313" s="138"/>
      <c r="O313" s="167"/>
      <c r="P313" s="111"/>
      <c r="Q313" s="111"/>
      <c r="R313" s="111"/>
      <c r="S313" s="111"/>
      <c r="T313" s="111"/>
      <c r="U313" s="111"/>
      <c r="V313" s="111"/>
      <c r="W313" s="111"/>
      <c r="X313" s="111"/>
      <c r="Y313" s="111"/>
      <c r="Z313" s="111"/>
      <c r="AA313" s="111"/>
    </row>
    <row r="314" spans="1:28" s="313" customFormat="1" x14ac:dyDescent="0.2">
      <c r="A314" s="10"/>
      <c r="B314" s="10"/>
      <c r="C314" s="15"/>
      <c r="D314" s="2"/>
      <c r="E314" s="148"/>
      <c r="F314" s="253">
        <v>4</v>
      </c>
      <c r="G314" s="253">
        <v>2.5</v>
      </c>
      <c r="H314" s="253"/>
      <c r="I314" s="249">
        <v>1.2</v>
      </c>
      <c r="J314" s="253">
        <f t="shared" si="21"/>
        <v>12</v>
      </c>
      <c r="K314" s="136">
        <f>J320</f>
        <v>6.6</v>
      </c>
      <c r="L314" s="136">
        <v>287.51</v>
      </c>
      <c r="M314" s="136">
        <f>ROUND(L314*(1+$Q$5),2)</f>
        <v>363.79</v>
      </c>
      <c r="N314" s="199">
        <f>TRUNC(K314*M314,2)</f>
        <v>2401.0100000000002</v>
      </c>
      <c r="O314" s="283"/>
      <c r="P314" s="312"/>
      <c r="Q314" s="312"/>
      <c r="R314" s="312"/>
      <c r="S314" s="312"/>
      <c r="T314" s="312"/>
      <c r="U314" s="312"/>
      <c r="V314" s="312"/>
      <c r="W314" s="312"/>
      <c r="X314" s="312"/>
      <c r="Y314" s="312"/>
      <c r="Z314" s="312"/>
      <c r="AA314" s="312"/>
    </row>
    <row r="315" spans="1:28" s="118" customFormat="1" x14ac:dyDescent="0.2">
      <c r="A315" s="10"/>
      <c r="B315" s="10"/>
      <c r="C315" s="191"/>
      <c r="D315" s="2" t="s">
        <v>1031</v>
      </c>
      <c r="E315" s="148"/>
      <c r="F315" s="253">
        <v>4</v>
      </c>
      <c r="G315" s="253">
        <v>3</v>
      </c>
      <c r="H315" s="253"/>
      <c r="I315" s="249">
        <v>1.2</v>
      </c>
      <c r="J315" s="253">
        <f t="shared" si="21"/>
        <v>14.4</v>
      </c>
      <c r="K315" s="137"/>
      <c r="L315" s="137"/>
      <c r="M315" s="137"/>
      <c r="N315" s="138"/>
      <c r="O315" s="167"/>
      <c r="P315" s="111"/>
      <c r="Q315" s="111"/>
      <c r="R315" s="111"/>
      <c r="S315" s="111"/>
      <c r="T315" s="111"/>
      <c r="U315" s="111"/>
      <c r="V315" s="111"/>
      <c r="W315" s="111"/>
      <c r="X315" s="111"/>
      <c r="Y315" s="111"/>
      <c r="Z315" s="111"/>
      <c r="AA315" s="111"/>
    </row>
    <row r="316" spans="1:28" s="118" customFormat="1" x14ac:dyDescent="0.2">
      <c r="A316" s="10"/>
      <c r="B316" s="10"/>
      <c r="C316" s="191"/>
      <c r="D316" s="2"/>
      <c r="E316" s="148"/>
      <c r="F316" s="253">
        <v>2</v>
      </c>
      <c r="G316" s="253">
        <v>2.2000000000000002</v>
      </c>
      <c r="H316" s="253"/>
      <c r="I316" s="249">
        <v>1.2</v>
      </c>
      <c r="J316" s="253">
        <f t="shared" si="21"/>
        <v>5.28</v>
      </c>
      <c r="K316" s="137"/>
      <c r="L316" s="137"/>
      <c r="M316" s="137"/>
      <c r="N316" s="138"/>
      <c r="O316" s="167"/>
      <c r="P316" s="111"/>
      <c r="Q316" s="111"/>
      <c r="R316" s="111"/>
      <c r="S316" s="111"/>
      <c r="T316" s="111"/>
      <c r="U316" s="111"/>
      <c r="V316" s="111"/>
      <c r="W316" s="111"/>
      <c r="X316" s="111"/>
      <c r="Y316" s="111"/>
      <c r="Z316" s="111"/>
      <c r="AA316" s="111"/>
    </row>
    <row r="317" spans="1:28" s="118" customFormat="1" x14ac:dyDescent="0.2">
      <c r="A317" s="10"/>
      <c r="B317" s="10"/>
      <c r="C317" s="191"/>
      <c r="D317" s="108"/>
      <c r="E317" s="148"/>
      <c r="F317" s="253">
        <v>2</v>
      </c>
      <c r="G317" s="253">
        <v>2.8</v>
      </c>
      <c r="H317" s="253"/>
      <c r="I317" s="249">
        <v>1.2</v>
      </c>
      <c r="J317" s="253">
        <f t="shared" si="21"/>
        <v>6.72</v>
      </c>
      <c r="K317" s="137"/>
      <c r="L317" s="137"/>
      <c r="M317" s="137"/>
      <c r="N317" s="138"/>
      <c r="O317" s="167"/>
      <c r="P317" s="111"/>
      <c r="Q317" s="111"/>
      <c r="R317" s="111"/>
      <c r="S317" s="111"/>
      <c r="T317" s="111"/>
      <c r="U317" s="111"/>
      <c r="V317" s="111"/>
      <c r="W317" s="111"/>
      <c r="X317" s="111"/>
      <c r="Y317" s="111"/>
      <c r="Z317" s="111"/>
      <c r="AA317" s="111"/>
    </row>
    <row r="318" spans="1:28" s="118" customFormat="1" x14ac:dyDescent="0.2">
      <c r="A318" s="10"/>
      <c r="B318" s="10"/>
      <c r="C318" s="191"/>
      <c r="D318" s="2" t="s">
        <v>1032</v>
      </c>
      <c r="E318" s="6"/>
      <c r="F318" s="253">
        <v>4</v>
      </c>
      <c r="G318" s="253">
        <v>1.85</v>
      </c>
      <c r="H318" s="258"/>
      <c r="I318" s="249">
        <v>1.2</v>
      </c>
      <c r="J318" s="253">
        <f t="shared" si="21"/>
        <v>8.8800000000000008</v>
      </c>
      <c r="K318" s="137"/>
      <c r="L318" s="137"/>
      <c r="M318" s="137"/>
      <c r="N318" s="138"/>
      <c r="O318" s="167"/>
      <c r="P318" s="111"/>
      <c r="Q318" s="111"/>
      <c r="R318" s="111"/>
      <c r="S318" s="111"/>
      <c r="T318" s="111"/>
      <c r="U318" s="111"/>
      <c r="V318" s="111"/>
      <c r="W318" s="111"/>
      <c r="X318" s="111"/>
      <c r="Y318" s="111"/>
      <c r="Z318" s="111"/>
      <c r="AA318" s="111"/>
    </row>
    <row r="319" spans="1:28" s="118" customFormat="1" x14ac:dyDescent="0.2">
      <c r="A319" s="10"/>
      <c r="B319" s="10"/>
      <c r="C319" s="191"/>
      <c r="D319" s="310"/>
      <c r="E319" s="6"/>
      <c r="F319" s="253">
        <v>2</v>
      </c>
      <c r="G319" s="253">
        <v>1.88</v>
      </c>
      <c r="H319" s="258"/>
      <c r="I319" s="249">
        <v>1.2</v>
      </c>
      <c r="J319" s="253">
        <f t="shared" si="21"/>
        <v>4.51</v>
      </c>
      <c r="K319" s="137"/>
      <c r="L319" s="137"/>
      <c r="M319" s="137"/>
      <c r="N319" s="138"/>
      <c r="O319" s="167"/>
      <c r="P319" s="111"/>
      <c r="Q319" s="111"/>
      <c r="R319" s="111"/>
      <c r="S319" s="111"/>
      <c r="T319" s="111"/>
      <c r="U319" s="111"/>
      <c r="V319" s="111"/>
      <c r="W319" s="111"/>
      <c r="X319" s="111"/>
      <c r="Y319" s="111"/>
      <c r="Z319" s="111"/>
      <c r="AA319" s="111"/>
    </row>
    <row r="320" spans="1:28" s="118" customFormat="1" x14ac:dyDescent="0.2">
      <c r="A320" s="10"/>
      <c r="B320" s="10"/>
      <c r="C320" s="191"/>
      <c r="D320" s="2"/>
      <c r="E320" s="148"/>
      <c r="F320" s="253">
        <v>2</v>
      </c>
      <c r="G320" s="253">
        <v>2.75</v>
      </c>
      <c r="H320" s="253"/>
      <c r="I320" s="249">
        <v>1.2</v>
      </c>
      <c r="J320" s="253">
        <f t="shared" si="21"/>
        <v>6.6</v>
      </c>
      <c r="K320" s="137"/>
      <c r="L320" s="137"/>
      <c r="M320" s="137"/>
      <c r="N320" s="138"/>
      <c r="O320" s="167"/>
      <c r="P320" s="111"/>
      <c r="Q320" s="111"/>
      <c r="R320" s="111"/>
      <c r="S320" s="111"/>
      <c r="T320" s="111"/>
      <c r="U320" s="111"/>
      <c r="V320" s="111"/>
      <c r="W320" s="111"/>
      <c r="X320" s="111"/>
      <c r="Y320" s="111"/>
      <c r="Z320" s="111"/>
      <c r="AA320" s="111"/>
    </row>
    <row r="321" spans="1:27" s="161" customFormat="1" x14ac:dyDescent="0.2">
      <c r="A321" s="10"/>
      <c r="B321" s="10"/>
      <c r="C321" s="191"/>
      <c r="D321" s="2"/>
      <c r="E321" s="148"/>
      <c r="F321" s="253">
        <v>1</v>
      </c>
      <c r="G321" s="253">
        <v>8.4499999999999993</v>
      </c>
      <c r="H321" s="253"/>
      <c r="I321" s="249">
        <v>1.2</v>
      </c>
      <c r="J321" s="253">
        <f t="shared" si="21"/>
        <v>10.14</v>
      </c>
      <c r="K321" s="151"/>
      <c r="L321" s="151"/>
      <c r="M321" s="151"/>
      <c r="N321" s="152"/>
      <c r="O321" s="167"/>
      <c r="P321" s="114"/>
      <c r="Q321" s="114"/>
      <c r="R321" s="114"/>
      <c r="S321" s="114"/>
      <c r="T321" s="114"/>
      <c r="U321" s="114"/>
      <c r="V321" s="114"/>
      <c r="W321" s="114"/>
      <c r="X321" s="114"/>
      <c r="Y321" s="114"/>
      <c r="Z321" s="114"/>
      <c r="AA321" s="114"/>
    </row>
    <row r="322" spans="1:27" s="313" customFormat="1" x14ac:dyDescent="0.2">
      <c r="A322" s="10"/>
      <c r="B322" s="10"/>
      <c r="C322" s="15"/>
      <c r="D322" s="2"/>
      <c r="E322" s="148"/>
      <c r="F322" s="253">
        <v>1</v>
      </c>
      <c r="G322" s="253">
        <v>7.47</v>
      </c>
      <c r="H322" s="253"/>
      <c r="I322" s="249">
        <v>1.2</v>
      </c>
      <c r="J322" s="253">
        <f t="shared" si="21"/>
        <v>8.9600000000000009</v>
      </c>
      <c r="K322" s="136">
        <f>J324</f>
        <v>6.22</v>
      </c>
      <c r="L322" s="136">
        <v>47.52</v>
      </c>
      <c r="M322" s="136">
        <f>ROUND(L322*(1+$Q$5),2)</f>
        <v>60.13</v>
      </c>
      <c r="N322" s="199">
        <f>TRUNC(K322*M322,2)</f>
        <v>374</v>
      </c>
      <c r="O322" s="283"/>
      <c r="P322" s="312"/>
      <c r="Q322" s="312"/>
      <c r="R322" s="312"/>
      <c r="S322" s="312"/>
      <c r="T322" s="312"/>
      <c r="U322" s="312"/>
      <c r="V322" s="312"/>
      <c r="W322" s="312"/>
      <c r="X322" s="312"/>
      <c r="Y322" s="312"/>
      <c r="Z322" s="312"/>
      <c r="AA322" s="312"/>
    </row>
    <row r="323" spans="1:27" s="118" customFormat="1" x14ac:dyDescent="0.2">
      <c r="A323" s="10"/>
      <c r="B323" s="10"/>
      <c r="C323" s="191"/>
      <c r="D323" s="108"/>
      <c r="E323" s="148"/>
      <c r="F323" s="253">
        <v>1</v>
      </c>
      <c r="G323" s="253">
        <v>6.25</v>
      </c>
      <c r="H323" s="253"/>
      <c r="I323" s="249">
        <v>1.2</v>
      </c>
      <c r="J323" s="253">
        <f t="shared" si="21"/>
        <v>7.5</v>
      </c>
      <c r="K323" s="137"/>
      <c r="L323" s="137"/>
      <c r="M323" s="137"/>
      <c r="N323" s="138"/>
      <c r="O323" s="167"/>
      <c r="P323" s="111"/>
      <c r="Q323" s="111"/>
      <c r="R323" s="111"/>
      <c r="S323" s="111"/>
      <c r="T323" s="111"/>
      <c r="U323" s="111"/>
      <c r="V323" s="111"/>
      <c r="W323" s="111"/>
      <c r="X323" s="111"/>
      <c r="Y323" s="111"/>
      <c r="Z323" s="111"/>
      <c r="AA323" s="111"/>
    </row>
    <row r="324" spans="1:27" s="118" customFormat="1" x14ac:dyDescent="0.2">
      <c r="A324" s="10"/>
      <c r="B324" s="10"/>
      <c r="C324" s="190"/>
      <c r="D324" s="116"/>
      <c r="E324" s="6"/>
      <c r="F324" s="253">
        <v>1</v>
      </c>
      <c r="G324" s="253">
        <v>5.18</v>
      </c>
      <c r="H324" s="258"/>
      <c r="I324" s="249">
        <v>1.2</v>
      </c>
      <c r="J324" s="253">
        <f t="shared" si="21"/>
        <v>6.22</v>
      </c>
      <c r="K324" s="137"/>
      <c r="L324" s="137"/>
      <c r="M324" s="137"/>
      <c r="N324" s="138"/>
      <c r="O324" s="167"/>
      <c r="P324" s="111"/>
      <c r="Q324" s="111"/>
      <c r="R324" s="111"/>
      <c r="S324" s="111"/>
      <c r="T324" s="111"/>
      <c r="U324" s="111"/>
      <c r="V324" s="111"/>
      <c r="W324" s="111"/>
      <c r="X324" s="111"/>
      <c r="Y324" s="111"/>
      <c r="Z324" s="111"/>
      <c r="AA324" s="111"/>
    </row>
    <row r="325" spans="1:27" s="118" customFormat="1" x14ac:dyDescent="0.2">
      <c r="A325" s="10"/>
      <c r="B325" s="10"/>
      <c r="C325" s="190"/>
      <c r="D325" s="396" t="s">
        <v>1016</v>
      </c>
      <c r="E325" s="148"/>
      <c r="F325" s="253">
        <v>2</v>
      </c>
      <c r="G325" s="253">
        <v>3.15</v>
      </c>
      <c r="H325" s="258"/>
      <c r="I325" s="249">
        <v>1.2</v>
      </c>
      <c r="J325" s="253">
        <f t="shared" si="21"/>
        <v>7.56</v>
      </c>
      <c r="K325" s="137"/>
      <c r="L325" s="137"/>
      <c r="M325" s="137"/>
      <c r="N325" s="138"/>
      <c r="O325" s="167"/>
      <c r="P325" s="111"/>
      <c r="Q325" s="111"/>
      <c r="R325" s="111"/>
      <c r="S325" s="111"/>
      <c r="T325" s="111"/>
      <c r="U325" s="111"/>
      <c r="V325" s="111"/>
      <c r="W325" s="111"/>
      <c r="X325" s="111"/>
      <c r="Y325" s="111"/>
      <c r="Z325" s="111"/>
      <c r="AA325" s="111"/>
    </row>
    <row r="326" spans="1:27" s="145" customFormat="1" x14ac:dyDescent="0.2">
      <c r="A326" s="10"/>
      <c r="B326" s="192"/>
      <c r="C326" s="193"/>
      <c r="D326" s="2"/>
      <c r="E326" s="170"/>
      <c r="F326" s="253">
        <v>2</v>
      </c>
      <c r="G326" s="253">
        <v>1.83</v>
      </c>
      <c r="H326" s="253"/>
      <c r="I326" s="249">
        <v>1.2</v>
      </c>
      <c r="J326" s="253">
        <f t="shared" si="21"/>
        <v>4.3899999999999997</v>
      </c>
      <c r="K326" s="142"/>
      <c r="L326" s="142"/>
      <c r="M326" s="142"/>
      <c r="N326" s="143">
        <f>SUM(N328:N340)</f>
        <v>3746.23</v>
      </c>
      <c r="O326" s="285"/>
      <c r="P326" s="144"/>
      <c r="Q326" s="144"/>
      <c r="R326" s="144"/>
      <c r="S326" s="144"/>
      <c r="T326" s="144"/>
      <c r="U326" s="144"/>
      <c r="V326" s="144"/>
      <c r="W326" s="144"/>
      <c r="X326" s="144"/>
      <c r="Y326" s="144"/>
      <c r="Z326" s="144"/>
      <c r="AA326" s="144"/>
    </row>
    <row r="327" spans="1:27" s="118" customFormat="1" x14ac:dyDescent="0.2">
      <c r="A327" s="10"/>
      <c r="B327" s="10"/>
      <c r="C327" s="157"/>
      <c r="D327" s="2" t="s">
        <v>979</v>
      </c>
      <c r="E327" s="170"/>
      <c r="F327" s="253">
        <v>2</v>
      </c>
      <c r="G327" s="253">
        <v>14.5</v>
      </c>
      <c r="H327" s="253"/>
      <c r="I327" s="249">
        <v>2</v>
      </c>
      <c r="J327" s="253">
        <f t="shared" si="21"/>
        <v>58</v>
      </c>
      <c r="K327" s="137"/>
      <c r="L327" s="137"/>
      <c r="M327" s="137"/>
      <c r="N327" s="138"/>
      <c r="O327" s="167"/>
      <c r="P327" s="111"/>
      <c r="Q327" s="111"/>
      <c r="R327" s="111"/>
      <c r="S327" s="111"/>
      <c r="T327" s="111"/>
      <c r="U327" s="111"/>
      <c r="V327" s="111"/>
      <c r="W327" s="111"/>
      <c r="X327" s="111"/>
      <c r="Y327" s="111"/>
      <c r="Z327" s="111"/>
      <c r="AA327" s="111"/>
    </row>
    <row r="328" spans="1:27" s="147" customFormat="1" x14ac:dyDescent="0.2">
      <c r="A328" s="10"/>
      <c r="B328" s="184"/>
      <c r="C328" s="185"/>
      <c r="D328" s="2"/>
      <c r="E328" s="170"/>
      <c r="F328" s="253">
        <v>2</v>
      </c>
      <c r="G328" s="253">
        <v>14.5</v>
      </c>
      <c r="H328" s="253"/>
      <c r="I328" s="249">
        <v>3</v>
      </c>
      <c r="J328" s="253">
        <f t="shared" si="21"/>
        <v>87</v>
      </c>
      <c r="K328" s="131">
        <f>J330</f>
        <v>31.02</v>
      </c>
      <c r="L328" s="131">
        <v>116.1</v>
      </c>
      <c r="M328" s="131">
        <f>ROUND(L328*(1+$Q$5),2)</f>
        <v>146.9</v>
      </c>
      <c r="N328" s="133">
        <f>TRUNC(K328*M328,2)</f>
        <v>4556.83</v>
      </c>
      <c r="O328" s="286"/>
      <c r="P328" s="146"/>
      <c r="Q328" s="146"/>
      <c r="R328" s="146"/>
      <c r="S328" s="146"/>
      <c r="T328" s="146"/>
      <c r="U328" s="146"/>
      <c r="V328" s="146"/>
      <c r="W328" s="146"/>
      <c r="X328" s="146"/>
      <c r="Y328" s="146"/>
      <c r="Z328" s="146"/>
      <c r="AA328" s="146"/>
    </row>
    <row r="329" spans="1:27" s="118" customFormat="1" x14ac:dyDescent="0.2">
      <c r="A329" s="10"/>
      <c r="B329" s="10"/>
      <c r="C329" s="191"/>
      <c r="D329" s="2"/>
      <c r="E329" s="170"/>
      <c r="F329" s="253">
        <v>1</v>
      </c>
      <c r="G329" s="253">
        <v>12.25</v>
      </c>
      <c r="H329" s="253"/>
      <c r="I329" s="249">
        <v>1.5</v>
      </c>
      <c r="J329" s="253">
        <f t="shared" si="21"/>
        <v>18.38</v>
      </c>
      <c r="K329" s="137"/>
      <c r="L329" s="137"/>
      <c r="M329" s="137"/>
      <c r="N329" s="138"/>
      <c r="O329" s="167"/>
      <c r="P329" s="111"/>
      <c r="Q329" s="111"/>
      <c r="R329" s="111"/>
      <c r="S329" s="111"/>
      <c r="T329" s="111"/>
      <c r="U329" s="111"/>
      <c r="V329" s="111"/>
      <c r="W329" s="111"/>
      <c r="X329" s="111"/>
      <c r="Y329" s="111"/>
      <c r="Z329" s="111"/>
      <c r="AA329" s="111"/>
    </row>
    <row r="330" spans="1:27" s="118" customFormat="1" x14ac:dyDescent="0.2">
      <c r="A330" s="10"/>
      <c r="B330" s="10"/>
      <c r="C330" s="190"/>
      <c r="D330" s="2"/>
      <c r="E330" s="170"/>
      <c r="F330" s="253">
        <v>2</v>
      </c>
      <c r="G330" s="253">
        <v>5.17</v>
      </c>
      <c r="H330" s="253"/>
      <c r="I330" s="249">
        <v>3</v>
      </c>
      <c r="J330" s="253">
        <f t="shared" si="21"/>
        <v>31.02</v>
      </c>
      <c r="K330" s="137"/>
      <c r="L330" s="137"/>
      <c r="M330" s="137"/>
      <c r="N330" s="138"/>
      <c r="O330" s="167"/>
      <c r="P330" s="111"/>
      <c r="Q330" s="111"/>
      <c r="R330" s="111"/>
      <c r="S330" s="111"/>
      <c r="T330" s="111"/>
      <c r="U330" s="111"/>
      <c r="V330" s="111"/>
      <c r="W330" s="111"/>
      <c r="X330" s="111"/>
      <c r="Y330" s="111"/>
      <c r="Z330" s="111"/>
      <c r="AA330" s="111"/>
    </row>
    <row r="331" spans="1:27" s="118" customFormat="1" x14ac:dyDescent="0.2">
      <c r="A331" s="10"/>
      <c r="B331" s="10"/>
      <c r="C331" s="191"/>
      <c r="D331" s="2"/>
      <c r="E331" s="170"/>
      <c r="F331" s="253">
        <v>2</v>
      </c>
      <c r="G331" s="253">
        <v>3.25</v>
      </c>
      <c r="H331" s="253"/>
      <c r="I331" s="249">
        <v>3</v>
      </c>
      <c r="J331" s="253">
        <f t="shared" si="21"/>
        <v>19.5</v>
      </c>
      <c r="K331" s="137"/>
      <c r="L331" s="137"/>
      <c r="M331" s="137"/>
      <c r="N331" s="138"/>
      <c r="O331" s="167"/>
      <c r="P331" s="111"/>
      <c r="Q331" s="111"/>
      <c r="R331" s="111"/>
      <c r="S331" s="111"/>
      <c r="T331" s="111"/>
      <c r="U331" s="111"/>
      <c r="V331" s="111"/>
      <c r="W331" s="111"/>
      <c r="X331" s="111"/>
      <c r="Y331" s="111"/>
      <c r="Z331" s="111"/>
      <c r="AA331" s="111"/>
    </row>
    <row r="332" spans="1:27" s="147" customFormat="1" x14ac:dyDescent="0.2">
      <c r="A332" s="10"/>
      <c r="B332" s="184"/>
      <c r="C332" s="185"/>
      <c r="D332" s="2" t="s">
        <v>1034</v>
      </c>
      <c r="E332" s="170"/>
      <c r="F332" s="253"/>
      <c r="G332" s="253"/>
      <c r="H332" s="253"/>
      <c r="I332" s="249"/>
      <c r="J332" s="253"/>
      <c r="K332" s="131">
        <f>J334</f>
        <v>-10</v>
      </c>
      <c r="L332" s="131">
        <v>64.06</v>
      </c>
      <c r="M332" s="131">
        <f>ROUND(L332*(1+$Q$5),2)</f>
        <v>81.06</v>
      </c>
      <c r="N332" s="133">
        <f>TRUNC(K332*M332,2)</f>
        <v>-810.6</v>
      </c>
      <c r="O332" s="286"/>
      <c r="P332" s="146"/>
      <c r="Q332" s="146"/>
      <c r="R332" s="146"/>
      <c r="S332" s="146"/>
      <c r="T332" s="146"/>
      <c r="U332" s="146"/>
      <c r="V332" s="146"/>
      <c r="W332" s="146"/>
      <c r="X332" s="146"/>
      <c r="Y332" s="146"/>
      <c r="Z332" s="146"/>
      <c r="AA332" s="146"/>
    </row>
    <row r="333" spans="1:27" s="118" customFormat="1" x14ac:dyDescent="0.2">
      <c r="A333" s="10"/>
      <c r="B333" s="10"/>
      <c r="C333" s="191"/>
      <c r="D333" s="2" t="s">
        <v>1035</v>
      </c>
      <c r="E333" s="170"/>
      <c r="F333" s="253">
        <v>-13</v>
      </c>
      <c r="G333" s="253">
        <v>0.8</v>
      </c>
      <c r="H333" s="253"/>
      <c r="I333" s="249">
        <v>2.1</v>
      </c>
      <c r="J333" s="253">
        <f t="shared" ref="J333:J337" si="22">ROUND(PRODUCT(F333:I333),2)</f>
        <v>-21.84</v>
      </c>
      <c r="K333" s="137"/>
      <c r="L333" s="137"/>
      <c r="M333" s="137"/>
      <c r="N333" s="138"/>
      <c r="O333" s="167"/>
      <c r="P333" s="111"/>
      <c r="Q333" s="111"/>
      <c r="R333" s="111"/>
      <c r="S333" s="111"/>
      <c r="T333" s="111"/>
      <c r="U333" s="111"/>
      <c r="V333" s="111"/>
      <c r="W333" s="111"/>
      <c r="X333" s="111"/>
      <c r="Y333" s="111"/>
      <c r="Z333" s="111"/>
      <c r="AA333" s="111"/>
    </row>
    <row r="334" spans="1:27" s="118" customFormat="1" x14ac:dyDescent="0.2">
      <c r="A334" s="10"/>
      <c r="B334" s="10"/>
      <c r="C334" s="190"/>
      <c r="D334" s="2"/>
      <c r="E334" s="170"/>
      <c r="F334" s="253">
        <v>-10</v>
      </c>
      <c r="G334" s="253">
        <v>1</v>
      </c>
      <c r="H334" s="253"/>
      <c r="I334" s="249">
        <v>1</v>
      </c>
      <c r="J334" s="253">
        <f t="shared" si="22"/>
        <v>-10</v>
      </c>
      <c r="K334" s="137"/>
      <c r="L334" s="137"/>
      <c r="M334" s="137"/>
      <c r="N334" s="138"/>
      <c r="O334" s="167"/>
      <c r="P334" s="111"/>
      <c r="Q334" s="111"/>
      <c r="R334" s="111"/>
      <c r="S334" s="111"/>
      <c r="T334" s="111"/>
      <c r="U334" s="111"/>
      <c r="V334" s="111"/>
      <c r="W334" s="111"/>
      <c r="X334" s="111"/>
      <c r="Y334" s="111"/>
      <c r="Z334" s="111"/>
      <c r="AA334" s="111"/>
    </row>
    <row r="335" spans="1:27" s="139" customFormat="1" x14ac:dyDescent="0.2">
      <c r="A335" s="10"/>
      <c r="B335" s="10"/>
      <c r="C335" s="15"/>
      <c r="D335" s="175"/>
      <c r="E335" s="176"/>
      <c r="F335" s="264">
        <v>-1</v>
      </c>
      <c r="G335" s="264">
        <v>1.45</v>
      </c>
      <c r="H335" s="264"/>
      <c r="I335" s="398">
        <v>2.1</v>
      </c>
      <c r="J335" s="253">
        <f t="shared" si="22"/>
        <v>-3.05</v>
      </c>
      <c r="K335" s="137"/>
      <c r="L335" s="137"/>
      <c r="M335" s="137"/>
      <c r="N335" s="138"/>
      <c r="O335" s="283"/>
      <c r="P335" s="120"/>
      <c r="Q335" s="120"/>
      <c r="R335" s="120"/>
      <c r="S335" s="120"/>
      <c r="T335" s="120"/>
      <c r="U335" s="120"/>
      <c r="V335" s="120"/>
      <c r="W335" s="120"/>
      <c r="X335" s="120"/>
      <c r="Y335" s="120"/>
      <c r="Z335" s="120"/>
      <c r="AA335" s="120"/>
    </row>
    <row r="336" spans="1:27" s="147" customFormat="1" x14ac:dyDescent="0.2">
      <c r="A336" s="10"/>
      <c r="B336" s="184"/>
      <c r="C336" s="185"/>
      <c r="D336" s="175"/>
      <c r="E336" s="176"/>
      <c r="F336" s="264">
        <v>-2</v>
      </c>
      <c r="G336" s="264">
        <v>0.7</v>
      </c>
      <c r="H336" s="264"/>
      <c r="I336" s="251">
        <v>2.1</v>
      </c>
      <c r="J336" s="262">
        <f t="shared" si="22"/>
        <v>-2.94</v>
      </c>
      <c r="K336" s="131">
        <f>J339</f>
        <v>0</v>
      </c>
      <c r="L336" s="131">
        <v>47.41</v>
      </c>
      <c r="M336" s="131">
        <f>ROUND(L336*(1+$Q$5),2)</f>
        <v>59.99</v>
      </c>
      <c r="N336" s="133">
        <f>TRUNC(K336*M336,2)</f>
        <v>0</v>
      </c>
      <c r="O336" s="286"/>
      <c r="P336" s="146"/>
      <c r="Q336" s="146"/>
      <c r="R336" s="146"/>
      <c r="S336" s="146"/>
      <c r="T336" s="146"/>
      <c r="U336" s="146"/>
      <c r="V336" s="146"/>
      <c r="W336" s="146"/>
      <c r="X336" s="146"/>
      <c r="Y336" s="146"/>
      <c r="Z336" s="146"/>
      <c r="AA336" s="146"/>
    </row>
    <row r="337" spans="1:27" s="118" customFormat="1" x14ac:dyDescent="0.2">
      <c r="A337" s="10"/>
      <c r="B337" s="10"/>
      <c r="C337" s="191"/>
      <c r="D337" s="310"/>
      <c r="E337" s="6"/>
      <c r="F337" s="258">
        <v>-1</v>
      </c>
      <c r="G337" s="258">
        <v>0.9</v>
      </c>
      <c r="H337" s="258"/>
      <c r="I337" s="246">
        <v>2.1</v>
      </c>
      <c r="J337" s="258">
        <f t="shared" si="22"/>
        <v>-1.89</v>
      </c>
      <c r="K337" s="137"/>
      <c r="L337" s="137"/>
      <c r="M337" s="137"/>
      <c r="N337" s="138"/>
      <c r="O337" s="167"/>
      <c r="P337" s="111"/>
      <c r="Q337" s="111"/>
      <c r="R337" s="111"/>
      <c r="S337" s="111"/>
      <c r="T337" s="111"/>
      <c r="U337" s="111"/>
      <c r="V337" s="111"/>
      <c r="W337" s="111"/>
      <c r="X337" s="111"/>
      <c r="Y337" s="111"/>
      <c r="Z337" s="111"/>
      <c r="AA337" s="111"/>
    </row>
    <row r="338" spans="1:27" s="118" customFormat="1" x14ac:dyDescent="0.2">
      <c r="A338" s="10"/>
      <c r="B338" s="10"/>
      <c r="C338" s="191"/>
      <c r="D338" s="2"/>
      <c r="E338" s="148"/>
      <c r="F338" s="253"/>
      <c r="G338" s="253"/>
      <c r="H338" s="253"/>
      <c r="I338" s="246" t="str">
        <f>"Total item "&amp;A297</f>
        <v>Total item 5.1.3</v>
      </c>
      <c r="J338" s="261">
        <f>SUM(J299:J337)</f>
        <v>383.42999999999995</v>
      </c>
      <c r="K338" s="137"/>
      <c r="L338" s="137"/>
      <c r="M338" s="137"/>
      <c r="N338" s="138"/>
      <c r="O338" s="167"/>
      <c r="P338" s="111"/>
      <c r="Q338" s="111"/>
      <c r="R338" s="111"/>
      <c r="S338" s="111"/>
      <c r="T338" s="111"/>
      <c r="U338" s="111"/>
      <c r="V338" s="111"/>
      <c r="W338" s="111"/>
      <c r="X338" s="111"/>
      <c r="Y338" s="111"/>
      <c r="Z338" s="111"/>
      <c r="AA338" s="111"/>
    </row>
    <row r="339" spans="1:27" s="118" customFormat="1" x14ac:dyDescent="0.2">
      <c r="A339" s="10"/>
      <c r="B339" s="10"/>
      <c r="C339" s="190"/>
      <c r="D339" s="108"/>
      <c r="E339" s="148"/>
      <c r="F339" s="253"/>
      <c r="G339" s="253"/>
      <c r="H339" s="253"/>
      <c r="I339" s="246"/>
      <c r="J339" s="258"/>
      <c r="K339" s="137"/>
      <c r="L339" s="137"/>
      <c r="M339" s="137"/>
      <c r="N339" s="138"/>
      <c r="O339" s="167"/>
      <c r="P339" s="111"/>
      <c r="Q339" s="111"/>
      <c r="R339" s="111"/>
      <c r="S339" s="111"/>
      <c r="T339" s="111"/>
      <c r="U339" s="111"/>
      <c r="V339" s="111"/>
      <c r="W339" s="111"/>
      <c r="X339" s="111"/>
      <c r="Y339" s="111"/>
      <c r="Z339" s="111"/>
      <c r="AA339" s="111"/>
    </row>
    <row r="340" spans="1:27" s="139" customFormat="1" x14ac:dyDescent="0.2">
      <c r="A340" s="10"/>
      <c r="B340" s="10"/>
      <c r="C340" s="15"/>
      <c r="D340" s="116"/>
      <c r="E340" s="6"/>
      <c r="F340" s="258"/>
      <c r="G340" s="258"/>
      <c r="H340" s="258"/>
      <c r="I340" s="246"/>
      <c r="J340" s="258"/>
      <c r="K340" s="137"/>
      <c r="L340" s="137"/>
      <c r="M340" s="137"/>
      <c r="N340" s="138"/>
      <c r="O340" s="283"/>
      <c r="P340" s="120"/>
      <c r="Q340" s="120"/>
      <c r="R340" s="120"/>
      <c r="S340" s="120"/>
      <c r="T340" s="120"/>
      <c r="U340" s="120"/>
      <c r="V340" s="120"/>
      <c r="W340" s="120"/>
      <c r="X340" s="120"/>
      <c r="Y340" s="120"/>
      <c r="Z340" s="120"/>
      <c r="AA340" s="120"/>
    </row>
    <row r="341" spans="1:27" s="147" customFormat="1" ht="23.4" customHeight="1" x14ac:dyDescent="0.2">
      <c r="A341" s="9" t="s">
        <v>752</v>
      </c>
      <c r="B341" s="185"/>
      <c r="C341" s="185"/>
      <c r="D341" s="113" t="str">
        <f>'ORÇAMENTO PINTURA'!D39</f>
        <v>APLICAÇÃO MANUAL DE PINTURA COM TINTA LÁTEX ACRÍLICA EM TETO, DUAS DEMÃOS. AF_06/2014</v>
      </c>
      <c r="E341" s="1"/>
      <c r="F341" s="261"/>
      <c r="G341" s="261"/>
      <c r="H341" s="261"/>
      <c r="I341" s="245"/>
      <c r="J341" s="261"/>
      <c r="K341" s="131" t="e">
        <f>#REF!</f>
        <v>#REF!</v>
      </c>
      <c r="L341" s="131">
        <v>13.42</v>
      </c>
      <c r="M341" s="131">
        <f>ROUND(L341*(1+$Q$5),2)</f>
        <v>16.98</v>
      </c>
      <c r="N341" s="133" t="e">
        <f>TRUNC(K341*M341,2)</f>
        <v>#REF!</v>
      </c>
      <c r="O341" s="286"/>
      <c r="P341" s="146"/>
      <c r="Q341" s="146"/>
      <c r="R341" s="146"/>
      <c r="S341" s="146"/>
      <c r="T341" s="146"/>
      <c r="U341" s="146"/>
      <c r="V341" s="146"/>
      <c r="W341" s="146"/>
      <c r="X341" s="146"/>
      <c r="Y341" s="146"/>
      <c r="Z341" s="146"/>
      <c r="AA341" s="146"/>
    </row>
    <row r="342" spans="1:27" s="118" customFormat="1" ht="30.6" x14ac:dyDescent="0.2">
      <c r="A342" s="10"/>
      <c r="B342" s="10"/>
      <c r="C342" s="191"/>
      <c r="D342" s="2"/>
      <c r="E342" s="148"/>
      <c r="F342" s="253"/>
      <c r="G342" s="253"/>
      <c r="H342" s="253"/>
      <c r="I342" s="366" t="s">
        <v>1037</v>
      </c>
      <c r="J342" s="253"/>
      <c r="K342" s="137"/>
      <c r="L342" s="137"/>
      <c r="M342" s="137"/>
      <c r="N342" s="138"/>
      <c r="O342" s="167"/>
      <c r="P342" s="111"/>
      <c r="Q342" s="111"/>
      <c r="R342" s="111"/>
      <c r="S342" s="111"/>
      <c r="T342" s="111"/>
      <c r="U342" s="111"/>
      <c r="V342" s="111"/>
      <c r="W342" s="111"/>
      <c r="X342" s="111"/>
      <c r="Y342" s="111"/>
      <c r="Z342" s="111"/>
      <c r="AA342" s="111"/>
    </row>
    <row r="343" spans="1:27" s="118" customFormat="1" x14ac:dyDescent="0.2">
      <c r="A343" s="10"/>
      <c r="B343" s="10"/>
      <c r="C343" s="191"/>
      <c r="D343" s="2" t="s">
        <v>1027</v>
      </c>
      <c r="E343" s="148"/>
      <c r="F343" s="253"/>
      <c r="G343" s="253"/>
      <c r="H343" s="253"/>
      <c r="I343" s="249">
        <v>6.45</v>
      </c>
      <c r="J343" s="253">
        <f t="shared" ref="J343:J359" si="23">ROUND(PRODUCT(F343:I343),2)</f>
        <v>6.45</v>
      </c>
      <c r="K343" s="137"/>
      <c r="L343" s="137"/>
      <c r="M343" s="137"/>
      <c r="N343" s="138"/>
      <c r="O343" s="167"/>
      <c r="P343" s="111"/>
      <c r="Q343" s="111"/>
      <c r="R343" s="111"/>
      <c r="S343" s="111"/>
      <c r="T343" s="111"/>
      <c r="U343" s="111"/>
      <c r="V343" s="111"/>
      <c r="W343" s="111"/>
      <c r="X343" s="111"/>
      <c r="Y343" s="111"/>
      <c r="Z343" s="111"/>
      <c r="AA343" s="111"/>
    </row>
    <row r="344" spans="1:27" s="118" customFormat="1" x14ac:dyDescent="0.2">
      <c r="A344" s="10"/>
      <c r="B344" s="10"/>
      <c r="C344" s="191"/>
      <c r="D344" s="2" t="s">
        <v>1038</v>
      </c>
      <c r="E344" s="148"/>
      <c r="F344" s="253"/>
      <c r="G344" s="253"/>
      <c r="H344" s="253"/>
      <c r="I344" s="249">
        <v>7.4</v>
      </c>
      <c r="J344" s="253">
        <f t="shared" si="23"/>
        <v>7.4</v>
      </c>
      <c r="K344" s="137"/>
      <c r="L344" s="137"/>
      <c r="M344" s="137"/>
      <c r="N344" s="138"/>
      <c r="O344" s="167"/>
      <c r="P344" s="111"/>
      <c r="Q344" s="111"/>
      <c r="R344" s="111"/>
      <c r="S344" s="111"/>
      <c r="T344" s="111"/>
      <c r="U344" s="111"/>
      <c r="V344" s="111"/>
      <c r="W344" s="111"/>
      <c r="X344" s="111"/>
      <c r="Y344" s="111"/>
      <c r="Z344" s="111"/>
      <c r="AA344" s="111"/>
    </row>
    <row r="345" spans="1:27" s="118" customFormat="1" x14ac:dyDescent="0.2">
      <c r="A345" s="10"/>
      <c r="B345" s="10"/>
      <c r="C345" s="190"/>
      <c r="D345" s="2" t="s">
        <v>968</v>
      </c>
      <c r="E345" s="148"/>
      <c r="F345" s="253"/>
      <c r="G345" s="253"/>
      <c r="H345" s="258"/>
      <c r="I345" s="249">
        <v>25</v>
      </c>
      <c r="J345" s="253">
        <f t="shared" si="23"/>
        <v>25</v>
      </c>
      <c r="K345" s="137"/>
      <c r="L345" s="137"/>
      <c r="M345" s="137"/>
      <c r="N345" s="138"/>
      <c r="O345" s="167"/>
      <c r="P345" s="111"/>
      <c r="Q345" s="111"/>
      <c r="R345" s="111"/>
      <c r="S345" s="111"/>
      <c r="T345" s="111"/>
      <c r="U345" s="111"/>
      <c r="V345" s="111"/>
      <c r="W345" s="111"/>
      <c r="X345" s="111"/>
      <c r="Y345" s="111"/>
      <c r="Z345" s="111"/>
      <c r="AA345" s="111"/>
    </row>
    <row r="346" spans="1:27" s="118" customFormat="1" x14ac:dyDescent="0.2">
      <c r="A346" s="10"/>
      <c r="B346" s="10"/>
      <c r="C346" s="190"/>
      <c r="D346" s="2" t="s">
        <v>1039</v>
      </c>
      <c r="E346" s="148"/>
      <c r="F346" s="253"/>
      <c r="G346" s="253"/>
      <c r="H346" s="258"/>
      <c r="I346" s="249">
        <v>3.24</v>
      </c>
      <c r="J346" s="253">
        <f t="shared" si="23"/>
        <v>3.24</v>
      </c>
      <c r="K346" s="137"/>
      <c r="L346" s="137"/>
      <c r="M346" s="137"/>
      <c r="N346" s="138"/>
      <c r="O346" s="167"/>
      <c r="P346" s="111"/>
      <c r="Q346" s="111"/>
      <c r="R346" s="111"/>
      <c r="S346" s="111"/>
      <c r="T346" s="111"/>
      <c r="U346" s="111"/>
      <c r="V346" s="111"/>
      <c r="W346" s="111"/>
      <c r="X346" s="111"/>
      <c r="Y346" s="111"/>
      <c r="Z346" s="111"/>
      <c r="AA346" s="111"/>
    </row>
    <row r="347" spans="1:27" s="118" customFormat="1" x14ac:dyDescent="0.2">
      <c r="A347" s="10"/>
      <c r="B347" s="10"/>
      <c r="C347" s="190"/>
      <c r="D347" s="2" t="s">
        <v>1040</v>
      </c>
      <c r="E347" s="148"/>
      <c r="F347" s="253"/>
      <c r="G347" s="253"/>
      <c r="H347" s="258"/>
      <c r="I347" s="249">
        <v>4.58</v>
      </c>
      <c r="J347" s="253">
        <f t="shared" si="23"/>
        <v>4.58</v>
      </c>
      <c r="K347" s="137"/>
      <c r="L347" s="137"/>
      <c r="M347" s="137"/>
      <c r="N347" s="138"/>
      <c r="O347" s="167"/>
      <c r="P347" s="111"/>
      <c r="Q347" s="111"/>
      <c r="R347" s="111"/>
      <c r="S347" s="111"/>
      <c r="T347" s="111"/>
      <c r="U347" s="111"/>
      <c r="V347" s="111"/>
      <c r="W347" s="111"/>
      <c r="X347" s="111"/>
      <c r="Y347" s="111"/>
      <c r="Z347" s="111"/>
      <c r="AA347" s="111"/>
    </row>
    <row r="348" spans="1:27" s="118" customFormat="1" x14ac:dyDescent="0.2">
      <c r="A348" s="10"/>
      <c r="B348" s="10"/>
      <c r="C348" s="190"/>
      <c r="D348" s="2" t="s">
        <v>1041</v>
      </c>
      <c r="E348" s="148"/>
      <c r="F348" s="253"/>
      <c r="G348" s="253"/>
      <c r="H348" s="258"/>
      <c r="I348" s="249">
        <v>5.82</v>
      </c>
      <c r="J348" s="253">
        <f t="shared" si="23"/>
        <v>5.82</v>
      </c>
      <c r="K348" s="137"/>
      <c r="L348" s="137"/>
      <c r="M348" s="137"/>
      <c r="N348" s="138"/>
      <c r="O348" s="167"/>
      <c r="P348" s="111"/>
      <c r="Q348" s="111"/>
      <c r="R348" s="111"/>
      <c r="S348" s="111"/>
      <c r="T348" s="111"/>
      <c r="U348" s="111"/>
      <c r="V348" s="111"/>
      <c r="W348" s="111"/>
      <c r="X348" s="111"/>
      <c r="Y348" s="111"/>
      <c r="Z348" s="111"/>
      <c r="AA348" s="111"/>
    </row>
    <row r="349" spans="1:27" s="118" customFormat="1" x14ac:dyDescent="0.2">
      <c r="A349" s="10"/>
      <c r="B349" s="10"/>
      <c r="C349" s="190"/>
      <c r="D349" s="2" t="s">
        <v>1013</v>
      </c>
      <c r="E349" s="148"/>
      <c r="F349" s="253"/>
      <c r="G349" s="253"/>
      <c r="H349" s="258"/>
      <c r="I349" s="249">
        <v>2.88</v>
      </c>
      <c r="J349" s="253">
        <f t="shared" si="23"/>
        <v>2.88</v>
      </c>
      <c r="K349" s="137"/>
      <c r="L349" s="137"/>
      <c r="M349" s="137"/>
      <c r="N349" s="138"/>
      <c r="O349" s="167"/>
      <c r="P349" s="111"/>
      <c r="Q349" s="111"/>
      <c r="R349" s="111"/>
      <c r="S349" s="111"/>
      <c r="T349" s="111"/>
      <c r="U349" s="111"/>
      <c r="V349" s="111"/>
      <c r="W349" s="111"/>
      <c r="X349" s="111"/>
      <c r="Y349" s="111"/>
      <c r="Z349" s="111"/>
      <c r="AA349" s="111"/>
    </row>
    <row r="350" spans="1:27" s="118" customFormat="1" x14ac:dyDescent="0.2">
      <c r="A350" s="10"/>
      <c r="B350" s="10"/>
      <c r="C350" s="190"/>
      <c r="D350" s="2"/>
      <c r="E350" s="148"/>
      <c r="F350" s="253"/>
      <c r="G350" s="253"/>
      <c r="H350" s="258"/>
      <c r="I350" s="249">
        <v>2.7</v>
      </c>
      <c r="J350" s="253">
        <f t="shared" si="23"/>
        <v>2.7</v>
      </c>
      <c r="K350" s="137"/>
      <c r="L350" s="137"/>
      <c r="M350" s="137"/>
      <c r="N350" s="138"/>
      <c r="O350" s="167"/>
      <c r="P350" s="111"/>
      <c r="Q350" s="111"/>
      <c r="R350" s="111"/>
      <c r="S350" s="111"/>
      <c r="T350" s="111"/>
      <c r="U350" s="111"/>
      <c r="V350" s="111"/>
      <c r="W350" s="111"/>
      <c r="X350" s="111"/>
      <c r="Y350" s="111"/>
      <c r="Z350" s="111"/>
      <c r="AA350" s="111"/>
    </row>
    <row r="351" spans="1:27" s="118" customFormat="1" x14ac:dyDescent="0.2">
      <c r="A351" s="10"/>
      <c r="B351" s="10"/>
      <c r="C351" s="190"/>
      <c r="D351" s="2" t="s">
        <v>1043</v>
      </c>
      <c r="E351" s="148"/>
      <c r="F351" s="253"/>
      <c r="G351" s="253"/>
      <c r="H351" s="258"/>
      <c r="I351" s="249">
        <v>9.69</v>
      </c>
      <c r="J351" s="253">
        <f t="shared" si="23"/>
        <v>9.69</v>
      </c>
      <c r="K351" s="137"/>
      <c r="L351" s="137"/>
      <c r="M351" s="137"/>
      <c r="N351" s="138"/>
      <c r="O351" s="167"/>
      <c r="P351" s="111"/>
      <c r="Q351" s="111"/>
      <c r="R351" s="111"/>
      <c r="S351" s="111"/>
      <c r="T351" s="111"/>
      <c r="U351" s="111"/>
      <c r="V351" s="111"/>
      <c r="W351" s="111"/>
      <c r="X351" s="111"/>
      <c r="Y351" s="111"/>
      <c r="Z351" s="111"/>
      <c r="AA351" s="111"/>
    </row>
    <row r="352" spans="1:27" s="118" customFormat="1" x14ac:dyDescent="0.2">
      <c r="A352" s="10"/>
      <c r="B352" s="10"/>
      <c r="C352" s="190"/>
      <c r="D352" s="2" t="s">
        <v>1042</v>
      </c>
      <c r="E352" s="148"/>
      <c r="F352" s="253"/>
      <c r="G352" s="253"/>
      <c r="H352" s="258"/>
      <c r="I352" s="249">
        <v>6.25</v>
      </c>
      <c r="J352" s="253">
        <f t="shared" si="23"/>
        <v>6.25</v>
      </c>
      <c r="K352" s="137"/>
      <c r="L352" s="137"/>
      <c r="M352" s="137"/>
      <c r="N352" s="138"/>
      <c r="O352" s="167"/>
      <c r="P352" s="111"/>
      <c r="Q352" s="111"/>
      <c r="R352" s="111"/>
      <c r="S352" s="111"/>
      <c r="T352" s="111"/>
      <c r="U352" s="111"/>
      <c r="V352" s="111"/>
      <c r="W352" s="111"/>
      <c r="X352" s="111"/>
      <c r="Y352" s="111"/>
      <c r="Z352" s="111"/>
      <c r="AA352" s="111"/>
    </row>
    <row r="353" spans="1:27" s="118" customFormat="1" x14ac:dyDescent="0.2">
      <c r="A353" s="10"/>
      <c r="B353" s="10"/>
      <c r="C353" s="190"/>
      <c r="D353" s="2" t="s">
        <v>1044</v>
      </c>
      <c r="E353" s="148"/>
      <c r="F353" s="253"/>
      <c r="G353" s="253"/>
      <c r="H353" s="258"/>
      <c r="I353" s="249">
        <v>9</v>
      </c>
      <c r="J353" s="253">
        <f t="shared" si="23"/>
        <v>9</v>
      </c>
      <c r="K353" s="137"/>
      <c r="L353" s="137"/>
      <c r="M353" s="137"/>
      <c r="N353" s="138"/>
      <c r="O353" s="167"/>
      <c r="P353" s="111"/>
      <c r="Q353" s="111"/>
      <c r="R353" s="111"/>
      <c r="S353" s="111"/>
      <c r="T353" s="111"/>
      <c r="U353" s="111"/>
      <c r="V353" s="111"/>
      <c r="W353" s="111"/>
      <c r="X353" s="111"/>
      <c r="Y353" s="111"/>
      <c r="Z353" s="111"/>
      <c r="AA353" s="111"/>
    </row>
    <row r="354" spans="1:27" s="118" customFormat="1" x14ac:dyDescent="0.2">
      <c r="A354" s="10"/>
      <c r="B354" s="10"/>
      <c r="C354" s="190"/>
      <c r="D354" s="2" t="s">
        <v>1045</v>
      </c>
      <c r="E354" s="148"/>
      <c r="F354" s="253"/>
      <c r="G354" s="253"/>
      <c r="H354" s="258"/>
      <c r="I354" s="249">
        <v>7.5</v>
      </c>
      <c r="J354" s="253">
        <f t="shared" si="23"/>
        <v>7.5</v>
      </c>
      <c r="K354" s="137"/>
      <c r="L354" s="137"/>
      <c r="M354" s="137"/>
      <c r="N354" s="138"/>
      <c r="O354" s="167"/>
      <c r="P354" s="111"/>
      <c r="Q354" s="111"/>
      <c r="R354" s="111"/>
      <c r="S354" s="111"/>
      <c r="T354" s="111"/>
      <c r="U354" s="111"/>
      <c r="V354" s="111"/>
      <c r="W354" s="111"/>
      <c r="X354" s="111"/>
      <c r="Y354" s="111"/>
      <c r="Z354" s="111"/>
      <c r="AA354" s="111"/>
    </row>
    <row r="355" spans="1:27" s="118" customFormat="1" x14ac:dyDescent="0.2">
      <c r="A355" s="10"/>
      <c r="B355" s="10"/>
      <c r="C355" s="190"/>
      <c r="D355" s="2" t="s">
        <v>1046</v>
      </c>
      <c r="E355" s="148"/>
      <c r="F355" s="253"/>
      <c r="G355" s="253"/>
      <c r="H355" s="258"/>
      <c r="I355" s="249">
        <v>8.48</v>
      </c>
      <c r="J355" s="253">
        <f t="shared" si="23"/>
        <v>8.48</v>
      </c>
      <c r="K355" s="137"/>
      <c r="L355" s="137"/>
      <c r="M355" s="137"/>
      <c r="N355" s="138"/>
      <c r="O355" s="167"/>
      <c r="P355" s="111"/>
      <c r="Q355" s="111"/>
      <c r="R355" s="111"/>
      <c r="S355" s="111"/>
      <c r="T355" s="111"/>
      <c r="U355" s="111"/>
      <c r="V355" s="111"/>
      <c r="W355" s="111"/>
      <c r="X355" s="111"/>
      <c r="Y355" s="111"/>
      <c r="Z355" s="111"/>
      <c r="AA355" s="111"/>
    </row>
    <row r="356" spans="1:27" s="118" customFormat="1" x14ac:dyDescent="0.2">
      <c r="A356" s="10"/>
      <c r="B356" s="10"/>
      <c r="C356" s="190"/>
      <c r="D356" s="2" t="s">
        <v>1047</v>
      </c>
      <c r="E356" s="148"/>
      <c r="F356" s="253"/>
      <c r="G356" s="253"/>
      <c r="H356" s="258"/>
      <c r="I356" s="249">
        <v>6.73</v>
      </c>
      <c r="J356" s="253">
        <f t="shared" si="23"/>
        <v>6.73</v>
      </c>
      <c r="K356" s="137"/>
      <c r="L356" s="137"/>
      <c r="M356" s="137"/>
      <c r="N356" s="138"/>
      <c r="O356" s="167"/>
      <c r="P356" s="111"/>
      <c r="Q356" s="111"/>
      <c r="R356" s="111"/>
      <c r="S356" s="111"/>
      <c r="T356" s="111"/>
      <c r="U356" s="111"/>
      <c r="V356" s="111"/>
      <c r="W356" s="111"/>
      <c r="X356" s="111"/>
      <c r="Y356" s="111"/>
      <c r="Z356" s="111"/>
      <c r="AA356" s="111"/>
    </row>
    <row r="357" spans="1:27" s="118" customFormat="1" x14ac:dyDescent="0.2">
      <c r="A357" s="10"/>
      <c r="B357" s="10"/>
      <c r="C357" s="190"/>
      <c r="D357" s="2" t="s">
        <v>1048</v>
      </c>
      <c r="E357" s="148"/>
      <c r="F357" s="253"/>
      <c r="G357" s="253"/>
      <c r="H357" s="258"/>
      <c r="I357" s="249">
        <v>3.48</v>
      </c>
      <c r="J357" s="253">
        <f t="shared" si="23"/>
        <v>3.48</v>
      </c>
      <c r="K357" s="137"/>
      <c r="L357" s="137"/>
      <c r="M357" s="137"/>
      <c r="N357" s="138"/>
      <c r="O357" s="167"/>
      <c r="P357" s="111"/>
      <c r="Q357" s="111"/>
      <c r="R357" s="111"/>
      <c r="S357" s="111"/>
      <c r="T357" s="111"/>
      <c r="U357" s="111"/>
      <c r="V357" s="111"/>
      <c r="W357" s="111"/>
      <c r="X357" s="111"/>
      <c r="Y357" s="111"/>
      <c r="Z357" s="111"/>
      <c r="AA357" s="111"/>
    </row>
    <row r="358" spans="1:27" s="118" customFormat="1" x14ac:dyDescent="0.2">
      <c r="A358" s="10"/>
      <c r="B358" s="10"/>
      <c r="C358" s="190"/>
      <c r="D358" s="2" t="s">
        <v>1049</v>
      </c>
      <c r="E358" s="148"/>
      <c r="F358" s="253"/>
      <c r="G358" s="253"/>
      <c r="H358" s="258"/>
      <c r="I358" s="249">
        <v>5.09</v>
      </c>
      <c r="J358" s="253">
        <f t="shared" si="23"/>
        <v>5.09</v>
      </c>
      <c r="K358" s="137"/>
      <c r="L358" s="137"/>
      <c r="M358" s="137"/>
      <c r="N358" s="138"/>
      <c r="O358" s="167"/>
      <c r="P358" s="111"/>
      <c r="Q358" s="111"/>
      <c r="R358" s="111"/>
      <c r="S358" s="111"/>
      <c r="T358" s="111"/>
      <c r="U358" s="111"/>
      <c r="V358" s="111"/>
      <c r="W358" s="111"/>
      <c r="X358" s="111"/>
      <c r="Y358" s="111"/>
      <c r="Z358" s="111"/>
      <c r="AA358" s="111"/>
    </row>
    <row r="359" spans="1:27" s="118" customFormat="1" x14ac:dyDescent="0.2">
      <c r="A359" s="10"/>
      <c r="B359" s="10"/>
      <c r="C359" s="190"/>
      <c r="D359" s="2" t="s">
        <v>1050</v>
      </c>
      <c r="E359" s="148"/>
      <c r="F359" s="253"/>
      <c r="G359" s="253"/>
      <c r="H359" s="258"/>
      <c r="I359" s="249">
        <v>4.5</v>
      </c>
      <c r="J359" s="253">
        <f t="shared" si="23"/>
        <v>4.5</v>
      </c>
      <c r="K359" s="137"/>
      <c r="L359" s="137"/>
      <c r="M359" s="137"/>
      <c r="N359" s="138"/>
      <c r="O359" s="167"/>
      <c r="P359" s="111"/>
      <c r="Q359" s="111"/>
      <c r="R359" s="111"/>
      <c r="S359" s="111"/>
      <c r="T359" s="111"/>
      <c r="U359" s="111"/>
      <c r="V359" s="111"/>
      <c r="W359" s="111"/>
      <c r="X359" s="111"/>
      <c r="Y359" s="111"/>
      <c r="Z359" s="111"/>
      <c r="AA359" s="111"/>
    </row>
    <row r="360" spans="1:27" s="118" customFormat="1" ht="10.95" customHeight="1" x14ac:dyDescent="0.2">
      <c r="A360" s="10"/>
      <c r="B360" s="10"/>
      <c r="C360" s="10"/>
      <c r="D360" s="2"/>
      <c r="E360" s="148"/>
      <c r="F360" s="253"/>
      <c r="G360" s="253"/>
      <c r="H360" s="253"/>
      <c r="I360" s="246" t="str">
        <f>"Total item "&amp;A341</f>
        <v>Total item 5.1.4</v>
      </c>
      <c r="J360" s="261">
        <f>SUM(J343:J359)</f>
        <v>118.79000000000002</v>
      </c>
      <c r="K360" s="137"/>
      <c r="L360" s="137"/>
      <c r="M360" s="137"/>
      <c r="N360" s="138"/>
      <c r="O360" s="167"/>
      <c r="P360" s="111"/>
      <c r="Q360" s="111"/>
      <c r="R360" s="111"/>
      <c r="S360" s="111"/>
      <c r="T360" s="111"/>
      <c r="U360" s="111"/>
      <c r="V360" s="111"/>
      <c r="W360" s="111"/>
      <c r="X360" s="111"/>
      <c r="Y360" s="111"/>
      <c r="Z360" s="111"/>
      <c r="AA360" s="111"/>
    </row>
    <row r="361" spans="1:27" s="147" customFormat="1" ht="23.4" customHeight="1" x14ac:dyDescent="0.2">
      <c r="A361" s="9" t="s">
        <v>753</v>
      </c>
      <c r="B361" s="9"/>
      <c r="C361" s="13"/>
      <c r="D361" s="113" t="str">
        <f>'ORÇAMENTO PINTURA'!D40</f>
        <v>PINTURA TINTA DE ACABAMENTO (PIGMENTADA) A ÓLEO EM MADEIRA, 2 DEMÃOS. AF_01/2021</v>
      </c>
      <c r="E361" s="9"/>
      <c r="F361" s="261"/>
      <c r="G361" s="261"/>
      <c r="H361" s="261"/>
      <c r="I361" s="245"/>
      <c r="J361" s="261"/>
      <c r="K361" s="131" t="e">
        <f>#REF!</f>
        <v>#REF!</v>
      </c>
      <c r="L361" s="131">
        <v>116.1</v>
      </c>
      <c r="M361" s="131">
        <f>ROUND(L361*(1+$Q$5),2)</f>
        <v>146.9</v>
      </c>
      <c r="N361" s="133" t="e">
        <f>TRUNC(K361*M361,2)</f>
        <v>#REF!</v>
      </c>
      <c r="O361" s="286"/>
      <c r="P361" s="146"/>
      <c r="Q361" s="146"/>
      <c r="R361" s="146"/>
      <c r="S361" s="146"/>
      <c r="T361" s="146"/>
      <c r="U361" s="146"/>
      <c r="V361" s="146"/>
      <c r="W361" s="146"/>
      <c r="X361" s="146"/>
      <c r="Y361" s="146"/>
      <c r="Z361" s="146"/>
      <c r="AA361" s="146"/>
    </row>
    <row r="362" spans="1:27" s="118" customFormat="1" x14ac:dyDescent="0.2">
      <c r="A362" s="10"/>
      <c r="B362" s="10"/>
      <c r="C362" s="191"/>
      <c r="D362" s="2" t="s">
        <v>1035</v>
      </c>
      <c r="E362" s="170"/>
      <c r="F362" s="253">
        <v>26</v>
      </c>
      <c r="G362" s="253">
        <v>0.8</v>
      </c>
      <c r="H362" s="253"/>
      <c r="I362" s="249">
        <v>2.1</v>
      </c>
      <c r="J362" s="253">
        <f t="shared" ref="J362:J364" si="24">ROUND(PRODUCT(F362:I362),2)</f>
        <v>43.68</v>
      </c>
      <c r="K362" s="137"/>
      <c r="L362" s="137"/>
      <c r="M362" s="137"/>
      <c r="N362" s="138"/>
      <c r="O362" s="167"/>
      <c r="P362" s="111"/>
      <c r="Q362" s="111"/>
      <c r="R362" s="111"/>
      <c r="S362" s="111"/>
      <c r="T362" s="111"/>
      <c r="U362" s="111"/>
      <c r="V362" s="111"/>
      <c r="W362" s="111"/>
      <c r="X362" s="111"/>
      <c r="Y362" s="111"/>
      <c r="Z362" s="111"/>
      <c r="AA362" s="111"/>
    </row>
    <row r="363" spans="1:27" s="147" customFormat="1" x14ac:dyDescent="0.2">
      <c r="A363" s="10"/>
      <c r="B363" s="184"/>
      <c r="C363" s="185"/>
      <c r="D363" s="175"/>
      <c r="E363" s="176"/>
      <c r="F363" s="264">
        <v>2</v>
      </c>
      <c r="G363" s="264">
        <v>0.7</v>
      </c>
      <c r="H363" s="264"/>
      <c r="I363" s="398">
        <v>2.1</v>
      </c>
      <c r="J363" s="264">
        <f t="shared" si="24"/>
        <v>2.94</v>
      </c>
      <c r="K363" s="131">
        <f>J365</f>
        <v>50.4</v>
      </c>
      <c r="L363" s="131">
        <v>64.06</v>
      </c>
      <c r="M363" s="131">
        <f>ROUND(L363*(1+$Q$5),2)</f>
        <v>81.06</v>
      </c>
      <c r="N363" s="133">
        <f>TRUNC(K363*M363,2)</f>
        <v>4085.42</v>
      </c>
      <c r="O363" s="286"/>
      <c r="P363" s="146"/>
      <c r="Q363" s="146"/>
      <c r="R363" s="146"/>
      <c r="S363" s="146"/>
      <c r="T363" s="146"/>
      <c r="U363" s="146"/>
      <c r="V363" s="146"/>
      <c r="W363" s="146"/>
      <c r="X363" s="146"/>
      <c r="Y363" s="146"/>
      <c r="Z363" s="146"/>
      <c r="AA363" s="146"/>
    </row>
    <row r="364" spans="1:27" s="118" customFormat="1" x14ac:dyDescent="0.2">
      <c r="A364" s="10"/>
      <c r="B364" s="10"/>
      <c r="C364" s="191"/>
      <c r="D364" s="310"/>
      <c r="E364" s="6"/>
      <c r="F364" s="253">
        <v>2</v>
      </c>
      <c r="G364" s="253">
        <v>0.9</v>
      </c>
      <c r="H364" s="253"/>
      <c r="I364" s="249">
        <v>2.1</v>
      </c>
      <c r="J364" s="253">
        <f t="shared" si="24"/>
        <v>3.78</v>
      </c>
      <c r="K364" s="137"/>
      <c r="L364" s="137"/>
      <c r="M364" s="137"/>
      <c r="N364" s="138"/>
      <c r="O364" s="167"/>
      <c r="P364" s="111"/>
      <c r="Q364" s="111"/>
      <c r="R364" s="111"/>
      <c r="S364" s="111"/>
      <c r="T364" s="111"/>
      <c r="U364" s="111"/>
      <c r="V364" s="111"/>
      <c r="W364" s="111"/>
      <c r="X364" s="111"/>
      <c r="Y364" s="111"/>
      <c r="Z364" s="111"/>
      <c r="AA364" s="111"/>
    </row>
    <row r="365" spans="1:27" s="118" customFormat="1" x14ac:dyDescent="0.2">
      <c r="A365" s="10"/>
      <c r="B365" s="10"/>
      <c r="C365" s="190"/>
      <c r="D365" s="2"/>
      <c r="E365" s="148"/>
      <c r="F365" s="253"/>
      <c r="G365" s="253"/>
      <c r="H365" s="253"/>
      <c r="I365" s="246" t="str">
        <f>"Total item "&amp;A361</f>
        <v>Total item 5.1.5</v>
      </c>
      <c r="J365" s="261">
        <f>SUM(J362:J364)</f>
        <v>50.4</v>
      </c>
      <c r="K365" s="137"/>
      <c r="L365" s="137"/>
      <c r="M365" s="137"/>
      <c r="N365" s="138"/>
      <c r="O365" s="167"/>
      <c r="P365" s="111"/>
      <c r="Q365" s="111"/>
      <c r="R365" s="111"/>
      <c r="S365" s="111"/>
      <c r="T365" s="111"/>
      <c r="U365" s="111"/>
      <c r="V365" s="111"/>
      <c r="W365" s="111"/>
      <c r="X365" s="111"/>
      <c r="Y365" s="111"/>
      <c r="Z365" s="111"/>
      <c r="AA365" s="111"/>
    </row>
    <row r="366" spans="1:27" s="139" customFormat="1" ht="23.4" customHeight="1" x14ac:dyDescent="0.2">
      <c r="A366" s="10"/>
      <c r="B366" s="10"/>
      <c r="C366" s="15"/>
      <c r="D366" s="117"/>
      <c r="E366" s="10"/>
      <c r="F366" s="263"/>
      <c r="G366" s="263"/>
      <c r="H366" s="263"/>
      <c r="I366" s="250"/>
      <c r="J366" s="263"/>
      <c r="K366" s="137"/>
      <c r="L366" s="137"/>
      <c r="M366" s="137"/>
      <c r="N366" s="138"/>
      <c r="O366" s="283"/>
      <c r="P366" s="120"/>
      <c r="Q366" s="120"/>
      <c r="R366" s="120"/>
      <c r="S366" s="120"/>
      <c r="T366" s="120"/>
      <c r="U366" s="120"/>
      <c r="V366" s="120"/>
      <c r="W366" s="120"/>
      <c r="X366" s="120"/>
      <c r="Y366" s="120"/>
      <c r="Z366" s="120"/>
      <c r="AA366" s="120"/>
    </row>
    <row r="367" spans="1:27" s="241" customFormat="1" ht="13.2" x14ac:dyDescent="0.25">
      <c r="A367" s="236" t="s">
        <v>44</v>
      </c>
      <c r="B367" s="236"/>
      <c r="C367" s="237"/>
      <c r="D367" s="289" t="s">
        <v>1051</v>
      </c>
      <c r="E367" s="331"/>
      <c r="F367" s="334"/>
      <c r="G367" s="334"/>
      <c r="H367" s="334"/>
      <c r="I367" s="335"/>
      <c r="J367" s="334"/>
      <c r="K367" s="238"/>
      <c r="L367" s="238"/>
      <c r="M367" s="238"/>
      <c r="N367" s="239" t="e">
        <f>#REF!+#REF!+N421+N434+N427</f>
        <v>#REF!</v>
      </c>
      <c r="O367" s="284" t="e">
        <f>N367/$N$1660</f>
        <v>#REF!</v>
      </c>
      <c r="P367" s="240" t="s">
        <v>533</v>
      </c>
      <c r="Q367" s="240" t="s">
        <v>533</v>
      </c>
      <c r="R367" s="240"/>
      <c r="S367" s="240"/>
      <c r="T367" s="240"/>
      <c r="U367" s="240"/>
      <c r="V367" s="240"/>
      <c r="W367" s="240"/>
      <c r="X367" s="240"/>
      <c r="Y367" s="240"/>
      <c r="Z367" s="240"/>
      <c r="AA367" s="240"/>
    </row>
    <row r="368" spans="1:27" s="147" customFormat="1" ht="25.2" customHeight="1" x14ac:dyDescent="0.2">
      <c r="A368" s="9" t="s">
        <v>608</v>
      </c>
      <c r="B368" s="9"/>
      <c r="C368" s="13"/>
      <c r="D368" s="113" t="str">
        <f>'ORÇAMENTO PINTURA'!D43</f>
        <v>APLICAÇÃO DE FUNDO SELADOR ACRÍLICO EM PAREDES, UMA DEMÃO. AF_06/2014</v>
      </c>
      <c r="E368" s="184"/>
      <c r="F368" s="338"/>
      <c r="G368" s="338"/>
      <c r="H368" s="338"/>
      <c r="I368" s="257"/>
      <c r="J368" s="338"/>
      <c r="K368" s="131">
        <f>J371</f>
        <v>117.96</v>
      </c>
      <c r="L368" s="131">
        <v>73.44</v>
      </c>
      <c r="M368" s="131">
        <f>ROUND(L368*(1+$Q$5),2)</f>
        <v>92.92</v>
      </c>
      <c r="N368" s="133">
        <f>TRUNC(K368*M368,2)</f>
        <v>10960.84</v>
      </c>
      <c r="O368" s="286"/>
      <c r="P368" s="146"/>
      <c r="Q368" s="146"/>
      <c r="R368" s="146"/>
      <c r="S368" s="146"/>
      <c r="T368" s="146"/>
      <c r="U368" s="146"/>
      <c r="V368" s="146"/>
      <c r="W368" s="146"/>
      <c r="X368" s="146"/>
      <c r="Y368" s="146"/>
      <c r="Z368" s="146"/>
      <c r="AA368" s="146"/>
    </row>
    <row r="369" spans="1:27" s="118" customFormat="1" x14ac:dyDescent="0.2">
      <c r="A369" s="10"/>
      <c r="B369" s="10"/>
      <c r="C369" s="191"/>
      <c r="D369" s="2" t="s">
        <v>979</v>
      </c>
      <c r="E369" s="148"/>
      <c r="F369" s="253"/>
      <c r="G369" s="253"/>
      <c r="H369" s="253"/>
      <c r="I369" s="249"/>
      <c r="J369" s="253"/>
      <c r="K369" s="137"/>
      <c r="L369" s="137"/>
      <c r="M369" s="137"/>
      <c r="N369" s="138"/>
      <c r="O369" s="167"/>
      <c r="P369" s="111"/>
      <c r="Q369" s="111"/>
      <c r="R369" s="111"/>
      <c r="S369" s="111"/>
      <c r="T369" s="111"/>
      <c r="U369" s="111"/>
      <c r="V369" s="111"/>
      <c r="W369" s="111"/>
      <c r="X369" s="111"/>
      <c r="Y369" s="111"/>
      <c r="Z369" s="111"/>
      <c r="AA369" s="111"/>
    </row>
    <row r="370" spans="1:27" s="118" customFormat="1" x14ac:dyDescent="0.2">
      <c r="A370" s="10"/>
      <c r="B370" s="10"/>
      <c r="C370" s="191"/>
      <c r="D370" s="2" t="s">
        <v>1052</v>
      </c>
      <c r="E370" s="148"/>
      <c r="F370" s="253">
        <v>2</v>
      </c>
      <c r="G370" s="253">
        <v>10.15</v>
      </c>
      <c r="H370" s="253"/>
      <c r="I370" s="249">
        <v>3</v>
      </c>
      <c r="J370" s="253">
        <f t="shared" ref="J370:J408" si="25">ROUND(PRODUCT(F370:I370),2)</f>
        <v>60.9</v>
      </c>
      <c r="K370" s="137"/>
      <c r="L370" s="137"/>
      <c r="M370" s="137"/>
      <c r="N370" s="138"/>
      <c r="O370" s="167"/>
      <c r="P370" s="111"/>
      <c r="Q370" s="111"/>
      <c r="R370" s="111"/>
      <c r="S370" s="111"/>
      <c r="T370" s="111"/>
      <c r="U370" s="111"/>
      <c r="V370" s="111"/>
      <c r="W370" s="111"/>
      <c r="X370" s="111"/>
      <c r="Y370" s="111"/>
      <c r="Z370" s="111"/>
      <c r="AA370" s="111"/>
    </row>
    <row r="371" spans="1:27" s="118" customFormat="1" x14ac:dyDescent="0.2">
      <c r="A371" s="10"/>
      <c r="B371" s="10"/>
      <c r="C371" s="190"/>
      <c r="D371" s="2" t="s">
        <v>1053</v>
      </c>
      <c r="E371" s="148"/>
      <c r="F371" s="253">
        <v>2</v>
      </c>
      <c r="G371" s="118">
        <v>19.66</v>
      </c>
      <c r="H371" s="253"/>
      <c r="I371" s="249">
        <v>3</v>
      </c>
      <c r="J371" s="253">
        <f t="shared" si="25"/>
        <v>117.96</v>
      </c>
      <c r="K371" s="137"/>
      <c r="L371" s="137"/>
      <c r="M371" s="137"/>
      <c r="N371" s="138"/>
      <c r="O371" s="167"/>
      <c r="P371" s="111"/>
      <c r="Q371" s="111"/>
      <c r="R371" s="111"/>
      <c r="S371" s="111"/>
      <c r="T371" s="111"/>
      <c r="U371" s="111"/>
      <c r="V371" s="111"/>
      <c r="W371" s="111"/>
      <c r="X371" s="111"/>
      <c r="Y371" s="111"/>
      <c r="Z371" s="111"/>
      <c r="AA371" s="111"/>
    </row>
    <row r="372" spans="1:27" s="154" customFormat="1" x14ac:dyDescent="0.2">
      <c r="A372" s="10"/>
      <c r="B372" s="10"/>
      <c r="C372" s="15"/>
      <c r="D372" s="2" t="s">
        <v>1034</v>
      </c>
      <c r="E372" s="148"/>
      <c r="F372" s="253">
        <v>-1</v>
      </c>
      <c r="G372" s="253">
        <v>1</v>
      </c>
      <c r="H372" s="253"/>
      <c r="I372" s="249">
        <v>2.1</v>
      </c>
      <c r="J372" s="253">
        <f t="shared" si="25"/>
        <v>-2.1</v>
      </c>
      <c r="K372" s="151"/>
      <c r="L372" s="151"/>
      <c r="M372" s="151"/>
      <c r="N372" s="152"/>
      <c r="O372" s="283"/>
      <c r="P372" s="153"/>
      <c r="Q372" s="153"/>
      <c r="R372" s="153"/>
      <c r="S372" s="153"/>
      <c r="T372" s="153"/>
      <c r="U372" s="153"/>
      <c r="V372" s="153"/>
      <c r="W372" s="153"/>
      <c r="X372" s="153"/>
      <c r="Y372" s="153"/>
      <c r="Z372" s="153"/>
      <c r="AA372" s="153"/>
    </row>
    <row r="373" spans="1:27" s="313" customFormat="1" x14ac:dyDescent="0.2">
      <c r="A373" s="10"/>
      <c r="B373" s="10"/>
      <c r="C373" s="15"/>
      <c r="D373" s="314"/>
      <c r="E373" s="148"/>
      <c r="F373" s="253">
        <v>-2</v>
      </c>
      <c r="G373" s="253">
        <v>1</v>
      </c>
      <c r="H373" s="253"/>
      <c r="I373" s="249">
        <v>0.4</v>
      </c>
      <c r="J373" s="253">
        <f t="shared" si="25"/>
        <v>-0.8</v>
      </c>
      <c r="K373" s="136">
        <f>J377</f>
        <v>8.4</v>
      </c>
      <c r="L373" s="136" t="e">
        <f>'COMPOSICOES - SINAPI COM DESON'!G36</f>
        <v>#VALUE!</v>
      </c>
      <c r="M373" s="136" t="e">
        <f>ROUND(L373*(1+$Q$5),2)</f>
        <v>#VALUE!</v>
      </c>
      <c r="N373" s="199" t="e">
        <f>TRUNC(K373*M373,2)</f>
        <v>#VALUE!</v>
      </c>
      <c r="O373" s="283"/>
      <c r="P373" s="312"/>
      <c r="Q373" s="312"/>
      <c r="R373" s="312"/>
      <c r="S373" s="312"/>
      <c r="T373" s="312"/>
      <c r="U373" s="312"/>
      <c r="V373" s="312"/>
      <c r="W373" s="312"/>
      <c r="X373" s="312"/>
      <c r="Y373" s="312"/>
      <c r="Z373" s="312"/>
      <c r="AA373" s="312"/>
    </row>
    <row r="374" spans="1:27" s="313" customFormat="1" ht="30.6" x14ac:dyDescent="0.2">
      <c r="A374" s="10"/>
      <c r="B374" s="10"/>
      <c r="C374" s="15"/>
      <c r="D374" s="314"/>
      <c r="E374" s="148"/>
      <c r="F374" s="253"/>
      <c r="G374" s="253"/>
      <c r="H374" s="253"/>
      <c r="I374" s="366" t="s">
        <v>1054</v>
      </c>
      <c r="J374" s="253"/>
      <c r="K374" s="136"/>
      <c r="L374" s="136"/>
      <c r="M374" s="136"/>
      <c r="N374" s="199"/>
      <c r="O374" s="283"/>
      <c r="P374" s="312"/>
      <c r="Q374" s="312"/>
      <c r="R374" s="312"/>
      <c r="S374" s="312"/>
      <c r="T374" s="312"/>
      <c r="U374" s="312"/>
      <c r="V374" s="312"/>
      <c r="W374" s="312"/>
      <c r="X374" s="312"/>
      <c r="Y374" s="312"/>
      <c r="Z374" s="312"/>
      <c r="AA374" s="312"/>
    </row>
    <row r="375" spans="1:27" s="118" customFormat="1" x14ac:dyDescent="0.2">
      <c r="A375" s="10"/>
      <c r="B375" s="10"/>
      <c r="C375" s="191"/>
      <c r="D375" s="2" t="s">
        <v>995</v>
      </c>
      <c r="E375" s="148"/>
      <c r="F375" s="253">
        <v>1</v>
      </c>
      <c r="G375" s="253">
        <v>6.84</v>
      </c>
      <c r="H375" s="253"/>
      <c r="I375" s="249">
        <v>1.2</v>
      </c>
      <c r="J375" s="253">
        <f t="shared" si="25"/>
        <v>8.2100000000000009</v>
      </c>
      <c r="K375" s="137"/>
      <c r="L375" s="137"/>
      <c r="M375" s="137"/>
      <c r="N375" s="138"/>
      <c r="O375" s="167"/>
      <c r="P375" s="111"/>
      <c r="Q375" s="111"/>
      <c r="R375" s="111"/>
      <c r="S375" s="111"/>
      <c r="T375" s="111"/>
      <c r="U375" s="111"/>
      <c r="V375" s="111"/>
      <c r="W375" s="111"/>
      <c r="X375" s="111"/>
      <c r="Y375" s="111"/>
      <c r="Z375" s="111"/>
      <c r="AA375" s="111"/>
    </row>
    <row r="376" spans="1:27" s="118" customFormat="1" x14ac:dyDescent="0.2">
      <c r="A376" s="10"/>
      <c r="B376" s="10"/>
      <c r="C376" s="191"/>
      <c r="D376" s="2"/>
      <c r="E376" s="148"/>
      <c r="F376" s="253">
        <v>1</v>
      </c>
      <c r="G376" s="253">
        <v>4.3600000000000003</v>
      </c>
      <c r="H376" s="253"/>
      <c r="I376" s="249">
        <v>1.2</v>
      </c>
      <c r="J376" s="253">
        <f t="shared" si="25"/>
        <v>5.23</v>
      </c>
      <c r="K376" s="137"/>
      <c r="L376" s="137"/>
      <c r="M376" s="137"/>
      <c r="N376" s="138"/>
      <c r="O376" s="167"/>
      <c r="P376" s="111"/>
      <c r="Q376" s="111"/>
      <c r="R376" s="111"/>
      <c r="S376" s="111"/>
      <c r="T376" s="111"/>
      <c r="U376" s="111"/>
      <c r="V376" s="111"/>
      <c r="W376" s="111"/>
      <c r="X376" s="111"/>
      <c r="Y376" s="111"/>
      <c r="Z376" s="111"/>
      <c r="AA376" s="111"/>
    </row>
    <row r="377" spans="1:27" s="118" customFormat="1" x14ac:dyDescent="0.2">
      <c r="A377" s="10"/>
      <c r="B377" s="10"/>
      <c r="C377" s="191"/>
      <c r="D377" s="108"/>
      <c r="E377" s="148"/>
      <c r="F377" s="253">
        <v>2</v>
      </c>
      <c r="G377" s="253">
        <v>3.5</v>
      </c>
      <c r="H377" s="253"/>
      <c r="I377" s="249">
        <v>1.2</v>
      </c>
      <c r="J377" s="253">
        <f t="shared" si="25"/>
        <v>8.4</v>
      </c>
      <c r="K377" s="137"/>
      <c r="L377" s="137"/>
      <c r="M377" s="137"/>
      <c r="N377" s="138"/>
      <c r="O377" s="167"/>
      <c r="P377" s="111"/>
      <c r="Q377" s="111"/>
      <c r="R377" s="111"/>
      <c r="S377" s="111"/>
      <c r="T377" s="111"/>
      <c r="U377" s="111"/>
      <c r="V377" s="111"/>
      <c r="W377" s="111"/>
      <c r="X377" s="111"/>
      <c r="Y377" s="111"/>
      <c r="Z377" s="111"/>
      <c r="AA377" s="111"/>
    </row>
    <row r="378" spans="1:27" s="139" customFormat="1" x14ac:dyDescent="0.2">
      <c r="A378" s="10"/>
      <c r="B378" s="10"/>
      <c r="C378" s="15"/>
      <c r="D378" s="108"/>
      <c r="E378" s="148"/>
      <c r="F378" s="253">
        <v>1</v>
      </c>
      <c r="G378" s="253">
        <v>2.5</v>
      </c>
      <c r="H378" s="253"/>
      <c r="I378" s="249">
        <v>1.2</v>
      </c>
      <c r="J378" s="253">
        <f t="shared" si="25"/>
        <v>3</v>
      </c>
      <c r="K378" s="137"/>
      <c r="L378" s="137"/>
      <c r="M378" s="137"/>
      <c r="N378" s="138"/>
      <c r="O378" s="283"/>
      <c r="P378" s="120"/>
      <c r="Q378" s="120"/>
      <c r="R378" s="120"/>
      <c r="S378" s="120"/>
      <c r="T378" s="120"/>
      <c r="U378" s="120"/>
      <c r="V378" s="120"/>
      <c r="W378" s="120"/>
      <c r="X378" s="120"/>
      <c r="Y378" s="120"/>
      <c r="Z378" s="120"/>
      <c r="AA378" s="120"/>
    </row>
    <row r="379" spans="1:27" s="313" customFormat="1" x14ac:dyDescent="0.2">
      <c r="A379" s="10"/>
      <c r="B379" s="10"/>
      <c r="C379" s="15"/>
      <c r="D379" s="314"/>
      <c r="E379" s="148"/>
      <c r="F379" s="253">
        <v>1</v>
      </c>
      <c r="G379" s="253">
        <v>1.6</v>
      </c>
      <c r="H379" s="253"/>
      <c r="I379" s="249">
        <v>1.2</v>
      </c>
      <c r="J379" s="253">
        <f t="shared" si="25"/>
        <v>1.92</v>
      </c>
      <c r="K379" s="136">
        <f>J383</f>
        <v>23.04</v>
      </c>
      <c r="L379" s="136">
        <v>116.08</v>
      </c>
      <c r="M379" s="136">
        <f>ROUND(L379*(1+$Q$5),2)</f>
        <v>146.88</v>
      </c>
      <c r="N379" s="199">
        <f>TRUNC(K379*M379,2)</f>
        <v>3384.11</v>
      </c>
      <c r="O379" s="283"/>
      <c r="P379" s="312"/>
      <c r="Q379" s="312"/>
      <c r="R379" s="312"/>
      <c r="S379" s="312"/>
      <c r="T379" s="312"/>
      <c r="U379" s="312"/>
      <c r="V379" s="312"/>
      <c r="W379" s="312"/>
      <c r="X379" s="312"/>
      <c r="Y379" s="312"/>
      <c r="Z379" s="312"/>
      <c r="AA379" s="312"/>
    </row>
    <row r="380" spans="1:27" s="118" customFormat="1" x14ac:dyDescent="0.2">
      <c r="A380" s="10"/>
      <c r="B380" s="10"/>
      <c r="C380" s="191"/>
      <c r="D380" s="2"/>
      <c r="E380" s="148"/>
      <c r="F380" s="253">
        <v>1</v>
      </c>
      <c r="G380" s="253">
        <v>1.83</v>
      </c>
      <c r="H380" s="253"/>
      <c r="I380" s="249">
        <v>1.2</v>
      </c>
      <c r="J380" s="253">
        <f t="shared" si="25"/>
        <v>2.2000000000000002</v>
      </c>
      <c r="K380" s="137"/>
      <c r="L380" s="137"/>
      <c r="M380" s="137"/>
      <c r="N380" s="138"/>
      <c r="O380" s="167"/>
      <c r="P380" s="111"/>
      <c r="Q380" s="111"/>
      <c r="R380" s="111"/>
      <c r="S380" s="111"/>
      <c r="T380" s="111"/>
      <c r="U380" s="111"/>
      <c r="V380" s="111"/>
      <c r="W380" s="111"/>
      <c r="X380" s="111"/>
      <c r="Y380" s="111"/>
      <c r="Z380" s="111"/>
      <c r="AA380" s="111"/>
    </row>
    <row r="381" spans="1:27" s="118" customFormat="1" x14ac:dyDescent="0.2">
      <c r="A381" s="10"/>
      <c r="B381" s="10"/>
      <c r="C381" s="191"/>
      <c r="D381" s="2"/>
      <c r="E381" s="148"/>
      <c r="F381" s="253">
        <v>1</v>
      </c>
      <c r="G381" s="253">
        <v>3</v>
      </c>
      <c r="H381" s="253"/>
      <c r="I381" s="249">
        <v>1.2</v>
      </c>
      <c r="J381" s="253">
        <f t="shared" si="25"/>
        <v>3.6</v>
      </c>
      <c r="K381" s="137"/>
      <c r="L381" s="137"/>
      <c r="M381" s="137"/>
      <c r="N381" s="138"/>
      <c r="O381" s="167"/>
      <c r="P381" s="111"/>
      <c r="Q381" s="111"/>
      <c r="R381" s="111"/>
      <c r="S381" s="111"/>
      <c r="T381" s="111"/>
      <c r="U381" s="111"/>
      <c r="V381" s="111"/>
      <c r="W381" s="111"/>
      <c r="X381" s="111"/>
      <c r="Y381" s="111"/>
      <c r="Z381" s="111"/>
      <c r="AA381" s="111"/>
    </row>
    <row r="382" spans="1:27" s="118" customFormat="1" x14ac:dyDescent="0.2">
      <c r="A382" s="10"/>
      <c r="B382" s="10"/>
      <c r="C382" s="191"/>
      <c r="D382" s="2" t="s">
        <v>1055</v>
      </c>
      <c r="E382" s="148"/>
      <c r="F382" s="253">
        <v>6</v>
      </c>
      <c r="G382" s="253">
        <v>3.1</v>
      </c>
      <c r="H382" s="253"/>
      <c r="I382" s="249">
        <v>1.2</v>
      </c>
      <c r="J382" s="253">
        <f t="shared" si="25"/>
        <v>22.32</v>
      </c>
      <c r="K382" s="137"/>
      <c r="L382" s="137"/>
      <c r="M382" s="137"/>
      <c r="N382" s="138"/>
      <c r="O382" s="167"/>
      <c r="P382" s="111"/>
      <c r="Q382" s="111"/>
      <c r="R382" s="111"/>
      <c r="S382" s="111"/>
      <c r="T382" s="111"/>
      <c r="U382" s="111"/>
      <c r="V382" s="111"/>
      <c r="W382" s="111"/>
      <c r="X382" s="111"/>
      <c r="Y382" s="111"/>
      <c r="Z382" s="111"/>
      <c r="AA382" s="111"/>
    </row>
    <row r="383" spans="1:27" s="118" customFormat="1" x14ac:dyDescent="0.2">
      <c r="A383" s="10"/>
      <c r="B383" s="10"/>
      <c r="C383" s="191"/>
      <c r="D383" s="108"/>
      <c r="E383" s="148"/>
      <c r="F383" s="253">
        <v>6</v>
      </c>
      <c r="G383" s="253">
        <v>3.2</v>
      </c>
      <c r="H383" s="253"/>
      <c r="I383" s="249">
        <v>1.2</v>
      </c>
      <c r="J383" s="253">
        <f t="shared" si="25"/>
        <v>23.04</v>
      </c>
      <c r="K383" s="137"/>
      <c r="L383" s="137"/>
      <c r="M383" s="137"/>
      <c r="N383" s="138"/>
      <c r="O383" s="167"/>
      <c r="P383" s="111"/>
      <c r="Q383" s="111"/>
      <c r="R383" s="111"/>
      <c r="S383" s="111"/>
      <c r="T383" s="111"/>
      <c r="U383" s="111"/>
      <c r="V383" s="111"/>
      <c r="W383" s="111"/>
      <c r="X383" s="111"/>
      <c r="Y383" s="111"/>
      <c r="Z383" s="111"/>
      <c r="AA383" s="111"/>
    </row>
    <row r="384" spans="1:27" s="139" customFormat="1" x14ac:dyDescent="0.2">
      <c r="A384" s="10"/>
      <c r="B384" s="10"/>
      <c r="C384" s="15"/>
      <c r="D384" s="2" t="s">
        <v>1056</v>
      </c>
      <c r="E384" s="148"/>
      <c r="F384" s="253">
        <v>2</v>
      </c>
      <c r="G384" s="253">
        <v>2.8</v>
      </c>
      <c r="H384" s="253"/>
      <c r="I384" s="249">
        <v>1.2</v>
      </c>
      <c r="J384" s="253">
        <f t="shared" si="25"/>
        <v>6.72</v>
      </c>
      <c r="K384" s="137"/>
      <c r="L384" s="137"/>
      <c r="M384" s="137"/>
      <c r="N384" s="138"/>
      <c r="O384" s="283"/>
      <c r="P384" s="120"/>
      <c r="Q384" s="120"/>
      <c r="R384" s="120"/>
      <c r="S384" s="120"/>
      <c r="T384" s="120"/>
      <c r="U384" s="120"/>
      <c r="V384" s="120"/>
      <c r="W384" s="120"/>
      <c r="X384" s="120"/>
      <c r="Y384" s="120"/>
      <c r="Z384" s="120"/>
      <c r="AA384" s="120"/>
    </row>
    <row r="385" spans="1:27" s="313" customFormat="1" x14ac:dyDescent="0.2">
      <c r="A385" s="10"/>
      <c r="B385" s="10"/>
      <c r="C385" s="15"/>
      <c r="D385" s="314"/>
      <c r="E385" s="148"/>
      <c r="F385" s="253">
        <v>2</v>
      </c>
      <c r="G385" s="253">
        <v>2.25</v>
      </c>
      <c r="H385" s="253"/>
      <c r="I385" s="249">
        <v>1.2</v>
      </c>
      <c r="J385" s="253">
        <f t="shared" si="25"/>
        <v>5.4</v>
      </c>
      <c r="K385" s="136">
        <f>J387</f>
        <v>6.72</v>
      </c>
      <c r="L385" s="136">
        <f>'COMPOSICOES - SINAPI COM DESON'!G50</f>
        <v>104.48</v>
      </c>
      <c r="M385" s="136">
        <f>ROUND(L385*(1+$Q$5),2)</f>
        <v>132.19999999999999</v>
      </c>
      <c r="N385" s="199">
        <f>TRUNC(K385*M385,2)</f>
        <v>888.38</v>
      </c>
      <c r="O385" s="283"/>
      <c r="P385" s="312"/>
      <c r="Q385" s="312"/>
      <c r="R385" s="312"/>
      <c r="S385" s="312"/>
      <c r="T385" s="312"/>
      <c r="U385" s="312"/>
      <c r="V385" s="312"/>
      <c r="W385" s="312"/>
      <c r="X385" s="312"/>
      <c r="Y385" s="312"/>
      <c r="Z385" s="312"/>
      <c r="AA385" s="312"/>
    </row>
    <row r="386" spans="1:27" s="174" customFormat="1" x14ac:dyDescent="0.2">
      <c r="A386" s="177"/>
      <c r="B386" s="177"/>
      <c r="C386" s="178"/>
      <c r="D386" s="2" t="s">
        <v>967</v>
      </c>
      <c r="E386" s="176"/>
      <c r="F386" s="253">
        <v>2</v>
      </c>
      <c r="G386" s="253">
        <v>4.1500000000000004</v>
      </c>
      <c r="H386" s="253"/>
      <c r="I386" s="249">
        <v>1.2</v>
      </c>
      <c r="J386" s="253">
        <f t="shared" si="25"/>
        <v>9.9600000000000009</v>
      </c>
      <c r="K386" s="172"/>
      <c r="L386" s="172"/>
      <c r="M386" s="172"/>
      <c r="N386" s="173"/>
      <c r="O386" s="287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</row>
    <row r="387" spans="1:27" s="174" customFormat="1" x14ac:dyDescent="0.2">
      <c r="A387" s="177"/>
      <c r="B387" s="177"/>
      <c r="C387" s="178"/>
      <c r="D387" s="2"/>
      <c r="E387" s="148"/>
      <c r="F387" s="253">
        <v>2</v>
      </c>
      <c r="G387" s="253">
        <v>2.8</v>
      </c>
      <c r="H387" s="253"/>
      <c r="I387" s="249">
        <v>1.2</v>
      </c>
      <c r="J387" s="253">
        <f t="shared" si="25"/>
        <v>6.72</v>
      </c>
      <c r="K387" s="172"/>
      <c r="L387" s="172"/>
      <c r="M387" s="172"/>
      <c r="N387" s="173"/>
      <c r="O387" s="287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</row>
    <row r="388" spans="1:27" s="118" customFormat="1" x14ac:dyDescent="0.2">
      <c r="A388" s="10"/>
      <c r="B388" s="10"/>
      <c r="C388" s="15"/>
      <c r="D388" s="149" t="s">
        <v>1016</v>
      </c>
      <c r="E388" s="148"/>
      <c r="F388" s="253">
        <v>2</v>
      </c>
      <c r="G388" s="253">
        <v>2.72</v>
      </c>
      <c r="H388" s="253"/>
      <c r="I388" s="249">
        <v>1.2</v>
      </c>
      <c r="J388" s="253">
        <f t="shared" si="25"/>
        <v>6.53</v>
      </c>
      <c r="K388" s="137"/>
      <c r="L388" s="137"/>
      <c r="M388" s="137"/>
      <c r="N388" s="138"/>
      <c r="O388" s="167"/>
      <c r="P388" s="111"/>
      <c r="Q388" s="111"/>
      <c r="R388" s="111"/>
      <c r="S388" s="111"/>
      <c r="T388" s="111"/>
      <c r="U388" s="111"/>
      <c r="V388" s="111"/>
      <c r="W388" s="111"/>
      <c r="X388" s="111"/>
      <c r="Y388" s="111"/>
      <c r="Z388" s="111"/>
      <c r="AA388" s="111"/>
    </row>
    <row r="389" spans="1:27" s="118" customFormat="1" x14ac:dyDescent="0.2">
      <c r="A389" s="10"/>
      <c r="B389" s="10"/>
      <c r="C389" s="15"/>
      <c r="D389" s="149"/>
      <c r="E389" s="148"/>
      <c r="F389" s="253">
        <v>2</v>
      </c>
      <c r="G389" s="253">
        <v>2</v>
      </c>
      <c r="H389" s="253"/>
      <c r="I389" s="249">
        <v>1.2</v>
      </c>
      <c r="J389" s="253">
        <f t="shared" si="25"/>
        <v>4.8</v>
      </c>
      <c r="K389" s="137"/>
      <c r="L389" s="137"/>
      <c r="M389" s="137"/>
      <c r="N389" s="138"/>
      <c r="O389" s="167"/>
      <c r="P389" s="111"/>
      <c r="Q389" s="111"/>
      <c r="R389" s="111"/>
      <c r="S389" s="111"/>
      <c r="T389" s="111"/>
      <c r="U389" s="111"/>
      <c r="V389" s="111"/>
      <c r="W389" s="111"/>
      <c r="X389" s="111"/>
      <c r="Y389" s="111"/>
      <c r="Z389" s="111"/>
      <c r="AA389" s="111"/>
    </row>
    <row r="390" spans="1:27" s="313" customFormat="1" x14ac:dyDescent="0.2">
      <c r="A390" s="10"/>
      <c r="B390" s="10"/>
      <c r="C390" s="15"/>
      <c r="D390" s="396" t="s">
        <v>1057</v>
      </c>
      <c r="E390" s="148"/>
      <c r="F390" s="253">
        <v>2</v>
      </c>
      <c r="G390" s="253">
        <v>1.9</v>
      </c>
      <c r="H390" s="253"/>
      <c r="I390" s="249">
        <v>1.2</v>
      </c>
      <c r="J390" s="253">
        <f t="shared" si="25"/>
        <v>4.5599999999999996</v>
      </c>
      <c r="K390" s="136">
        <f>J395</f>
        <v>8.7200000000000006</v>
      </c>
      <c r="L390" s="136">
        <v>166.81</v>
      </c>
      <c r="M390" s="136">
        <f>ROUND(L390*(1+$Q$5),2)</f>
        <v>211.06</v>
      </c>
      <c r="N390" s="199">
        <f>TRUNC(K390*M390,2)</f>
        <v>1840.44</v>
      </c>
      <c r="O390" s="283"/>
      <c r="P390" s="312"/>
      <c r="Q390" s="312"/>
      <c r="R390" s="312"/>
      <c r="S390" s="312"/>
      <c r="T390" s="312"/>
      <c r="U390" s="312"/>
      <c r="V390" s="312"/>
      <c r="W390" s="312"/>
      <c r="X390" s="312"/>
      <c r="Y390" s="312"/>
      <c r="Z390" s="312"/>
      <c r="AA390" s="312"/>
    </row>
    <row r="391" spans="1:27" s="118" customFormat="1" x14ac:dyDescent="0.2">
      <c r="A391" s="10"/>
      <c r="B391" s="10"/>
      <c r="C391" s="191"/>
      <c r="D391" s="2"/>
      <c r="E391" s="148"/>
      <c r="F391" s="253">
        <v>2</v>
      </c>
      <c r="G391" s="253">
        <v>1.57</v>
      </c>
      <c r="H391" s="253"/>
      <c r="I391" s="249">
        <v>1.2</v>
      </c>
      <c r="J391" s="253">
        <f t="shared" si="25"/>
        <v>3.77</v>
      </c>
      <c r="K391" s="137"/>
      <c r="L391" s="137"/>
      <c r="M391" s="137"/>
      <c r="N391" s="138"/>
      <c r="O391" s="167"/>
      <c r="P391" s="111"/>
      <c r="Q391" s="111"/>
      <c r="R391" s="111"/>
      <c r="S391" s="111"/>
      <c r="T391" s="111"/>
      <c r="U391" s="111"/>
      <c r="V391" s="111"/>
      <c r="W391" s="111"/>
      <c r="X391" s="111"/>
      <c r="Y391" s="111"/>
      <c r="Z391" s="111"/>
      <c r="AA391" s="111"/>
    </row>
    <row r="392" spans="1:27" s="118" customFormat="1" x14ac:dyDescent="0.2">
      <c r="A392" s="10"/>
      <c r="B392" s="10"/>
      <c r="C392" s="191"/>
      <c r="D392" s="2" t="s">
        <v>1058</v>
      </c>
      <c r="E392" s="148"/>
      <c r="F392" s="253">
        <v>1</v>
      </c>
      <c r="G392" s="253">
        <v>1.83</v>
      </c>
      <c r="H392" s="253"/>
      <c r="I392" s="249">
        <v>1.2</v>
      </c>
      <c r="J392" s="253">
        <f t="shared" si="25"/>
        <v>2.2000000000000002</v>
      </c>
      <c r="K392" s="137"/>
      <c r="L392" s="137"/>
      <c r="M392" s="137"/>
      <c r="N392" s="138"/>
      <c r="O392" s="167"/>
      <c r="P392" s="111"/>
      <c r="Q392" s="111"/>
      <c r="R392" s="111"/>
      <c r="S392" s="111"/>
      <c r="T392" s="111"/>
      <c r="U392" s="111"/>
      <c r="V392" s="111"/>
      <c r="W392" s="111"/>
      <c r="X392" s="111"/>
      <c r="Y392" s="111"/>
      <c r="Z392" s="111"/>
      <c r="AA392" s="111"/>
    </row>
    <row r="393" spans="1:27" s="118" customFormat="1" x14ac:dyDescent="0.2">
      <c r="A393" s="10"/>
      <c r="B393" s="10"/>
      <c r="C393" s="191"/>
      <c r="D393" s="2"/>
      <c r="E393" s="148"/>
      <c r="F393" s="253">
        <v>1</v>
      </c>
      <c r="G393" s="253">
        <v>1</v>
      </c>
      <c r="H393" s="253"/>
      <c r="I393" s="249">
        <v>1.2</v>
      </c>
      <c r="J393" s="253">
        <f t="shared" si="25"/>
        <v>1.2</v>
      </c>
      <c r="K393" s="137"/>
      <c r="L393" s="137"/>
      <c r="M393" s="137"/>
      <c r="N393" s="138"/>
      <c r="O393" s="167"/>
      <c r="P393" s="111"/>
      <c r="Q393" s="111"/>
      <c r="R393" s="111"/>
      <c r="S393" s="111"/>
      <c r="T393" s="111"/>
      <c r="U393" s="111"/>
      <c r="V393" s="111"/>
      <c r="W393" s="111"/>
      <c r="X393" s="111"/>
      <c r="Y393" s="111"/>
      <c r="Z393" s="111"/>
      <c r="AA393" s="111"/>
    </row>
    <row r="394" spans="1:27" s="118" customFormat="1" x14ac:dyDescent="0.2">
      <c r="A394" s="10"/>
      <c r="B394" s="10"/>
      <c r="C394" s="191"/>
      <c r="D394" s="2" t="s">
        <v>1059</v>
      </c>
      <c r="E394" s="148"/>
      <c r="F394" s="253">
        <v>2</v>
      </c>
      <c r="G394" s="253">
        <v>10.3</v>
      </c>
      <c r="H394" s="253"/>
      <c r="I394" s="249">
        <v>1.2</v>
      </c>
      <c r="J394" s="253">
        <f t="shared" si="25"/>
        <v>24.72</v>
      </c>
      <c r="K394" s="137"/>
      <c r="L394" s="137"/>
      <c r="M394" s="137"/>
      <c r="N394" s="138"/>
      <c r="O394" s="167"/>
      <c r="P394" s="111"/>
      <c r="Q394" s="111"/>
      <c r="R394" s="111"/>
      <c r="S394" s="111"/>
      <c r="T394" s="111"/>
      <c r="U394" s="111"/>
      <c r="V394" s="111"/>
      <c r="W394" s="111"/>
      <c r="X394" s="111"/>
      <c r="Y394" s="111"/>
      <c r="Z394" s="111"/>
      <c r="AA394" s="111"/>
    </row>
    <row r="395" spans="1:27" s="118" customFormat="1" x14ac:dyDescent="0.2">
      <c r="A395" s="10"/>
      <c r="B395" s="10"/>
      <c r="C395" s="191"/>
      <c r="D395" s="2" t="s">
        <v>1009</v>
      </c>
      <c r="E395" s="148"/>
      <c r="F395" s="253">
        <v>1</v>
      </c>
      <c r="G395" s="253">
        <v>7.27</v>
      </c>
      <c r="H395" s="253"/>
      <c r="I395" s="249">
        <v>1.2</v>
      </c>
      <c r="J395" s="253">
        <f t="shared" si="25"/>
        <v>8.7200000000000006</v>
      </c>
      <c r="K395" s="137"/>
      <c r="L395" s="137"/>
      <c r="M395" s="137"/>
      <c r="N395" s="138"/>
      <c r="O395" s="167"/>
      <c r="P395" s="111"/>
      <c r="Q395" s="111"/>
      <c r="R395" s="111"/>
      <c r="S395" s="111"/>
      <c r="T395" s="111"/>
      <c r="U395" s="111"/>
      <c r="V395" s="111"/>
      <c r="W395" s="111"/>
      <c r="X395" s="111"/>
      <c r="Y395" s="111"/>
      <c r="Z395" s="111"/>
      <c r="AA395" s="111"/>
    </row>
    <row r="396" spans="1:27" s="118" customFormat="1" x14ac:dyDescent="0.2">
      <c r="A396" s="10"/>
      <c r="B396" s="10"/>
      <c r="C396" s="191"/>
      <c r="D396" s="108"/>
      <c r="E396" s="148"/>
      <c r="F396" s="253">
        <v>1</v>
      </c>
      <c r="G396" s="253">
        <v>4.7</v>
      </c>
      <c r="H396" s="253"/>
      <c r="I396" s="249">
        <v>1.2</v>
      </c>
      <c r="J396" s="253">
        <f t="shared" si="25"/>
        <v>5.64</v>
      </c>
      <c r="K396" s="137"/>
      <c r="L396" s="137"/>
      <c r="M396" s="137"/>
      <c r="N396" s="138"/>
      <c r="O396" s="167"/>
      <c r="P396" s="111"/>
      <c r="Q396" s="111"/>
      <c r="R396" s="111"/>
      <c r="S396" s="111"/>
      <c r="T396" s="111"/>
      <c r="U396" s="111"/>
      <c r="V396" s="111"/>
      <c r="W396" s="111"/>
      <c r="X396" s="111"/>
      <c r="Y396" s="111"/>
      <c r="Z396" s="111"/>
      <c r="AA396" s="111"/>
    </row>
    <row r="397" spans="1:27" s="313" customFormat="1" x14ac:dyDescent="0.2">
      <c r="A397" s="10"/>
      <c r="B397" s="10"/>
      <c r="C397" s="400"/>
      <c r="D397" s="314"/>
      <c r="E397" s="148"/>
      <c r="F397" s="253">
        <v>1</v>
      </c>
      <c r="G397" s="253">
        <v>4.4000000000000004</v>
      </c>
      <c r="H397" s="253"/>
      <c r="I397" s="249">
        <v>1.2</v>
      </c>
      <c r="J397" s="253">
        <f t="shared" si="25"/>
        <v>5.28</v>
      </c>
      <c r="K397" s="136">
        <f>J404</f>
        <v>-24</v>
      </c>
      <c r="L397" s="136">
        <v>46.44</v>
      </c>
      <c r="M397" s="136">
        <f>ROUND(L397*(1+$Q$5),2)</f>
        <v>58.76</v>
      </c>
      <c r="N397" s="199">
        <f>TRUNC(K397*M397,2)</f>
        <v>-1410.24</v>
      </c>
      <c r="O397" s="283"/>
      <c r="P397" s="312"/>
      <c r="Q397" s="312"/>
      <c r="R397" s="312"/>
      <c r="S397" s="312"/>
      <c r="T397" s="312"/>
      <c r="U397" s="312"/>
      <c r="V397" s="312"/>
      <c r="W397" s="312"/>
      <c r="X397" s="312"/>
      <c r="Y397" s="312"/>
      <c r="Z397" s="312"/>
      <c r="AA397" s="312"/>
    </row>
    <row r="398" spans="1:27" s="118" customFormat="1" x14ac:dyDescent="0.2">
      <c r="A398" s="10"/>
      <c r="B398" s="10"/>
      <c r="C398" s="191"/>
      <c r="D398" s="2"/>
      <c r="E398" s="148"/>
      <c r="F398" s="253">
        <v>1</v>
      </c>
      <c r="G398" s="253">
        <v>2.0499999999999998</v>
      </c>
      <c r="H398" s="253"/>
      <c r="I398" s="249">
        <v>1.2</v>
      </c>
      <c r="J398" s="253">
        <f t="shared" si="25"/>
        <v>2.46</v>
      </c>
      <c r="K398" s="137"/>
      <c r="L398" s="137"/>
      <c r="M398" s="137"/>
      <c r="N398" s="138"/>
      <c r="O398" s="167"/>
      <c r="P398" s="111"/>
      <c r="Q398" s="111"/>
      <c r="R398" s="111"/>
      <c r="S398" s="111"/>
      <c r="T398" s="111"/>
      <c r="U398" s="111"/>
      <c r="V398" s="111"/>
      <c r="W398" s="111"/>
      <c r="X398" s="111"/>
      <c r="Y398" s="111"/>
      <c r="Z398" s="111"/>
      <c r="AA398" s="111"/>
    </row>
    <row r="399" spans="1:27" s="118" customFormat="1" x14ac:dyDescent="0.2">
      <c r="A399" s="10"/>
      <c r="B399" s="10"/>
      <c r="C399" s="191"/>
      <c r="D399" s="2"/>
      <c r="E399" s="148"/>
      <c r="F399" s="253">
        <v>1</v>
      </c>
      <c r="G399" s="253">
        <v>1.83</v>
      </c>
      <c r="H399" s="253"/>
      <c r="I399" s="249">
        <v>1.2</v>
      </c>
      <c r="J399" s="253">
        <f t="shared" si="25"/>
        <v>2.2000000000000002</v>
      </c>
      <c r="K399" s="137"/>
      <c r="L399" s="137"/>
      <c r="M399" s="137"/>
      <c r="N399" s="138"/>
      <c r="O399" s="167"/>
      <c r="P399" s="111"/>
      <c r="Q399" s="111"/>
      <c r="R399" s="111"/>
      <c r="S399" s="111"/>
      <c r="T399" s="111"/>
      <c r="U399" s="111"/>
      <c r="V399" s="111"/>
      <c r="W399" s="111"/>
      <c r="X399" s="111"/>
      <c r="Y399" s="111"/>
      <c r="Z399" s="111"/>
      <c r="AA399" s="111"/>
    </row>
    <row r="400" spans="1:27" s="118" customFormat="1" x14ac:dyDescent="0.2">
      <c r="A400" s="10"/>
      <c r="B400" s="10"/>
      <c r="C400" s="191"/>
      <c r="D400" s="2"/>
      <c r="E400" s="148"/>
      <c r="F400" s="253">
        <v>1</v>
      </c>
      <c r="G400" s="253">
        <v>1.87</v>
      </c>
      <c r="H400" s="253"/>
      <c r="I400" s="249">
        <v>1.2</v>
      </c>
      <c r="J400" s="253">
        <f t="shared" si="25"/>
        <v>2.2400000000000002</v>
      </c>
      <c r="K400" s="137"/>
      <c r="L400" s="137"/>
      <c r="M400" s="137"/>
      <c r="N400" s="138"/>
      <c r="O400" s="167"/>
      <c r="P400" s="111"/>
      <c r="Q400" s="111"/>
      <c r="R400" s="111"/>
      <c r="S400" s="111"/>
      <c r="T400" s="111"/>
      <c r="U400" s="111"/>
      <c r="V400" s="111"/>
      <c r="W400" s="111"/>
      <c r="X400" s="111"/>
      <c r="Y400" s="111"/>
      <c r="Z400" s="111"/>
      <c r="AA400" s="111"/>
    </row>
    <row r="401" spans="1:27" s="118" customFormat="1" x14ac:dyDescent="0.2">
      <c r="A401" s="10"/>
      <c r="B401" s="10"/>
      <c r="C401" s="191"/>
      <c r="D401" s="2" t="s">
        <v>1034</v>
      </c>
      <c r="E401" s="148"/>
      <c r="F401" s="253"/>
      <c r="G401" s="253"/>
      <c r="H401" s="253"/>
      <c r="I401" s="249"/>
      <c r="J401" s="253"/>
      <c r="K401" s="137"/>
      <c r="L401" s="137"/>
      <c r="M401" s="137"/>
      <c r="N401" s="138"/>
      <c r="O401" s="167"/>
      <c r="P401" s="111"/>
      <c r="Q401" s="111"/>
      <c r="R401" s="111"/>
      <c r="S401" s="111"/>
      <c r="T401" s="111"/>
      <c r="U401" s="111"/>
      <c r="V401" s="111"/>
      <c r="W401" s="111"/>
      <c r="X401" s="111"/>
      <c r="Y401" s="111"/>
      <c r="Z401" s="111"/>
      <c r="AA401" s="111"/>
    </row>
    <row r="402" spans="1:27" s="118" customFormat="1" x14ac:dyDescent="0.2">
      <c r="A402" s="10"/>
      <c r="B402" s="10"/>
      <c r="C402" s="191"/>
      <c r="D402" s="2" t="s">
        <v>1061</v>
      </c>
      <c r="E402" s="148"/>
      <c r="F402" s="253">
        <v>-1</v>
      </c>
      <c r="G402" s="253">
        <v>1</v>
      </c>
      <c r="H402" s="253"/>
      <c r="I402" s="249">
        <v>2.1</v>
      </c>
      <c r="J402" s="253">
        <f t="shared" si="25"/>
        <v>-2.1</v>
      </c>
      <c r="K402" s="137"/>
      <c r="L402" s="137"/>
      <c r="M402" s="137"/>
      <c r="N402" s="138"/>
      <c r="O402" s="167"/>
      <c r="P402" s="111"/>
      <c r="Q402" s="111"/>
      <c r="R402" s="111"/>
      <c r="S402" s="111"/>
      <c r="T402" s="111"/>
      <c r="U402" s="111"/>
      <c r="V402" s="111"/>
      <c r="W402" s="111"/>
      <c r="X402" s="111"/>
      <c r="Y402" s="111"/>
      <c r="Z402" s="111"/>
      <c r="AA402" s="111"/>
    </row>
    <row r="403" spans="1:27" s="118" customFormat="1" x14ac:dyDescent="0.2">
      <c r="A403" s="10"/>
      <c r="B403" s="10"/>
      <c r="C403" s="191"/>
      <c r="D403" s="2"/>
      <c r="E403" s="148"/>
      <c r="F403" s="253">
        <v>-3</v>
      </c>
      <c r="G403" s="253">
        <v>0.8</v>
      </c>
      <c r="H403" s="253"/>
      <c r="I403" s="249">
        <v>2.1</v>
      </c>
      <c r="J403" s="253">
        <f t="shared" si="25"/>
        <v>-5.04</v>
      </c>
      <c r="K403" s="137"/>
      <c r="L403" s="137"/>
      <c r="M403" s="137"/>
      <c r="N403" s="138"/>
      <c r="O403" s="167"/>
      <c r="P403" s="111"/>
      <c r="Q403" s="111"/>
      <c r="R403" s="111"/>
      <c r="S403" s="111"/>
      <c r="T403" s="111"/>
      <c r="U403" s="111"/>
      <c r="V403" s="111"/>
      <c r="W403" s="111"/>
      <c r="X403" s="111"/>
      <c r="Y403" s="111"/>
      <c r="Z403" s="111"/>
      <c r="AA403" s="111"/>
    </row>
    <row r="404" spans="1:27" s="118" customFormat="1" x14ac:dyDescent="0.2">
      <c r="A404" s="10"/>
      <c r="B404" s="10"/>
      <c r="C404" s="191"/>
      <c r="D404" s="2" t="s">
        <v>1060</v>
      </c>
      <c r="E404" s="148"/>
      <c r="F404" s="253">
        <v>-6</v>
      </c>
      <c r="G404" s="253">
        <v>2</v>
      </c>
      <c r="H404" s="253"/>
      <c r="I404" s="249">
        <v>2</v>
      </c>
      <c r="J404" s="253">
        <f t="shared" si="25"/>
        <v>-24</v>
      </c>
      <c r="K404" s="137"/>
      <c r="L404" s="137"/>
      <c r="M404" s="137"/>
      <c r="N404" s="138"/>
      <c r="O404" s="167"/>
      <c r="P404" s="111"/>
      <c r="Q404" s="111"/>
      <c r="R404" s="111"/>
      <c r="S404" s="111"/>
      <c r="T404" s="111"/>
      <c r="U404" s="111"/>
      <c r="V404" s="111"/>
      <c r="W404" s="111"/>
      <c r="X404" s="111"/>
      <c r="Y404" s="111"/>
      <c r="Z404" s="111"/>
      <c r="AA404" s="111"/>
    </row>
    <row r="405" spans="1:27" s="161" customFormat="1" x14ac:dyDescent="0.2">
      <c r="A405" s="10"/>
      <c r="B405" s="10"/>
      <c r="C405" s="191"/>
      <c r="D405" s="108"/>
      <c r="E405" s="148"/>
      <c r="F405" s="253">
        <v>-2</v>
      </c>
      <c r="G405" s="253">
        <v>1</v>
      </c>
      <c r="H405" s="253"/>
      <c r="I405" s="249">
        <v>0.4</v>
      </c>
      <c r="J405" s="253">
        <f t="shared" si="25"/>
        <v>-0.8</v>
      </c>
      <c r="K405" s="151"/>
      <c r="L405" s="151"/>
      <c r="M405" s="151"/>
      <c r="N405" s="152"/>
      <c r="O405" s="167"/>
      <c r="P405" s="114"/>
      <c r="Q405" s="114"/>
      <c r="R405" s="114"/>
      <c r="S405" s="114"/>
      <c r="T405" s="114"/>
      <c r="U405" s="114"/>
      <c r="V405" s="114"/>
      <c r="W405" s="114"/>
      <c r="X405" s="114"/>
      <c r="Y405" s="114"/>
      <c r="Z405" s="114"/>
      <c r="AA405" s="114"/>
    </row>
    <row r="406" spans="1:27" s="313" customFormat="1" x14ac:dyDescent="0.2">
      <c r="A406" s="10"/>
      <c r="B406" s="10"/>
      <c r="C406" s="15"/>
      <c r="D406" s="314"/>
      <c r="E406" s="148"/>
      <c r="F406" s="253">
        <v>-3</v>
      </c>
      <c r="G406" s="253">
        <v>0.55000000000000004</v>
      </c>
      <c r="H406" s="253"/>
      <c r="I406" s="249">
        <v>0.55000000000000004</v>
      </c>
      <c r="J406" s="253">
        <f t="shared" si="25"/>
        <v>-0.91</v>
      </c>
      <c r="K406" s="136">
        <f>J408</f>
        <v>-2.52</v>
      </c>
      <c r="L406" s="136">
        <v>65.69</v>
      </c>
      <c r="M406" s="136">
        <f>ROUND(L406*(1+$Q$5),2)</f>
        <v>83.12</v>
      </c>
      <c r="N406" s="199">
        <f>TRUNC(K406*M406,2)</f>
        <v>-209.46</v>
      </c>
      <c r="O406" s="283"/>
      <c r="P406" s="312"/>
      <c r="Q406" s="312"/>
      <c r="R406" s="312"/>
      <c r="S406" s="312"/>
      <c r="T406" s="312"/>
      <c r="U406" s="312"/>
      <c r="V406" s="312"/>
      <c r="W406" s="312"/>
      <c r="X406" s="312"/>
      <c r="Y406" s="312"/>
      <c r="Z406" s="312"/>
      <c r="AA406" s="312"/>
    </row>
    <row r="407" spans="1:27" s="118" customFormat="1" x14ac:dyDescent="0.2">
      <c r="A407" s="10"/>
      <c r="B407" s="10"/>
      <c r="C407" s="10"/>
      <c r="D407" s="2" t="s">
        <v>1062</v>
      </c>
      <c r="E407" s="148"/>
      <c r="F407" s="253">
        <v>-9</v>
      </c>
      <c r="G407" s="253">
        <v>0.8</v>
      </c>
      <c r="H407" s="253"/>
      <c r="I407" s="249">
        <v>2.1</v>
      </c>
      <c r="J407" s="253">
        <f t="shared" si="25"/>
        <v>-15.12</v>
      </c>
      <c r="K407" s="137"/>
      <c r="L407" s="137"/>
      <c r="M407" s="137"/>
      <c r="N407" s="138"/>
      <c r="O407" s="167"/>
      <c r="P407" s="111"/>
      <c r="Q407" s="111"/>
      <c r="R407" s="111"/>
      <c r="S407" s="111"/>
      <c r="T407" s="111"/>
      <c r="U407" s="111"/>
      <c r="V407" s="111"/>
      <c r="W407" s="111"/>
      <c r="X407" s="111"/>
      <c r="Y407" s="111"/>
      <c r="Z407" s="111"/>
      <c r="AA407" s="111"/>
    </row>
    <row r="408" spans="1:27" s="118" customFormat="1" x14ac:dyDescent="0.2">
      <c r="A408" s="10"/>
      <c r="B408" s="10"/>
      <c r="C408" s="191"/>
      <c r="D408" s="108"/>
      <c r="E408" s="148"/>
      <c r="F408" s="253">
        <v>-2</v>
      </c>
      <c r="G408" s="253">
        <v>0.6</v>
      </c>
      <c r="H408" s="253"/>
      <c r="I408" s="249">
        <v>2.1</v>
      </c>
      <c r="J408" s="253">
        <f t="shared" si="25"/>
        <v>-2.52</v>
      </c>
      <c r="K408" s="137"/>
      <c r="L408" s="137"/>
      <c r="M408" s="137"/>
      <c r="N408" s="138"/>
      <c r="O408" s="167"/>
      <c r="P408" s="111"/>
      <c r="Q408" s="111"/>
      <c r="R408" s="111"/>
      <c r="S408" s="111"/>
      <c r="T408" s="111"/>
      <c r="U408" s="111"/>
      <c r="V408" s="111"/>
      <c r="W408" s="111"/>
      <c r="X408" s="111"/>
      <c r="Y408" s="111"/>
      <c r="Z408" s="111"/>
      <c r="AA408" s="111"/>
    </row>
    <row r="409" spans="1:27" s="118" customFormat="1" x14ac:dyDescent="0.2">
      <c r="A409" s="10"/>
      <c r="B409" s="10"/>
      <c r="C409" s="191"/>
      <c r="D409" s="108"/>
      <c r="E409" s="148"/>
      <c r="F409" s="253"/>
      <c r="G409" s="253"/>
      <c r="H409" s="253"/>
      <c r="I409" s="246" t="str">
        <f>"Total item "&amp;A368</f>
        <v>Total item 6.1.1</v>
      </c>
      <c r="J409" s="261">
        <f>SUM(J370:J408)</f>
        <v>306.50999999999982</v>
      </c>
      <c r="K409" s="137"/>
      <c r="L409" s="137"/>
      <c r="M409" s="137"/>
      <c r="N409" s="138"/>
      <c r="O409" s="167"/>
      <c r="P409" s="111"/>
      <c r="Q409" s="111"/>
      <c r="R409" s="111"/>
      <c r="S409" s="111"/>
      <c r="T409" s="111"/>
      <c r="U409" s="111"/>
      <c r="V409" s="111"/>
      <c r="W409" s="111"/>
      <c r="X409" s="111"/>
      <c r="Y409" s="111"/>
      <c r="Z409" s="111"/>
      <c r="AA409" s="111"/>
    </row>
    <row r="410" spans="1:27" s="147" customFormat="1" ht="41.4" customHeight="1" x14ac:dyDescent="0.2">
      <c r="A410" s="9" t="s">
        <v>609</v>
      </c>
      <c r="B410" s="9"/>
      <c r="C410" s="13"/>
      <c r="D410" s="113" t="str">
        <f>'ORÇAMENTO PINTURA'!D44</f>
        <v>PINTURA COM TINTA ALQUÍDICA DE FUNDO E ACABAMENTO (ESMALTE SINTÉTICO GRAFITE) APLICADA A ROLO OU PINCEL SOBRE PERFIL METÁLICO EXECUTADO EM FÁBRICA (POR DEMÃO). AF_01/2020</v>
      </c>
      <c r="E410" s="9"/>
      <c r="F410" s="261"/>
      <c r="G410" s="261"/>
      <c r="H410" s="261"/>
      <c r="I410" s="245"/>
      <c r="J410" s="261"/>
      <c r="K410" s="131">
        <f>J413</f>
        <v>0.91</v>
      </c>
      <c r="L410" s="131">
        <v>116.1</v>
      </c>
      <c r="M410" s="131">
        <f>ROUND(L410*(1+$Q$5),2)</f>
        <v>146.9</v>
      </c>
      <c r="N410" s="133">
        <f>TRUNC(K410*M410,2)</f>
        <v>133.66999999999999</v>
      </c>
      <c r="O410" s="286"/>
      <c r="P410" s="146"/>
      <c r="Q410" s="146"/>
      <c r="R410" s="146"/>
      <c r="S410" s="146"/>
      <c r="T410" s="146"/>
      <c r="U410" s="146"/>
      <c r="V410" s="146"/>
      <c r="W410" s="146"/>
      <c r="X410" s="146"/>
      <c r="Y410" s="146"/>
      <c r="Z410" s="146"/>
      <c r="AA410" s="146"/>
    </row>
    <row r="411" spans="1:27" s="118" customFormat="1" x14ac:dyDescent="0.2">
      <c r="A411" s="6"/>
      <c r="B411" s="6"/>
      <c r="C411" s="155"/>
      <c r="D411" s="2" t="s">
        <v>1063</v>
      </c>
      <c r="E411" s="148"/>
      <c r="F411" s="253">
        <v>1</v>
      </c>
      <c r="G411" s="253">
        <v>1</v>
      </c>
      <c r="H411" s="253"/>
      <c r="I411" s="249">
        <v>2.1</v>
      </c>
      <c r="J411" s="253">
        <f t="shared" ref="J411:J414" si="26">ROUND(PRODUCT(F411:I411),2)</f>
        <v>2.1</v>
      </c>
      <c r="K411" s="137"/>
      <c r="L411" s="137"/>
      <c r="M411" s="137"/>
      <c r="N411" s="138"/>
      <c r="O411" s="167"/>
      <c r="P411" s="111"/>
      <c r="Q411" s="111"/>
      <c r="R411" s="111"/>
      <c r="S411" s="111"/>
      <c r="T411" s="111"/>
      <c r="U411" s="111"/>
      <c r="V411" s="111"/>
      <c r="W411" s="111"/>
      <c r="X411" s="111"/>
      <c r="Y411" s="111"/>
      <c r="Z411" s="111"/>
      <c r="AA411" s="111"/>
    </row>
    <row r="412" spans="1:27" s="118" customFormat="1" x14ac:dyDescent="0.2">
      <c r="A412" s="6"/>
      <c r="B412" s="6"/>
      <c r="C412" s="155"/>
      <c r="D412" s="2" t="s">
        <v>1064</v>
      </c>
      <c r="E412" s="148"/>
      <c r="F412" s="253">
        <v>6</v>
      </c>
      <c r="G412" s="253">
        <v>2</v>
      </c>
      <c r="H412" s="253"/>
      <c r="I412" s="249">
        <v>1</v>
      </c>
      <c r="J412" s="253">
        <f t="shared" si="26"/>
        <v>12</v>
      </c>
      <c r="K412" s="137"/>
      <c r="L412" s="137"/>
      <c r="M412" s="137"/>
      <c r="N412" s="138"/>
      <c r="O412" s="167"/>
      <c r="P412" s="111"/>
      <c r="Q412" s="111"/>
      <c r="R412" s="111"/>
      <c r="S412" s="111"/>
      <c r="T412" s="111"/>
      <c r="U412" s="111"/>
      <c r="V412" s="111"/>
      <c r="W412" s="111"/>
      <c r="X412" s="111"/>
      <c r="Y412" s="111"/>
      <c r="Z412" s="111"/>
      <c r="AA412" s="111"/>
    </row>
    <row r="413" spans="1:27" s="118" customFormat="1" x14ac:dyDescent="0.2">
      <c r="A413" s="6"/>
      <c r="B413" s="6"/>
      <c r="C413" s="155"/>
      <c r="D413" s="108"/>
      <c r="E413" s="148"/>
      <c r="F413" s="253">
        <v>3</v>
      </c>
      <c r="G413" s="253">
        <v>0.55000000000000004</v>
      </c>
      <c r="H413" s="253"/>
      <c r="I413" s="249">
        <v>0.55000000000000004</v>
      </c>
      <c r="J413" s="253">
        <f t="shared" si="26"/>
        <v>0.91</v>
      </c>
      <c r="K413" s="137"/>
      <c r="L413" s="137"/>
      <c r="M413" s="137"/>
      <c r="N413" s="138"/>
      <c r="O413" s="167"/>
      <c r="P413" s="111"/>
      <c r="Q413" s="111"/>
      <c r="R413" s="111"/>
      <c r="S413" s="111"/>
      <c r="T413" s="111"/>
      <c r="U413" s="111"/>
      <c r="V413" s="111"/>
      <c r="W413" s="111"/>
      <c r="X413" s="111"/>
      <c r="Y413" s="111"/>
      <c r="Z413" s="111"/>
      <c r="AA413" s="111"/>
    </row>
    <row r="414" spans="1:27" s="154" customFormat="1" x14ac:dyDescent="0.2">
      <c r="A414" s="6"/>
      <c r="B414" s="6"/>
      <c r="C414" s="7"/>
      <c r="D414" s="2" t="s">
        <v>1065</v>
      </c>
      <c r="E414" s="148"/>
      <c r="F414" s="253">
        <v>2</v>
      </c>
      <c r="G414" s="253">
        <v>0.8</v>
      </c>
      <c r="H414" s="253"/>
      <c r="I414" s="249">
        <v>2.1</v>
      </c>
      <c r="J414" s="253">
        <f t="shared" si="26"/>
        <v>3.36</v>
      </c>
      <c r="K414" s="151"/>
      <c r="L414" s="151"/>
      <c r="M414" s="151"/>
      <c r="N414" s="152"/>
      <c r="O414" s="28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  <c r="Z414" s="153"/>
      <c r="AA414" s="153"/>
    </row>
    <row r="415" spans="1:27" s="147" customFormat="1" x14ac:dyDescent="0.2">
      <c r="A415" s="10"/>
      <c r="B415" s="10"/>
      <c r="C415" s="400"/>
      <c r="D415" s="399"/>
      <c r="E415" s="10"/>
      <c r="F415" s="263"/>
      <c r="G415" s="263"/>
      <c r="H415" s="263"/>
      <c r="I415" s="246" t="str">
        <f>"Total item "&amp;A410</f>
        <v>Total item 6.1.2</v>
      </c>
      <c r="J415" s="261">
        <f>SUM(J411:J414)</f>
        <v>18.37</v>
      </c>
      <c r="K415" s="131">
        <f>J418</f>
        <v>60.9</v>
      </c>
      <c r="L415" s="131">
        <v>12.45</v>
      </c>
      <c r="M415" s="131">
        <f>ROUND(L415*(1+$Q$5),2)</f>
        <v>15.75</v>
      </c>
      <c r="N415" s="133">
        <f>TRUNC(K415*M415,2)</f>
        <v>959.17</v>
      </c>
      <c r="O415" s="286"/>
      <c r="P415" s="146"/>
      <c r="Q415" s="146"/>
      <c r="R415" s="146"/>
      <c r="S415" s="146"/>
      <c r="T415" s="146"/>
      <c r="U415" s="146"/>
      <c r="V415" s="146"/>
      <c r="W415" s="146"/>
      <c r="X415" s="146"/>
      <c r="Y415" s="146"/>
      <c r="Z415" s="146"/>
      <c r="AA415" s="146"/>
    </row>
    <row r="416" spans="1:27" s="118" customFormat="1" ht="24" customHeight="1" x14ac:dyDescent="0.2">
      <c r="A416" s="9" t="s">
        <v>758</v>
      </c>
      <c r="B416" s="9"/>
      <c r="C416" s="360"/>
      <c r="D416" s="371" t="str">
        <f>'ORÇAMENTO PINTURA'!D45</f>
        <v>APLICAÇÃO MANUAL DE PINTURA COM TINTA LÁTEX ACRÍLICA EM PAREDES, DUAS DEMÃOS. AF_06/2014</v>
      </c>
      <c r="E416" s="9"/>
      <c r="F416" s="261"/>
      <c r="G416" s="261"/>
      <c r="H416" s="261"/>
      <c r="I416" s="245"/>
      <c r="J416" s="261"/>
      <c r="K416" s="137"/>
      <c r="L416" s="137"/>
      <c r="M416" s="137"/>
      <c r="N416" s="138"/>
      <c r="O416" s="167"/>
      <c r="P416" s="111"/>
      <c r="Q416" s="111"/>
      <c r="R416" s="111"/>
      <c r="S416" s="111"/>
      <c r="T416" s="111"/>
      <c r="U416" s="111"/>
      <c r="V416" s="111"/>
      <c r="W416" s="111"/>
      <c r="X416" s="111"/>
      <c r="Y416" s="111"/>
      <c r="Z416" s="111"/>
      <c r="AA416" s="111"/>
    </row>
    <row r="417" spans="1:27" s="118" customFormat="1" x14ac:dyDescent="0.2">
      <c r="A417" s="10"/>
      <c r="B417" s="10"/>
      <c r="C417" s="191"/>
      <c r="D417" s="2" t="s">
        <v>979</v>
      </c>
      <c r="E417" s="148"/>
      <c r="F417" s="253"/>
      <c r="G417" s="253"/>
      <c r="H417" s="253"/>
      <c r="I417" s="249"/>
      <c r="J417" s="253"/>
      <c r="K417" s="137"/>
      <c r="L417" s="137"/>
      <c r="M417" s="137"/>
      <c r="N417" s="138"/>
      <c r="O417" s="167"/>
      <c r="P417" s="111"/>
      <c r="Q417" s="111"/>
      <c r="R417" s="111"/>
      <c r="S417" s="111"/>
      <c r="T417" s="111"/>
      <c r="U417" s="111"/>
      <c r="V417" s="111"/>
      <c r="W417" s="111"/>
      <c r="X417" s="111"/>
      <c r="Y417" s="111"/>
      <c r="Z417" s="111"/>
      <c r="AA417" s="111"/>
    </row>
    <row r="418" spans="1:27" s="118" customFormat="1" x14ac:dyDescent="0.2">
      <c r="A418" s="10"/>
      <c r="B418" s="10"/>
      <c r="C418" s="191"/>
      <c r="D418" s="2" t="s">
        <v>1052</v>
      </c>
      <c r="E418" s="148"/>
      <c r="F418" s="253">
        <v>2</v>
      </c>
      <c r="G418" s="253">
        <v>10.15</v>
      </c>
      <c r="H418" s="253"/>
      <c r="I418" s="249">
        <v>3</v>
      </c>
      <c r="J418" s="253">
        <f t="shared" ref="J418:J422" si="27">ROUND(PRODUCT(F418:I418),2)</f>
        <v>60.9</v>
      </c>
      <c r="K418" s="137"/>
      <c r="L418" s="137"/>
      <c r="M418" s="137"/>
      <c r="N418" s="138"/>
      <c r="O418" s="167"/>
      <c r="P418" s="111"/>
      <c r="Q418" s="111"/>
      <c r="R418" s="111"/>
      <c r="S418" s="111"/>
      <c r="T418" s="111"/>
      <c r="U418" s="111"/>
      <c r="V418" s="111"/>
      <c r="W418" s="111"/>
      <c r="X418" s="111"/>
      <c r="Y418" s="111"/>
      <c r="Z418" s="111"/>
      <c r="AA418" s="111"/>
    </row>
    <row r="419" spans="1:27" s="161" customFormat="1" x14ac:dyDescent="0.2">
      <c r="A419" s="10"/>
      <c r="B419" s="10"/>
      <c r="C419" s="191"/>
      <c r="D419" s="2" t="s">
        <v>1053</v>
      </c>
      <c r="E419" s="148"/>
      <c r="F419" s="253">
        <v>2</v>
      </c>
      <c r="G419" s="118">
        <v>19.66</v>
      </c>
      <c r="H419" s="253"/>
      <c r="I419" s="249">
        <v>3</v>
      </c>
      <c r="J419" s="253">
        <f t="shared" si="27"/>
        <v>117.96</v>
      </c>
      <c r="K419" s="151"/>
      <c r="L419" s="151"/>
      <c r="M419" s="151"/>
      <c r="N419" s="152"/>
      <c r="O419" s="167"/>
      <c r="P419" s="114"/>
      <c r="Q419" s="114"/>
      <c r="R419" s="114"/>
      <c r="S419" s="114"/>
      <c r="T419" s="114"/>
      <c r="U419" s="114"/>
      <c r="V419" s="114"/>
      <c r="W419" s="114"/>
      <c r="X419" s="114"/>
      <c r="Y419" s="114"/>
      <c r="Z419" s="114"/>
      <c r="AA419" s="114"/>
    </row>
    <row r="420" spans="1:27" s="161" customFormat="1" x14ac:dyDescent="0.2">
      <c r="A420" s="10"/>
      <c r="B420" s="10"/>
      <c r="C420" s="191"/>
      <c r="D420" s="2" t="s">
        <v>1069</v>
      </c>
      <c r="E420" s="148"/>
      <c r="F420" s="253">
        <v>2</v>
      </c>
      <c r="G420" s="118">
        <v>10</v>
      </c>
      <c r="H420" s="253"/>
      <c r="I420" s="249">
        <v>2.7</v>
      </c>
      <c r="J420" s="253">
        <f t="shared" si="27"/>
        <v>54</v>
      </c>
      <c r="K420" s="151"/>
      <c r="L420" s="151"/>
      <c r="M420" s="151"/>
      <c r="N420" s="152"/>
      <c r="O420" s="167"/>
      <c r="P420" s="114"/>
      <c r="Q420" s="114"/>
      <c r="R420" s="114"/>
      <c r="S420" s="114"/>
      <c r="T420" s="114"/>
      <c r="U420" s="114"/>
      <c r="V420" s="114"/>
      <c r="W420" s="114"/>
      <c r="X420" s="114"/>
      <c r="Y420" s="114"/>
      <c r="Z420" s="114"/>
      <c r="AA420" s="114"/>
    </row>
    <row r="421" spans="1:27" s="145" customFormat="1" x14ac:dyDescent="0.2">
      <c r="A421" s="10"/>
      <c r="B421" s="10"/>
      <c r="C421" s="15"/>
      <c r="D421" s="2" t="s">
        <v>1034</v>
      </c>
      <c r="E421" s="148"/>
      <c r="F421" s="253">
        <v>-1</v>
      </c>
      <c r="G421" s="253">
        <v>1</v>
      </c>
      <c r="H421" s="253"/>
      <c r="I421" s="249">
        <v>2.1</v>
      </c>
      <c r="J421" s="253">
        <f t="shared" si="27"/>
        <v>-2.1</v>
      </c>
      <c r="K421" s="142"/>
      <c r="L421" s="142"/>
      <c r="M421" s="142"/>
      <c r="N421" s="143">
        <f>SUM(N423:N426)</f>
        <v>1902.62</v>
      </c>
      <c r="O421" s="285"/>
      <c r="P421" s="144"/>
      <c r="Q421" s="144"/>
      <c r="R421" s="144"/>
      <c r="S421" s="144"/>
      <c r="T421" s="144"/>
      <c r="U421" s="144"/>
      <c r="V421" s="144"/>
      <c r="W421" s="144"/>
      <c r="X421" s="144"/>
      <c r="Y421" s="144"/>
      <c r="Z421" s="144"/>
      <c r="AA421" s="144"/>
    </row>
    <row r="422" spans="1:27" s="118" customFormat="1" x14ac:dyDescent="0.2">
      <c r="A422" s="10"/>
      <c r="B422" s="10"/>
      <c r="C422" s="191"/>
      <c r="D422" s="314"/>
      <c r="E422" s="148"/>
      <c r="F422" s="253">
        <v>-2</v>
      </c>
      <c r="G422" s="253">
        <v>1</v>
      </c>
      <c r="H422" s="253"/>
      <c r="I422" s="249">
        <v>0.4</v>
      </c>
      <c r="J422" s="253">
        <f t="shared" si="27"/>
        <v>-0.8</v>
      </c>
      <c r="K422" s="137"/>
      <c r="L422" s="137"/>
      <c r="M422" s="137"/>
      <c r="N422" s="138"/>
      <c r="O422" s="167"/>
      <c r="P422" s="111"/>
      <c r="Q422" s="111"/>
      <c r="R422" s="111"/>
      <c r="S422" s="111"/>
      <c r="T422" s="111"/>
      <c r="U422" s="111"/>
      <c r="V422" s="111"/>
      <c r="W422" s="111"/>
      <c r="X422" s="111"/>
      <c r="Y422" s="111"/>
      <c r="Z422" s="111"/>
      <c r="AA422" s="111"/>
    </row>
    <row r="423" spans="1:27" s="147" customFormat="1" ht="30.6" x14ac:dyDescent="0.2">
      <c r="A423" s="10"/>
      <c r="B423" s="10"/>
      <c r="C423" s="15"/>
      <c r="D423" s="314"/>
      <c r="E423" s="148"/>
      <c r="F423" s="253"/>
      <c r="G423" s="253"/>
      <c r="H423" s="253"/>
      <c r="I423" s="366" t="s">
        <v>1054</v>
      </c>
      <c r="J423" s="253"/>
      <c r="K423" s="131">
        <f>J425</f>
        <v>5.23</v>
      </c>
      <c r="L423" s="131">
        <v>287.51</v>
      </c>
      <c r="M423" s="131">
        <f>ROUND(L423*(1+$Q$5),2)</f>
        <v>363.79</v>
      </c>
      <c r="N423" s="133">
        <f>TRUNC(K423*M423,2)</f>
        <v>1902.62</v>
      </c>
      <c r="O423" s="286"/>
      <c r="P423" s="146"/>
      <c r="Q423" s="146"/>
      <c r="R423" s="146"/>
      <c r="S423" s="146"/>
      <c r="T423" s="146"/>
      <c r="U423" s="146"/>
      <c r="V423" s="146"/>
      <c r="W423" s="146"/>
      <c r="X423" s="146"/>
      <c r="Y423" s="146"/>
      <c r="Z423" s="146"/>
      <c r="AA423" s="146"/>
    </row>
    <row r="424" spans="1:27" s="118" customFormat="1" x14ac:dyDescent="0.2">
      <c r="A424" s="10"/>
      <c r="B424" s="10"/>
      <c r="C424" s="191"/>
      <c r="D424" s="2" t="s">
        <v>995</v>
      </c>
      <c r="E424" s="148"/>
      <c r="F424" s="253">
        <v>1</v>
      </c>
      <c r="G424" s="253">
        <v>6.84</v>
      </c>
      <c r="H424" s="253"/>
      <c r="I424" s="249">
        <v>1.2</v>
      </c>
      <c r="J424" s="253">
        <f t="shared" ref="J424:J449" si="28">ROUND(PRODUCT(F424:I424),2)</f>
        <v>8.2100000000000009</v>
      </c>
      <c r="K424" s="137"/>
      <c r="L424" s="137"/>
      <c r="M424" s="137"/>
      <c r="N424" s="138"/>
      <c r="O424" s="167"/>
      <c r="P424" s="111"/>
      <c r="Q424" s="111"/>
      <c r="R424" s="111"/>
      <c r="S424" s="111"/>
      <c r="T424" s="111"/>
      <c r="U424" s="111"/>
      <c r="V424" s="111"/>
      <c r="W424" s="111"/>
      <c r="X424" s="111"/>
      <c r="Y424" s="111"/>
      <c r="Z424" s="111"/>
      <c r="AA424" s="111"/>
    </row>
    <row r="425" spans="1:27" s="118" customFormat="1" x14ac:dyDescent="0.2">
      <c r="A425" s="10"/>
      <c r="B425" s="10"/>
      <c r="C425" s="191"/>
      <c r="D425" s="2"/>
      <c r="E425" s="148"/>
      <c r="F425" s="253">
        <v>1</v>
      </c>
      <c r="G425" s="253">
        <v>4.3600000000000003</v>
      </c>
      <c r="H425" s="253"/>
      <c r="I425" s="249">
        <v>1.2</v>
      </c>
      <c r="J425" s="253">
        <f t="shared" si="28"/>
        <v>5.23</v>
      </c>
      <c r="K425" s="137"/>
      <c r="L425" s="137"/>
      <c r="M425" s="137"/>
      <c r="N425" s="138"/>
      <c r="O425" s="167"/>
      <c r="P425" s="111"/>
      <c r="Q425" s="111"/>
      <c r="R425" s="111"/>
      <c r="S425" s="111"/>
      <c r="T425" s="111"/>
      <c r="U425" s="111"/>
      <c r="V425" s="111"/>
      <c r="W425" s="111"/>
      <c r="X425" s="111"/>
      <c r="Y425" s="111"/>
      <c r="Z425" s="111"/>
      <c r="AA425" s="111"/>
    </row>
    <row r="426" spans="1:27" s="161" customFormat="1" x14ac:dyDescent="0.2">
      <c r="A426" s="10"/>
      <c r="B426" s="10"/>
      <c r="C426" s="191"/>
      <c r="D426" s="108"/>
      <c r="E426" s="148"/>
      <c r="F426" s="253">
        <v>2</v>
      </c>
      <c r="G426" s="253">
        <v>3.5</v>
      </c>
      <c r="H426" s="253"/>
      <c r="I426" s="249">
        <v>1.2</v>
      </c>
      <c r="J426" s="253">
        <f t="shared" si="28"/>
        <v>8.4</v>
      </c>
      <c r="K426" s="151"/>
      <c r="L426" s="151"/>
      <c r="M426" s="151"/>
      <c r="N426" s="152"/>
      <c r="O426" s="167"/>
      <c r="P426" s="114"/>
      <c r="Q426" s="114"/>
      <c r="R426" s="114"/>
      <c r="S426" s="114"/>
      <c r="T426" s="114"/>
      <c r="U426" s="114"/>
      <c r="V426" s="114"/>
      <c r="W426" s="114"/>
      <c r="X426" s="114"/>
      <c r="Y426" s="114"/>
      <c r="Z426" s="114"/>
      <c r="AA426" s="114"/>
    </row>
    <row r="427" spans="1:27" s="145" customFormat="1" x14ac:dyDescent="0.2">
      <c r="A427" s="10"/>
      <c r="B427" s="10"/>
      <c r="C427" s="15"/>
      <c r="D427" s="108"/>
      <c r="E427" s="148"/>
      <c r="F427" s="253">
        <v>1</v>
      </c>
      <c r="G427" s="253">
        <v>2.5</v>
      </c>
      <c r="H427" s="253"/>
      <c r="I427" s="249">
        <v>1.2</v>
      </c>
      <c r="J427" s="253">
        <f t="shared" si="28"/>
        <v>3</v>
      </c>
      <c r="K427" s="142"/>
      <c r="L427" s="142"/>
      <c r="M427" s="142"/>
      <c r="N427" s="143">
        <f>SUM(N429:N433)</f>
        <v>391.21</v>
      </c>
      <c r="O427" s="285"/>
      <c r="P427" s="144"/>
      <c r="Q427" s="144"/>
      <c r="R427" s="144"/>
      <c r="S427" s="144"/>
      <c r="T427" s="144"/>
      <c r="U427" s="144"/>
      <c r="V427" s="144"/>
      <c r="W427" s="144"/>
      <c r="X427" s="144"/>
      <c r="Y427" s="144"/>
      <c r="Z427" s="144"/>
      <c r="AA427" s="144"/>
    </row>
    <row r="428" spans="1:27" s="118" customFormat="1" x14ac:dyDescent="0.2">
      <c r="A428" s="10"/>
      <c r="B428" s="10"/>
      <c r="C428" s="191"/>
      <c r="D428" s="314"/>
      <c r="E428" s="148"/>
      <c r="F428" s="253">
        <v>1</v>
      </c>
      <c r="G428" s="253">
        <v>1.6</v>
      </c>
      <c r="H428" s="253"/>
      <c r="I428" s="249">
        <v>1.2</v>
      </c>
      <c r="J428" s="253">
        <f t="shared" si="28"/>
        <v>1.92</v>
      </c>
      <c r="K428" s="137"/>
      <c r="L428" s="137"/>
      <c r="M428" s="137"/>
      <c r="N428" s="138"/>
      <c r="O428" s="167"/>
      <c r="P428" s="111"/>
      <c r="Q428" s="111"/>
      <c r="R428" s="111"/>
      <c r="S428" s="111"/>
      <c r="T428" s="111"/>
      <c r="U428" s="111"/>
      <c r="V428" s="111"/>
      <c r="W428" s="111"/>
      <c r="X428" s="111"/>
      <c r="Y428" s="111"/>
      <c r="Z428" s="111"/>
      <c r="AA428" s="111"/>
    </row>
    <row r="429" spans="1:27" s="147" customFormat="1" x14ac:dyDescent="0.2">
      <c r="A429" s="10"/>
      <c r="B429" s="15"/>
      <c r="C429" s="15"/>
      <c r="D429" s="2"/>
      <c r="E429" s="148"/>
      <c r="F429" s="253">
        <v>1</v>
      </c>
      <c r="G429" s="253">
        <v>1.83</v>
      </c>
      <c r="H429" s="253"/>
      <c r="I429" s="249">
        <v>1.2</v>
      </c>
      <c r="J429" s="253">
        <f t="shared" si="28"/>
        <v>2.2000000000000002</v>
      </c>
      <c r="K429" s="131">
        <f>J432</f>
        <v>23.04</v>
      </c>
      <c r="L429" s="131">
        <v>13.42</v>
      </c>
      <c r="M429" s="131">
        <f>ROUND(L429*(1+$Q$5),2)</f>
        <v>16.98</v>
      </c>
      <c r="N429" s="133">
        <f>TRUNC(K429*M429,2)</f>
        <v>391.21</v>
      </c>
      <c r="O429" s="286"/>
      <c r="P429" s="146"/>
      <c r="Q429" s="146"/>
      <c r="R429" s="146"/>
      <c r="S429" s="146"/>
      <c r="T429" s="146"/>
      <c r="U429" s="146"/>
      <c r="V429" s="146"/>
      <c r="W429" s="146"/>
      <c r="X429" s="146"/>
      <c r="Y429" s="146"/>
      <c r="Z429" s="146"/>
      <c r="AA429" s="146"/>
    </row>
    <row r="430" spans="1:27" s="118" customFormat="1" x14ac:dyDescent="0.2">
      <c r="A430" s="10"/>
      <c r="B430" s="10"/>
      <c r="C430" s="191"/>
      <c r="D430" s="2"/>
      <c r="E430" s="148"/>
      <c r="F430" s="253">
        <v>1</v>
      </c>
      <c r="G430" s="253">
        <v>3</v>
      </c>
      <c r="H430" s="253"/>
      <c r="I430" s="249">
        <v>1.2</v>
      </c>
      <c r="J430" s="253">
        <f t="shared" si="28"/>
        <v>3.6</v>
      </c>
      <c r="K430" s="137"/>
      <c r="L430" s="137"/>
      <c r="M430" s="137"/>
      <c r="N430" s="138"/>
      <c r="O430" s="167"/>
      <c r="P430" s="111"/>
      <c r="Q430" s="111"/>
      <c r="R430" s="111"/>
      <c r="S430" s="111"/>
      <c r="T430" s="111"/>
      <c r="U430" s="111"/>
      <c r="V430" s="111"/>
      <c r="W430" s="111"/>
      <c r="X430" s="111"/>
      <c r="Y430" s="111"/>
      <c r="Z430" s="111"/>
      <c r="AA430" s="111"/>
    </row>
    <row r="431" spans="1:27" s="118" customFormat="1" x14ac:dyDescent="0.2">
      <c r="A431" s="10"/>
      <c r="B431" s="10"/>
      <c r="C431" s="191"/>
      <c r="D431" s="2" t="s">
        <v>1055</v>
      </c>
      <c r="E431" s="148"/>
      <c r="F431" s="253">
        <v>6</v>
      </c>
      <c r="G431" s="253">
        <v>3.1</v>
      </c>
      <c r="H431" s="253"/>
      <c r="I431" s="249">
        <v>1.2</v>
      </c>
      <c r="J431" s="253">
        <f t="shared" si="28"/>
        <v>22.32</v>
      </c>
      <c r="K431" s="137"/>
      <c r="L431" s="137"/>
      <c r="M431" s="137"/>
      <c r="N431" s="138"/>
      <c r="O431" s="167"/>
      <c r="P431" s="111"/>
      <c r="Q431" s="111"/>
      <c r="R431" s="111"/>
      <c r="S431" s="111"/>
      <c r="T431" s="111"/>
      <c r="U431" s="111"/>
      <c r="V431" s="111"/>
      <c r="W431" s="111"/>
      <c r="X431" s="111"/>
      <c r="Y431" s="111"/>
      <c r="Z431" s="111"/>
      <c r="AA431" s="111"/>
    </row>
    <row r="432" spans="1:27" s="118" customFormat="1" x14ac:dyDescent="0.2">
      <c r="A432" s="10"/>
      <c r="B432" s="10"/>
      <c r="C432" s="191"/>
      <c r="D432" s="108"/>
      <c r="E432" s="148"/>
      <c r="F432" s="253">
        <v>6</v>
      </c>
      <c r="G432" s="253">
        <v>3.2</v>
      </c>
      <c r="H432" s="253"/>
      <c r="I432" s="249">
        <v>1.2</v>
      </c>
      <c r="J432" s="253">
        <f t="shared" si="28"/>
        <v>23.04</v>
      </c>
      <c r="K432" s="137"/>
      <c r="L432" s="137"/>
      <c r="M432" s="137"/>
      <c r="N432" s="138"/>
      <c r="O432" s="167"/>
      <c r="P432" s="111"/>
      <c r="Q432" s="111"/>
      <c r="R432" s="111"/>
      <c r="S432" s="111"/>
      <c r="T432" s="111"/>
      <c r="U432" s="111"/>
      <c r="V432" s="111"/>
      <c r="W432" s="111"/>
      <c r="X432" s="111"/>
      <c r="Y432" s="111"/>
      <c r="Z432" s="111"/>
      <c r="AA432" s="111"/>
    </row>
    <row r="433" spans="1:27" s="118" customFormat="1" x14ac:dyDescent="0.2">
      <c r="A433" s="10"/>
      <c r="B433" s="10"/>
      <c r="C433" s="191"/>
      <c r="D433" s="2" t="s">
        <v>1056</v>
      </c>
      <c r="E433" s="148"/>
      <c r="F433" s="253">
        <v>2</v>
      </c>
      <c r="G433" s="253">
        <v>2.8</v>
      </c>
      <c r="H433" s="253"/>
      <c r="I433" s="249">
        <v>1.2</v>
      </c>
      <c r="J433" s="253">
        <f t="shared" si="28"/>
        <v>6.72</v>
      </c>
      <c r="K433" s="137"/>
      <c r="L433" s="137"/>
      <c r="M433" s="137"/>
      <c r="N433" s="138"/>
      <c r="O433" s="167"/>
      <c r="P433" s="111"/>
      <c r="Q433" s="111"/>
      <c r="R433" s="111"/>
      <c r="S433" s="111"/>
      <c r="T433" s="111"/>
      <c r="U433" s="111"/>
      <c r="V433" s="111"/>
      <c r="W433" s="111"/>
      <c r="X433" s="111"/>
      <c r="Y433" s="111"/>
      <c r="Z433" s="111"/>
      <c r="AA433" s="111"/>
    </row>
    <row r="434" spans="1:27" s="145" customFormat="1" x14ac:dyDescent="0.2">
      <c r="A434" s="10"/>
      <c r="B434" s="192"/>
      <c r="C434" s="193"/>
      <c r="D434" s="314"/>
      <c r="E434" s="148"/>
      <c r="F434" s="253">
        <v>2</v>
      </c>
      <c r="G434" s="253">
        <v>2.25</v>
      </c>
      <c r="H434" s="253"/>
      <c r="I434" s="249">
        <v>1.2</v>
      </c>
      <c r="J434" s="253">
        <f t="shared" si="28"/>
        <v>5.4</v>
      </c>
      <c r="K434" s="142"/>
      <c r="L434" s="142"/>
      <c r="M434" s="142"/>
      <c r="N434" s="143">
        <f>SUM(N436:N446)</f>
        <v>208.27</v>
      </c>
      <c r="O434" s="285"/>
      <c r="P434" s="144"/>
      <c r="Q434" s="144"/>
      <c r="R434" s="144"/>
      <c r="S434" s="144"/>
      <c r="T434" s="144"/>
      <c r="U434" s="144"/>
      <c r="V434" s="144"/>
      <c r="W434" s="144"/>
      <c r="X434" s="144"/>
      <c r="Y434" s="144"/>
      <c r="Z434" s="144"/>
      <c r="AA434" s="144"/>
    </row>
    <row r="435" spans="1:27" s="118" customFormat="1" x14ac:dyDescent="0.2">
      <c r="A435" s="10"/>
      <c r="B435" s="10"/>
      <c r="C435" s="157"/>
      <c r="D435" s="2" t="s">
        <v>967</v>
      </c>
      <c r="E435" s="176"/>
      <c r="F435" s="253">
        <v>2</v>
      </c>
      <c r="G435" s="253">
        <v>4.1500000000000004</v>
      </c>
      <c r="H435" s="253"/>
      <c r="I435" s="249">
        <v>1.2</v>
      </c>
      <c r="J435" s="253">
        <f t="shared" si="28"/>
        <v>9.9600000000000009</v>
      </c>
      <c r="K435" s="137"/>
      <c r="L435" s="137"/>
      <c r="M435" s="137"/>
      <c r="N435" s="138"/>
      <c r="O435" s="167"/>
      <c r="P435" s="111"/>
      <c r="Q435" s="111"/>
      <c r="R435" s="111"/>
      <c r="S435" s="111"/>
      <c r="T435" s="111"/>
      <c r="U435" s="111"/>
      <c r="V435" s="111"/>
      <c r="W435" s="111"/>
      <c r="X435" s="111"/>
      <c r="Y435" s="111"/>
      <c r="Z435" s="111"/>
      <c r="AA435" s="111"/>
    </row>
    <row r="436" spans="1:27" s="147" customFormat="1" x14ac:dyDescent="0.2">
      <c r="A436" s="10"/>
      <c r="B436" s="184"/>
      <c r="C436" s="344"/>
      <c r="D436" s="2"/>
      <c r="E436" s="148"/>
      <c r="F436" s="253">
        <v>2</v>
      </c>
      <c r="G436" s="253">
        <v>2.8</v>
      </c>
      <c r="H436" s="253"/>
      <c r="I436" s="249">
        <v>1.2</v>
      </c>
      <c r="J436" s="253">
        <f t="shared" si="28"/>
        <v>6.72</v>
      </c>
      <c r="K436" s="131">
        <f>J441</f>
        <v>2.2000000000000002</v>
      </c>
      <c r="L436" s="131">
        <v>59.97</v>
      </c>
      <c r="M436" s="131">
        <f>ROUND(L436*(1+$Q$5),2)</f>
        <v>75.88</v>
      </c>
      <c r="N436" s="133">
        <f>TRUNC(K436*M436,2)</f>
        <v>166.93</v>
      </c>
      <c r="O436" s="286"/>
      <c r="P436" s="146"/>
      <c r="Q436" s="146"/>
      <c r="R436" s="146"/>
      <c r="S436" s="146"/>
      <c r="T436" s="146"/>
      <c r="U436" s="146"/>
      <c r="V436" s="146"/>
      <c r="W436" s="146"/>
      <c r="X436" s="146"/>
      <c r="Y436" s="146"/>
      <c r="Z436" s="146"/>
      <c r="AA436" s="146"/>
    </row>
    <row r="437" spans="1:27" s="118" customFormat="1" x14ac:dyDescent="0.2">
      <c r="A437" s="10"/>
      <c r="B437" s="10"/>
      <c r="C437" s="191"/>
      <c r="D437" s="149" t="s">
        <v>1016</v>
      </c>
      <c r="E437" s="148"/>
      <c r="F437" s="253">
        <v>2</v>
      </c>
      <c r="G437" s="253">
        <v>2.72</v>
      </c>
      <c r="H437" s="253"/>
      <c r="I437" s="249">
        <v>1.2</v>
      </c>
      <c r="J437" s="253">
        <f t="shared" si="28"/>
        <v>6.53</v>
      </c>
      <c r="K437" s="137"/>
      <c r="L437" s="137"/>
      <c r="M437" s="137"/>
      <c r="N437" s="138"/>
      <c r="O437" s="167"/>
      <c r="P437" s="111"/>
      <c r="Q437" s="111"/>
      <c r="R437" s="111"/>
      <c r="S437" s="111"/>
      <c r="T437" s="111"/>
      <c r="U437" s="111"/>
      <c r="V437" s="111"/>
      <c r="W437" s="111"/>
      <c r="X437" s="111"/>
      <c r="Y437" s="111"/>
      <c r="Z437" s="111"/>
      <c r="AA437" s="111"/>
    </row>
    <row r="438" spans="1:27" s="118" customFormat="1" x14ac:dyDescent="0.2">
      <c r="A438" s="10"/>
      <c r="B438" s="10"/>
      <c r="C438" s="191"/>
      <c r="D438" s="149"/>
      <c r="E438" s="148"/>
      <c r="F438" s="253">
        <v>2</v>
      </c>
      <c r="G438" s="253">
        <v>2</v>
      </c>
      <c r="H438" s="253"/>
      <c r="I438" s="249">
        <v>1.2</v>
      </c>
      <c r="J438" s="253">
        <f t="shared" si="28"/>
        <v>4.8</v>
      </c>
      <c r="K438" s="137"/>
      <c r="L438" s="137"/>
      <c r="M438" s="137"/>
      <c r="N438" s="138"/>
      <c r="O438" s="167"/>
      <c r="P438" s="111"/>
      <c r="Q438" s="111"/>
      <c r="R438" s="111"/>
      <c r="S438" s="111"/>
      <c r="T438" s="111"/>
      <c r="U438" s="111"/>
      <c r="V438" s="111"/>
      <c r="W438" s="111"/>
      <c r="X438" s="111"/>
      <c r="Y438" s="111"/>
      <c r="Z438" s="111"/>
      <c r="AA438" s="111"/>
    </row>
    <row r="439" spans="1:27" s="118" customFormat="1" x14ac:dyDescent="0.2">
      <c r="A439" s="10"/>
      <c r="B439" s="10"/>
      <c r="C439" s="191"/>
      <c r="D439" s="396" t="s">
        <v>1057</v>
      </c>
      <c r="E439" s="148"/>
      <c r="F439" s="253">
        <v>2</v>
      </c>
      <c r="G439" s="253">
        <v>1.9</v>
      </c>
      <c r="H439" s="253"/>
      <c r="I439" s="249">
        <v>1.2</v>
      </c>
      <c r="J439" s="253">
        <f t="shared" si="28"/>
        <v>4.5599999999999996</v>
      </c>
      <c r="K439" s="137"/>
      <c r="L439" s="137"/>
      <c r="M439" s="137"/>
      <c r="N439" s="138"/>
      <c r="O439" s="167"/>
      <c r="P439" s="111"/>
      <c r="Q439" s="111"/>
      <c r="R439" s="111"/>
      <c r="S439" s="111"/>
      <c r="T439" s="111"/>
      <c r="U439" s="111"/>
      <c r="V439" s="111"/>
      <c r="W439" s="111"/>
      <c r="X439" s="111"/>
      <c r="Y439" s="111"/>
      <c r="Z439" s="111"/>
      <c r="AA439" s="111"/>
    </row>
    <row r="440" spans="1:27" s="118" customFormat="1" x14ac:dyDescent="0.2">
      <c r="A440" s="10"/>
      <c r="B440" s="10"/>
      <c r="C440" s="191"/>
      <c r="D440" s="2"/>
      <c r="E440" s="148"/>
      <c r="F440" s="253">
        <v>2</v>
      </c>
      <c r="G440" s="253">
        <v>1.57</v>
      </c>
      <c r="H440" s="253"/>
      <c r="I440" s="249">
        <v>1.2</v>
      </c>
      <c r="J440" s="253">
        <f t="shared" si="28"/>
        <v>3.77</v>
      </c>
      <c r="K440" s="137"/>
      <c r="L440" s="137"/>
      <c r="M440" s="137"/>
      <c r="N440" s="138"/>
      <c r="O440" s="167"/>
      <c r="P440" s="111"/>
      <c r="Q440" s="111"/>
      <c r="R440" s="111"/>
      <c r="S440" s="111"/>
      <c r="T440" s="111"/>
      <c r="U440" s="111"/>
      <c r="V440" s="111"/>
      <c r="W440" s="111"/>
      <c r="X440" s="111"/>
      <c r="Y440" s="111"/>
      <c r="Z440" s="111"/>
      <c r="AA440" s="111"/>
    </row>
    <row r="441" spans="1:27" s="118" customFormat="1" x14ac:dyDescent="0.2">
      <c r="A441" s="10"/>
      <c r="B441" s="10"/>
      <c r="C441" s="190"/>
      <c r="D441" s="2" t="s">
        <v>1058</v>
      </c>
      <c r="E441" s="148"/>
      <c r="F441" s="253">
        <v>1</v>
      </c>
      <c r="G441" s="253">
        <v>1.83</v>
      </c>
      <c r="H441" s="253"/>
      <c r="I441" s="249">
        <v>1.2</v>
      </c>
      <c r="J441" s="253">
        <f t="shared" si="28"/>
        <v>2.2000000000000002</v>
      </c>
      <c r="K441" s="137"/>
      <c r="L441" s="137"/>
      <c r="M441" s="137"/>
      <c r="N441" s="138"/>
      <c r="O441" s="167"/>
      <c r="P441" s="111"/>
      <c r="Q441" s="111"/>
      <c r="R441" s="111"/>
      <c r="S441" s="111"/>
      <c r="T441" s="111"/>
      <c r="U441" s="111"/>
      <c r="V441" s="111"/>
      <c r="W441" s="111"/>
      <c r="X441" s="111"/>
      <c r="Y441" s="111"/>
      <c r="Z441" s="111"/>
      <c r="AA441" s="111"/>
    </row>
    <row r="442" spans="1:27" s="154" customFormat="1" x14ac:dyDescent="0.2">
      <c r="A442" s="10"/>
      <c r="B442" s="10"/>
      <c r="C442" s="15"/>
      <c r="D442" s="2"/>
      <c r="E442" s="148"/>
      <c r="F442" s="253">
        <v>1</v>
      </c>
      <c r="G442" s="253">
        <v>1</v>
      </c>
      <c r="H442" s="253"/>
      <c r="I442" s="249">
        <v>1.2</v>
      </c>
      <c r="J442" s="253">
        <f t="shared" si="28"/>
        <v>1.2</v>
      </c>
      <c r="K442" s="151"/>
      <c r="L442" s="151"/>
      <c r="M442" s="151"/>
      <c r="N442" s="152"/>
      <c r="O442" s="283"/>
      <c r="P442" s="153"/>
      <c r="Q442" s="153"/>
      <c r="R442" s="153"/>
      <c r="S442" s="153"/>
      <c r="T442" s="153"/>
      <c r="U442" s="153"/>
      <c r="V442" s="153"/>
      <c r="W442" s="153"/>
      <c r="X442" s="153"/>
      <c r="Y442" s="153"/>
      <c r="Z442" s="153"/>
      <c r="AA442" s="153"/>
    </row>
    <row r="443" spans="1:27" s="147" customFormat="1" x14ac:dyDescent="0.2">
      <c r="A443" s="10"/>
      <c r="B443" s="184"/>
      <c r="C443" s="185"/>
      <c r="D443" s="2" t="s">
        <v>1059</v>
      </c>
      <c r="E443" s="148"/>
      <c r="F443" s="253">
        <v>2</v>
      </c>
      <c r="G443" s="253">
        <v>10.3</v>
      </c>
      <c r="H443" s="253"/>
      <c r="I443" s="249">
        <v>1.2</v>
      </c>
      <c r="J443" s="253">
        <f t="shared" si="28"/>
        <v>24.72</v>
      </c>
      <c r="K443" s="131">
        <f>J445</f>
        <v>5.64</v>
      </c>
      <c r="L443" s="131">
        <f>'COMPOSICOES - SINAPI COM DESON'!G18</f>
        <v>5.79</v>
      </c>
      <c r="M443" s="131">
        <f>ROUND(L443*(1+$Q$5),2)</f>
        <v>7.33</v>
      </c>
      <c r="N443" s="133">
        <f>TRUNC(K443*M443,2)</f>
        <v>41.34</v>
      </c>
      <c r="O443" s="286"/>
      <c r="P443" s="146"/>
      <c r="Q443" s="146"/>
      <c r="R443" s="146"/>
      <c r="S443" s="146"/>
      <c r="T443" s="146"/>
      <c r="U443" s="146"/>
      <c r="V443" s="146"/>
      <c r="W443" s="146"/>
      <c r="X443" s="146"/>
      <c r="Y443" s="146"/>
      <c r="Z443" s="146"/>
      <c r="AA443" s="146"/>
    </row>
    <row r="444" spans="1:27" s="118" customFormat="1" x14ac:dyDescent="0.2">
      <c r="A444" s="10"/>
      <c r="B444" s="10"/>
      <c r="C444" s="191"/>
      <c r="D444" s="2" t="s">
        <v>1009</v>
      </c>
      <c r="E444" s="148"/>
      <c r="F444" s="253">
        <v>1</v>
      </c>
      <c r="G444" s="253">
        <v>7.27</v>
      </c>
      <c r="H444" s="253"/>
      <c r="I444" s="249">
        <v>1.2</v>
      </c>
      <c r="J444" s="253">
        <f t="shared" si="28"/>
        <v>8.7200000000000006</v>
      </c>
      <c r="K444" s="137"/>
      <c r="L444" s="137"/>
      <c r="M444" s="137"/>
      <c r="N444" s="138"/>
      <c r="O444" s="167"/>
      <c r="P444" s="111"/>
      <c r="Q444" s="111"/>
      <c r="R444" s="111"/>
      <c r="S444" s="111"/>
      <c r="T444" s="111"/>
      <c r="U444" s="111"/>
      <c r="V444" s="111"/>
      <c r="W444" s="111"/>
      <c r="X444" s="111"/>
      <c r="Y444" s="111"/>
      <c r="Z444" s="111"/>
      <c r="AA444" s="111"/>
    </row>
    <row r="445" spans="1:27" s="118" customFormat="1" x14ac:dyDescent="0.2">
      <c r="A445" s="10"/>
      <c r="B445" s="10"/>
      <c r="C445" s="190"/>
      <c r="D445" s="108"/>
      <c r="E445" s="148"/>
      <c r="F445" s="253">
        <v>1</v>
      </c>
      <c r="G445" s="253">
        <v>4.7</v>
      </c>
      <c r="H445" s="253"/>
      <c r="I445" s="249">
        <v>1.2</v>
      </c>
      <c r="J445" s="253">
        <f t="shared" si="28"/>
        <v>5.64</v>
      </c>
      <c r="K445" s="137"/>
      <c r="L445" s="137"/>
      <c r="M445" s="137"/>
      <c r="N445" s="138"/>
      <c r="O445" s="167"/>
      <c r="P445" s="111"/>
      <c r="Q445" s="111"/>
      <c r="R445" s="111"/>
      <c r="S445" s="111"/>
      <c r="T445" s="111"/>
      <c r="U445" s="111"/>
      <c r="V445" s="111"/>
      <c r="W445" s="111"/>
      <c r="X445" s="111"/>
      <c r="Y445" s="111"/>
      <c r="Z445" s="111"/>
      <c r="AA445" s="111"/>
    </row>
    <row r="446" spans="1:27" s="118" customFormat="1" x14ac:dyDescent="0.2">
      <c r="A446" s="10"/>
      <c r="B446" s="10"/>
      <c r="C446" s="157"/>
      <c r="D446" s="314"/>
      <c r="E446" s="148"/>
      <c r="F446" s="253">
        <v>1</v>
      </c>
      <c r="G446" s="253">
        <v>4.4000000000000004</v>
      </c>
      <c r="H446" s="253"/>
      <c r="I446" s="249">
        <v>1.2</v>
      </c>
      <c r="J446" s="253">
        <f t="shared" si="28"/>
        <v>5.28</v>
      </c>
      <c r="K446" s="137"/>
      <c r="L446" s="137"/>
      <c r="M446" s="137"/>
      <c r="N446" s="138"/>
      <c r="O446" s="167"/>
      <c r="P446" s="111"/>
      <c r="Q446" s="111"/>
      <c r="R446" s="111"/>
      <c r="S446" s="111"/>
      <c r="T446" s="111"/>
      <c r="U446" s="111"/>
      <c r="V446" s="111"/>
      <c r="W446" s="111"/>
      <c r="X446" s="111"/>
      <c r="Y446" s="111"/>
      <c r="Z446" s="111"/>
      <c r="AA446" s="111"/>
    </row>
    <row r="447" spans="1:27" s="241" customFormat="1" ht="13.2" x14ac:dyDescent="0.25">
      <c r="A447" s="401"/>
      <c r="B447" s="331"/>
      <c r="C447" s="332"/>
      <c r="D447" s="2"/>
      <c r="E447" s="148"/>
      <c r="F447" s="253">
        <v>1</v>
      </c>
      <c r="G447" s="253">
        <v>2.0499999999999998</v>
      </c>
      <c r="H447" s="253"/>
      <c r="I447" s="249">
        <v>1.2</v>
      </c>
      <c r="J447" s="253">
        <f t="shared" si="28"/>
        <v>2.46</v>
      </c>
      <c r="K447" s="238"/>
      <c r="L447" s="238"/>
      <c r="M447" s="238"/>
      <c r="N447" s="239" t="e">
        <f>N449+N458+N468+#REF!+#REF!</f>
        <v>#REF!</v>
      </c>
      <c r="O447" s="284" t="e">
        <f>N447/$N$1660</f>
        <v>#REF!</v>
      </c>
      <c r="P447" s="240" t="s">
        <v>533</v>
      </c>
      <c r="Q447" s="240" t="s">
        <v>533</v>
      </c>
      <c r="R447" s="240"/>
      <c r="S447" s="240"/>
      <c r="T447" s="240"/>
      <c r="U447" s="240"/>
      <c r="V447" s="240"/>
      <c r="W447" s="240"/>
      <c r="X447" s="240"/>
      <c r="Y447" s="240"/>
      <c r="Z447" s="240"/>
      <c r="AA447" s="240"/>
    </row>
    <row r="448" spans="1:27" s="118" customFormat="1" x14ac:dyDescent="0.2">
      <c r="A448" s="10"/>
      <c r="B448" s="10"/>
      <c r="C448" s="191"/>
      <c r="D448" s="2"/>
      <c r="E448" s="148"/>
      <c r="F448" s="253">
        <v>1</v>
      </c>
      <c r="G448" s="253">
        <v>1.83</v>
      </c>
      <c r="H448" s="253"/>
      <c r="I448" s="249">
        <v>1.2</v>
      </c>
      <c r="J448" s="253">
        <f t="shared" si="28"/>
        <v>2.2000000000000002</v>
      </c>
      <c r="K448" s="137"/>
      <c r="L448" s="137"/>
      <c r="M448" s="137"/>
      <c r="N448" s="138"/>
      <c r="O448" s="167"/>
      <c r="P448" s="111"/>
      <c r="Q448" s="111"/>
      <c r="R448" s="111"/>
      <c r="S448" s="111"/>
      <c r="T448" s="111"/>
      <c r="U448" s="111"/>
      <c r="V448" s="111"/>
      <c r="W448" s="111"/>
      <c r="X448" s="111"/>
      <c r="Y448" s="111"/>
      <c r="Z448" s="111"/>
      <c r="AA448" s="111"/>
    </row>
    <row r="449" spans="1:27" s="145" customFormat="1" x14ac:dyDescent="0.2">
      <c r="A449" s="10"/>
      <c r="B449" s="192"/>
      <c r="C449" s="193"/>
      <c r="D449" s="2"/>
      <c r="E449" s="148"/>
      <c r="F449" s="253">
        <v>1</v>
      </c>
      <c r="G449" s="253">
        <v>1.87</v>
      </c>
      <c r="H449" s="253"/>
      <c r="I449" s="249">
        <v>1.2</v>
      </c>
      <c r="J449" s="253">
        <f t="shared" si="28"/>
        <v>2.2400000000000002</v>
      </c>
      <c r="K449" s="142"/>
      <c r="L449" s="142"/>
      <c r="M449" s="142"/>
      <c r="N449" s="143">
        <f>SUM(N451:N456)</f>
        <v>-5500.5</v>
      </c>
      <c r="O449" s="285"/>
      <c r="P449" s="144"/>
      <c r="Q449" s="144"/>
      <c r="R449" s="144"/>
      <c r="S449" s="144"/>
      <c r="T449" s="144"/>
      <c r="U449" s="144"/>
      <c r="V449" s="144"/>
      <c r="W449" s="144"/>
      <c r="X449" s="144"/>
      <c r="Y449" s="144"/>
      <c r="Z449" s="144"/>
      <c r="AA449" s="144"/>
    </row>
    <row r="450" spans="1:27" s="118" customFormat="1" x14ac:dyDescent="0.2">
      <c r="A450" s="10"/>
      <c r="B450" s="10"/>
      <c r="C450" s="191"/>
      <c r="D450" s="2" t="s">
        <v>1034</v>
      </c>
      <c r="E450" s="148"/>
      <c r="F450" s="253"/>
      <c r="G450" s="253"/>
      <c r="H450" s="253"/>
      <c r="I450" s="249"/>
      <c r="J450" s="253"/>
      <c r="K450" s="137"/>
      <c r="L450" s="137"/>
      <c r="M450" s="137"/>
      <c r="N450" s="138"/>
      <c r="O450" s="167"/>
      <c r="P450" s="111"/>
      <c r="Q450" s="111"/>
      <c r="R450" s="111"/>
      <c r="S450" s="111"/>
      <c r="T450" s="111"/>
      <c r="U450" s="111"/>
      <c r="V450" s="111"/>
      <c r="W450" s="111"/>
      <c r="X450" s="111"/>
      <c r="Y450" s="111"/>
      <c r="Z450" s="111"/>
      <c r="AA450" s="111"/>
    </row>
    <row r="451" spans="1:27" s="147" customFormat="1" ht="34.5" customHeight="1" x14ac:dyDescent="0.2">
      <c r="A451" s="10"/>
      <c r="B451" s="184"/>
      <c r="C451" s="185"/>
      <c r="D451" s="2" t="s">
        <v>1061</v>
      </c>
      <c r="E451" s="148"/>
      <c r="F451" s="253">
        <v>-1</v>
      </c>
      <c r="G451" s="253">
        <v>1</v>
      </c>
      <c r="H451" s="253"/>
      <c r="I451" s="249">
        <v>2.1</v>
      </c>
      <c r="J451" s="253">
        <f t="shared" ref="J451:J457" si="29">ROUND(PRODUCT(F451:I451),2)</f>
        <v>-2.1</v>
      </c>
      <c r="K451" s="131">
        <f>J456</f>
        <v>-15.12</v>
      </c>
      <c r="L451" s="131">
        <v>287.51</v>
      </c>
      <c r="M451" s="131">
        <f>ROUND(L451*(1+$Q$5),2)</f>
        <v>363.79</v>
      </c>
      <c r="N451" s="133">
        <f>TRUNC(K451*M451,2)</f>
        <v>-5500.5</v>
      </c>
      <c r="O451" s="286"/>
      <c r="P451" s="146"/>
      <c r="Q451" s="146"/>
      <c r="R451" s="146"/>
      <c r="S451" s="146"/>
      <c r="T451" s="146"/>
      <c r="U451" s="146"/>
      <c r="V451" s="146"/>
      <c r="W451" s="146"/>
      <c r="X451" s="146"/>
      <c r="Y451" s="146"/>
      <c r="Z451" s="146"/>
      <c r="AA451" s="146"/>
    </row>
    <row r="452" spans="1:27" s="118" customFormat="1" x14ac:dyDescent="0.2">
      <c r="A452" s="10"/>
      <c r="B452" s="10"/>
      <c r="C452" s="15"/>
      <c r="D452" s="2"/>
      <c r="E452" s="148"/>
      <c r="F452" s="253">
        <v>-3</v>
      </c>
      <c r="G452" s="253">
        <v>0.8</v>
      </c>
      <c r="H452" s="253"/>
      <c r="I452" s="249">
        <v>2.1</v>
      </c>
      <c r="J452" s="253">
        <f t="shared" si="29"/>
        <v>-5.04</v>
      </c>
      <c r="K452" s="137"/>
      <c r="L452" s="137"/>
      <c r="M452" s="137"/>
      <c r="N452" s="138"/>
      <c r="O452" s="167"/>
      <c r="P452" s="111"/>
      <c r="Q452" s="111"/>
      <c r="R452" s="111"/>
      <c r="S452" s="111"/>
      <c r="T452" s="111"/>
      <c r="U452" s="111"/>
      <c r="V452" s="111"/>
      <c r="W452" s="111"/>
      <c r="X452" s="111"/>
      <c r="Y452" s="111"/>
      <c r="Z452" s="111"/>
      <c r="AA452" s="111"/>
    </row>
    <row r="453" spans="1:27" s="118" customFormat="1" x14ac:dyDescent="0.2">
      <c r="A453" s="10"/>
      <c r="B453" s="10"/>
      <c r="C453" s="15"/>
      <c r="D453" s="2" t="s">
        <v>1060</v>
      </c>
      <c r="E453" s="148"/>
      <c r="F453" s="253">
        <v>-6</v>
      </c>
      <c r="G453" s="253">
        <v>2</v>
      </c>
      <c r="H453" s="253"/>
      <c r="I453" s="249">
        <v>2</v>
      </c>
      <c r="J453" s="253">
        <f t="shared" si="29"/>
        <v>-24</v>
      </c>
      <c r="K453" s="137"/>
      <c r="L453" s="137"/>
      <c r="M453" s="137"/>
      <c r="N453" s="138"/>
      <c r="O453" s="167"/>
      <c r="P453" s="111"/>
      <c r="Q453" s="111"/>
      <c r="R453" s="111"/>
      <c r="S453" s="111"/>
      <c r="T453" s="111"/>
      <c r="U453" s="111"/>
      <c r="V453" s="111"/>
      <c r="W453" s="111"/>
      <c r="X453" s="111"/>
      <c r="Y453" s="111"/>
      <c r="Z453" s="111"/>
      <c r="AA453" s="111"/>
    </row>
    <row r="454" spans="1:27" s="118" customFormat="1" x14ac:dyDescent="0.2">
      <c r="A454" s="10"/>
      <c r="B454" s="10"/>
      <c r="C454" s="15"/>
      <c r="D454" s="108"/>
      <c r="E454" s="148"/>
      <c r="F454" s="253">
        <v>-2</v>
      </c>
      <c r="G454" s="253">
        <v>1</v>
      </c>
      <c r="H454" s="253"/>
      <c r="I454" s="249">
        <v>0.4</v>
      </c>
      <c r="J454" s="253">
        <f t="shared" si="29"/>
        <v>-0.8</v>
      </c>
      <c r="K454" s="137"/>
      <c r="L454" s="137"/>
      <c r="M454" s="137"/>
      <c r="N454" s="138"/>
      <c r="O454" s="167"/>
      <c r="P454" s="111"/>
      <c r="Q454" s="111"/>
      <c r="R454" s="111"/>
      <c r="S454" s="111"/>
      <c r="T454" s="111"/>
      <c r="U454" s="111"/>
      <c r="V454" s="111"/>
      <c r="W454" s="111"/>
      <c r="X454" s="111"/>
      <c r="Y454" s="111"/>
      <c r="Z454" s="111"/>
      <c r="AA454" s="111"/>
    </row>
    <row r="455" spans="1:27" s="118" customFormat="1" x14ac:dyDescent="0.2">
      <c r="A455" s="10"/>
      <c r="B455" s="10"/>
      <c r="C455" s="15"/>
      <c r="D455" s="314"/>
      <c r="E455" s="148"/>
      <c r="F455" s="253">
        <v>-3</v>
      </c>
      <c r="G455" s="253">
        <v>0.55000000000000004</v>
      </c>
      <c r="H455" s="253"/>
      <c r="I455" s="249">
        <v>0.55000000000000004</v>
      </c>
      <c r="J455" s="253">
        <f t="shared" si="29"/>
        <v>-0.91</v>
      </c>
      <c r="K455" s="137"/>
      <c r="L455" s="137"/>
      <c r="M455" s="137"/>
      <c r="N455" s="138"/>
      <c r="O455" s="167"/>
      <c r="P455" s="111"/>
      <c r="Q455" s="111"/>
      <c r="R455" s="111"/>
      <c r="S455" s="111"/>
      <c r="T455" s="111"/>
      <c r="U455" s="111"/>
      <c r="V455" s="111"/>
      <c r="W455" s="111"/>
      <c r="X455" s="111"/>
      <c r="Y455" s="111"/>
      <c r="Z455" s="111"/>
      <c r="AA455" s="111"/>
    </row>
    <row r="456" spans="1:27" s="118" customFormat="1" x14ac:dyDescent="0.2">
      <c r="A456" s="10"/>
      <c r="B456" s="10"/>
      <c r="C456" s="15"/>
      <c r="D456" s="2" t="s">
        <v>1062</v>
      </c>
      <c r="E456" s="148"/>
      <c r="F456" s="253">
        <v>-9</v>
      </c>
      <c r="G456" s="253">
        <v>0.8</v>
      </c>
      <c r="H456" s="253"/>
      <c r="I456" s="249">
        <v>2.1</v>
      </c>
      <c r="J456" s="253">
        <f t="shared" si="29"/>
        <v>-15.12</v>
      </c>
      <c r="K456" s="137"/>
      <c r="L456" s="137"/>
      <c r="M456" s="137"/>
      <c r="N456" s="138"/>
      <c r="O456" s="167"/>
      <c r="P456" s="111"/>
      <c r="Q456" s="111"/>
      <c r="R456" s="111"/>
      <c r="S456" s="111"/>
      <c r="T456" s="111"/>
      <c r="U456" s="111"/>
      <c r="V456" s="111"/>
      <c r="W456" s="111"/>
      <c r="X456" s="111"/>
      <c r="Y456" s="111"/>
      <c r="Z456" s="111"/>
      <c r="AA456" s="111"/>
    </row>
    <row r="457" spans="1:27" s="118" customFormat="1" x14ac:dyDescent="0.2">
      <c r="A457" s="10"/>
      <c r="B457" s="10"/>
      <c r="C457" s="15"/>
      <c r="D457" s="108"/>
      <c r="E457" s="148"/>
      <c r="F457" s="253">
        <v>-2</v>
      </c>
      <c r="G457" s="253">
        <v>0.6</v>
      </c>
      <c r="H457" s="253"/>
      <c r="I457" s="249">
        <v>2.1</v>
      </c>
      <c r="J457" s="253">
        <f t="shared" si="29"/>
        <v>-2.52</v>
      </c>
      <c r="K457" s="137"/>
      <c r="L457" s="137"/>
      <c r="M457" s="137"/>
      <c r="N457" s="138"/>
      <c r="O457" s="167"/>
      <c r="P457" s="111"/>
      <c r="Q457" s="111"/>
      <c r="R457" s="111"/>
      <c r="S457" s="111"/>
      <c r="T457" s="111"/>
      <c r="U457" s="111"/>
      <c r="V457" s="111"/>
      <c r="W457" s="111"/>
      <c r="X457" s="111"/>
      <c r="Y457" s="111"/>
      <c r="Z457" s="111"/>
      <c r="AA457" s="111"/>
    </row>
    <row r="458" spans="1:27" s="145" customFormat="1" x14ac:dyDescent="0.2">
      <c r="A458" s="10"/>
      <c r="B458" s="192"/>
      <c r="C458" s="193"/>
      <c r="D458" s="108"/>
      <c r="E458" s="148"/>
      <c r="F458" s="253"/>
      <c r="G458" s="253"/>
      <c r="H458" s="253"/>
      <c r="I458" s="246" t="str">
        <f>"Total item "&amp;A416</f>
        <v>Total item 6.1.3</v>
      </c>
      <c r="J458" s="261">
        <f>SUM(J418:J457)</f>
        <v>360.50999999999982</v>
      </c>
      <c r="K458" s="142"/>
      <c r="L458" s="142"/>
      <c r="M458" s="142"/>
      <c r="N458" s="143">
        <f>SUM(N460:N465)</f>
        <v>156.88999999999999</v>
      </c>
      <c r="O458" s="285"/>
      <c r="P458" s="144"/>
      <c r="Q458" s="144"/>
      <c r="R458" s="144"/>
      <c r="S458" s="144"/>
      <c r="T458" s="144"/>
      <c r="U458" s="144"/>
      <c r="V458" s="144"/>
      <c r="W458" s="144"/>
      <c r="X458" s="144"/>
      <c r="Y458" s="144"/>
      <c r="Z458" s="144"/>
      <c r="AA458" s="144"/>
    </row>
    <row r="459" spans="1:27" s="118" customFormat="1" x14ac:dyDescent="0.2">
      <c r="A459" s="10"/>
      <c r="B459" s="10"/>
      <c r="C459" s="191"/>
      <c r="D459" s="110"/>
      <c r="E459" s="158"/>
      <c r="F459" s="267"/>
      <c r="G459" s="267"/>
      <c r="H459" s="267"/>
      <c r="I459" s="250"/>
      <c r="J459" s="263"/>
      <c r="K459" s="137"/>
      <c r="L459" s="137"/>
      <c r="M459" s="137"/>
      <c r="N459" s="138"/>
      <c r="O459" s="167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</row>
    <row r="460" spans="1:27" s="147" customFormat="1" ht="25.95" customHeight="1" x14ac:dyDescent="0.2">
      <c r="A460" s="9" t="s">
        <v>610</v>
      </c>
      <c r="B460" s="13"/>
      <c r="C460" s="13"/>
      <c r="D460" s="113" t="str">
        <f>'ORÇAMENTO PINTURA'!D46</f>
        <v>APLICAÇÃO MANUAL DE PINTURA COM TINTA LÁTEX ACRÍLICA EM TETO, DUAS DEMÃOS. AF_06/2014</v>
      </c>
      <c r="E460" s="1"/>
      <c r="F460" s="261"/>
      <c r="G460" s="261"/>
      <c r="H460" s="261"/>
      <c r="I460" s="245"/>
      <c r="J460" s="261"/>
      <c r="K460" s="131">
        <f>J466</f>
        <v>9.24</v>
      </c>
      <c r="L460" s="131">
        <v>13.42</v>
      </c>
      <c r="M460" s="131">
        <f>ROUND(L460*(1+$Q$5),2)</f>
        <v>16.98</v>
      </c>
      <c r="N460" s="133">
        <f>TRUNC(K460*M460,2)</f>
        <v>156.88999999999999</v>
      </c>
      <c r="O460" s="286"/>
      <c r="P460" s="146"/>
      <c r="Q460" s="146"/>
      <c r="R460" s="146"/>
      <c r="S460" s="146"/>
      <c r="T460" s="146"/>
      <c r="U460" s="146"/>
      <c r="V460" s="146"/>
      <c r="W460" s="146"/>
      <c r="X460" s="146"/>
      <c r="Y460" s="146"/>
      <c r="Z460" s="146"/>
      <c r="AA460" s="146"/>
    </row>
    <row r="461" spans="1:27" s="118" customFormat="1" ht="30.6" x14ac:dyDescent="0.2">
      <c r="A461" s="10"/>
      <c r="B461" s="10"/>
      <c r="C461" s="191"/>
      <c r="D461" s="2"/>
      <c r="E461" s="148"/>
      <c r="F461" s="253"/>
      <c r="G461" s="253"/>
      <c r="H461" s="253"/>
      <c r="I461" s="402" t="s">
        <v>1037</v>
      </c>
      <c r="J461" s="253"/>
      <c r="K461" s="137"/>
      <c r="L461" s="137"/>
      <c r="M461" s="137"/>
      <c r="N461" s="138"/>
      <c r="O461" s="167"/>
      <c r="P461" s="111"/>
      <c r="Q461" s="111"/>
      <c r="R461" s="111"/>
      <c r="S461" s="111"/>
      <c r="T461" s="111"/>
      <c r="U461" s="111"/>
      <c r="V461" s="111"/>
      <c r="W461" s="111"/>
      <c r="X461" s="111"/>
      <c r="Y461" s="111"/>
      <c r="Z461" s="111"/>
      <c r="AA461" s="111"/>
    </row>
    <row r="462" spans="1:27" s="118" customFormat="1" x14ac:dyDescent="0.2">
      <c r="A462" s="10"/>
      <c r="B462" s="10"/>
      <c r="C462" s="15"/>
      <c r="D462" s="2" t="s">
        <v>968</v>
      </c>
      <c r="E462" s="148"/>
      <c r="F462" s="253"/>
      <c r="G462" s="253"/>
      <c r="H462" s="253"/>
      <c r="I462" s="253">
        <v>37.409999999999997</v>
      </c>
      <c r="J462" s="253">
        <f t="shared" ref="J462:J474" si="30">ROUND(PRODUCT(F462:I462),2)</f>
        <v>37.409999999999997</v>
      </c>
      <c r="K462" s="137"/>
      <c r="L462" s="137"/>
      <c r="M462" s="137"/>
      <c r="N462" s="138"/>
      <c r="O462" s="167"/>
      <c r="P462" s="111"/>
      <c r="Q462" s="111"/>
      <c r="R462" s="111"/>
      <c r="S462" s="111"/>
      <c r="T462" s="111"/>
      <c r="U462" s="111"/>
      <c r="V462" s="111"/>
      <c r="W462" s="111"/>
      <c r="X462" s="111"/>
      <c r="Y462" s="111"/>
      <c r="Z462" s="111"/>
      <c r="AA462" s="111"/>
    </row>
    <row r="463" spans="1:27" s="118" customFormat="1" x14ac:dyDescent="0.2">
      <c r="A463" s="10"/>
      <c r="B463" s="10"/>
      <c r="C463" s="15"/>
      <c r="D463" s="2" t="s">
        <v>975</v>
      </c>
      <c r="E463" s="148"/>
      <c r="F463" s="253"/>
      <c r="G463" s="253"/>
      <c r="H463" s="253"/>
      <c r="I463" s="253">
        <v>2.52</v>
      </c>
      <c r="J463" s="253">
        <f t="shared" si="30"/>
        <v>2.52</v>
      </c>
      <c r="K463" s="137"/>
      <c r="L463" s="137"/>
      <c r="M463" s="137"/>
      <c r="N463" s="138"/>
      <c r="O463" s="167"/>
      <c r="P463" s="111"/>
      <c r="Q463" s="111"/>
      <c r="R463" s="111"/>
      <c r="S463" s="111"/>
      <c r="T463" s="111"/>
      <c r="U463" s="111"/>
      <c r="V463" s="111"/>
      <c r="W463" s="111"/>
      <c r="X463" s="111"/>
      <c r="Y463" s="111"/>
      <c r="Z463" s="111"/>
      <c r="AA463" s="111"/>
    </row>
    <row r="464" spans="1:27" s="118" customFormat="1" x14ac:dyDescent="0.2">
      <c r="A464" s="10"/>
      <c r="B464" s="10"/>
      <c r="C464" s="15"/>
      <c r="D464" s="2"/>
      <c r="E464" s="148"/>
      <c r="F464" s="253"/>
      <c r="G464" s="253"/>
      <c r="H464" s="253"/>
      <c r="I464" s="253">
        <v>2</v>
      </c>
      <c r="J464" s="253">
        <f t="shared" si="30"/>
        <v>2</v>
      </c>
      <c r="K464" s="137"/>
      <c r="L464" s="137"/>
      <c r="M464" s="137"/>
      <c r="N464" s="138"/>
      <c r="O464" s="167"/>
      <c r="P464" s="111"/>
      <c r="Q464" s="111"/>
      <c r="R464" s="111"/>
      <c r="S464" s="111"/>
      <c r="T464" s="111"/>
      <c r="U464" s="111"/>
      <c r="V464" s="111"/>
      <c r="W464" s="111"/>
      <c r="X464" s="111"/>
      <c r="Y464" s="111"/>
      <c r="Z464" s="111"/>
      <c r="AA464" s="111"/>
    </row>
    <row r="465" spans="1:27" s="118" customFormat="1" x14ac:dyDescent="0.2">
      <c r="A465" s="10"/>
      <c r="B465" s="10"/>
      <c r="C465" s="15"/>
      <c r="D465" s="2" t="s">
        <v>997</v>
      </c>
      <c r="E465" s="148"/>
      <c r="F465" s="253"/>
      <c r="G465" s="253"/>
      <c r="H465" s="253"/>
      <c r="I465" s="253">
        <v>9.24</v>
      </c>
      <c r="J465" s="253">
        <f t="shared" si="30"/>
        <v>9.24</v>
      </c>
      <c r="K465" s="137"/>
      <c r="L465" s="137"/>
      <c r="M465" s="137"/>
      <c r="N465" s="138"/>
      <c r="O465" s="167"/>
      <c r="P465" s="111"/>
      <c r="Q465" s="111"/>
      <c r="R465" s="111"/>
      <c r="S465" s="111"/>
      <c r="T465" s="111"/>
      <c r="U465" s="111"/>
      <c r="V465" s="111"/>
      <c r="W465" s="111"/>
      <c r="X465" s="111"/>
      <c r="Y465" s="111"/>
      <c r="Z465" s="111"/>
      <c r="AA465" s="111"/>
    </row>
    <row r="466" spans="1:27" s="118" customFormat="1" x14ac:dyDescent="0.2">
      <c r="A466" s="10"/>
      <c r="B466" s="10"/>
      <c r="C466" s="191"/>
      <c r="D466" s="2" t="s">
        <v>509</v>
      </c>
      <c r="E466" s="148"/>
      <c r="F466" s="253"/>
      <c r="G466" s="253"/>
      <c r="H466" s="253"/>
      <c r="I466" s="249">
        <v>9.24</v>
      </c>
      <c r="J466" s="253">
        <f t="shared" si="30"/>
        <v>9.24</v>
      </c>
      <c r="K466" s="137"/>
      <c r="L466" s="137"/>
      <c r="M466" s="137"/>
      <c r="N466" s="138"/>
      <c r="O466" s="167"/>
      <c r="P466" s="111"/>
      <c r="Q466" s="111"/>
      <c r="R466" s="111"/>
      <c r="S466" s="111"/>
      <c r="T466" s="111"/>
      <c r="U466" s="111"/>
      <c r="V466" s="111"/>
      <c r="W466" s="111"/>
      <c r="X466" s="111"/>
      <c r="Y466" s="111"/>
      <c r="Z466" s="111"/>
      <c r="AA466" s="111"/>
    </row>
    <row r="467" spans="1:27" s="118" customFormat="1" x14ac:dyDescent="0.2">
      <c r="A467" s="10"/>
      <c r="B467" s="10"/>
      <c r="C467" s="191"/>
      <c r="D467" s="2" t="s">
        <v>1066</v>
      </c>
      <c r="E467" s="148"/>
      <c r="F467" s="253"/>
      <c r="G467" s="253"/>
      <c r="H467" s="253"/>
      <c r="I467" s="249">
        <v>10.56</v>
      </c>
      <c r="J467" s="253">
        <f t="shared" si="30"/>
        <v>10.56</v>
      </c>
      <c r="K467" s="137"/>
      <c r="L467" s="137"/>
      <c r="M467" s="137"/>
      <c r="N467" s="138"/>
      <c r="O467" s="167"/>
      <c r="P467" s="111"/>
      <c r="Q467" s="111"/>
      <c r="R467" s="111"/>
      <c r="S467" s="111"/>
      <c r="T467" s="111"/>
      <c r="U467" s="111"/>
      <c r="V467" s="111"/>
      <c r="W467" s="111"/>
      <c r="X467" s="111"/>
      <c r="Y467" s="111"/>
      <c r="Z467" s="111"/>
      <c r="AA467" s="111"/>
    </row>
    <row r="468" spans="1:27" s="118" customFormat="1" x14ac:dyDescent="0.2">
      <c r="A468" s="10"/>
      <c r="B468" s="10"/>
      <c r="C468" s="15"/>
      <c r="D468" s="2" t="s">
        <v>967</v>
      </c>
      <c r="E468" s="148"/>
      <c r="F468" s="253"/>
      <c r="G468" s="253"/>
      <c r="H468" s="253"/>
      <c r="I468" s="249">
        <v>11.62</v>
      </c>
      <c r="J468" s="253">
        <f t="shared" si="30"/>
        <v>11.62</v>
      </c>
      <c r="K468" s="137"/>
      <c r="L468" s="137"/>
      <c r="M468" s="137"/>
      <c r="N468" s="199" t="e">
        <f>SUM(N470:N479)</f>
        <v>#REF!</v>
      </c>
      <c r="O468" s="167"/>
      <c r="P468" s="111"/>
      <c r="Q468" s="111"/>
      <c r="R468" s="111"/>
      <c r="S468" s="111"/>
      <c r="T468" s="111"/>
      <c r="U468" s="111"/>
      <c r="V468" s="111"/>
      <c r="W468" s="111"/>
      <c r="X468" s="111"/>
      <c r="Y468" s="111"/>
      <c r="Z468" s="111"/>
      <c r="AA468" s="111"/>
    </row>
    <row r="469" spans="1:27" s="118" customFormat="1" x14ac:dyDescent="0.2">
      <c r="A469" s="10"/>
      <c r="B469" s="10"/>
      <c r="C469" s="191"/>
      <c r="D469" s="2" t="s">
        <v>446</v>
      </c>
      <c r="E469" s="148"/>
      <c r="F469" s="253"/>
      <c r="G469" s="253"/>
      <c r="H469" s="253"/>
      <c r="I469" s="249">
        <v>12.36</v>
      </c>
      <c r="J469" s="253">
        <f t="shared" si="30"/>
        <v>12.36</v>
      </c>
      <c r="K469" s="137"/>
      <c r="L469" s="137"/>
      <c r="M469" s="137"/>
      <c r="N469" s="138"/>
      <c r="O469" s="167"/>
      <c r="P469" s="111"/>
      <c r="Q469" s="111"/>
      <c r="R469" s="111"/>
      <c r="S469" s="111"/>
      <c r="T469" s="111"/>
      <c r="U469" s="111"/>
      <c r="V469" s="111"/>
      <c r="W469" s="111"/>
      <c r="X469" s="111"/>
      <c r="Y469" s="111"/>
      <c r="Z469" s="111"/>
      <c r="AA469" s="111"/>
    </row>
    <row r="470" spans="1:27" s="313" customFormat="1" ht="12.6" customHeight="1" x14ac:dyDescent="0.2">
      <c r="A470" s="10"/>
      <c r="B470" s="10"/>
      <c r="C470" s="15"/>
      <c r="D470" s="396" t="s">
        <v>1041</v>
      </c>
      <c r="E470" s="148"/>
      <c r="F470" s="253"/>
      <c r="G470" s="253"/>
      <c r="H470" s="253"/>
      <c r="I470" s="249">
        <v>5.44</v>
      </c>
      <c r="J470" s="253">
        <f t="shared" si="30"/>
        <v>5.44</v>
      </c>
      <c r="K470" s="136">
        <f>J472</f>
        <v>31.54</v>
      </c>
      <c r="L470" s="136">
        <f>'COMPOSICOES - SINAPI COM DESON'!G50</f>
        <v>104.48</v>
      </c>
      <c r="M470" s="136">
        <f>ROUND(L470*(1+$Q$5),2)</f>
        <v>132.19999999999999</v>
      </c>
      <c r="N470" s="199">
        <f>TRUNC(K470*M470,2)</f>
        <v>4169.58</v>
      </c>
      <c r="O470" s="283"/>
      <c r="P470" s="312"/>
      <c r="Q470" s="312"/>
      <c r="R470" s="312"/>
      <c r="S470" s="312"/>
      <c r="T470" s="312"/>
      <c r="U470" s="312"/>
      <c r="V470" s="312"/>
      <c r="W470" s="312"/>
      <c r="X470" s="312"/>
      <c r="Y470" s="312"/>
      <c r="Z470" s="312"/>
      <c r="AA470" s="312"/>
    </row>
    <row r="471" spans="1:27" s="118" customFormat="1" x14ac:dyDescent="0.2">
      <c r="A471" s="10"/>
      <c r="B471" s="10"/>
      <c r="C471" s="15"/>
      <c r="D471" s="2" t="s">
        <v>1057</v>
      </c>
      <c r="E471" s="148"/>
      <c r="F471" s="253"/>
      <c r="G471" s="253"/>
      <c r="H471" s="253"/>
      <c r="I471" s="249">
        <v>2.98</v>
      </c>
      <c r="J471" s="253">
        <f t="shared" si="30"/>
        <v>2.98</v>
      </c>
      <c r="K471" s="137"/>
      <c r="L471" s="137"/>
      <c r="M471" s="137"/>
      <c r="N471" s="138"/>
      <c r="O471" s="167"/>
      <c r="P471" s="111"/>
      <c r="Q471" s="111"/>
      <c r="R471" s="111"/>
      <c r="S471" s="111"/>
      <c r="T471" s="111"/>
      <c r="U471" s="111"/>
      <c r="V471" s="111"/>
      <c r="W471" s="111"/>
      <c r="X471" s="111"/>
      <c r="Y471" s="111"/>
      <c r="Z471" s="111"/>
      <c r="AA471" s="111"/>
    </row>
    <row r="472" spans="1:27" s="118" customFormat="1" x14ac:dyDescent="0.2">
      <c r="A472" s="10"/>
      <c r="B472" s="10"/>
      <c r="C472" s="15"/>
      <c r="D472" s="149" t="s">
        <v>1023</v>
      </c>
      <c r="E472" s="148"/>
      <c r="F472" s="253"/>
      <c r="G472" s="253"/>
      <c r="H472" s="253"/>
      <c r="I472" s="249">
        <v>31.54</v>
      </c>
      <c r="J472" s="253">
        <f t="shared" si="30"/>
        <v>31.54</v>
      </c>
      <c r="K472" s="137"/>
      <c r="L472" s="137"/>
      <c r="M472" s="137"/>
      <c r="N472" s="138"/>
      <c r="O472" s="167"/>
      <c r="P472" s="111"/>
      <c r="Q472" s="111"/>
      <c r="R472" s="111"/>
      <c r="S472" s="111"/>
      <c r="T472" s="111"/>
      <c r="U472" s="111"/>
      <c r="V472" s="111"/>
      <c r="W472" s="111"/>
      <c r="X472" s="111"/>
      <c r="Y472" s="111"/>
      <c r="Z472" s="111"/>
      <c r="AA472" s="111"/>
    </row>
    <row r="473" spans="1:27" s="161" customFormat="1" x14ac:dyDescent="0.2">
      <c r="A473" s="10"/>
      <c r="B473" s="10"/>
      <c r="C473" s="15"/>
      <c r="D473" s="149" t="s">
        <v>1067</v>
      </c>
      <c r="E473" s="148"/>
      <c r="F473" s="253"/>
      <c r="G473" s="253"/>
      <c r="H473" s="253"/>
      <c r="I473" s="249">
        <v>2.3199999999999998</v>
      </c>
      <c r="J473" s="253">
        <f t="shared" si="30"/>
        <v>2.3199999999999998</v>
      </c>
      <c r="K473" s="151"/>
      <c r="L473" s="151"/>
      <c r="M473" s="151"/>
      <c r="N473" s="152"/>
      <c r="O473" s="167"/>
      <c r="P473" s="114"/>
      <c r="Q473" s="114"/>
      <c r="R473" s="114"/>
      <c r="S473" s="114"/>
      <c r="T473" s="114"/>
      <c r="U473" s="114"/>
      <c r="V473" s="114"/>
      <c r="W473" s="114"/>
      <c r="X473" s="114"/>
      <c r="Y473" s="114"/>
      <c r="Z473" s="114"/>
      <c r="AA473" s="114"/>
    </row>
    <row r="474" spans="1:27" s="313" customFormat="1" x14ac:dyDescent="0.2">
      <c r="A474" s="10"/>
      <c r="B474" s="10"/>
      <c r="C474" s="15"/>
      <c r="D474" s="396" t="s">
        <v>1058</v>
      </c>
      <c r="E474" s="148"/>
      <c r="F474" s="253"/>
      <c r="G474" s="253"/>
      <c r="H474" s="253"/>
      <c r="I474" s="249">
        <v>1.83</v>
      </c>
      <c r="J474" s="253">
        <f t="shared" si="30"/>
        <v>1.83</v>
      </c>
      <c r="K474" s="136" t="e">
        <f>#REF!</f>
        <v>#REF!</v>
      </c>
      <c r="L474" s="136" t="e">
        <f>'COMPOSICOES - SINAPI COM DESON'!G36</f>
        <v>#VALUE!</v>
      </c>
      <c r="M474" s="136" t="e">
        <f>ROUND(L474*(1+$Q$5),2)</f>
        <v>#VALUE!</v>
      </c>
      <c r="N474" s="199" t="e">
        <f>TRUNC(K474*M474,2)</f>
        <v>#REF!</v>
      </c>
      <c r="O474" s="283"/>
      <c r="P474" s="312"/>
      <c r="Q474" s="312"/>
      <c r="R474" s="312"/>
      <c r="S474" s="312"/>
      <c r="T474" s="312"/>
      <c r="U474" s="312"/>
      <c r="V474" s="312"/>
      <c r="W474" s="312"/>
      <c r="X474" s="312"/>
      <c r="Y474" s="312"/>
      <c r="Z474" s="312"/>
      <c r="AA474" s="312"/>
    </row>
    <row r="475" spans="1:27" s="118" customFormat="1" x14ac:dyDescent="0.2">
      <c r="A475" s="10"/>
      <c r="B475" s="10"/>
      <c r="C475" s="191"/>
      <c r="D475" s="115"/>
      <c r="E475" s="158"/>
      <c r="F475" s="267"/>
      <c r="G475" s="267"/>
      <c r="H475" s="267"/>
      <c r="I475" s="246" t="str">
        <f>"Total item "&amp;A460</f>
        <v>Total item 6.1.4</v>
      </c>
      <c r="J475" s="261">
        <f>SUM(J462:J474)</f>
        <v>139.06</v>
      </c>
      <c r="K475" s="137"/>
      <c r="L475" s="137"/>
      <c r="M475" s="137"/>
      <c r="N475" s="138"/>
      <c r="O475" s="167"/>
      <c r="P475" s="111"/>
      <c r="Q475" s="111"/>
      <c r="R475" s="111"/>
      <c r="S475" s="111"/>
      <c r="T475" s="111"/>
      <c r="U475" s="111"/>
      <c r="V475" s="111"/>
      <c r="W475" s="111"/>
      <c r="X475" s="111"/>
      <c r="Y475" s="111"/>
      <c r="Z475" s="111"/>
      <c r="AA475" s="111"/>
    </row>
    <row r="476" spans="1:27" s="147" customFormat="1" ht="23.4" customHeight="1" x14ac:dyDescent="0.2">
      <c r="A476" s="9" t="s">
        <v>611</v>
      </c>
      <c r="B476" s="9"/>
      <c r="C476" s="13"/>
      <c r="D476" s="113" t="str">
        <f>'ORÇAMENTO PINTURA'!D47</f>
        <v>PINTURA TINTA DE ACABAMENTO (PIGMENTADA) A ÓLEO EM MADEIRA, 2 DEMÃOS. AF_01/2021</v>
      </c>
      <c r="E476" s="9"/>
      <c r="F476" s="261"/>
      <c r="G476" s="261"/>
      <c r="H476" s="261"/>
      <c r="I476" s="245"/>
      <c r="J476" s="261"/>
      <c r="K476" s="131" t="e">
        <f>#REF!</f>
        <v>#REF!</v>
      </c>
      <c r="L476" s="131">
        <v>166.81</v>
      </c>
      <c r="M476" s="131">
        <f>ROUND(L476*(1+$Q$5),2)</f>
        <v>211.06</v>
      </c>
      <c r="N476" s="133" t="e">
        <f>TRUNC(K476*M476,2)</f>
        <v>#REF!</v>
      </c>
      <c r="O476" s="286"/>
      <c r="P476" s="146"/>
      <c r="Q476" s="146"/>
      <c r="R476" s="146"/>
      <c r="S476" s="146"/>
      <c r="T476" s="146"/>
      <c r="U476" s="146"/>
      <c r="V476" s="146"/>
      <c r="W476" s="146"/>
      <c r="X476" s="146"/>
      <c r="Y476" s="146"/>
      <c r="Z476" s="146"/>
      <c r="AA476" s="146"/>
    </row>
    <row r="477" spans="1:27" s="118" customFormat="1" x14ac:dyDescent="0.2">
      <c r="A477" s="10"/>
      <c r="B477" s="10"/>
      <c r="C477" s="191"/>
      <c r="D477" s="2" t="s">
        <v>1062</v>
      </c>
      <c r="E477" s="148"/>
      <c r="F477" s="253">
        <v>18</v>
      </c>
      <c r="G477" s="253">
        <v>0.8</v>
      </c>
      <c r="H477" s="253"/>
      <c r="I477" s="249">
        <v>2.1</v>
      </c>
      <c r="J477" s="253">
        <f t="shared" ref="J477:J478" si="31">ROUND(PRODUCT(F477:I477),2)</f>
        <v>30.24</v>
      </c>
      <c r="K477" s="137"/>
      <c r="L477" s="137"/>
      <c r="M477" s="137"/>
      <c r="N477" s="138"/>
      <c r="O477" s="167"/>
      <c r="P477" s="111"/>
      <c r="Q477" s="111"/>
      <c r="R477" s="111"/>
      <c r="S477" s="111"/>
      <c r="T477" s="111"/>
      <c r="U477" s="111"/>
      <c r="V477" s="111"/>
      <c r="W477" s="111"/>
      <c r="X477" s="111"/>
      <c r="Y477" s="111"/>
      <c r="Z477" s="111"/>
      <c r="AA477" s="111"/>
    </row>
    <row r="478" spans="1:27" s="118" customFormat="1" x14ac:dyDescent="0.2">
      <c r="A478" s="10"/>
      <c r="B478" s="10"/>
      <c r="C478" s="191"/>
      <c r="D478" s="108"/>
      <c r="E478" s="148"/>
      <c r="F478" s="253">
        <v>4</v>
      </c>
      <c r="G478" s="253">
        <v>0.6</v>
      </c>
      <c r="H478" s="253"/>
      <c r="I478" s="249">
        <v>2.1</v>
      </c>
      <c r="J478" s="253">
        <f t="shared" si="31"/>
        <v>5.04</v>
      </c>
      <c r="K478" s="137"/>
      <c r="L478" s="137"/>
      <c r="M478" s="137"/>
      <c r="N478" s="138"/>
      <c r="O478" s="167"/>
      <c r="P478" s="111"/>
      <c r="Q478" s="111"/>
      <c r="R478" s="111"/>
      <c r="S478" s="111"/>
      <c r="T478" s="111"/>
      <c r="U478" s="111"/>
      <c r="V478" s="111"/>
      <c r="W478" s="111"/>
      <c r="X478" s="111"/>
      <c r="Y478" s="111"/>
      <c r="Z478" s="111"/>
      <c r="AA478" s="111"/>
    </row>
    <row r="479" spans="1:27" s="118" customFormat="1" x14ac:dyDescent="0.2">
      <c r="A479" s="10"/>
      <c r="B479" s="10"/>
      <c r="C479" s="191"/>
      <c r="D479" s="115"/>
      <c r="E479" s="158"/>
      <c r="F479" s="267"/>
      <c r="G479" s="267"/>
      <c r="H479" s="267"/>
      <c r="I479" s="246" t="str">
        <f>"Total item "&amp;A476</f>
        <v>Total item 6.1.5</v>
      </c>
      <c r="J479" s="261">
        <f>SUM(J477:J478)</f>
        <v>35.28</v>
      </c>
      <c r="K479" s="137"/>
      <c r="L479" s="137"/>
      <c r="M479" s="137"/>
      <c r="N479" s="138"/>
      <c r="O479" s="167"/>
      <c r="P479" s="111"/>
      <c r="Q479" s="111"/>
      <c r="R479" s="111"/>
      <c r="S479" s="111"/>
      <c r="T479" s="111"/>
      <c r="U479" s="111"/>
      <c r="V479" s="111"/>
      <c r="W479" s="111"/>
      <c r="X479" s="111"/>
      <c r="Y479" s="111"/>
      <c r="Z479" s="111"/>
      <c r="AA479" s="111"/>
    </row>
    <row r="480" spans="1:27" s="241" customFormat="1" ht="13.2" x14ac:dyDescent="0.25">
      <c r="A480" s="236" t="s">
        <v>24</v>
      </c>
      <c r="B480" s="236"/>
      <c r="C480" s="237"/>
      <c r="D480" s="289" t="s">
        <v>1068</v>
      </c>
      <c r="E480" s="236"/>
      <c r="F480" s="259"/>
      <c r="G480" s="259"/>
      <c r="H480" s="259"/>
      <c r="I480" s="247"/>
      <c r="J480" s="259"/>
      <c r="K480" s="238"/>
      <c r="L480" s="238"/>
      <c r="M480" s="238"/>
      <c r="N480" s="239" t="e">
        <f>N481+N513+N520</f>
        <v>#VALUE!</v>
      </c>
      <c r="O480" s="284" t="e">
        <f>N480/$N$1660</f>
        <v>#VALUE!</v>
      </c>
      <c r="P480" s="240"/>
      <c r="Q480" s="240" t="s">
        <v>533</v>
      </c>
      <c r="R480" s="240"/>
      <c r="S480" s="240"/>
      <c r="T480" s="240"/>
      <c r="U480" s="240"/>
      <c r="V480" s="240"/>
      <c r="W480" s="240"/>
      <c r="X480" s="240"/>
      <c r="Y480" s="240"/>
      <c r="Z480" s="240"/>
      <c r="AA480" s="240"/>
    </row>
    <row r="481" spans="1:27" s="145" customFormat="1" x14ac:dyDescent="0.2">
      <c r="A481" s="140" t="s">
        <v>25</v>
      </c>
      <c r="B481" s="140"/>
      <c r="C481" s="141"/>
      <c r="D481" s="112" t="s">
        <v>987</v>
      </c>
      <c r="E481" s="140"/>
      <c r="F481" s="260"/>
      <c r="G481" s="260"/>
      <c r="H481" s="260"/>
      <c r="I481" s="248"/>
      <c r="J481" s="260"/>
      <c r="K481" s="142"/>
      <c r="L481" s="142"/>
      <c r="M481" s="142"/>
      <c r="N481" s="143" t="e">
        <f>SUM(N482:N512)</f>
        <v>#VALUE!</v>
      </c>
      <c r="O481" s="306"/>
      <c r="P481" s="144"/>
      <c r="Q481" s="144"/>
      <c r="R481" s="144"/>
      <c r="S481" s="144"/>
      <c r="T481" s="144"/>
      <c r="U481" s="144"/>
      <c r="V481" s="144"/>
      <c r="W481" s="144"/>
      <c r="X481" s="144"/>
      <c r="Y481" s="144"/>
      <c r="Z481" s="144"/>
      <c r="AA481" s="144"/>
    </row>
    <row r="482" spans="1:27" s="147" customFormat="1" ht="20.399999999999999" x14ac:dyDescent="0.2">
      <c r="A482" s="9" t="s">
        <v>762</v>
      </c>
      <c r="B482" s="9"/>
      <c r="C482" s="13"/>
      <c r="D482" s="113" t="str">
        <f>'ORÇAMENTO PINTURA'!D50</f>
        <v>APLICAÇÃO DE FUNDO SELADOR ACRÍLICO EM PAREDES, UMA DEMÃO. AF_06/2014</v>
      </c>
      <c r="E482" s="9"/>
      <c r="F482" s="261"/>
      <c r="G482" s="261"/>
      <c r="H482" s="261"/>
      <c r="I482" s="245"/>
      <c r="J482" s="261"/>
      <c r="K482" s="131">
        <f>J484</f>
        <v>54.25</v>
      </c>
      <c r="L482" s="131" t="e">
        <f>'COMPOSICOES - SINAPI COM DESON'!G36</f>
        <v>#VALUE!</v>
      </c>
      <c r="M482" s="131" t="e">
        <f>ROUND(L482*(1+$Q$5),2)</f>
        <v>#VALUE!</v>
      </c>
      <c r="N482" s="133" t="e">
        <f>TRUNC(K482*M482,2)</f>
        <v>#VALUE!</v>
      </c>
      <c r="O482" s="291"/>
      <c r="P482" s="146"/>
      <c r="Q482" s="146"/>
      <c r="R482" s="146"/>
      <c r="S482" s="146"/>
      <c r="T482" s="146"/>
      <c r="U482" s="146"/>
      <c r="V482" s="146"/>
      <c r="W482" s="146"/>
      <c r="X482" s="146"/>
      <c r="Y482" s="146"/>
      <c r="Z482" s="146"/>
      <c r="AA482" s="146"/>
    </row>
    <row r="483" spans="1:27" s="118" customFormat="1" x14ac:dyDescent="0.2">
      <c r="A483" s="6"/>
      <c r="B483" s="6"/>
      <c r="C483" s="155"/>
      <c r="D483" s="2" t="s">
        <v>1070</v>
      </c>
      <c r="E483" s="2"/>
      <c r="F483" s="253"/>
      <c r="G483" s="253"/>
      <c r="H483" s="253"/>
      <c r="I483" s="249"/>
      <c r="J483" s="253"/>
      <c r="K483" s="137"/>
      <c r="L483" s="137"/>
      <c r="M483" s="137"/>
      <c r="N483" s="138"/>
      <c r="O483" s="123"/>
      <c r="P483" s="111"/>
      <c r="Q483" s="111"/>
      <c r="R483" s="111"/>
      <c r="S483" s="111"/>
      <c r="T483" s="111"/>
      <c r="U483" s="111"/>
      <c r="V483" s="111"/>
      <c r="W483" s="111"/>
      <c r="X483" s="111"/>
      <c r="Y483" s="111"/>
      <c r="Z483" s="111"/>
      <c r="AA483" s="111"/>
    </row>
    <row r="484" spans="1:27" s="118" customFormat="1" x14ac:dyDescent="0.2">
      <c r="A484" s="10"/>
      <c r="B484" s="10"/>
      <c r="C484" s="190"/>
      <c r="D484" s="2" t="s">
        <v>1052</v>
      </c>
      <c r="E484" s="148"/>
      <c r="F484" s="253">
        <v>1</v>
      </c>
      <c r="G484" s="253">
        <v>15.5</v>
      </c>
      <c r="H484" s="253"/>
      <c r="I484" s="249">
        <v>3.5</v>
      </c>
      <c r="J484" s="253">
        <f t="shared" ref="J484:J485" si="32">ROUND(PRODUCT(F484:I484),2)</f>
        <v>54.25</v>
      </c>
      <c r="K484" s="137"/>
      <c r="L484" s="137"/>
      <c r="M484" s="137"/>
      <c r="N484" s="138"/>
      <c r="O484" s="167"/>
      <c r="P484" s="111"/>
      <c r="Q484" s="111"/>
      <c r="R484" s="111"/>
      <c r="S484" s="111"/>
      <c r="T484" s="111"/>
      <c r="U484" s="111"/>
      <c r="V484" s="111"/>
      <c r="W484" s="111"/>
      <c r="X484" s="111"/>
      <c r="Y484" s="111"/>
      <c r="Z484" s="111"/>
      <c r="AA484" s="111"/>
    </row>
    <row r="485" spans="1:27" s="139" customFormat="1" x14ac:dyDescent="0.2">
      <c r="A485" s="10"/>
      <c r="B485" s="10"/>
      <c r="C485" s="15"/>
      <c r="D485" s="108"/>
      <c r="E485" s="148"/>
      <c r="F485" s="253">
        <v>1</v>
      </c>
      <c r="G485" s="253">
        <v>15.5</v>
      </c>
      <c r="H485" s="253"/>
      <c r="I485" s="249">
        <v>5.3</v>
      </c>
      <c r="J485" s="253">
        <f t="shared" si="32"/>
        <v>82.15</v>
      </c>
      <c r="K485" s="137"/>
      <c r="L485" s="137"/>
      <c r="M485" s="137"/>
      <c r="N485" s="138"/>
      <c r="O485" s="283"/>
      <c r="P485" s="120"/>
      <c r="Q485" s="120"/>
      <c r="R485" s="120"/>
      <c r="S485" s="120"/>
      <c r="T485" s="120"/>
      <c r="U485" s="120"/>
      <c r="V485" s="120"/>
      <c r="W485" s="120"/>
      <c r="X485" s="120"/>
      <c r="Y485" s="120"/>
      <c r="Z485" s="120"/>
      <c r="AA485" s="120"/>
    </row>
    <row r="486" spans="1:27" s="139" customFormat="1" ht="30.6" x14ac:dyDescent="0.2">
      <c r="A486" s="10"/>
      <c r="B486" s="10"/>
      <c r="C486" s="15"/>
      <c r="D486" s="108"/>
      <c r="E486" s="148"/>
      <c r="F486" s="253"/>
      <c r="G486" s="253"/>
      <c r="H486" s="253"/>
      <c r="I486" s="366" t="s">
        <v>1072</v>
      </c>
      <c r="J486" s="253"/>
      <c r="K486" s="137"/>
      <c r="L486" s="137"/>
      <c r="M486" s="137"/>
      <c r="N486" s="138"/>
      <c r="O486" s="283"/>
      <c r="P486" s="120"/>
      <c r="Q486" s="120"/>
      <c r="R486" s="120"/>
      <c r="S486" s="120"/>
      <c r="T486" s="120"/>
      <c r="U486" s="120"/>
      <c r="V486" s="120"/>
      <c r="W486" s="120"/>
      <c r="X486" s="120"/>
      <c r="Y486" s="120"/>
      <c r="Z486" s="120"/>
      <c r="AA486" s="120"/>
    </row>
    <row r="487" spans="1:27" s="313" customFormat="1" x14ac:dyDescent="0.2">
      <c r="A487" s="10"/>
      <c r="B487" s="10"/>
      <c r="C487" s="15"/>
      <c r="D487" s="396" t="s">
        <v>1071</v>
      </c>
      <c r="E487" s="148"/>
      <c r="F487" s="253">
        <v>2</v>
      </c>
      <c r="G487" s="253">
        <v>8.15</v>
      </c>
      <c r="H487" s="253"/>
      <c r="I487" s="249">
        <f>(3.5+5.3)/2</f>
        <v>4.4000000000000004</v>
      </c>
      <c r="J487" s="253">
        <f t="shared" ref="J487:J504" si="33">ROUND(PRODUCT(F487:I487),2)</f>
        <v>71.72</v>
      </c>
      <c r="K487" s="136">
        <f>J490</f>
        <v>16.7</v>
      </c>
      <c r="L487" s="136">
        <v>116.08</v>
      </c>
      <c r="M487" s="136">
        <f>ROUND(L487*(1+$Q$5),2)</f>
        <v>146.88</v>
      </c>
      <c r="N487" s="199">
        <f>TRUNC(K487*M487,2)</f>
        <v>2452.89</v>
      </c>
      <c r="O487" s="283"/>
      <c r="P487" s="312"/>
      <c r="Q487" s="312"/>
      <c r="R487" s="312"/>
      <c r="S487" s="312"/>
      <c r="T487" s="312"/>
      <c r="U487" s="312"/>
      <c r="V487" s="312"/>
      <c r="W487" s="312"/>
      <c r="X487" s="312"/>
      <c r="Y487" s="312"/>
      <c r="Z487" s="312"/>
      <c r="AA487" s="312"/>
    </row>
    <row r="488" spans="1:27" s="118" customFormat="1" x14ac:dyDescent="0.2">
      <c r="A488" s="10"/>
      <c r="B488" s="10"/>
      <c r="C488" s="191"/>
      <c r="D488" s="2" t="s">
        <v>1073</v>
      </c>
      <c r="E488" s="148"/>
      <c r="F488" s="253"/>
      <c r="G488" s="253"/>
      <c r="H488" s="253"/>
      <c r="I488" s="249"/>
      <c r="J488" s="253">
        <f t="shared" si="33"/>
        <v>0</v>
      </c>
      <c r="K488" s="137"/>
      <c r="L488" s="137"/>
      <c r="M488" s="137"/>
      <c r="N488" s="138"/>
      <c r="O488" s="167"/>
      <c r="P488" s="111"/>
      <c r="Q488" s="111"/>
      <c r="R488" s="111"/>
      <c r="S488" s="111"/>
      <c r="T488" s="111"/>
      <c r="U488" s="111"/>
      <c r="V488" s="111"/>
      <c r="W488" s="111"/>
      <c r="X488" s="111"/>
      <c r="Y488" s="111"/>
      <c r="Z488" s="111"/>
      <c r="AA488" s="111"/>
    </row>
    <row r="489" spans="1:27" s="118" customFormat="1" x14ac:dyDescent="0.2">
      <c r="A489" s="10"/>
      <c r="B489" s="10"/>
      <c r="C489" s="191"/>
      <c r="D489" s="2" t="s">
        <v>1074</v>
      </c>
      <c r="E489" s="148"/>
      <c r="F489" s="253">
        <v>6</v>
      </c>
      <c r="G489" s="253">
        <v>2</v>
      </c>
      <c r="H489" s="253">
        <v>0.6</v>
      </c>
      <c r="I489" s="249"/>
      <c r="J489" s="253">
        <f t="shared" si="33"/>
        <v>7.2</v>
      </c>
      <c r="K489" s="137"/>
      <c r="L489" s="137"/>
      <c r="M489" s="137"/>
      <c r="N489" s="138"/>
      <c r="O489" s="167"/>
      <c r="P489" s="111"/>
      <c r="Q489" s="111"/>
      <c r="R489" s="111"/>
      <c r="S489" s="111"/>
      <c r="T489" s="111"/>
      <c r="U489" s="111"/>
      <c r="V489" s="111"/>
      <c r="W489" s="111"/>
      <c r="X489" s="111"/>
      <c r="Y489" s="111"/>
      <c r="Z489" s="111"/>
      <c r="AA489" s="111"/>
    </row>
    <row r="490" spans="1:27" s="118" customFormat="1" x14ac:dyDescent="0.2">
      <c r="A490" s="10"/>
      <c r="B490" s="10"/>
      <c r="C490" s="191"/>
      <c r="D490" s="2" t="s">
        <v>1075</v>
      </c>
      <c r="E490" s="148"/>
      <c r="F490" s="253">
        <v>3</v>
      </c>
      <c r="G490" s="253">
        <v>5.3</v>
      </c>
      <c r="H490" s="253"/>
      <c r="I490" s="249">
        <v>1.05</v>
      </c>
      <c r="J490" s="253">
        <f t="shared" si="33"/>
        <v>16.7</v>
      </c>
      <c r="K490" s="137"/>
      <c r="L490" s="137"/>
      <c r="M490" s="137"/>
      <c r="N490" s="138"/>
      <c r="O490" s="167"/>
      <c r="P490" s="111"/>
      <c r="Q490" s="111"/>
      <c r="R490" s="111"/>
      <c r="S490" s="111"/>
      <c r="T490" s="111"/>
      <c r="U490" s="111"/>
      <c r="V490" s="111"/>
      <c r="W490" s="111"/>
      <c r="X490" s="111"/>
      <c r="Y490" s="111"/>
      <c r="Z490" s="111"/>
      <c r="AA490" s="111"/>
    </row>
    <row r="491" spans="1:27" s="139" customFormat="1" x14ac:dyDescent="0.2">
      <c r="A491" s="10"/>
      <c r="B491" s="10"/>
      <c r="C491" s="15"/>
      <c r="D491" s="108"/>
      <c r="E491" s="148"/>
      <c r="F491" s="253">
        <v>3</v>
      </c>
      <c r="G491" s="253">
        <v>4.7</v>
      </c>
      <c r="H491" s="253"/>
      <c r="I491" s="249">
        <v>0.7</v>
      </c>
      <c r="J491" s="253">
        <f t="shared" si="33"/>
        <v>9.8699999999999992</v>
      </c>
      <c r="K491" s="137"/>
      <c r="L491" s="137"/>
      <c r="M491" s="137"/>
      <c r="N491" s="138"/>
      <c r="O491" s="283"/>
      <c r="P491" s="120"/>
      <c r="Q491" s="120"/>
      <c r="R491" s="120"/>
      <c r="S491" s="120"/>
      <c r="T491" s="120"/>
      <c r="U491" s="120"/>
      <c r="V491" s="120"/>
      <c r="W491" s="120"/>
      <c r="X491" s="120"/>
      <c r="Y491" s="120"/>
      <c r="Z491" s="120"/>
      <c r="AA491" s="120"/>
    </row>
    <row r="492" spans="1:27" s="313" customFormat="1" x14ac:dyDescent="0.2">
      <c r="A492" s="10"/>
      <c r="B492" s="10"/>
      <c r="C492" s="15"/>
      <c r="D492" s="396" t="s">
        <v>1076</v>
      </c>
      <c r="E492" s="148"/>
      <c r="F492" s="253">
        <v>2</v>
      </c>
      <c r="G492" s="253"/>
      <c r="H492" s="253">
        <v>1</v>
      </c>
      <c r="I492" s="249">
        <v>1.7</v>
      </c>
      <c r="J492" s="253">
        <f t="shared" si="33"/>
        <v>3.4</v>
      </c>
      <c r="K492" s="136">
        <f>J498</f>
        <v>0</v>
      </c>
      <c r="L492" s="136">
        <v>73.44</v>
      </c>
      <c r="M492" s="136">
        <f>ROUND(L492*(1+$Q$5),2)</f>
        <v>92.92</v>
      </c>
      <c r="N492" s="199">
        <f>TRUNC(K492*M492,2)</f>
        <v>0</v>
      </c>
      <c r="O492" s="283"/>
      <c r="P492" s="312"/>
      <c r="Q492" s="312"/>
      <c r="R492" s="312"/>
      <c r="S492" s="312"/>
      <c r="T492" s="312"/>
      <c r="U492" s="312"/>
      <c r="V492" s="312"/>
      <c r="W492" s="312"/>
      <c r="X492" s="312"/>
      <c r="Y492" s="312"/>
      <c r="Z492" s="312"/>
      <c r="AA492" s="312"/>
    </row>
    <row r="493" spans="1:27" s="118" customFormat="1" x14ac:dyDescent="0.2">
      <c r="A493" s="10"/>
      <c r="B493" s="10"/>
      <c r="C493" s="191"/>
      <c r="D493" s="2"/>
      <c r="E493" s="148"/>
      <c r="F493" s="253">
        <v>2</v>
      </c>
      <c r="G493" s="253"/>
      <c r="H493" s="253">
        <v>1</v>
      </c>
      <c r="I493" s="249">
        <v>2.5499999999999998</v>
      </c>
      <c r="J493" s="253">
        <f t="shared" si="33"/>
        <v>5.0999999999999996</v>
      </c>
      <c r="K493" s="137"/>
      <c r="L493" s="137"/>
      <c r="M493" s="137"/>
      <c r="N493" s="138"/>
      <c r="O493" s="167"/>
      <c r="P493" s="111"/>
      <c r="Q493" s="111"/>
      <c r="R493" s="111"/>
      <c r="S493" s="111"/>
      <c r="T493" s="111"/>
      <c r="U493" s="111"/>
      <c r="V493" s="111"/>
      <c r="W493" s="111"/>
      <c r="X493" s="111"/>
      <c r="Y493" s="111"/>
      <c r="Z493" s="111"/>
      <c r="AA493" s="111"/>
    </row>
    <row r="494" spans="1:27" s="118" customFormat="1" x14ac:dyDescent="0.2">
      <c r="A494" s="10"/>
      <c r="B494" s="10"/>
      <c r="C494" s="191"/>
      <c r="D494" s="2"/>
      <c r="E494" s="148"/>
      <c r="F494" s="253">
        <v>2</v>
      </c>
      <c r="G494" s="253"/>
      <c r="H494" s="253">
        <v>1</v>
      </c>
      <c r="I494" s="249">
        <v>2.25</v>
      </c>
      <c r="J494" s="253">
        <f t="shared" si="33"/>
        <v>4.5</v>
      </c>
      <c r="K494" s="137"/>
      <c r="L494" s="137"/>
      <c r="M494" s="137"/>
      <c r="N494" s="138"/>
      <c r="O494" s="167"/>
      <c r="P494" s="111"/>
      <c r="Q494" s="111"/>
      <c r="R494" s="111"/>
      <c r="S494" s="111"/>
      <c r="T494" s="111"/>
      <c r="U494" s="111"/>
      <c r="V494" s="111"/>
      <c r="W494" s="111"/>
      <c r="X494" s="111"/>
      <c r="Y494" s="111"/>
      <c r="Z494" s="111"/>
      <c r="AA494" s="111"/>
    </row>
    <row r="495" spans="1:27" s="118" customFormat="1" x14ac:dyDescent="0.2">
      <c r="A495" s="10"/>
      <c r="B495" s="10"/>
      <c r="C495" s="191"/>
      <c r="D495" s="2" t="s">
        <v>1077</v>
      </c>
      <c r="E495" s="148"/>
      <c r="F495" s="253">
        <v>2</v>
      </c>
      <c r="G495" s="253">
        <v>2</v>
      </c>
      <c r="H495" s="253">
        <v>0.4</v>
      </c>
      <c r="I495" s="249"/>
      <c r="J495" s="253">
        <f t="shared" si="33"/>
        <v>1.6</v>
      </c>
      <c r="K495" s="137"/>
      <c r="L495" s="137"/>
      <c r="M495" s="137"/>
      <c r="N495" s="138"/>
      <c r="O495" s="167"/>
      <c r="P495" s="111"/>
      <c r="Q495" s="111"/>
      <c r="R495" s="111"/>
      <c r="S495" s="111"/>
      <c r="T495" s="111"/>
      <c r="U495" s="111"/>
      <c r="V495" s="111"/>
      <c r="W495" s="111"/>
      <c r="X495" s="111"/>
      <c r="Y495" s="111"/>
      <c r="Z495" s="111"/>
      <c r="AA495" s="111"/>
    </row>
    <row r="496" spans="1:27" s="118" customFormat="1" x14ac:dyDescent="0.2">
      <c r="A496" s="10"/>
      <c r="B496" s="10"/>
      <c r="C496" s="191"/>
      <c r="D496" s="2" t="s">
        <v>1078</v>
      </c>
      <c r="E496" s="148"/>
      <c r="F496" s="253">
        <v>4</v>
      </c>
      <c r="G496" s="253">
        <v>8.1999999999999993</v>
      </c>
      <c r="H496" s="253">
        <v>0.45</v>
      </c>
      <c r="I496" s="249"/>
      <c r="J496" s="253">
        <f t="shared" si="33"/>
        <v>14.76</v>
      </c>
      <c r="K496" s="137"/>
      <c r="L496" s="137"/>
      <c r="M496" s="137"/>
      <c r="N496" s="138"/>
      <c r="O496" s="167"/>
      <c r="P496" s="111"/>
      <c r="Q496" s="111"/>
      <c r="R496" s="111"/>
      <c r="S496" s="111"/>
      <c r="T496" s="111"/>
      <c r="U496" s="111"/>
      <c r="V496" s="111"/>
      <c r="W496" s="111"/>
      <c r="X496" s="111"/>
      <c r="Y496" s="111"/>
      <c r="Z496" s="111"/>
      <c r="AA496" s="111"/>
    </row>
    <row r="497" spans="1:27" s="118" customFormat="1" x14ac:dyDescent="0.2">
      <c r="A497" s="10"/>
      <c r="B497" s="10"/>
      <c r="C497" s="191"/>
      <c r="D497" s="2"/>
      <c r="E497" s="148"/>
      <c r="F497" s="253">
        <v>4</v>
      </c>
      <c r="G497" s="253">
        <v>1</v>
      </c>
      <c r="H497" s="253">
        <v>1</v>
      </c>
      <c r="I497" s="249"/>
      <c r="J497" s="253">
        <f t="shared" si="33"/>
        <v>4</v>
      </c>
      <c r="K497" s="137"/>
      <c r="L497" s="137"/>
      <c r="M497" s="137"/>
      <c r="N497" s="138"/>
      <c r="O497" s="167"/>
      <c r="P497" s="111"/>
      <c r="Q497" s="111"/>
      <c r="R497" s="111"/>
      <c r="S497" s="111"/>
      <c r="T497" s="111"/>
      <c r="U497" s="111"/>
      <c r="V497" s="111"/>
      <c r="W497" s="111"/>
      <c r="X497" s="111"/>
      <c r="Y497" s="111"/>
      <c r="Z497" s="111"/>
      <c r="AA497" s="111"/>
    </row>
    <row r="498" spans="1:27" s="118" customFormat="1" ht="20.399999999999999" x14ac:dyDescent="0.2">
      <c r="A498" s="10"/>
      <c r="B498" s="10"/>
      <c r="C498" s="191"/>
      <c r="D498" s="2" t="s">
        <v>995</v>
      </c>
      <c r="E498" s="148"/>
      <c r="F498" s="253"/>
      <c r="G498" s="253"/>
      <c r="H498" s="253"/>
      <c r="I498" s="366" t="s">
        <v>1080</v>
      </c>
      <c r="J498" s="253"/>
      <c r="K498" s="137"/>
      <c r="L498" s="137"/>
      <c r="M498" s="137"/>
      <c r="N498" s="138"/>
      <c r="O498" s="167"/>
      <c r="P498" s="111"/>
      <c r="Q498" s="111"/>
      <c r="R498" s="111"/>
      <c r="S498" s="111"/>
      <c r="T498" s="111"/>
      <c r="U498" s="111"/>
      <c r="V498" s="111"/>
      <c r="W498" s="111"/>
      <c r="X498" s="111"/>
      <c r="Y498" s="111"/>
      <c r="Z498" s="111"/>
      <c r="AA498" s="111"/>
    </row>
    <row r="499" spans="1:27" s="154" customFormat="1" x14ac:dyDescent="0.2">
      <c r="A499" s="10"/>
      <c r="B499" s="10"/>
      <c r="C499" s="15"/>
      <c r="D499" s="2" t="s">
        <v>1079</v>
      </c>
      <c r="E499" s="148"/>
      <c r="F499" s="253">
        <v>8</v>
      </c>
      <c r="G499" s="253">
        <v>3</v>
      </c>
      <c r="H499" s="253"/>
      <c r="I499" s="249">
        <v>1.2</v>
      </c>
      <c r="J499" s="253">
        <f t="shared" si="33"/>
        <v>28.8</v>
      </c>
      <c r="K499" s="151"/>
      <c r="L499" s="151"/>
      <c r="M499" s="151"/>
      <c r="N499" s="152"/>
      <c r="O499" s="283"/>
      <c r="P499" s="153"/>
      <c r="Q499" s="153"/>
      <c r="R499" s="153"/>
      <c r="S499" s="153"/>
      <c r="T499" s="153"/>
      <c r="U499" s="153"/>
      <c r="V499" s="153"/>
      <c r="W499" s="153"/>
      <c r="X499" s="153"/>
      <c r="Y499" s="153"/>
      <c r="Z499" s="153"/>
      <c r="AA499" s="153"/>
    </row>
    <row r="500" spans="1:27" s="313" customFormat="1" x14ac:dyDescent="0.2">
      <c r="A500" s="10"/>
      <c r="B500" s="10"/>
      <c r="C500" s="15"/>
      <c r="D500" s="396" t="s">
        <v>1081</v>
      </c>
      <c r="E500" s="148"/>
      <c r="F500" s="253">
        <v>2</v>
      </c>
      <c r="G500" s="253">
        <v>8</v>
      </c>
      <c r="H500" s="253"/>
      <c r="I500" s="249">
        <v>1.2</v>
      </c>
      <c r="J500" s="253">
        <f t="shared" si="33"/>
        <v>19.2</v>
      </c>
      <c r="K500" s="136">
        <f>J506</f>
        <v>-12.6</v>
      </c>
      <c r="L500" s="136">
        <f>'COMPOSICOES - SINAPI COM DESON'!G50</f>
        <v>104.48</v>
      </c>
      <c r="M500" s="136">
        <f>ROUND(L500*(1+$Q$5),2)</f>
        <v>132.19999999999999</v>
      </c>
      <c r="N500" s="199">
        <f>TRUNC(K500*M500,2)</f>
        <v>-1665.72</v>
      </c>
      <c r="O500" s="283"/>
      <c r="P500" s="312"/>
      <c r="Q500" s="312" t="s">
        <v>415</v>
      </c>
      <c r="R500" s="312"/>
      <c r="S500" s="312"/>
      <c r="T500" s="312"/>
      <c r="U500" s="312"/>
      <c r="V500" s="312"/>
      <c r="W500" s="312"/>
      <c r="X500" s="312"/>
      <c r="Y500" s="312"/>
      <c r="Z500" s="312"/>
      <c r="AA500" s="312"/>
    </row>
    <row r="501" spans="1:27" s="118" customFormat="1" x14ac:dyDescent="0.2">
      <c r="A501" s="10"/>
      <c r="B501" s="10"/>
      <c r="C501" s="191"/>
      <c r="D501" s="2"/>
      <c r="E501" s="148"/>
      <c r="F501" s="253">
        <v>2</v>
      </c>
      <c r="G501" s="253">
        <v>5.3</v>
      </c>
      <c r="H501" s="253"/>
      <c r="I501" s="249">
        <v>1.2</v>
      </c>
      <c r="J501" s="253">
        <f t="shared" si="33"/>
        <v>12.72</v>
      </c>
      <c r="K501" s="137"/>
      <c r="L501" s="137"/>
      <c r="M501" s="137"/>
      <c r="N501" s="138"/>
      <c r="O501" s="167"/>
      <c r="P501" s="111"/>
      <c r="Q501" s="111"/>
      <c r="R501" s="111"/>
      <c r="S501" s="111"/>
      <c r="T501" s="111"/>
      <c r="U501" s="111"/>
      <c r="V501" s="111"/>
      <c r="W501" s="111"/>
      <c r="X501" s="111"/>
      <c r="Y501" s="111"/>
      <c r="Z501" s="111"/>
      <c r="AA501" s="111"/>
    </row>
    <row r="502" spans="1:27" s="118" customFormat="1" x14ac:dyDescent="0.2">
      <c r="A502" s="10"/>
      <c r="B502" s="10"/>
      <c r="C502" s="191"/>
      <c r="D502" s="2" t="s">
        <v>164</v>
      </c>
      <c r="E502" s="148"/>
      <c r="F502" s="253">
        <v>2</v>
      </c>
      <c r="G502" s="253">
        <v>8.8000000000000007</v>
      </c>
      <c r="H502" s="253"/>
      <c r="I502" s="249">
        <v>3</v>
      </c>
      <c r="J502" s="253">
        <f t="shared" si="33"/>
        <v>52.8</v>
      </c>
      <c r="K502" s="137"/>
      <c r="L502" s="137"/>
      <c r="M502" s="137"/>
      <c r="N502" s="138"/>
      <c r="O502" s="167"/>
      <c r="P502" s="111"/>
      <c r="Q502" s="111"/>
      <c r="R502" s="111"/>
      <c r="S502" s="111"/>
      <c r="T502" s="111"/>
      <c r="U502" s="111"/>
      <c r="V502" s="111"/>
      <c r="W502" s="111"/>
      <c r="X502" s="111"/>
      <c r="Y502" s="111"/>
      <c r="Z502" s="111"/>
      <c r="AA502" s="111"/>
    </row>
    <row r="503" spans="1:27" s="118" customFormat="1" x14ac:dyDescent="0.2">
      <c r="A503" s="10"/>
      <c r="B503" s="10"/>
      <c r="C503" s="191"/>
      <c r="D503" s="2"/>
      <c r="E503" s="148"/>
      <c r="F503" s="253">
        <v>2</v>
      </c>
      <c r="G503" s="253">
        <v>1.5</v>
      </c>
      <c r="H503" s="253"/>
      <c r="I503" s="249">
        <v>2</v>
      </c>
      <c r="J503" s="253">
        <f t="shared" si="33"/>
        <v>6</v>
      </c>
      <c r="K503" s="137"/>
      <c r="L503" s="137"/>
      <c r="M503" s="137"/>
      <c r="N503" s="138"/>
      <c r="O503" s="167"/>
      <c r="P503" s="111"/>
      <c r="Q503" s="111"/>
      <c r="R503" s="111"/>
      <c r="S503" s="111"/>
      <c r="T503" s="111"/>
      <c r="U503" s="111"/>
      <c r="V503" s="111"/>
      <c r="W503" s="111"/>
      <c r="X503" s="111"/>
      <c r="Y503" s="111"/>
      <c r="Z503" s="111"/>
      <c r="AA503" s="111"/>
    </row>
    <row r="504" spans="1:27" s="118" customFormat="1" x14ac:dyDescent="0.2">
      <c r="A504" s="10"/>
      <c r="B504" s="10"/>
      <c r="C504" s="191"/>
      <c r="D504" s="2"/>
      <c r="E504" s="148"/>
      <c r="F504" s="253">
        <v>2</v>
      </c>
      <c r="G504" s="253">
        <v>3</v>
      </c>
      <c r="H504" s="253"/>
      <c r="I504" s="249">
        <v>11.2</v>
      </c>
      <c r="J504" s="253">
        <f t="shared" si="33"/>
        <v>67.2</v>
      </c>
      <c r="K504" s="137"/>
      <c r="L504" s="137"/>
      <c r="M504" s="137"/>
      <c r="N504" s="138"/>
      <c r="O504" s="167"/>
      <c r="P504" s="111"/>
      <c r="Q504" s="111"/>
      <c r="R504" s="111"/>
      <c r="S504" s="111"/>
      <c r="T504" s="111"/>
      <c r="U504" s="111"/>
      <c r="V504" s="111"/>
      <c r="W504" s="111"/>
      <c r="X504" s="111"/>
      <c r="Y504" s="111"/>
      <c r="Z504" s="111"/>
      <c r="AA504" s="111"/>
    </row>
    <row r="505" spans="1:27" s="118" customFormat="1" x14ac:dyDescent="0.2">
      <c r="A505" s="10"/>
      <c r="B505" s="10"/>
      <c r="C505" s="191"/>
      <c r="D505" s="2" t="s">
        <v>1034</v>
      </c>
      <c r="E505" s="148"/>
      <c r="F505" s="253"/>
      <c r="G505" s="253"/>
      <c r="H505" s="253"/>
      <c r="I505" s="249"/>
      <c r="J505" s="253"/>
      <c r="K505" s="137"/>
      <c r="L505" s="137"/>
      <c r="M505" s="137"/>
      <c r="N505" s="138"/>
      <c r="O505" s="167"/>
      <c r="P505" s="111"/>
      <c r="Q505" s="111"/>
      <c r="R505" s="111"/>
      <c r="S505" s="111"/>
      <c r="T505" s="111"/>
      <c r="U505" s="111"/>
      <c r="V505" s="111"/>
      <c r="W505" s="111"/>
      <c r="X505" s="111"/>
      <c r="Y505" s="111"/>
      <c r="Z505" s="111"/>
      <c r="AA505" s="111"/>
    </row>
    <row r="506" spans="1:27" s="118" customFormat="1" x14ac:dyDescent="0.2">
      <c r="A506" s="10"/>
      <c r="B506" s="10"/>
      <c r="C506" s="191"/>
      <c r="D506" s="2" t="s">
        <v>1082</v>
      </c>
      <c r="E506" s="148"/>
      <c r="F506" s="253">
        <v>-1</v>
      </c>
      <c r="G506" s="253"/>
      <c r="H506" s="253">
        <v>6</v>
      </c>
      <c r="I506" s="249">
        <v>2.1</v>
      </c>
      <c r="J506" s="253">
        <f t="shared" ref="J506:J509" si="34">ROUND(PRODUCT(F506:I506),2)</f>
        <v>-12.6</v>
      </c>
      <c r="K506" s="137"/>
      <c r="L506" s="137"/>
      <c r="M506" s="137"/>
      <c r="N506" s="138"/>
      <c r="O506" s="167"/>
      <c r="P506" s="111"/>
      <c r="Q506" s="111"/>
      <c r="R506" s="111"/>
      <c r="S506" s="111"/>
      <c r="T506" s="111"/>
      <c r="U506" s="111"/>
      <c r="V506" s="111"/>
      <c r="W506" s="111"/>
      <c r="X506" s="111"/>
      <c r="Y506" s="111"/>
      <c r="Z506" s="111"/>
      <c r="AA506" s="111"/>
    </row>
    <row r="507" spans="1:27" s="118" customFormat="1" x14ac:dyDescent="0.2">
      <c r="A507" s="10"/>
      <c r="B507" s="10"/>
      <c r="C507" s="191"/>
      <c r="D507" s="2"/>
      <c r="E507" s="148"/>
      <c r="F507" s="253">
        <v>-1</v>
      </c>
      <c r="G507" s="253"/>
      <c r="H507" s="253">
        <v>1.6</v>
      </c>
      <c r="I507" s="249">
        <v>2.1</v>
      </c>
      <c r="J507" s="253">
        <f t="shared" si="34"/>
        <v>-3.36</v>
      </c>
      <c r="K507" s="137"/>
      <c r="L507" s="137"/>
      <c r="M507" s="137"/>
      <c r="N507" s="138"/>
      <c r="O507" s="167"/>
      <c r="P507" s="111"/>
      <c r="Q507" s="111"/>
      <c r="R507" s="111"/>
      <c r="S507" s="111"/>
      <c r="T507" s="111"/>
      <c r="U507" s="111"/>
      <c r="V507" s="111"/>
      <c r="W507" s="111"/>
      <c r="X507" s="111"/>
      <c r="Y507" s="111"/>
      <c r="Z507" s="111"/>
      <c r="AA507" s="111"/>
    </row>
    <row r="508" spans="1:27" s="139" customFormat="1" x14ac:dyDescent="0.2">
      <c r="A508" s="10"/>
      <c r="B508" s="10"/>
      <c r="C508" s="15"/>
      <c r="D508" s="2" t="s">
        <v>1083</v>
      </c>
      <c r="E508" s="148"/>
      <c r="F508" s="253">
        <v>-2</v>
      </c>
      <c r="G508" s="253"/>
      <c r="H508" s="253">
        <v>0.9</v>
      </c>
      <c r="I508" s="249">
        <v>2.1</v>
      </c>
      <c r="J508" s="253">
        <f t="shared" si="34"/>
        <v>-3.78</v>
      </c>
      <c r="K508" s="137"/>
      <c r="L508" s="137"/>
      <c r="M508" s="137"/>
      <c r="N508" s="138"/>
      <c r="O508" s="283"/>
      <c r="P508" s="120"/>
      <c r="Q508" s="120"/>
      <c r="R508" s="120"/>
      <c r="S508" s="120"/>
      <c r="T508" s="120"/>
      <c r="U508" s="120"/>
      <c r="V508" s="120"/>
      <c r="W508" s="120"/>
      <c r="X508" s="120"/>
      <c r="Y508" s="120"/>
      <c r="Z508" s="120"/>
      <c r="AA508" s="120"/>
    </row>
    <row r="509" spans="1:27" s="313" customFormat="1" x14ac:dyDescent="0.2">
      <c r="A509" s="10"/>
      <c r="B509" s="10"/>
      <c r="C509" s="15"/>
      <c r="D509" s="314"/>
      <c r="E509" s="148"/>
      <c r="F509" s="253">
        <v>-2</v>
      </c>
      <c r="G509" s="253"/>
      <c r="H509" s="253">
        <v>0.8</v>
      </c>
      <c r="I509" s="249">
        <v>2.1</v>
      </c>
      <c r="J509" s="253">
        <f t="shared" si="34"/>
        <v>-3.36</v>
      </c>
      <c r="K509" s="136">
        <f>J511</f>
        <v>0</v>
      </c>
      <c r="L509" s="136">
        <v>286.42</v>
      </c>
      <c r="M509" s="136">
        <f>ROUND(L509*(1+$Q$5),2)</f>
        <v>362.41</v>
      </c>
      <c r="N509" s="199">
        <f>TRUNC(K509*M509,2)</f>
        <v>0</v>
      </c>
      <c r="O509" s="283"/>
      <c r="P509" s="312"/>
      <c r="Q509" s="312"/>
      <c r="R509" s="312"/>
      <c r="S509" s="312"/>
      <c r="T509" s="312"/>
      <c r="U509" s="312"/>
      <c r="V509" s="312"/>
      <c r="W509" s="312"/>
      <c r="X509" s="312"/>
      <c r="Y509" s="312"/>
      <c r="Z509" s="312"/>
      <c r="AA509" s="312"/>
    </row>
    <row r="510" spans="1:27" s="118" customFormat="1" x14ac:dyDescent="0.2">
      <c r="A510" s="10"/>
      <c r="B510" s="10"/>
      <c r="C510" s="191"/>
      <c r="D510" s="2"/>
      <c r="E510" s="148"/>
      <c r="F510" s="253"/>
      <c r="G510" s="253"/>
      <c r="H510" s="253"/>
      <c r="I510" s="246" t="str">
        <f>"Total item "&amp;A482</f>
        <v>Total item 7.1.1</v>
      </c>
      <c r="J510" s="261">
        <f>SUM(J484:J509)</f>
        <v>438.87</v>
      </c>
      <c r="K510" s="137"/>
      <c r="L510" s="137"/>
      <c r="M510" s="137"/>
      <c r="N510" s="138"/>
      <c r="O510" s="167"/>
      <c r="P510" s="111"/>
      <c r="Q510" s="111"/>
      <c r="R510" s="111"/>
      <c r="S510" s="111"/>
      <c r="T510" s="111"/>
      <c r="U510" s="111"/>
      <c r="V510" s="111"/>
      <c r="W510" s="111"/>
      <c r="X510" s="111"/>
      <c r="Y510" s="111"/>
      <c r="Z510" s="111"/>
      <c r="AA510" s="111"/>
    </row>
    <row r="511" spans="1:27" s="147" customFormat="1" ht="41.4" customHeight="1" x14ac:dyDescent="0.2">
      <c r="A511" s="9" t="s">
        <v>768</v>
      </c>
      <c r="B511" s="9"/>
      <c r="C511" s="360"/>
      <c r="D511" s="109" t="str">
        <f>'ORÇAMENTO PINTURA'!D51</f>
        <v>PINTURA COM TINTA ALQUÍDICA DE FUNDO E ACABAMENTO (ESMALTE SINTÉTICO GRAFITE) APLICADA A ROLO OU PINCEL SOBRE PERFIL METÁLICO EXECUTADO EM FÁBRICA (POR DEMÃO). AF_01/2020</v>
      </c>
      <c r="E511" s="9"/>
      <c r="F511" s="261"/>
      <c r="G511" s="261"/>
      <c r="H511" s="261"/>
      <c r="I511" s="245"/>
      <c r="J511" s="261"/>
      <c r="K511" s="131"/>
      <c r="L511" s="131"/>
      <c r="M511" s="131"/>
      <c r="N511" s="133"/>
      <c r="O511" s="291"/>
      <c r="P511" s="146"/>
      <c r="Q511" s="146"/>
      <c r="R511" s="146"/>
      <c r="S511" s="146"/>
      <c r="T511" s="146"/>
      <c r="U511" s="146"/>
      <c r="V511" s="146"/>
      <c r="W511" s="146"/>
      <c r="X511" s="146"/>
      <c r="Y511" s="146"/>
      <c r="Z511" s="146"/>
      <c r="AA511" s="146"/>
    </row>
    <row r="512" spans="1:27" s="139" customFormat="1" x14ac:dyDescent="0.2">
      <c r="A512" s="10"/>
      <c r="B512" s="10"/>
      <c r="C512" s="15"/>
      <c r="D512" s="2" t="s">
        <v>1082</v>
      </c>
      <c r="E512" s="148"/>
      <c r="F512" s="253">
        <v>1</v>
      </c>
      <c r="G512" s="253">
        <v>6</v>
      </c>
      <c r="H512" s="253"/>
      <c r="I512" s="249">
        <v>2.1</v>
      </c>
      <c r="J512" s="253">
        <f t="shared" ref="J512:J522" si="35">ROUND(PRODUCT(F512:I512),2)</f>
        <v>12.6</v>
      </c>
      <c r="K512" s="137"/>
      <c r="L512" s="137"/>
      <c r="M512" s="137"/>
      <c r="N512" s="138"/>
      <c r="O512" s="283"/>
      <c r="P512" s="120"/>
      <c r="Q512" s="120"/>
      <c r="R512" s="120"/>
      <c r="S512" s="120"/>
      <c r="T512" s="120"/>
      <c r="U512" s="120"/>
      <c r="V512" s="120"/>
      <c r="W512" s="120"/>
      <c r="X512" s="120"/>
      <c r="Y512" s="120"/>
      <c r="Z512" s="120"/>
      <c r="AA512" s="120"/>
    </row>
    <row r="513" spans="1:27" s="118" customFormat="1" x14ac:dyDescent="0.2">
      <c r="A513" s="10"/>
      <c r="B513" s="10"/>
      <c r="C513" s="15"/>
      <c r="D513" s="2"/>
      <c r="E513" s="148"/>
      <c r="F513" s="253">
        <v>1</v>
      </c>
      <c r="G513" s="253">
        <v>1.6</v>
      </c>
      <c r="H513" s="253"/>
      <c r="I513" s="249">
        <v>2.1</v>
      </c>
      <c r="J513" s="253">
        <f t="shared" si="35"/>
        <v>3.36</v>
      </c>
      <c r="K513" s="137"/>
      <c r="L513" s="137"/>
      <c r="M513" s="137"/>
      <c r="N513" s="199">
        <f>SUM(N516:N518)</f>
        <v>361.37</v>
      </c>
      <c r="O513" s="167"/>
      <c r="P513" s="111"/>
      <c r="Q513" s="111"/>
      <c r="R513" s="111"/>
      <c r="S513" s="111"/>
      <c r="T513" s="111"/>
      <c r="U513" s="111"/>
      <c r="V513" s="111"/>
      <c r="W513" s="111"/>
      <c r="X513" s="111"/>
      <c r="Y513" s="111"/>
      <c r="Z513" s="111"/>
      <c r="AA513" s="111"/>
    </row>
    <row r="514" spans="1:27" s="118" customFormat="1" x14ac:dyDescent="0.2">
      <c r="A514" s="10"/>
      <c r="B514" s="10"/>
      <c r="C514" s="15"/>
      <c r="D514" s="2"/>
      <c r="E514" s="148"/>
      <c r="F514" s="253"/>
      <c r="G514" s="253"/>
      <c r="H514" s="253"/>
      <c r="I514" s="249" t="s">
        <v>1084</v>
      </c>
      <c r="J514" s="253"/>
      <c r="K514" s="137"/>
      <c r="L514" s="137"/>
      <c r="M514" s="137"/>
      <c r="N514" s="199"/>
      <c r="O514" s="167"/>
      <c r="P514" s="111"/>
      <c r="Q514" s="111"/>
      <c r="R514" s="111"/>
      <c r="S514" s="111"/>
      <c r="T514" s="111"/>
      <c r="U514" s="111"/>
      <c r="V514" s="111"/>
      <c r="W514" s="111"/>
      <c r="X514" s="111"/>
      <c r="Y514" s="111"/>
      <c r="Z514" s="111"/>
      <c r="AA514" s="111"/>
    </row>
    <row r="515" spans="1:27" s="139" customFormat="1" x14ac:dyDescent="0.2">
      <c r="A515" s="10"/>
      <c r="B515" s="10"/>
      <c r="C515" s="15"/>
      <c r="D515" s="2" t="s">
        <v>1085</v>
      </c>
      <c r="E515" s="148"/>
      <c r="F515" s="253">
        <v>11</v>
      </c>
      <c r="G515" s="253">
        <v>1</v>
      </c>
      <c r="H515" s="253">
        <v>0.25</v>
      </c>
      <c r="I515" s="250"/>
      <c r="J515" s="253">
        <f t="shared" si="35"/>
        <v>2.75</v>
      </c>
      <c r="K515" s="137"/>
      <c r="L515" s="137"/>
      <c r="M515" s="137"/>
      <c r="N515" s="138"/>
      <c r="O515" s="283"/>
      <c r="P515" s="120"/>
      <c r="Q515" s="120"/>
      <c r="R515" s="120"/>
      <c r="S515" s="120"/>
      <c r="T515" s="120"/>
      <c r="U515" s="120"/>
      <c r="V515" s="120"/>
      <c r="W515" s="120"/>
      <c r="X515" s="120"/>
      <c r="Y515" s="120"/>
      <c r="Z515" s="120"/>
      <c r="AA515" s="120"/>
    </row>
    <row r="516" spans="1:27" s="313" customFormat="1" x14ac:dyDescent="0.2">
      <c r="A516" s="10"/>
      <c r="B516" s="10"/>
      <c r="C516" s="15"/>
      <c r="D516" s="314"/>
      <c r="E516" s="148"/>
      <c r="F516" s="253">
        <v>1</v>
      </c>
      <c r="G516" s="253">
        <v>2</v>
      </c>
      <c r="H516" s="253">
        <v>0.25</v>
      </c>
      <c r="I516" s="250"/>
      <c r="J516" s="253">
        <f t="shared" si="35"/>
        <v>0.5</v>
      </c>
      <c r="K516" s="136">
        <f>J518</f>
        <v>2.46</v>
      </c>
      <c r="L516" s="136">
        <v>116.1</v>
      </c>
      <c r="M516" s="136">
        <f>ROUND(L516*(1+$Q$5),2)</f>
        <v>146.9</v>
      </c>
      <c r="N516" s="199">
        <f>TRUNC(K516*M516,2)</f>
        <v>361.37</v>
      </c>
      <c r="O516" s="283"/>
      <c r="P516" s="312"/>
      <c r="Q516" s="312"/>
      <c r="R516" s="312"/>
      <c r="S516" s="312"/>
      <c r="T516" s="312"/>
      <c r="U516" s="312"/>
      <c r="V516" s="312"/>
      <c r="W516" s="312"/>
      <c r="X516" s="312"/>
      <c r="Y516" s="312"/>
      <c r="Z516" s="312"/>
      <c r="AA516" s="312"/>
    </row>
    <row r="517" spans="1:27" s="118" customFormat="1" x14ac:dyDescent="0.2">
      <c r="A517" s="10"/>
      <c r="B517" s="10"/>
      <c r="C517" s="191"/>
      <c r="D517" s="2"/>
      <c r="E517" s="148"/>
      <c r="F517" s="253">
        <v>6</v>
      </c>
      <c r="G517" s="253">
        <v>0.4</v>
      </c>
      <c r="H517" s="253">
        <v>0.25</v>
      </c>
      <c r="I517" s="250"/>
      <c r="J517" s="253">
        <f t="shared" si="35"/>
        <v>0.6</v>
      </c>
      <c r="K517" s="137"/>
      <c r="L517" s="137"/>
      <c r="M517" s="137"/>
      <c r="N517" s="138"/>
      <c r="O517" s="167"/>
      <c r="P517" s="111"/>
      <c r="Q517" s="111"/>
      <c r="R517" s="111"/>
      <c r="S517" s="111"/>
      <c r="T517" s="111"/>
      <c r="U517" s="111"/>
      <c r="V517" s="111"/>
      <c r="W517" s="111"/>
      <c r="X517" s="111"/>
      <c r="Y517" s="111"/>
      <c r="Z517" s="111"/>
      <c r="AA517" s="111"/>
    </row>
    <row r="518" spans="1:27" s="118" customFormat="1" x14ac:dyDescent="0.2">
      <c r="A518" s="10"/>
      <c r="B518" s="10"/>
      <c r="C518" s="191"/>
      <c r="D518" s="2" t="s">
        <v>1086</v>
      </c>
      <c r="E518" s="148"/>
      <c r="F518" s="253"/>
      <c r="G518" s="253">
        <v>4.0999999999999996</v>
      </c>
      <c r="H518" s="253">
        <v>0.6</v>
      </c>
      <c r="I518" s="250"/>
      <c r="J518" s="253">
        <f t="shared" si="35"/>
        <v>2.46</v>
      </c>
      <c r="K518" s="137"/>
      <c r="L518" s="137"/>
      <c r="M518" s="137"/>
      <c r="N518" s="138"/>
      <c r="O518" s="167"/>
      <c r="P518" s="111"/>
      <c r="Q518" s="111"/>
      <c r="R518" s="111"/>
      <c r="S518" s="111"/>
      <c r="T518" s="111"/>
      <c r="U518" s="111"/>
      <c r="V518" s="111"/>
      <c r="W518" s="111"/>
      <c r="X518" s="111"/>
      <c r="Y518" s="111"/>
      <c r="Z518" s="111"/>
      <c r="AA518" s="111"/>
    </row>
    <row r="519" spans="1:27" s="139" customFormat="1" x14ac:dyDescent="0.2">
      <c r="A519" s="10"/>
      <c r="B519" s="10"/>
      <c r="C519" s="15"/>
      <c r="D519" s="108"/>
      <c r="E519" s="148"/>
      <c r="F519" s="253">
        <v>4</v>
      </c>
      <c r="G519" s="253">
        <v>3</v>
      </c>
      <c r="H519" s="253">
        <v>0.6</v>
      </c>
      <c r="I519" s="250"/>
      <c r="J519" s="253">
        <f t="shared" si="35"/>
        <v>7.2</v>
      </c>
      <c r="K519" s="137"/>
      <c r="L519" s="137"/>
      <c r="M519" s="137"/>
      <c r="N519" s="138"/>
      <c r="O519" s="283"/>
      <c r="P519" s="120"/>
      <c r="Q519" s="120"/>
      <c r="R519" s="120"/>
      <c r="S519" s="120"/>
      <c r="T519" s="120"/>
      <c r="U519" s="120"/>
      <c r="V519" s="120"/>
      <c r="W519" s="120"/>
      <c r="X519" s="120"/>
      <c r="Y519" s="120"/>
      <c r="Z519" s="120"/>
      <c r="AA519" s="120"/>
    </row>
    <row r="520" spans="1:27" s="118" customFormat="1" x14ac:dyDescent="0.2">
      <c r="A520" s="10"/>
      <c r="B520" s="10"/>
      <c r="C520" s="15"/>
      <c r="D520" s="108"/>
      <c r="E520" s="148"/>
      <c r="F520" s="253">
        <v>3</v>
      </c>
      <c r="G520" s="253">
        <v>2.8</v>
      </c>
      <c r="H520" s="253">
        <v>0.6</v>
      </c>
      <c r="I520" s="250"/>
      <c r="J520" s="253">
        <f t="shared" si="35"/>
        <v>5.04</v>
      </c>
      <c r="K520" s="137"/>
      <c r="L520" s="137"/>
      <c r="M520" s="137"/>
      <c r="N520" s="199">
        <f>SUM(N522:N523)</f>
        <v>288.87</v>
      </c>
      <c r="O520" s="167"/>
      <c r="P520" s="111"/>
      <c r="Q520" s="111"/>
      <c r="R520" s="111"/>
      <c r="S520" s="111"/>
      <c r="T520" s="111"/>
      <c r="U520" s="111"/>
      <c r="V520" s="111"/>
      <c r="W520" s="111"/>
      <c r="X520" s="111"/>
      <c r="Y520" s="111"/>
      <c r="Z520" s="111"/>
      <c r="AA520" s="111"/>
    </row>
    <row r="521" spans="1:27" s="139" customFormat="1" x14ac:dyDescent="0.2">
      <c r="A521" s="10"/>
      <c r="B521" s="10"/>
      <c r="C521" s="15"/>
      <c r="D521" s="108"/>
      <c r="E521" s="148"/>
      <c r="F521" s="253">
        <v>1</v>
      </c>
      <c r="G521" s="253">
        <v>2.2000000000000002</v>
      </c>
      <c r="H521" s="253">
        <v>0.8</v>
      </c>
      <c r="I521" s="250"/>
      <c r="J521" s="253">
        <f t="shared" si="35"/>
        <v>1.76</v>
      </c>
      <c r="K521" s="137"/>
      <c r="L521" s="137"/>
      <c r="M521" s="137"/>
      <c r="N521" s="138"/>
      <c r="O521" s="283"/>
      <c r="P521" s="120"/>
      <c r="Q521" s="120"/>
      <c r="R521" s="120"/>
      <c r="S521" s="120"/>
      <c r="T521" s="120"/>
      <c r="U521" s="120"/>
      <c r="V521" s="120"/>
      <c r="W521" s="120"/>
      <c r="X521" s="120"/>
      <c r="Y521" s="120"/>
      <c r="Z521" s="120"/>
      <c r="AA521" s="120"/>
    </row>
    <row r="522" spans="1:27" s="313" customFormat="1" x14ac:dyDescent="0.2">
      <c r="A522" s="10"/>
      <c r="B522" s="10"/>
      <c r="C522" s="15"/>
      <c r="D522" s="108"/>
      <c r="E522" s="148"/>
      <c r="F522" s="253">
        <v>1</v>
      </c>
      <c r="G522" s="253"/>
      <c r="H522" s="253">
        <v>3.14</v>
      </c>
      <c r="I522" s="250"/>
      <c r="J522" s="253">
        <f t="shared" si="35"/>
        <v>3.14</v>
      </c>
      <c r="K522" s="136">
        <f>J523</f>
        <v>39.410000000000004</v>
      </c>
      <c r="L522" s="136">
        <f>'COMPOSICOES - SINAPI COM DESON'!G18</f>
        <v>5.79</v>
      </c>
      <c r="M522" s="136">
        <f>ROUND(L522*(1+$Q$5),2)</f>
        <v>7.33</v>
      </c>
      <c r="N522" s="199">
        <f>TRUNC(K522*M522,2)</f>
        <v>288.87</v>
      </c>
      <c r="O522" s="283"/>
      <c r="P522" s="312"/>
      <c r="Q522" s="312"/>
      <c r="R522" s="312"/>
      <c r="S522" s="312"/>
      <c r="T522" s="312"/>
      <c r="U522" s="312"/>
      <c r="V522" s="312"/>
      <c r="W522" s="312"/>
      <c r="X522" s="312"/>
      <c r="Y522" s="312"/>
      <c r="Z522" s="312"/>
      <c r="AA522" s="312"/>
    </row>
    <row r="523" spans="1:27" s="118" customFormat="1" x14ac:dyDescent="0.2">
      <c r="A523" s="6"/>
      <c r="B523" s="6"/>
      <c r="C523" s="156"/>
      <c r="D523" s="108"/>
      <c r="E523" s="148"/>
      <c r="F523" s="253"/>
      <c r="G523" s="253"/>
      <c r="H523" s="253"/>
      <c r="I523" s="246" t="str">
        <f>"Total item "&amp;A511</f>
        <v>Total item 7.1.2</v>
      </c>
      <c r="J523" s="261">
        <f>SUM(J512:J522)</f>
        <v>39.410000000000004</v>
      </c>
      <c r="K523" s="137"/>
      <c r="L523" s="137"/>
      <c r="M523" s="137"/>
      <c r="N523" s="138"/>
      <c r="O523" s="123"/>
      <c r="P523" s="111"/>
      <c r="Q523" s="111"/>
      <c r="R523" s="111"/>
      <c r="S523" s="111"/>
      <c r="T523" s="111"/>
      <c r="U523" s="111"/>
      <c r="V523" s="111"/>
      <c r="W523" s="111"/>
      <c r="X523" s="111"/>
      <c r="Y523" s="111"/>
      <c r="Z523" s="111"/>
      <c r="AA523" s="111"/>
    </row>
    <row r="524" spans="1:27" s="147" customFormat="1" ht="20.399999999999999" x14ac:dyDescent="0.2">
      <c r="A524" s="9" t="s">
        <v>769</v>
      </c>
      <c r="B524" s="9"/>
      <c r="C524" s="13"/>
      <c r="D524" s="113" t="str">
        <f>'ORÇAMENTO PINTURA'!D52</f>
        <v>APLICAÇÃO MANUAL DE PINTURA COM TINTA LÁTEX ACRÍLICA EM PAREDES, DUAS DEMÃOS. AF_06/2014</v>
      </c>
      <c r="E524" s="184"/>
      <c r="F524" s="338"/>
      <c r="G524" s="338"/>
      <c r="H524" s="338"/>
      <c r="I524" s="257"/>
      <c r="J524" s="338"/>
      <c r="K524" s="131">
        <f>J531</f>
        <v>7.2</v>
      </c>
      <c r="L524" s="131">
        <v>73.44</v>
      </c>
      <c r="M524" s="131">
        <f>ROUND(L524*(1+$Q$5),2)</f>
        <v>92.92</v>
      </c>
      <c r="N524" s="133">
        <f>TRUNC(K524*M524,2)</f>
        <v>669.02</v>
      </c>
      <c r="O524" s="286"/>
      <c r="P524" s="146"/>
      <c r="Q524" s="146"/>
      <c r="R524" s="146"/>
      <c r="S524" s="146"/>
      <c r="T524" s="146"/>
      <c r="U524" s="146"/>
      <c r="V524" s="146"/>
      <c r="W524" s="146"/>
      <c r="X524" s="146"/>
      <c r="Y524" s="146"/>
      <c r="Z524" s="146"/>
      <c r="AA524" s="146"/>
    </row>
    <row r="525" spans="1:27" s="118" customFormat="1" x14ac:dyDescent="0.2">
      <c r="A525" s="10"/>
      <c r="B525" s="10"/>
      <c r="C525" s="191"/>
      <c r="D525" s="2" t="s">
        <v>1070</v>
      </c>
      <c r="E525" s="2"/>
      <c r="F525" s="253"/>
      <c r="G525" s="253"/>
      <c r="H525" s="253"/>
      <c r="I525" s="249"/>
      <c r="J525" s="253"/>
      <c r="K525" s="137"/>
      <c r="L525" s="137"/>
      <c r="M525" s="137"/>
      <c r="N525" s="138"/>
      <c r="O525" s="167"/>
      <c r="P525" s="111"/>
      <c r="Q525" s="111"/>
      <c r="R525" s="111"/>
      <c r="S525" s="111"/>
      <c r="T525" s="111"/>
      <c r="U525" s="111"/>
      <c r="V525" s="111"/>
      <c r="W525" s="111"/>
      <c r="X525" s="111"/>
      <c r="Y525" s="111"/>
      <c r="Z525" s="111"/>
      <c r="AA525" s="111"/>
    </row>
    <row r="526" spans="1:27" s="118" customFormat="1" x14ac:dyDescent="0.2">
      <c r="A526" s="10"/>
      <c r="B526" s="10"/>
      <c r="C526" s="191"/>
      <c r="D526" s="2" t="s">
        <v>1052</v>
      </c>
      <c r="E526" s="148"/>
      <c r="F526" s="253">
        <v>1</v>
      </c>
      <c r="G526" s="253">
        <v>15.5</v>
      </c>
      <c r="H526" s="253"/>
      <c r="I526" s="249">
        <v>3.5</v>
      </c>
      <c r="J526" s="253">
        <f t="shared" ref="J526:J527" si="36">ROUND(PRODUCT(F526:I526),2)</f>
        <v>54.25</v>
      </c>
      <c r="K526" s="137"/>
      <c r="L526" s="137"/>
      <c r="M526" s="137"/>
      <c r="N526" s="138"/>
      <c r="O526" s="167"/>
      <c r="P526" s="111"/>
      <c r="Q526" s="111"/>
      <c r="R526" s="111"/>
      <c r="S526" s="111"/>
      <c r="T526" s="111"/>
      <c r="U526" s="111"/>
      <c r="V526" s="111"/>
      <c r="W526" s="111"/>
      <c r="X526" s="111"/>
      <c r="Y526" s="111"/>
      <c r="Z526" s="111"/>
      <c r="AA526" s="111"/>
    </row>
    <row r="527" spans="1:27" s="118" customFormat="1" x14ac:dyDescent="0.2">
      <c r="A527" s="10"/>
      <c r="B527" s="10"/>
      <c r="C527" s="191"/>
      <c r="D527" s="108"/>
      <c r="E527" s="148"/>
      <c r="F527" s="253">
        <v>1</v>
      </c>
      <c r="G527" s="253">
        <v>15.5</v>
      </c>
      <c r="H527" s="253"/>
      <c r="I527" s="249">
        <v>5.3</v>
      </c>
      <c r="J527" s="253">
        <f t="shared" si="36"/>
        <v>82.15</v>
      </c>
      <c r="K527" s="137"/>
      <c r="L527" s="137"/>
      <c r="M527" s="137"/>
      <c r="N527" s="138"/>
      <c r="O527" s="167"/>
      <c r="P527" s="111"/>
      <c r="Q527" s="111"/>
      <c r="R527" s="111"/>
      <c r="S527" s="111"/>
      <c r="T527" s="111"/>
      <c r="U527" s="111"/>
      <c r="V527" s="111"/>
      <c r="W527" s="111"/>
      <c r="X527" s="111"/>
      <c r="Y527" s="111"/>
      <c r="Z527" s="111"/>
      <c r="AA527" s="111"/>
    </row>
    <row r="528" spans="1:27" s="118" customFormat="1" ht="30.6" x14ac:dyDescent="0.2">
      <c r="A528" s="10"/>
      <c r="B528" s="10"/>
      <c r="C528" s="191"/>
      <c r="D528" s="108"/>
      <c r="E528" s="148"/>
      <c r="F528" s="253"/>
      <c r="G528" s="253"/>
      <c r="H528" s="253"/>
      <c r="I528" s="366" t="s">
        <v>1072</v>
      </c>
      <c r="J528" s="253"/>
      <c r="K528" s="137"/>
      <c r="L528" s="137"/>
      <c r="M528" s="137"/>
      <c r="N528" s="138"/>
      <c r="O528" s="167"/>
      <c r="P528" s="111"/>
      <c r="Q528" s="111"/>
      <c r="R528" s="111"/>
      <c r="S528" s="111"/>
      <c r="T528" s="111"/>
      <c r="U528" s="111"/>
      <c r="V528" s="111"/>
      <c r="W528" s="111"/>
      <c r="X528" s="111"/>
      <c r="Y528" s="111"/>
      <c r="Z528" s="111"/>
      <c r="AA528" s="111"/>
    </row>
    <row r="529" spans="1:27" s="118" customFormat="1" x14ac:dyDescent="0.2">
      <c r="A529" s="10"/>
      <c r="B529" s="10"/>
      <c r="C529" s="191"/>
      <c r="D529" s="396" t="s">
        <v>1071</v>
      </c>
      <c r="E529" s="148"/>
      <c r="F529" s="253">
        <v>2</v>
      </c>
      <c r="G529" s="253">
        <v>8.15</v>
      </c>
      <c r="H529" s="253"/>
      <c r="I529" s="249">
        <f>(3.5+5.3)/2</f>
        <v>4.4000000000000004</v>
      </c>
      <c r="J529" s="253">
        <f t="shared" ref="J529:J539" si="37">ROUND(PRODUCT(F529:I529),2)</f>
        <v>71.72</v>
      </c>
      <c r="K529" s="137"/>
      <c r="L529" s="137"/>
      <c r="M529" s="137"/>
      <c r="N529" s="138"/>
      <c r="O529" s="167"/>
      <c r="P529" s="111"/>
      <c r="Q529" s="111"/>
      <c r="R529" s="111"/>
      <c r="S529" s="111"/>
      <c r="T529" s="111"/>
      <c r="U529" s="111"/>
      <c r="V529" s="111"/>
      <c r="W529" s="111"/>
      <c r="X529" s="111"/>
      <c r="Y529" s="111"/>
      <c r="Z529" s="111"/>
      <c r="AA529" s="111"/>
    </row>
    <row r="530" spans="1:27" s="118" customFormat="1" x14ac:dyDescent="0.2">
      <c r="A530" s="10"/>
      <c r="B530" s="10"/>
      <c r="C530" s="191"/>
      <c r="D530" s="2" t="s">
        <v>1073</v>
      </c>
      <c r="E530" s="148"/>
      <c r="F530" s="253"/>
      <c r="G530" s="253"/>
      <c r="H530" s="253"/>
      <c r="I530" s="249"/>
      <c r="J530" s="253">
        <f t="shared" si="37"/>
        <v>0</v>
      </c>
      <c r="K530" s="137"/>
      <c r="L530" s="137"/>
      <c r="M530" s="137"/>
      <c r="N530" s="138"/>
      <c r="O530" s="167"/>
      <c r="P530" s="111"/>
      <c r="Q530" s="111"/>
      <c r="R530" s="111"/>
      <c r="S530" s="111"/>
      <c r="T530" s="111"/>
      <c r="U530" s="111"/>
      <c r="V530" s="111"/>
      <c r="W530" s="111"/>
      <c r="X530" s="111"/>
      <c r="Y530" s="111"/>
      <c r="Z530" s="111"/>
      <c r="AA530" s="111"/>
    </row>
    <row r="531" spans="1:27" s="118" customFormat="1" x14ac:dyDescent="0.2">
      <c r="A531" s="10"/>
      <c r="B531" s="10"/>
      <c r="C531" s="190"/>
      <c r="D531" s="2" t="s">
        <v>1074</v>
      </c>
      <c r="E531" s="148"/>
      <c r="F531" s="253">
        <v>6</v>
      </c>
      <c r="G531" s="253">
        <v>2</v>
      </c>
      <c r="H531" s="253">
        <v>0.6</v>
      </c>
      <c r="I531" s="249"/>
      <c r="J531" s="253">
        <f t="shared" si="37"/>
        <v>7.2</v>
      </c>
      <c r="K531" s="137"/>
      <c r="L531" s="137"/>
      <c r="M531" s="137"/>
      <c r="N531" s="138"/>
      <c r="O531" s="167"/>
      <c r="P531" s="111"/>
      <c r="Q531" s="111"/>
      <c r="R531" s="111"/>
      <c r="S531" s="111"/>
      <c r="T531" s="111"/>
      <c r="U531" s="111"/>
      <c r="V531" s="111"/>
      <c r="W531" s="111"/>
      <c r="X531" s="111"/>
      <c r="Y531" s="111"/>
      <c r="Z531" s="111"/>
      <c r="AA531" s="111"/>
    </row>
    <row r="532" spans="1:27" s="154" customFormat="1" x14ac:dyDescent="0.2">
      <c r="A532" s="10"/>
      <c r="B532" s="10"/>
      <c r="C532" s="15"/>
      <c r="D532" s="2" t="s">
        <v>1075</v>
      </c>
      <c r="E532" s="148"/>
      <c r="F532" s="253">
        <v>3</v>
      </c>
      <c r="G532" s="253">
        <v>5.3</v>
      </c>
      <c r="H532" s="253"/>
      <c r="I532" s="249">
        <v>1.05</v>
      </c>
      <c r="J532" s="253">
        <f t="shared" si="37"/>
        <v>16.7</v>
      </c>
      <c r="K532" s="151"/>
      <c r="L532" s="151"/>
      <c r="M532" s="151"/>
      <c r="N532" s="152"/>
      <c r="O532" s="283"/>
      <c r="P532" s="153"/>
      <c r="Q532" s="153"/>
      <c r="R532" s="153"/>
      <c r="S532" s="153"/>
      <c r="T532" s="153"/>
      <c r="U532" s="153"/>
      <c r="V532" s="153"/>
      <c r="W532" s="153"/>
      <c r="X532" s="153"/>
      <c r="Y532" s="153"/>
      <c r="Z532" s="153"/>
      <c r="AA532" s="153"/>
    </row>
    <row r="533" spans="1:27" s="147" customFormat="1" x14ac:dyDescent="0.2">
      <c r="A533" s="10"/>
      <c r="B533" s="184"/>
      <c r="C533" s="185"/>
      <c r="D533" s="108"/>
      <c r="E533" s="148"/>
      <c r="F533" s="253">
        <v>3</v>
      </c>
      <c r="G533" s="253">
        <v>4.7</v>
      </c>
      <c r="H533" s="253"/>
      <c r="I533" s="249">
        <v>0.7</v>
      </c>
      <c r="J533" s="253">
        <f t="shared" si="37"/>
        <v>9.8699999999999992</v>
      </c>
      <c r="K533" s="131">
        <f>J536</f>
        <v>4.5</v>
      </c>
      <c r="L533" s="131" t="e">
        <f>'COMPOSICOES - SINAPI COM DESON'!G36</f>
        <v>#VALUE!</v>
      </c>
      <c r="M533" s="131" t="e">
        <f>ROUND(L533*(1+$Q$5),2)</f>
        <v>#VALUE!</v>
      </c>
      <c r="N533" s="133" t="e">
        <f>TRUNC(K533*M533,2)</f>
        <v>#VALUE!</v>
      </c>
      <c r="O533" s="286"/>
      <c r="P533" s="146"/>
      <c r="Q533" s="146"/>
      <c r="R533" s="146"/>
      <c r="S533" s="146"/>
      <c r="T533" s="146"/>
      <c r="U533" s="146"/>
      <c r="V533" s="146"/>
      <c r="W533" s="146"/>
      <c r="X533" s="146"/>
      <c r="Y533" s="146"/>
      <c r="Z533" s="146"/>
      <c r="AA533" s="146"/>
    </row>
    <row r="534" spans="1:27" s="118" customFormat="1" x14ac:dyDescent="0.2">
      <c r="A534" s="10"/>
      <c r="B534" s="10"/>
      <c r="C534" s="191"/>
      <c r="D534" s="396" t="s">
        <v>1076</v>
      </c>
      <c r="E534" s="148"/>
      <c r="F534" s="253">
        <v>2</v>
      </c>
      <c r="G534" s="253"/>
      <c r="H534" s="253">
        <v>1</v>
      </c>
      <c r="I534" s="249">
        <v>1.7</v>
      </c>
      <c r="J534" s="253">
        <f t="shared" si="37"/>
        <v>3.4</v>
      </c>
      <c r="K534" s="137"/>
      <c r="L534" s="137"/>
      <c r="M534" s="137"/>
      <c r="N534" s="138"/>
      <c r="O534" s="167"/>
      <c r="P534" s="111"/>
      <c r="Q534" s="111"/>
      <c r="R534" s="111"/>
      <c r="S534" s="111"/>
      <c r="T534" s="111"/>
      <c r="U534" s="111"/>
      <c r="V534" s="111"/>
      <c r="W534" s="111"/>
      <c r="X534" s="111"/>
      <c r="Y534" s="111"/>
      <c r="Z534" s="111"/>
      <c r="AA534" s="111"/>
    </row>
    <row r="535" spans="1:27" s="118" customFormat="1" x14ac:dyDescent="0.2">
      <c r="A535" s="10"/>
      <c r="B535" s="10"/>
      <c r="C535" s="191"/>
      <c r="D535" s="2"/>
      <c r="E535" s="148"/>
      <c r="F535" s="253">
        <v>2</v>
      </c>
      <c r="G535" s="253"/>
      <c r="H535" s="253">
        <v>1</v>
      </c>
      <c r="I535" s="249">
        <v>2.5499999999999998</v>
      </c>
      <c r="J535" s="253">
        <f t="shared" si="37"/>
        <v>5.0999999999999996</v>
      </c>
      <c r="K535" s="137"/>
      <c r="L535" s="137"/>
      <c r="M535" s="137"/>
      <c r="N535" s="138"/>
      <c r="O535" s="167"/>
      <c r="P535" s="111"/>
      <c r="Q535" s="111"/>
      <c r="R535" s="111"/>
      <c r="S535" s="111"/>
      <c r="T535" s="111"/>
      <c r="U535" s="111"/>
      <c r="V535" s="111"/>
      <c r="W535" s="111"/>
      <c r="X535" s="111"/>
      <c r="Y535" s="111"/>
      <c r="Z535" s="111"/>
      <c r="AA535" s="111"/>
    </row>
    <row r="536" spans="1:27" s="118" customFormat="1" x14ac:dyDescent="0.2">
      <c r="A536" s="10"/>
      <c r="B536" s="10"/>
      <c r="C536" s="190"/>
      <c r="D536" s="2"/>
      <c r="E536" s="148"/>
      <c r="F536" s="253">
        <v>2</v>
      </c>
      <c r="G536" s="253"/>
      <c r="H536" s="253">
        <v>1</v>
      </c>
      <c r="I536" s="249">
        <v>2.25</v>
      </c>
      <c r="J536" s="253">
        <f t="shared" si="37"/>
        <v>4.5</v>
      </c>
      <c r="K536" s="137"/>
      <c r="L536" s="137"/>
      <c r="M536" s="137"/>
      <c r="N536" s="138"/>
      <c r="O536" s="167"/>
      <c r="P536" s="111"/>
      <c r="Q536" s="111"/>
      <c r="R536" s="111"/>
      <c r="S536" s="111"/>
      <c r="T536" s="111"/>
      <c r="U536" s="111"/>
      <c r="V536" s="111"/>
      <c r="W536" s="111"/>
      <c r="X536" s="111"/>
      <c r="Y536" s="111"/>
      <c r="Z536" s="111"/>
      <c r="AA536" s="111"/>
    </row>
    <row r="537" spans="1:27" s="139" customFormat="1" x14ac:dyDescent="0.2">
      <c r="A537" s="10"/>
      <c r="B537" s="10"/>
      <c r="C537" s="15"/>
      <c r="D537" s="2" t="s">
        <v>1077</v>
      </c>
      <c r="E537" s="148"/>
      <c r="F537" s="253">
        <v>2</v>
      </c>
      <c r="G537" s="253">
        <v>2</v>
      </c>
      <c r="H537" s="253">
        <v>0.4</v>
      </c>
      <c r="I537" s="249"/>
      <c r="J537" s="253">
        <f t="shared" si="37"/>
        <v>1.6</v>
      </c>
      <c r="K537" s="137"/>
      <c r="L537" s="137"/>
      <c r="M537" s="137"/>
      <c r="N537" s="138"/>
      <c r="O537" s="283"/>
      <c r="P537" s="120"/>
      <c r="Q537" s="120"/>
      <c r="R537" s="120"/>
      <c r="S537" s="120"/>
      <c r="T537" s="120"/>
      <c r="U537" s="120"/>
      <c r="V537" s="120"/>
      <c r="W537" s="120"/>
      <c r="X537" s="120"/>
      <c r="Y537" s="120"/>
      <c r="Z537" s="120"/>
      <c r="AA537" s="120"/>
    </row>
    <row r="538" spans="1:27" s="147" customFormat="1" x14ac:dyDescent="0.2">
      <c r="A538" s="10"/>
      <c r="B538" s="184"/>
      <c r="C538" s="185"/>
      <c r="D538" s="2" t="s">
        <v>1078</v>
      </c>
      <c r="E538" s="148"/>
      <c r="F538" s="253">
        <v>4</v>
      </c>
      <c r="G538" s="253">
        <v>8.1999999999999993</v>
      </c>
      <c r="H538" s="253">
        <v>0.45</v>
      </c>
      <c r="I538" s="249"/>
      <c r="J538" s="253">
        <f t="shared" si="37"/>
        <v>14.76</v>
      </c>
      <c r="K538" s="131">
        <f>J541</f>
        <v>28.8</v>
      </c>
      <c r="L538" s="131">
        <v>116.08</v>
      </c>
      <c r="M538" s="131">
        <f>ROUND(L538*(1+$Q$5),2)</f>
        <v>146.88</v>
      </c>
      <c r="N538" s="133">
        <f>TRUNC(K538*M538,2)</f>
        <v>4230.1400000000003</v>
      </c>
      <c r="O538" s="286"/>
      <c r="P538" s="146"/>
      <c r="Q538" s="146"/>
      <c r="R538" s="146"/>
      <c r="S538" s="146"/>
      <c r="T538" s="146"/>
      <c r="U538" s="146"/>
      <c r="V538" s="146"/>
      <c r="W538" s="146"/>
      <c r="X538" s="146"/>
      <c r="Y538" s="146"/>
      <c r="Z538" s="146"/>
      <c r="AA538" s="146"/>
    </row>
    <row r="539" spans="1:27" s="118" customFormat="1" x14ac:dyDescent="0.2">
      <c r="A539" s="10"/>
      <c r="B539" s="10"/>
      <c r="C539" s="191"/>
      <c r="D539" s="2"/>
      <c r="E539" s="148"/>
      <c r="F539" s="253">
        <v>4</v>
      </c>
      <c r="G539" s="253">
        <v>1</v>
      </c>
      <c r="H539" s="253">
        <v>1</v>
      </c>
      <c r="I539" s="249"/>
      <c r="J539" s="253">
        <f t="shared" si="37"/>
        <v>4</v>
      </c>
      <c r="K539" s="137"/>
      <c r="L539" s="137"/>
      <c r="M539" s="137"/>
      <c r="N539" s="138"/>
      <c r="O539" s="167"/>
      <c r="P539" s="111"/>
      <c r="Q539" s="111"/>
      <c r="R539" s="111"/>
      <c r="S539" s="111"/>
      <c r="T539" s="111"/>
      <c r="U539" s="111"/>
      <c r="V539" s="111"/>
      <c r="W539" s="111"/>
      <c r="X539" s="111"/>
      <c r="Y539" s="111"/>
      <c r="Z539" s="111"/>
      <c r="AA539" s="111"/>
    </row>
    <row r="540" spans="1:27" s="118" customFormat="1" ht="20.399999999999999" x14ac:dyDescent="0.2">
      <c r="A540" s="10"/>
      <c r="B540" s="10"/>
      <c r="C540" s="191"/>
      <c r="D540" s="2" t="s">
        <v>995</v>
      </c>
      <c r="E540" s="148"/>
      <c r="F540" s="253"/>
      <c r="G540" s="253"/>
      <c r="H540" s="253"/>
      <c r="I540" s="366" t="s">
        <v>1080</v>
      </c>
      <c r="J540" s="253"/>
      <c r="K540" s="137"/>
      <c r="L540" s="137"/>
      <c r="M540" s="137"/>
      <c r="N540" s="138"/>
      <c r="O540" s="167"/>
      <c r="P540" s="111"/>
      <c r="Q540" s="111"/>
      <c r="R540" s="111"/>
      <c r="S540" s="111"/>
      <c r="T540" s="111"/>
      <c r="U540" s="111"/>
      <c r="V540" s="111"/>
      <c r="W540" s="111"/>
      <c r="X540" s="111"/>
      <c r="Y540" s="111"/>
      <c r="Z540" s="111"/>
      <c r="AA540" s="111"/>
    </row>
    <row r="541" spans="1:27" s="118" customFormat="1" x14ac:dyDescent="0.2">
      <c r="A541" s="10"/>
      <c r="B541" s="10"/>
      <c r="C541" s="190"/>
      <c r="D541" s="2" t="s">
        <v>1079</v>
      </c>
      <c r="E541" s="148"/>
      <c r="F541" s="253">
        <v>8</v>
      </c>
      <c r="G541" s="253">
        <v>3</v>
      </c>
      <c r="H541" s="253"/>
      <c r="I541" s="249">
        <v>1.2</v>
      </c>
      <c r="J541" s="253">
        <f t="shared" ref="J541:J546" si="38">ROUND(PRODUCT(F541:I541),2)</f>
        <v>28.8</v>
      </c>
      <c r="K541" s="137"/>
      <c r="L541" s="137"/>
      <c r="M541" s="137"/>
      <c r="N541" s="138"/>
      <c r="O541" s="167"/>
      <c r="P541" s="111"/>
      <c r="Q541" s="111"/>
      <c r="R541" s="111"/>
      <c r="S541" s="111"/>
      <c r="T541" s="111"/>
      <c r="U541" s="111"/>
      <c r="V541" s="111"/>
      <c r="W541" s="111"/>
      <c r="X541" s="111"/>
      <c r="Y541" s="111"/>
      <c r="Z541" s="111"/>
      <c r="AA541" s="111"/>
    </row>
    <row r="542" spans="1:27" s="139" customFormat="1" x14ac:dyDescent="0.2">
      <c r="A542" s="10"/>
      <c r="B542" s="10"/>
      <c r="C542" s="15"/>
      <c r="D542" s="396" t="s">
        <v>1081</v>
      </c>
      <c r="E542" s="148"/>
      <c r="F542" s="253">
        <v>2</v>
      </c>
      <c r="G542" s="253">
        <v>8</v>
      </c>
      <c r="H542" s="253"/>
      <c r="I542" s="249">
        <v>1.2</v>
      </c>
      <c r="J542" s="253">
        <f t="shared" si="38"/>
        <v>19.2</v>
      </c>
      <c r="K542" s="137"/>
      <c r="L542" s="137"/>
      <c r="M542" s="137"/>
      <c r="N542" s="138"/>
      <c r="O542" s="283"/>
      <c r="P542" s="120"/>
      <c r="Q542" s="120"/>
      <c r="R542" s="120"/>
      <c r="S542" s="120"/>
      <c r="T542" s="120"/>
      <c r="U542" s="120"/>
      <c r="V542" s="120"/>
      <c r="W542" s="120"/>
      <c r="X542" s="120"/>
      <c r="Y542" s="120"/>
      <c r="Z542" s="120"/>
      <c r="AA542" s="120"/>
    </row>
    <row r="543" spans="1:27" s="147" customFormat="1" x14ac:dyDescent="0.2">
      <c r="A543" s="10"/>
      <c r="B543" s="184"/>
      <c r="C543" s="185"/>
      <c r="D543" s="2"/>
      <c r="E543" s="148"/>
      <c r="F543" s="253">
        <v>2</v>
      </c>
      <c r="G543" s="253">
        <v>5.3</v>
      </c>
      <c r="H543" s="253"/>
      <c r="I543" s="249">
        <v>1.2</v>
      </c>
      <c r="J543" s="253">
        <f t="shared" si="38"/>
        <v>12.72</v>
      </c>
      <c r="K543" s="131">
        <f>J550</f>
        <v>-3.78</v>
      </c>
      <c r="L543" s="131">
        <v>166.81</v>
      </c>
      <c r="M543" s="131">
        <f>ROUND(L543*(1+$Q$5),2)</f>
        <v>211.06</v>
      </c>
      <c r="N543" s="133">
        <f>TRUNC(K543*M543,2)</f>
        <v>-797.8</v>
      </c>
      <c r="O543" s="286"/>
      <c r="P543" s="146"/>
      <c r="Q543" s="146"/>
      <c r="R543" s="146"/>
      <c r="S543" s="146"/>
      <c r="T543" s="146"/>
      <c r="U543" s="146"/>
      <c r="V543" s="146"/>
      <c r="W543" s="146"/>
      <c r="X543" s="146"/>
      <c r="Y543" s="146"/>
      <c r="Z543" s="146"/>
      <c r="AA543" s="146"/>
    </row>
    <row r="544" spans="1:27" s="118" customFormat="1" x14ac:dyDescent="0.2">
      <c r="A544" s="10"/>
      <c r="B544" s="10"/>
      <c r="C544" s="191"/>
      <c r="D544" s="2" t="s">
        <v>164</v>
      </c>
      <c r="E544" s="148"/>
      <c r="F544" s="253">
        <v>2</v>
      </c>
      <c r="G544" s="253">
        <v>8.8000000000000007</v>
      </c>
      <c r="H544" s="253"/>
      <c r="I544" s="249">
        <v>3</v>
      </c>
      <c r="J544" s="253">
        <f t="shared" si="38"/>
        <v>52.8</v>
      </c>
      <c r="K544" s="137"/>
      <c r="L544" s="137"/>
      <c r="M544" s="137"/>
      <c r="N544" s="138"/>
      <c r="O544" s="167"/>
      <c r="P544" s="111"/>
      <c r="Q544" s="111"/>
      <c r="R544" s="111"/>
      <c r="S544" s="111"/>
      <c r="T544" s="111"/>
      <c r="U544" s="111"/>
      <c r="V544" s="111"/>
      <c r="W544" s="111"/>
      <c r="X544" s="111"/>
      <c r="Y544" s="111"/>
      <c r="Z544" s="111"/>
      <c r="AA544" s="111"/>
    </row>
    <row r="545" spans="1:27" s="118" customFormat="1" x14ac:dyDescent="0.2">
      <c r="A545" s="10"/>
      <c r="B545" s="10"/>
      <c r="C545" s="191"/>
      <c r="D545" s="2"/>
      <c r="E545" s="148"/>
      <c r="F545" s="253">
        <v>2</v>
      </c>
      <c r="G545" s="253">
        <v>1.5</v>
      </c>
      <c r="H545" s="253"/>
      <c r="I545" s="249">
        <v>2</v>
      </c>
      <c r="J545" s="253">
        <f t="shared" si="38"/>
        <v>6</v>
      </c>
      <c r="K545" s="137"/>
      <c r="L545" s="137"/>
      <c r="M545" s="137"/>
      <c r="N545" s="138"/>
      <c r="O545" s="167"/>
      <c r="P545" s="111"/>
      <c r="Q545" s="111"/>
      <c r="R545" s="111"/>
      <c r="S545" s="111"/>
      <c r="T545" s="111"/>
      <c r="U545" s="111"/>
      <c r="V545" s="111"/>
      <c r="W545" s="111"/>
      <c r="X545" s="111"/>
      <c r="Y545" s="111"/>
      <c r="Z545" s="111"/>
      <c r="AA545" s="111"/>
    </row>
    <row r="546" spans="1:27" s="118" customFormat="1" x14ac:dyDescent="0.2">
      <c r="A546" s="10"/>
      <c r="B546" s="10"/>
      <c r="C546" s="191"/>
      <c r="D546" s="2"/>
      <c r="E546" s="148"/>
      <c r="F546" s="253">
        <v>2</v>
      </c>
      <c r="G546" s="253">
        <v>3</v>
      </c>
      <c r="H546" s="253"/>
      <c r="I546" s="249">
        <v>11.2</v>
      </c>
      <c r="J546" s="253">
        <f t="shared" si="38"/>
        <v>67.2</v>
      </c>
      <c r="K546" s="137"/>
      <c r="L546" s="137"/>
      <c r="M546" s="137"/>
      <c r="N546" s="138"/>
      <c r="O546" s="167"/>
      <c r="P546" s="111"/>
      <c r="Q546" s="111"/>
      <c r="R546" s="111"/>
      <c r="S546" s="111"/>
      <c r="T546" s="111"/>
      <c r="U546" s="111"/>
      <c r="V546" s="111"/>
      <c r="W546" s="111"/>
      <c r="X546" s="111"/>
      <c r="Y546" s="111"/>
      <c r="Z546" s="111"/>
      <c r="AA546" s="111"/>
    </row>
    <row r="547" spans="1:27" s="118" customFormat="1" x14ac:dyDescent="0.2">
      <c r="A547" s="10"/>
      <c r="B547" s="10"/>
      <c r="C547" s="191"/>
      <c r="D547" s="2" t="s">
        <v>1034</v>
      </c>
      <c r="E547" s="148"/>
      <c r="F547" s="253"/>
      <c r="G547" s="253"/>
      <c r="H547" s="253"/>
      <c r="I547" s="249"/>
      <c r="J547" s="253"/>
      <c r="K547" s="137"/>
      <c r="L547" s="137"/>
      <c r="M547" s="137"/>
      <c r="N547" s="138"/>
      <c r="O547" s="167"/>
      <c r="P547" s="111"/>
      <c r="Q547" s="111"/>
      <c r="R547" s="111"/>
      <c r="S547" s="111"/>
      <c r="T547" s="111"/>
      <c r="U547" s="111"/>
      <c r="V547" s="111"/>
      <c r="W547" s="111"/>
      <c r="X547" s="111"/>
      <c r="Y547" s="111"/>
      <c r="Z547" s="111"/>
      <c r="AA547" s="111"/>
    </row>
    <row r="548" spans="1:27" s="118" customFormat="1" x14ac:dyDescent="0.2">
      <c r="A548" s="10"/>
      <c r="B548" s="10"/>
      <c r="C548" s="191"/>
      <c r="D548" s="2" t="s">
        <v>1082</v>
      </c>
      <c r="E548" s="148"/>
      <c r="F548" s="253">
        <v>-1</v>
      </c>
      <c r="G548" s="253"/>
      <c r="H548" s="253">
        <v>6</v>
      </c>
      <c r="I548" s="249">
        <v>2.1</v>
      </c>
      <c r="J548" s="253">
        <f t="shared" ref="J548:J551" si="39">ROUND(PRODUCT(F548:I548),2)</f>
        <v>-12.6</v>
      </c>
      <c r="K548" s="137"/>
      <c r="L548" s="137"/>
      <c r="M548" s="137"/>
      <c r="N548" s="138"/>
      <c r="O548" s="167"/>
      <c r="P548" s="111"/>
      <c r="Q548" s="111"/>
      <c r="R548" s="111"/>
      <c r="S548" s="111"/>
      <c r="T548" s="111"/>
      <c r="U548" s="111"/>
      <c r="V548" s="111"/>
      <c r="W548" s="111"/>
      <c r="X548" s="111"/>
      <c r="Y548" s="111"/>
      <c r="Z548" s="111"/>
      <c r="AA548" s="111"/>
    </row>
    <row r="549" spans="1:27" s="118" customFormat="1" x14ac:dyDescent="0.2">
      <c r="A549" s="10"/>
      <c r="B549" s="10"/>
      <c r="C549" s="191"/>
      <c r="D549" s="2"/>
      <c r="E549" s="148"/>
      <c r="F549" s="253">
        <v>-1</v>
      </c>
      <c r="G549" s="253"/>
      <c r="H549" s="253">
        <v>1.6</v>
      </c>
      <c r="I549" s="249">
        <v>2.1</v>
      </c>
      <c r="J549" s="253">
        <f t="shared" si="39"/>
        <v>-3.36</v>
      </c>
      <c r="K549" s="137"/>
      <c r="L549" s="137"/>
      <c r="M549" s="137"/>
      <c r="N549" s="138"/>
      <c r="O549" s="167"/>
      <c r="P549" s="111"/>
      <c r="Q549" s="111"/>
      <c r="R549" s="111"/>
      <c r="S549" s="111"/>
      <c r="T549" s="111"/>
      <c r="U549" s="111"/>
      <c r="V549" s="111"/>
      <c r="W549" s="111"/>
      <c r="X549" s="111"/>
      <c r="Y549" s="111"/>
      <c r="Z549" s="111"/>
      <c r="AA549" s="111"/>
    </row>
    <row r="550" spans="1:27" s="118" customFormat="1" x14ac:dyDescent="0.2">
      <c r="A550" s="10"/>
      <c r="B550" s="10"/>
      <c r="C550" s="190"/>
      <c r="D550" s="2" t="s">
        <v>1083</v>
      </c>
      <c r="E550" s="148"/>
      <c r="F550" s="253">
        <v>-2</v>
      </c>
      <c r="G550" s="253"/>
      <c r="H550" s="253">
        <v>0.9</v>
      </c>
      <c r="I550" s="249">
        <v>2.1</v>
      </c>
      <c r="J550" s="253">
        <f t="shared" si="39"/>
        <v>-3.78</v>
      </c>
      <c r="K550" s="137"/>
      <c r="L550" s="137"/>
      <c r="M550" s="137"/>
      <c r="N550" s="138"/>
      <c r="O550" s="167"/>
      <c r="P550" s="111"/>
      <c r="Q550" s="111"/>
      <c r="R550" s="111"/>
      <c r="S550" s="111"/>
      <c r="T550" s="111"/>
      <c r="U550" s="111"/>
      <c r="V550" s="111"/>
      <c r="W550" s="111"/>
      <c r="X550" s="111"/>
      <c r="Y550" s="111"/>
      <c r="Z550" s="111"/>
      <c r="AA550" s="111"/>
    </row>
    <row r="551" spans="1:27" s="161" customFormat="1" x14ac:dyDescent="0.2">
      <c r="A551" s="10"/>
      <c r="B551" s="10"/>
      <c r="C551" s="191"/>
      <c r="D551" s="314"/>
      <c r="E551" s="148"/>
      <c r="F551" s="253">
        <v>-2</v>
      </c>
      <c r="G551" s="253"/>
      <c r="H551" s="253">
        <v>0.8</v>
      </c>
      <c r="I551" s="249">
        <v>2.1</v>
      </c>
      <c r="J551" s="253">
        <f t="shared" si="39"/>
        <v>-3.36</v>
      </c>
      <c r="K551" s="151"/>
      <c r="L551" s="151"/>
      <c r="M551" s="151"/>
      <c r="N551" s="152"/>
      <c r="O551" s="167"/>
      <c r="P551" s="114"/>
      <c r="Q551" s="114"/>
      <c r="R551" s="114"/>
      <c r="S551" s="114"/>
      <c r="T551" s="114"/>
      <c r="U551" s="114"/>
      <c r="V551" s="114"/>
      <c r="W551" s="114"/>
      <c r="X551" s="114"/>
      <c r="Y551" s="114"/>
      <c r="Z551" s="114"/>
      <c r="AA551" s="114"/>
    </row>
    <row r="552" spans="1:27" s="147" customFormat="1" x14ac:dyDescent="0.2">
      <c r="A552" s="10"/>
      <c r="B552" s="184"/>
      <c r="C552" s="344"/>
      <c r="D552" s="2"/>
      <c r="E552" s="148"/>
      <c r="F552" s="253"/>
      <c r="G552" s="253"/>
      <c r="H552" s="253"/>
      <c r="I552" s="246" t="str">
        <f>"Total item "&amp;A524</f>
        <v>Total item 7.1.3</v>
      </c>
      <c r="J552" s="261">
        <f>SUM(J526:J551)</f>
        <v>438.87</v>
      </c>
      <c r="K552" s="131">
        <f>J559</f>
        <v>100.80000000000001</v>
      </c>
      <c r="L552" s="131">
        <v>46.44</v>
      </c>
      <c r="M552" s="131">
        <f>ROUND(L552*(1+$Q$5),2)</f>
        <v>58.76</v>
      </c>
      <c r="N552" s="133">
        <f>TRUNC(K552*M552,2)</f>
        <v>5923</v>
      </c>
      <c r="O552" s="286"/>
      <c r="P552" s="146"/>
      <c r="Q552" s="146"/>
      <c r="R552" s="146"/>
      <c r="S552" s="146"/>
      <c r="T552" s="146"/>
      <c r="U552" s="146"/>
      <c r="V552" s="146"/>
      <c r="W552" s="146"/>
      <c r="X552" s="146"/>
      <c r="Y552" s="146"/>
      <c r="Z552" s="146"/>
      <c r="AA552" s="146"/>
    </row>
    <row r="553" spans="1:27" s="406" customFormat="1" ht="20.399999999999999" x14ac:dyDescent="0.2">
      <c r="A553" s="9" t="s">
        <v>770</v>
      </c>
      <c r="B553" s="9"/>
      <c r="C553" s="360"/>
      <c r="D553" s="371" t="str">
        <f>'ORÇAMENTO PINTURA'!D53</f>
        <v>APLICAÇÃO MANUAL DE PINTURA COM TINTA LÁTEX ACRÍLICA EM TETO, DUAS DEMÃOS. AF_06/2014</v>
      </c>
      <c r="E553" s="361"/>
      <c r="F553" s="362"/>
      <c r="G553" s="362"/>
      <c r="H553" s="362"/>
      <c r="I553" s="245"/>
      <c r="J553" s="362"/>
      <c r="K553" s="403"/>
      <c r="L553" s="403"/>
      <c r="M553" s="403"/>
      <c r="N553" s="404"/>
      <c r="O553" s="407"/>
      <c r="P553" s="405"/>
      <c r="Q553" s="405"/>
      <c r="R553" s="405"/>
      <c r="S553" s="405"/>
      <c r="T553" s="405"/>
      <c r="U553" s="405"/>
      <c r="V553" s="405"/>
      <c r="W553" s="405"/>
      <c r="X553" s="405"/>
      <c r="Y553" s="405"/>
      <c r="Z553" s="405"/>
      <c r="AA553" s="405"/>
    </row>
    <row r="554" spans="1:27" s="118" customFormat="1" x14ac:dyDescent="0.2">
      <c r="A554" s="10"/>
      <c r="B554" s="10"/>
      <c r="C554" s="191"/>
      <c r="D554" s="2" t="s">
        <v>1087</v>
      </c>
      <c r="E554" s="148"/>
      <c r="F554" s="253"/>
      <c r="G554" s="267"/>
      <c r="H554" s="267"/>
      <c r="I554" s="250"/>
      <c r="J554" s="267"/>
      <c r="K554" s="137"/>
      <c r="L554" s="137"/>
      <c r="M554" s="137"/>
      <c r="N554" s="138"/>
      <c r="O554" s="167"/>
      <c r="P554" s="111"/>
      <c r="Q554" s="111"/>
      <c r="R554" s="111"/>
      <c r="S554" s="111"/>
      <c r="T554" s="111"/>
      <c r="U554" s="111"/>
      <c r="V554" s="111"/>
      <c r="W554" s="111"/>
      <c r="X554" s="111"/>
      <c r="Y554" s="111"/>
      <c r="Z554" s="111"/>
      <c r="AA554" s="111"/>
    </row>
    <row r="555" spans="1:27" s="118" customFormat="1" x14ac:dyDescent="0.2">
      <c r="A555" s="10"/>
      <c r="B555" s="10"/>
      <c r="C555" s="191"/>
      <c r="D555" s="2" t="s">
        <v>1088</v>
      </c>
      <c r="E555" s="148"/>
      <c r="F555" s="253">
        <v>2</v>
      </c>
      <c r="G555" s="267"/>
      <c r="H555" s="267"/>
      <c r="I555" s="249">
        <v>12.15</v>
      </c>
      <c r="J555" s="253">
        <f t="shared" ref="J555:J558" si="40">ROUND(PRODUCT(F555:I555),2)</f>
        <v>24.3</v>
      </c>
      <c r="K555" s="137"/>
      <c r="L555" s="137"/>
      <c r="M555" s="137"/>
      <c r="N555" s="138"/>
      <c r="O555" s="167"/>
      <c r="P555" s="111"/>
      <c r="Q555" s="111"/>
      <c r="R555" s="111"/>
      <c r="S555" s="111"/>
      <c r="T555" s="111"/>
      <c r="U555" s="111"/>
      <c r="V555" s="111"/>
      <c r="W555" s="111"/>
      <c r="X555" s="111"/>
      <c r="Y555" s="111"/>
      <c r="Z555" s="111"/>
      <c r="AA555" s="111"/>
    </row>
    <row r="556" spans="1:27" s="118" customFormat="1" x14ac:dyDescent="0.2">
      <c r="A556" s="10"/>
      <c r="B556" s="10"/>
      <c r="C556" s="191"/>
      <c r="D556" s="2" t="s">
        <v>1089</v>
      </c>
      <c r="E556" s="148"/>
      <c r="F556" s="253">
        <v>2</v>
      </c>
      <c r="G556" s="267"/>
      <c r="H556" s="267"/>
      <c r="I556" s="249">
        <v>5.55</v>
      </c>
      <c r="J556" s="253">
        <f t="shared" si="40"/>
        <v>11.1</v>
      </c>
      <c r="K556" s="137"/>
      <c r="L556" s="137"/>
      <c r="M556" s="137"/>
      <c r="N556" s="138"/>
      <c r="O556" s="167"/>
      <c r="P556" s="111"/>
      <c r="Q556" s="111"/>
      <c r="R556" s="111"/>
      <c r="S556" s="111"/>
      <c r="T556" s="111"/>
      <c r="U556" s="111"/>
      <c r="V556" s="111"/>
      <c r="W556" s="111"/>
      <c r="X556" s="111"/>
      <c r="Y556" s="111"/>
      <c r="Z556" s="111"/>
      <c r="AA556" s="111"/>
    </row>
    <row r="557" spans="1:27" s="118" customFormat="1" x14ac:dyDescent="0.2">
      <c r="A557" s="10"/>
      <c r="B557" s="10"/>
      <c r="C557" s="191"/>
      <c r="D557" s="2" t="s">
        <v>1090</v>
      </c>
      <c r="E557" s="148"/>
      <c r="F557" s="253"/>
      <c r="G557" s="267"/>
      <c r="H557" s="267"/>
      <c r="I557" s="249">
        <v>45</v>
      </c>
      <c r="J557" s="253">
        <f t="shared" si="40"/>
        <v>45</v>
      </c>
      <c r="K557" s="137"/>
      <c r="L557" s="137"/>
      <c r="M557" s="137"/>
      <c r="N557" s="138"/>
      <c r="O557" s="167"/>
      <c r="P557" s="111"/>
      <c r="Q557" s="111"/>
      <c r="R557" s="111"/>
      <c r="S557" s="111"/>
      <c r="T557" s="111"/>
      <c r="U557" s="111"/>
      <c r="V557" s="111"/>
      <c r="W557" s="111"/>
      <c r="X557" s="111"/>
      <c r="Y557" s="111"/>
      <c r="Z557" s="111"/>
      <c r="AA557" s="111"/>
    </row>
    <row r="558" spans="1:27" s="118" customFormat="1" x14ac:dyDescent="0.2">
      <c r="A558" s="10"/>
      <c r="B558" s="10"/>
      <c r="C558" s="191"/>
      <c r="D558" s="2" t="s">
        <v>1091</v>
      </c>
      <c r="E558" s="148"/>
      <c r="F558" s="253"/>
      <c r="G558" s="267"/>
      <c r="H558" s="267"/>
      <c r="I558" s="249">
        <v>20.399999999999999</v>
      </c>
      <c r="J558" s="253">
        <f t="shared" si="40"/>
        <v>20.399999999999999</v>
      </c>
      <c r="K558" s="137"/>
      <c r="L558" s="137"/>
      <c r="M558" s="137"/>
      <c r="N558" s="138"/>
      <c r="O558" s="167"/>
      <c r="P558" s="111"/>
      <c r="Q558" s="111"/>
      <c r="R558" s="111"/>
      <c r="S558" s="111"/>
      <c r="T558" s="111"/>
      <c r="U558" s="111"/>
      <c r="V558" s="111"/>
      <c r="W558" s="111"/>
      <c r="X558" s="111"/>
      <c r="Y558" s="111"/>
      <c r="Z558" s="111"/>
      <c r="AA558" s="111"/>
    </row>
    <row r="559" spans="1:27" s="118" customFormat="1" x14ac:dyDescent="0.2">
      <c r="A559" s="10"/>
      <c r="B559" s="10"/>
      <c r="C559" s="190"/>
      <c r="D559" s="110"/>
      <c r="E559" s="158"/>
      <c r="F559" s="267"/>
      <c r="G559" s="267"/>
      <c r="H559" s="267"/>
      <c r="I559" s="246" t="str">
        <f>"Total item "&amp;A553</f>
        <v>Total item 7.1.4</v>
      </c>
      <c r="J559" s="261">
        <f>SUM(J555:J558)</f>
        <v>100.80000000000001</v>
      </c>
      <c r="K559" s="137"/>
      <c r="L559" s="137"/>
      <c r="M559" s="137"/>
      <c r="N559" s="138"/>
      <c r="O559" s="167"/>
      <c r="P559" s="111"/>
      <c r="Q559" s="111"/>
      <c r="R559" s="111"/>
      <c r="S559" s="111"/>
      <c r="T559" s="111"/>
      <c r="U559" s="111"/>
      <c r="V559" s="111"/>
      <c r="W559" s="111"/>
      <c r="X559" s="111"/>
      <c r="Y559" s="111"/>
      <c r="Z559" s="111"/>
      <c r="AA559" s="111"/>
    </row>
    <row r="560" spans="1:27" s="147" customFormat="1" ht="20.399999999999999" x14ac:dyDescent="0.2">
      <c r="A560" s="9" t="s">
        <v>771</v>
      </c>
      <c r="B560" s="9"/>
      <c r="C560" s="13"/>
      <c r="D560" s="113" t="str">
        <f>'ORÇAMENTO PINTURA'!D54</f>
        <v>PINTURA TINTA DE ACABAMENTO (PIGMENTADA) A ÓLEO EM MADEIRA, 2 DEMÃOS. AF_01/2021</v>
      </c>
      <c r="E560" s="9"/>
      <c r="F560" s="261"/>
      <c r="G560" s="261"/>
      <c r="H560" s="261"/>
      <c r="I560" s="245"/>
      <c r="J560" s="261"/>
      <c r="K560" s="131" t="e">
        <f>#REF!</f>
        <v>#REF!</v>
      </c>
      <c r="L560" s="131">
        <f>'COMPOSICOES - SINAPI COM DESON'!G50</f>
        <v>104.48</v>
      </c>
      <c r="M560" s="131">
        <f>ROUND(L560*(1+$Q$5),2)</f>
        <v>132.19999999999999</v>
      </c>
      <c r="N560" s="133" t="e">
        <f>TRUNC(K560*M560,2)</f>
        <v>#REF!</v>
      </c>
      <c r="O560" s="291"/>
      <c r="P560" s="146"/>
      <c r="Q560" s="146"/>
      <c r="R560" s="146"/>
      <c r="S560" s="146"/>
      <c r="T560" s="146"/>
      <c r="U560" s="146"/>
      <c r="V560" s="146"/>
      <c r="W560" s="146"/>
      <c r="X560" s="146"/>
      <c r="Y560" s="146"/>
      <c r="Z560" s="146"/>
      <c r="AA560" s="146"/>
    </row>
    <row r="561" spans="1:27" s="174" customFormat="1" x14ac:dyDescent="0.2">
      <c r="A561" s="177"/>
      <c r="B561" s="177"/>
      <c r="C561" s="178"/>
      <c r="D561" s="2" t="s">
        <v>1092</v>
      </c>
      <c r="E561" s="170"/>
      <c r="F561" s="253">
        <v>4</v>
      </c>
      <c r="G561" s="253"/>
      <c r="H561" s="253">
        <v>0.8</v>
      </c>
      <c r="I561" s="249">
        <v>2.1</v>
      </c>
      <c r="J561" s="253">
        <f t="shared" ref="J561:J562" si="41">ROUND(PRODUCT(F561:I561),2)</f>
        <v>6.72</v>
      </c>
      <c r="K561" s="172"/>
      <c r="L561" s="172"/>
      <c r="M561" s="172"/>
      <c r="N561" s="173"/>
      <c r="O561" s="287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3"/>
    </row>
    <row r="562" spans="1:27" s="174" customFormat="1" x14ac:dyDescent="0.2">
      <c r="A562" s="177"/>
      <c r="B562" s="177"/>
      <c r="C562" s="178"/>
      <c r="D562" s="2"/>
      <c r="E562" s="170"/>
      <c r="F562" s="253">
        <v>4</v>
      </c>
      <c r="G562" s="253"/>
      <c r="H562" s="253">
        <v>0.9</v>
      </c>
      <c r="I562" s="249">
        <v>2.1</v>
      </c>
      <c r="J562" s="253">
        <f t="shared" si="41"/>
        <v>7.56</v>
      </c>
      <c r="K562" s="172"/>
      <c r="L562" s="172"/>
      <c r="M562" s="172"/>
      <c r="N562" s="173"/>
      <c r="O562" s="287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3"/>
    </row>
    <row r="563" spans="1:27" s="174" customFormat="1" x14ac:dyDescent="0.2">
      <c r="A563" s="177"/>
      <c r="B563" s="177"/>
      <c r="C563" s="178"/>
      <c r="D563" s="115"/>
      <c r="E563" s="177"/>
      <c r="F563" s="267"/>
      <c r="G563" s="267"/>
      <c r="H563" s="267"/>
      <c r="I563" s="246" t="str">
        <f>"Total item "&amp;A560</f>
        <v>Total item 7.1.5</v>
      </c>
      <c r="J563" s="261">
        <f>SUM(J561:J562)</f>
        <v>14.28</v>
      </c>
      <c r="K563" s="172"/>
      <c r="L563" s="172"/>
      <c r="M563" s="172"/>
      <c r="N563" s="173"/>
      <c r="O563" s="287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</row>
    <row r="564" spans="1:27" s="241" customFormat="1" ht="13.2" x14ac:dyDescent="0.25">
      <c r="A564" s="236" t="s">
        <v>157</v>
      </c>
      <c r="B564" s="236"/>
      <c r="C564" s="237"/>
      <c r="D564" s="289" t="s">
        <v>1093</v>
      </c>
      <c r="E564" s="236"/>
      <c r="F564" s="259"/>
      <c r="G564" s="259"/>
      <c r="H564" s="259"/>
      <c r="I564" s="247"/>
      <c r="J564" s="259"/>
      <c r="K564" s="238"/>
      <c r="L564" s="238"/>
      <c r="M564" s="238"/>
      <c r="N564" s="239" t="e">
        <f>N565+N599+N616</f>
        <v>#VALUE!</v>
      </c>
      <c r="O564" s="284" t="e">
        <f>N564/$N$1660</f>
        <v>#VALUE!</v>
      </c>
      <c r="P564" s="240" t="s">
        <v>533</v>
      </c>
      <c r="Q564" s="240" t="s">
        <v>533</v>
      </c>
      <c r="R564" s="240"/>
      <c r="S564" s="240"/>
      <c r="T564" s="240"/>
      <c r="U564" s="240"/>
      <c r="V564" s="240"/>
      <c r="W564" s="240"/>
      <c r="X564" s="240"/>
      <c r="Y564" s="240"/>
      <c r="Z564" s="240"/>
      <c r="AA564" s="240"/>
    </row>
    <row r="565" spans="1:27" s="145" customFormat="1" x14ac:dyDescent="0.2">
      <c r="A565" s="140" t="s">
        <v>26</v>
      </c>
      <c r="B565" s="140"/>
      <c r="C565" s="141"/>
      <c r="D565" s="112" t="s">
        <v>987</v>
      </c>
      <c r="E565" s="140"/>
      <c r="F565" s="260"/>
      <c r="G565" s="260"/>
      <c r="H565" s="260"/>
      <c r="I565" s="248"/>
      <c r="J565" s="260"/>
      <c r="K565" s="142"/>
      <c r="L565" s="142"/>
      <c r="M565" s="142"/>
      <c r="N565" s="143" t="e">
        <f>SUM(N566:N598)</f>
        <v>#VALUE!</v>
      </c>
      <c r="O565" s="306"/>
      <c r="P565" s="144"/>
      <c r="Q565" s="144"/>
      <c r="R565" s="144"/>
      <c r="S565" s="144"/>
      <c r="T565" s="144"/>
      <c r="U565" s="144"/>
      <c r="V565" s="144"/>
      <c r="W565" s="144"/>
      <c r="X565" s="144"/>
      <c r="Y565" s="144"/>
      <c r="Z565" s="144"/>
      <c r="AA565" s="144"/>
    </row>
    <row r="566" spans="1:27" s="147" customFormat="1" ht="20.399999999999999" x14ac:dyDescent="0.2">
      <c r="A566" s="9" t="s">
        <v>48</v>
      </c>
      <c r="B566" s="9"/>
      <c r="C566" s="13"/>
      <c r="D566" s="113" t="str">
        <f>'ORÇAMENTO PINTURA'!D57</f>
        <v>APLICAÇÃO DE FUNDO SELADOR ACRÍLICO EM PAREDES, UMA DEMÃO. AF_06/2014</v>
      </c>
      <c r="E566" s="9"/>
      <c r="F566" s="261"/>
      <c r="G566" s="261"/>
      <c r="H566" s="261"/>
      <c r="I566" s="245"/>
      <c r="J566" s="261"/>
      <c r="K566" s="131">
        <f>J569</f>
        <v>9.59</v>
      </c>
      <c r="L566" s="131">
        <v>73.44</v>
      </c>
      <c r="M566" s="131">
        <f>ROUND(L566*(1+$Q$5),2)</f>
        <v>92.92</v>
      </c>
      <c r="N566" s="133">
        <f>TRUNC(K566*M566,2)</f>
        <v>891.1</v>
      </c>
      <c r="O566" s="291"/>
      <c r="P566" s="146"/>
      <c r="Q566" s="146"/>
      <c r="R566" s="146"/>
      <c r="S566" s="146"/>
      <c r="T566" s="146"/>
      <c r="U566" s="146"/>
      <c r="V566" s="146"/>
      <c r="W566" s="146"/>
      <c r="X566" s="146"/>
      <c r="Y566" s="146"/>
      <c r="Z566" s="146"/>
      <c r="AA566" s="146"/>
    </row>
    <row r="567" spans="1:27" s="118" customFormat="1" x14ac:dyDescent="0.2">
      <c r="A567" s="10"/>
      <c r="B567" s="10"/>
      <c r="C567" s="191"/>
      <c r="D567" s="2" t="s">
        <v>1094</v>
      </c>
      <c r="E567" s="148"/>
      <c r="F567" s="253"/>
      <c r="G567" s="253"/>
      <c r="H567" s="253"/>
      <c r="I567" s="249"/>
      <c r="J567" s="253"/>
      <c r="K567" s="137"/>
      <c r="L567" s="137"/>
      <c r="M567" s="137"/>
      <c r="N567" s="138"/>
      <c r="O567" s="167"/>
      <c r="P567" s="111"/>
      <c r="Q567" s="111"/>
      <c r="R567" s="111"/>
      <c r="S567" s="111"/>
      <c r="T567" s="111"/>
      <c r="U567" s="111"/>
      <c r="V567" s="111"/>
      <c r="W567" s="111"/>
      <c r="X567" s="111"/>
      <c r="Y567" s="111"/>
      <c r="Z567" s="111"/>
      <c r="AA567" s="111"/>
    </row>
    <row r="568" spans="1:27" s="118" customFormat="1" x14ac:dyDescent="0.2">
      <c r="A568" s="10"/>
      <c r="B568" s="10"/>
      <c r="C568" s="191"/>
      <c r="D568" s="2" t="s">
        <v>1095</v>
      </c>
      <c r="E568" s="148"/>
      <c r="F568" s="253">
        <v>1</v>
      </c>
      <c r="G568" s="253">
        <v>9.1</v>
      </c>
      <c r="H568" s="253">
        <v>3.1</v>
      </c>
      <c r="I568" s="249"/>
      <c r="J568" s="253">
        <f t="shared" ref="J568:J586" si="42">ROUND(PRODUCT(F568:I568),2)</f>
        <v>28.21</v>
      </c>
      <c r="K568" s="137"/>
      <c r="L568" s="137"/>
      <c r="M568" s="137"/>
      <c r="N568" s="138"/>
      <c r="O568" s="167"/>
      <c r="P568" s="111"/>
      <c r="Q568" s="111"/>
      <c r="R568" s="111"/>
      <c r="S568" s="111"/>
      <c r="T568" s="111"/>
      <c r="U568" s="111"/>
      <c r="V568" s="111"/>
      <c r="W568" s="111"/>
      <c r="X568" s="111"/>
      <c r="Y568" s="111"/>
      <c r="Z568" s="111"/>
      <c r="AA568" s="111"/>
    </row>
    <row r="569" spans="1:27" s="118" customFormat="1" x14ac:dyDescent="0.2">
      <c r="A569" s="10"/>
      <c r="B569" s="10"/>
      <c r="C569" s="190"/>
      <c r="D569" s="2" t="s">
        <v>1019</v>
      </c>
      <c r="E569" s="148"/>
      <c r="F569" s="253">
        <v>1</v>
      </c>
      <c r="G569" s="253">
        <v>3.55</v>
      </c>
      <c r="H569" s="253">
        <v>2.7</v>
      </c>
      <c r="I569" s="249"/>
      <c r="J569" s="253">
        <f t="shared" si="42"/>
        <v>9.59</v>
      </c>
      <c r="K569" s="137"/>
      <c r="L569" s="137"/>
      <c r="M569" s="137"/>
      <c r="N569" s="138"/>
      <c r="O569" s="167"/>
      <c r="P569" s="111"/>
      <c r="Q569" s="111"/>
      <c r="R569" s="111"/>
      <c r="S569" s="111"/>
      <c r="T569" s="111"/>
      <c r="U569" s="111"/>
      <c r="V569" s="111"/>
      <c r="W569" s="111"/>
      <c r="X569" s="111"/>
      <c r="Y569" s="111"/>
      <c r="Z569" s="111"/>
      <c r="AA569" s="111"/>
    </row>
    <row r="570" spans="1:27" s="139" customFormat="1" x14ac:dyDescent="0.2">
      <c r="A570" s="10"/>
      <c r="B570" s="10"/>
      <c r="C570" s="15"/>
      <c r="D570" s="108"/>
      <c r="E570" s="148"/>
      <c r="F570" s="253">
        <v>1</v>
      </c>
      <c r="G570" s="253">
        <v>2.5499999999999998</v>
      </c>
      <c r="H570" s="253">
        <v>2.7</v>
      </c>
      <c r="I570" s="249"/>
      <c r="J570" s="253">
        <f t="shared" si="42"/>
        <v>6.89</v>
      </c>
      <c r="K570" s="137"/>
      <c r="L570" s="137"/>
      <c r="M570" s="137"/>
      <c r="N570" s="138"/>
      <c r="O570" s="283"/>
      <c r="P570" s="120"/>
      <c r="Q570" s="120"/>
      <c r="R570" s="120"/>
      <c r="S570" s="120"/>
      <c r="T570" s="120"/>
      <c r="U570" s="120"/>
      <c r="V570" s="120"/>
      <c r="W570" s="120"/>
      <c r="X570" s="120"/>
      <c r="Y570" s="120"/>
      <c r="Z570" s="120"/>
      <c r="AA570" s="120"/>
    </row>
    <row r="571" spans="1:27" s="313" customFormat="1" x14ac:dyDescent="0.2">
      <c r="A571" s="10"/>
      <c r="B571" s="10"/>
      <c r="C571" s="15"/>
      <c r="D571" s="314"/>
      <c r="E571" s="148"/>
      <c r="F571" s="253">
        <v>1</v>
      </c>
      <c r="G571" s="253">
        <v>9.23</v>
      </c>
      <c r="H571" s="253">
        <v>2.7</v>
      </c>
      <c r="I571" s="249"/>
      <c r="J571" s="253">
        <f t="shared" si="42"/>
        <v>24.92</v>
      </c>
      <c r="K571" s="136">
        <f>J575</f>
        <v>12.42</v>
      </c>
      <c r="L571" s="136" t="e">
        <f>'COMPOSICOES - SINAPI COM DESON'!G36</f>
        <v>#VALUE!</v>
      </c>
      <c r="M571" s="136" t="e">
        <f>ROUND(L571*(1+$Q$5),2)</f>
        <v>#VALUE!</v>
      </c>
      <c r="N571" s="199" t="e">
        <f>TRUNC(K571*M571,2)</f>
        <v>#VALUE!</v>
      </c>
      <c r="O571" s="283"/>
      <c r="P571" s="312"/>
      <c r="Q571" s="312"/>
      <c r="R571" s="312"/>
      <c r="S571" s="312"/>
      <c r="T571" s="312"/>
      <c r="U571" s="312"/>
      <c r="V571" s="312"/>
      <c r="W571" s="312"/>
      <c r="X571" s="312"/>
      <c r="Y571" s="312"/>
      <c r="Z571" s="312"/>
      <c r="AA571" s="312"/>
    </row>
    <row r="572" spans="1:27" s="118" customFormat="1" x14ac:dyDescent="0.2">
      <c r="A572" s="10"/>
      <c r="B572" s="10"/>
      <c r="C572" s="191"/>
      <c r="D572" s="2"/>
      <c r="E572" s="148"/>
      <c r="F572" s="253">
        <v>1</v>
      </c>
      <c r="G572" s="253">
        <v>2.65</v>
      </c>
      <c r="H572" s="253">
        <v>2.7</v>
      </c>
      <c r="I572" s="249"/>
      <c r="J572" s="253">
        <f t="shared" si="42"/>
        <v>7.16</v>
      </c>
      <c r="K572" s="137"/>
      <c r="L572" s="137"/>
      <c r="M572" s="137"/>
      <c r="N572" s="138"/>
      <c r="O572" s="167"/>
      <c r="P572" s="111"/>
      <c r="Q572" s="111"/>
      <c r="R572" s="111"/>
      <c r="S572" s="111"/>
      <c r="T572" s="111"/>
      <c r="U572" s="111"/>
      <c r="V572" s="111"/>
      <c r="W572" s="111"/>
      <c r="X572" s="111"/>
      <c r="Y572" s="111"/>
      <c r="Z572" s="111"/>
      <c r="AA572" s="111"/>
    </row>
    <row r="573" spans="1:27" s="118" customFormat="1" x14ac:dyDescent="0.2">
      <c r="A573" s="10"/>
      <c r="B573" s="10"/>
      <c r="C573" s="191"/>
      <c r="D573" s="2"/>
      <c r="E573" s="148"/>
      <c r="F573" s="253">
        <v>1</v>
      </c>
      <c r="G573" s="253">
        <v>11.65</v>
      </c>
      <c r="H573" s="253">
        <v>2.7</v>
      </c>
      <c r="I573" s="249"/>
      <c r="J573" s="253">
        <f t="shared" si="42"/>
        <v>31.46</v>
      </c>
      <c r="K573" s="137"/>
      <c r="L573" s="137"/>
      <c r="M573" s="137"/>
      <c r="N573" s="138"/>
      <c r="O573" s="167"/>
      <c r="P573" s="111"/>
      <c r="Q573" s="111"/>
      <c r="R573" s="111"/>
      <c r="S573" s="111"/>
      <c r="T573" s="111"/>
      <c r="U573" s="111"/>
      <c r="V573" s="111"/>
      <c r="W573" s="111"/>
      <c r="X573" s="111"/>
      <c r="Y573" s="111"/>
      <c r="Z573" s="111"/>
      <c r="AA573" s="111"/>
    </row>
    <row r="574" spans="1:27" s="118" customFormat="1" x14ac:dyDescent="0.2">
      <c r="A574" s="10"/>
      <c r="B574" s="10"/>
      <c r="C574" s="191"/>
      <c r="D574" s="2"/>
      <c r="E574" s="148"/>
      <c r="F574" s="253">
        <v>1</v>
      </c>
      <c r="G574" s="253">
        <v>8.9</v>
      </c>
      <c r="H574" s="253">
        <v>2.7</v>
      </c>
      <c r="I574" s="249"/>
      <c r="J574" s="253">
        <f t="shared" si="42"/>
        <v>24.03</v>
      </c>
      <c r="K574" s="137"/>
      <c r="L574" s="137"/>
      <c r="M574" s="137"/>
      <c r="N574" s="138"/>
      <c r="O574" s="167"/>
      <c r="P574" s="111"/>
      <c r="Q574" s="111"/>
      <c r="R574" s="111"/>
      <c r="S574" s="111"/>
      <c r="T574" s="111"/>
      <c r="U574" s="111"/>
      <c r="V574" s="111"/>
      <c r="W574" s="111"/>
      <c r="X574" s="111"/>
      <c r="Y574" s="111"/>
      <c r="Z574" s="111"/>
      <c r="AA574" s="111"/>
    </row>
    <row r="575" spans="1:27" s="118" customFormat="1" x14ac:dyDescent="0.2">
      <c r="A575" s="10"/>
      <c r="B575" s="10"/>
      <c r="C575" s="191"/>
      <c r="D575" s="108"/>
      <c r="E575" s="148"/>
      <c r="F575" s="253">
        <v>1</v>
      </c>
      <c r="G575" s="253">
        <v>4.5999999999999996</v>
      </c>
      <c r="H575" s="253">
        <v>2.7</v>
      </c>
      <c r="I575" s="249"/>
      <c r="J575" s="253">
        <f t="shared" si="42"/>
        <v>12.42</v>
      </c>
      <c r="K575" s="137"/>
      <c r="L575" s="137"/>
      <c r="M575" s="137"/>
      <c r="N575" s="138"/>
      <c r="O575" s="167"/>
      <c r="P575" s="111"/>
      <c r="Q575" s="111"/>
      <c r="R575" s="111"/>
      <c r="S575" s="111"/>
      <c r="T575" s="111"/>
      <c r="U575" s="111"/>
      <c r="V575" s="111"/>
      <c r="W575" s="111"/>
      <c r="X575" s="111"/>
      <c r="Y575" s="111"/>
      <c r="Z575" s="111"/>
      <c r="AA575" s="111"/>
    </row>
    <row r="576" spans="1:27" s="139" customFormat="1" x14ac:dyDescent="0.2">
      <c r="A576" s="10"/>
      <c r="B576" s="10"/>
      <c r="C576" s="15"/>
      <c r="D576" s="108"/>
      <c r="E576" s="148"/>
      <c r="F576" s="253">
        <v>1</v>
      </c>
      <c r="G576" s="253">
        <v>4.22</v>
      </c>
      <c r="H576" s="253">
        <v>2.7</v>
      </c>
      <c r="I576" s="249"/>
      <c r="J576" s="253">
        <f t="shared" si="42"/>
        <v>11.39</v>
      </c>
      <c r="K576" s="137"/>
      <c r="L576" s="137"/>
      <c r="M576" s="137"/>
      <c r="N576" s="138"/>
      <c r="O576" s="283"/>
      <c r="P576" s="120"/>
      <c r="Q576" s="120"/>
      <c r="R576" s="120"/>
      <c r="S576" s="120"/>
      <c r="T576" s="120"/>
      <c r="U576" s="120"/>
      <c r="V576" s="120"/>
      <c r="W576" s="120"/>
      <c r="X576" s="120"/>
      <c r="Y576" s="120"/>
      <c r="Z576" s="120"/>
      <c r="AA576" s="120"/>
    </row>
    <row r="577" spans="1:27" s="313" customFormat="1" x14ac:dyDescent="0.2">
      <c r="A577" s="10"/>
      <c r="B577" s="10"/>
      <c r="C577" s="15"/>
      <c r="D577" s="314"/>
      <c r="E577" s="148"/>
      <c r="F577" s="253">
        <v>1</v>
      </c>
      <c r="G577" s="253">
        <v>3.44</v>
      </c>
      <c r="H577" s="253">
        <v>2.7</v>
      </c>
      <c r="I577" s="249"/>
      <c r="J577" s="253">
        <f t="shared" si="42"/>
        <v>9.2899999999999991</v>
      </c>
      <c r="K577" s="136">
        <f>J580</f>
        <v>-4.84</v>
      </c>
      <c r="L577" s="136">
        <v>116.08</v>
      </c>
      <c r="M577" s="136">
        <f>ROUND(L577*(1+$Q$5),2)</f>
        <v>146.88</v>
      </c>
      <c r="N577" s="199">
        <f>TRUNC(K577*M577,2)</f>
        <v>-710.89</v>
      </c>
      <c r="O577" s="283"/>
      <c r="P577" s="312"/>
      <c r="Q577" s="312"/>
      <c r="R577" s="312"/>
      <c r="S577" s="312"/>
      <c r="T577" s="312"/>
      <c r="U577" s="312"/>
      <c r="V577" s="312"/>
      <c r="W577" s="312"/>
      <c r="X577" s="312"/>
      <c r="Y577" s="312"/>
      <c r="Z577" s="312"/>
      <c r="AA577" s="312"/>
    </row>
    <row r="578" spans="1:27" s="118" customFormat="1" x14ac:dyDescent="0.2">
      <c r="A578" s="10"/>
      <c r="B578" s="10"/>
      <c r="C578" s="191"/>
      <c r="D578" s="2" t="s">
        <v>1034</v>
      </c>
      <c r="E578" s="148"/>
      <c r="F578" s="253"/>
      <c r="G578" s="253"/>
      <c r="H578" s="253"/>
      <c r="I578" s="249"/>
      <c r="J578" s="253"/>
      <c r="K578" s="137"/>
      <c r="L578" s="137"/>
      <c r="M578" s="137"/>
      <c r="N578" s="138"/>
      <c r="O578" s="167"/>
      <c r="P578" s="111"/>
      <c r="Q578" s="111"/>
      <c r="R578" s="111"/>
      <c r="S578" s="111"/>
      <c r="T578" s="111"/>
      <c r="U578" s="111"/>
      <c r="V578" s="111"/>
      <c r="W578" s="111"/>
      <c r="X578" s="111"/>
      <c r="Y578" s="111"/>
      <c r="Z578" s="111"/>
      <c r="AA578" s="111"/>
    </row>
    <row r="579" spans="1:27" s="118" customFormat="1" x14ac:dyDescent="0.2">
      <c r="A579" s="10"/>
      <c r="B579" s="10"/>
      <c r="C579" s="191"/>
      <c r="D579" s="2" t="s">
        <v>1096</v>
      </c>
      <c r="E579" s="148"/>
      <c r="F579" s="253">
        <v>-1</v>
      </c>
      <c r="G579" s="253"/>
      <c r="H579" s="253">
        <v>2.4</v>
      </c>
      <c r="I579" s="253">
        <v>2.4</v>
      </c>
      <c r="J579" s="253">
        <f t="shared" si="42"/>
        <v>-5.76</v>
      </c>
      <c r="K579" s="137"/>
      <c r="L579" s="137"/>
      <c r="M579" s="137"/>
      <c r="N579" s="138"/>
      <c r="O579" s="167"/>
      <c r="P579" s="111"/>
      <c r="Q579" s="111"/>
      <c r="R579" s="111"/>
      <c r="S579" s="111"/>
      <c r="T579" s="111"/>
      <c r="U579" s="111"/>
      <c r="V579" s="111"/>
      <c r="W579" s="111"/>
      <c r="X579" s="111"/>
      <c r="Y579" s="111"/>
      <c r="Z579" s="111"/>
      <c r="AA579" s="111"/>
    </row>
    <row r="580" spans="1:27" s="118" customFormat="1" x14ac:dyDescent="0.2">
      <c r="A580" s="10"/>
      <c r="B580" s="10"/>
      <c r="C580" s="191"/>
      <c r="D580" s="108"/>
      <c r="E580" s="148"/>
      <c r="F580" s="253">
        <v>-1</v>
      </c>
      <c r="G580" s="253"/>
      <c r="H580" s="253">
        <v>2.2000000000000002</v>
      </c>
      <c r="I580" s="253">
        <v>2.2000000000000002</v>
      </c>
      <c r="J580" s="253">
        <f t="shared" si="42"/>
        <v>-4.84</v>
      </c>
      <c r="K580" s="137"/>
      <c r="L580" s="137"/>
      <c r="M580" s="137"/>
      <c r="N580" s="138"/>
      <c r="O580" s="167"/>
      <c r="P580" s="111"/>
      <c r="Q580" s="111"/>
      <c r="R580" s="111"/>
      <c r="S580" s="111"/>
      <c r="T580" s="111"/>
      <c r="U580" s="111"/>
      <c r="V580" s="111"/>
      <c r="W580" s="111"/>
      <c r="X580" s="111"/>
      <c r="Y580" s="111"/>
      <c r="Z580" s="111"/>
      <c r="AA580" s="111"/>
    </row>
    <row r="581" spans="1:27" s="139" customFormat="1" x14ac:dyDescent="0.2">
      <c r="A581" s="10"/>
      <c r="B581" s="10"/>
      <c r="C581" s="15"/>
      <c r="D581" s="108"/>
      <c r="E581" s="148"/>
      <c r="F581" s="253">
        <v>-1</v>
      </c>
      <c r="G581" s="253"/>
      <c r="H581" s="253">
        <v>2.1</v>
      </c>
      <c r="I581" s="253">
        <v>2.1</v>
      </c>
      <c r="J581" s="253">
        <f t="shared" si="42"/>
        <v>-4.41</v>
      </c>
      <c r="K581" s="137"/>
      <c r="L581" s="137"/>
      <c r="M581" s="137"/>
      <c r="N581" s="138"/>
      <c r="O581" s="283"/>
      <c r="P581" s="120"/>
      <c r="Q581" s="120"/>
      <c r="R581" s="120"/>
      <c r="S581" s="120"/>
      <c r="T581" s="120"/>
      <c r="U581" s="120"/>
      <c r="V581" s="120"/>
      <c r="W581" s="120"/>
      <c r="X581" s="120"/>
      <c r="Y581" s="120"/>
      <c r="Z581" s="120"/>
      <c r="AA581" s="120"/>
    </row>
    <row r="582" spans="1:27" s="313" customFormat="1" x14ac:dyDescent="0.2">
      <c r="A582" s="10"/>
      <c r="B582" s="10"/>
      <c r="C582" s="15"/>
      <c r="D582" s="396" t="s">
        <v>1097</v>
      </c>
      <c r="E582" s="148"/>
      <c r="F582" s="253">
        <v>-1</v>
      </c>
      <c r="G582" s="253">
        <v>3.2</v>
      </c>
      <c r="H582" s="253"/>
      <c r="I582" s="253">
        <v>1.2</v>
      </c>
      <c r="J582" s="253">
        <f t="shared" si="42"/>
        <v>-3.84</v>
      </c>
      <c r="K582" s="136">
        <f>J584</f>
        <v>-1.68</v>
      </c>
      <c r="L582" s="136">
        <f>'COMPOSICOES - SINAPI COM DESON'!G50</f>
        <v>104.48</v>
      </c>
      <c r="M582" s="136">
        <f>ROUND(L582*(1+$Q$5),2)</f>
        <v>132.19999999999999</v>
      </c>
      <c r="N582" s="199">
        <f>TRUNC(K582*M582,2)</f>
        <v>-222.09</v>
      </c>
      <c r="O582" s="283"/>
      <c r="P582" s="312"/>
      <c r="Q582" s="312"/>
      <c r="R582" s="312"/>
      <c r="S582" s="312"/>
      <c r="T582" s="312"/>
      <c r="U582" s="312"/>
      <c r="V582" s="312"/>
      <c r="W582" s="312"/>
      <c r="X582" s="312"/>
      <c r="Y582" s="312"/>
      <c r="Z582" s="312"/>
      <c r="AA582" s="312"/>
    </row>
    <row r="583" spans="1:27" s="118" customFormat="1" x14ac:dyDescent="0.2">
      <c r="A583" s="10"/>
      <c r="B583" s="10"/>
      <c r="C583" s="15"/>
      <c r="D583" s="2"/>
      <c r="E583" s="148"/>
      <c r="F583" s="253">
        <v>-1</v>
      </c>
      <c r="G583" s="253">
        <v>4.7</v>
      </c>
      <c r="H583" s="253"/>
      <c r="I583" s="253">
        <v>1.2</v>
      </c>
      <c r="J583" s="253">
        <f t="shared" si="42"/>
        <v>-5.64</v>
      </c>
      <c r="K583" s="137"/>
      <c r="L583" s="137"/>
      <c r="M583" s="137"/>
      <c r="N583" s="138"/>
      <c r="O583" s="167"/>
      <c r="P583" s="111"/>
      <c r="Q583" s="111"/>
      <c r="R583" s="111"/>
      <c r="S583" s="111"/>
      <c r="T583" s="111"/>
      <c r="U583" s="111"/>
      <c r="V583" s="111"/>
      <c r="W583" s="111"/>
      <c r="X583" s="111"/>
      <c r="Y583" s="111"/>
      <c r="Z583" s="111"/>
      <c r="AA583" s="111"/>
    </row>
    <row r="584" spans="1:27" s="118" customFormat="1" x14ac:dyDescent="0.2">
      <c r="A584" s="10"/>
      <c r="B584" s="10"/>
      <c r="C584" s="15"/>
      <c r="D584" s="149"/>
      <c r="E584" s="148"/>
      <c r="F584" s="253">
        <v>-1</v>
      </c>
      <c r="G584" s="253">
        <v>0.8</v>
      </c>
      <c r="H584" s="253"/>
      <c r="I584" s="253">
        <v>2.1</v>
      </c>
      <c r="J584" s="253">
        <f t="shared" si="42"/>
        <v>-1.68</v>
      </c>
      <c r="K584" s="137"/>
      <c r="L584" s="137"/>
      <c r="M584" s="137"/>
      <c r="N584" s="138"/>
      <c r="O584" s="167"/>
      <c r="P584" s="111"/>
      <c r="Q584" s="111"/>
      <c r="R584" s="111"/>
      <c r="S584" s="111"/>
      <c r="T584" s="111"/>
      <c r="U584" s="111"/>
      <c r="V584" s="111"/>
      <c r="W584" s="111"/>
      <c r="X584" s="111"/>
      <c r="Y584" s="111"/>
      <c r="Z584" s="111"/>
      <c r="AA584" s="111"/>
    </row>
    <row r="585" spans="1:27" s="161" customFormat="1" x14ac:dyDescent="0.2">
      <c r="A585" s="10"/>
      <c r="B585" s="10"/>
      <c r="C585" s="15"/>
      <c r="D585" s="149" t="s">
        <v>1098</v>
      </c>
      <c r="E585" s="148"/>
      <c r="F585" s="253"/>
      <c r="G585" s="253"/>
      <c r="H585" s="253"/>
      <c r="I585" s="249"/>
      <c r="J585" s="253"/>
      <c r="K585" s="151"/>
      <c r="L585" s="151"/>
      <c r="M585" s="151"/>
      <c r="N585" s="152"/>
      <c r="O585" s="167"/>
      <c r="P585" s="114"/>
      <c r="Q585" s="114"/>
      <c r="R585" s="114"/>
      <c r="S585" s="114"/>
      <c r="T585" s="114"/>
      <c r="U585" s="114"/>
      <c r="V585" s="114"/>
      <c r="W585" s="114"/>
      <c r="X585" s="114"/>
      <c r="Y585" s="114"/>
      <c r="Z585" s="114"/>
      <c r="AA585" s="114"/>
    </row>
    <row r="586" spans="1:27" s="313" customFormat="1" x14ac:dyDescent="0.2">
      <c r="A586" s="10"/>
      <c r="B586" s="10"/>
      <c r="C586" s="15"/>
      <c r="D586" s="396" t="s">
        <v>967</v>
      </c>
      <c r="E586" s="148"/>
      <c r="F586" s="253">
        <v>2</v>
      </c>
      <c r="G586" s="253">
        <v>2.5</v>
      </c>
      <c r="H586" s="253">
        <v>2.7</v>
      </c>
      <c r="I586" s="249"/>
      <c r="J586" s="253">
        <f t="shared" si="42"/>
        <v>13.5</v>
      </c>
      <c r="K586" s="136">
        <f>J589</f>
        <v>13.12</v>
      </c>
      <c r="L586" s="136">
        <v>8.1300000000000008</v>
      </c>
      <c r="M586" s="136">
        <f>ROUND(L586*(1+$Q$5),2)</f>
        <v>10.29</v>
      </c>
      <c r="N586" s="199">
        <f>TRUNC(K586*M586,2)</f>
        <v>135</v>
      </c>
      <c r="O586" s="283"/>
      <c r="P586" s="312"/>
      <c r="Q586" s="312"/>
      <c r="R586" s="312"/>
      <c r="S586" s="312"/>
      <c r="T586" s="312"/>
      <c r="U586" s="312"/>
      <c r="V586" s="312"/>
      <c r="W586" s="312"/>
      <c r="X586" s="312"/>
      <c r="Y586" s="312"/>
      <c r="Z586" s="312"/>
      <c r="AA586" s="312"/>
    </row>
    <row r="587" spans="1:27" s="118" customFormat="1" x14ac:dyDescent="0.2">
      <c r="A587" s="10"/>
      <c r="B587" s="10"/>
      <c r="C587" s="191"/>
      <c r="D587" s="2"/>
      <c r="E587" s="148"/>
      <c r="F587" s="253">
        <v>2</v>
      </c>
      <c r="G587" s="253">
        <v>5.4</v>
      </c>
      <c r="H587" s="253">
        <v>2.7</v>
      </c>
      <c r="I587" s="249"/>
      <c r="J587" s="253">
        <f t="shared" ref="J587:J603" si="43">ROUND(PRODUCT(F587:I587),2)</f>
        <v>29.16</v>
      </c>
      <c r="K587" s="137"/>
      <c r="L587" s="137"/>
      <c r="M587" s="137"/>
      <c r="N587" s="138"/>
      <c r="O587" s="167"/>
      <c r="P587" s="111"/>
      <c r="Q587" s="111"/>
      <c r="R587" s="111"/>
      <c r="S587" s="111"/>
      <c r="T587" s="111"/>
      <c r="U587" s="111"/>
      <c r="V587" s="111"/>
      <c r="W587" s="111"/>
      <c r="X587" s="111"/>
      <c r="Y587" s="111"/>
      <c r="Z587" s="111"/>
      <c r="AA587" s="111"/>
    </row>
    <row r="588" spans="1:27" s="118" customFormat="1" x14ac:dyDescent="0.2">
      <c r="A588" s="10"/>
      <c r="B588" s="10"/>
      <c r="C588" s="191"/>
      <c r="D588" s="2" t="s">
        <v>1099</v>
      </c>
      <c r="E588" s="148"/>
      <c r="F588" s="253">
        <v>2</v>
      </c>
      <c r="G588" s="253">
        <v>5.65</v>
      </c>
      <c r="H588" s="253">
        <v>2.7</v>
      </c>
      <c r="I588" s="249"/>
      <c r="J588" s="253">
        <f t="shared" si="43"/>
        <v>30.51</v>
      </c>
      <c r="K588" s="137"/>
      <c r="L588" s="137"/>
      <c r="M588" s="137"/>
      <c r="N588" s="138"/>
      <c r="O588" s="167"/>
      <c r="P588" s="111"/>
      <c r="Q588" s="111"/>
      <c r="R588" s="111"/>
      <c r="S588" s="111"/>
      <c r="T588" s="111"/>
      <c r="U588" s="111"/>
      <c r="V588" s="111"/>
      <c r="W588" s="111"/>
      <c r="X588" s="111"/>
      <c r="Y588" s="111"/>
      <c r="Z588" s="111"/>
      <c r="AA588" s="111"/>
    </row>
    <row r="589" spans="1:27" s="118" customFormat="1" x14ac:dyDescent="0.2">
      <c r="A589" s="10"/>
      <c r="B589" s="10"/>
      <c r="C589" s="191"/>
      <c r="D589" s="108"/>
      <c r="E589" s="148"/>
      <c r="F589" s="253">
        <v>2</v>
      </c>
      <c r="G589" s="253">
        <v>2.4300000000000002</v>
      </c>
      <c r="H589" s="253">
        <v>2.7</v>
      </c>
      <c r="I589" s="249"/>
      <c r="J589" s="253">
        <f t="shared" si="43"/>
        <v>13.12</v>
      </c>
      <c r="K589" s="137"/>
      <c r="L589" s="137"/>
      <c r="M589" s="137"/>
      <c r="N589" s="138"/>
      <c r="O589" s="167"/>
      <c r="P589" s="111"/>
      <c r="Q589" s="111"/>
      <c r="R589" s="111"/>
      <c r="S589" s="111"/>
      <c r="T589" s="111"/>
      <c r="U589" s="111"/>
      <c r="V589" s="111"/>
      <c r="W589" s="111"/>
      <c r="X589" s="111"/>
      <c r="Y589" s="111"/>
      <c r="Z589" s="111"/>
      <c r="AA589" s="111"/>
    </row>
    <row r="590" spans="1:27" s="139" customFormat="1" x14ac:dyDescent="0.2">
      <c r="A590" s="10"/>
      <c r="B590" s="10"/>
      <c r="C590" s="15"/>
      <c r="D590" s="2" t="s">
        <v>972</v>
      </c>
      <c r="E590" s="148"/>
      <c r="F590" s="253">
        <v>2</v>
      </c>
      <c r="G590" s="253">
        <v>2.5</v>
      </c>
      <c r="H590" s="253">
        <v>2.7</v>
      </c>
      <c r="I590" s="249"/>
      <c r="J590" s="253">
        <f t="shared" si="43"/>
        <v>13.5</v>
      </c>
      <c r="K590" s="137"/>
      <c r="L590" s="137"/>
      <c r="M590" s="137"/>
      <c r="N590" s="138"/>
      <c r="O590" s="283"/>
      <c r="P590" s="120"/>
      <c r="Q590" s="120"/>
      <c r="R590" s="120"/>
      <c r="S590" s="120"/>
      <c r="T590" s="120"/>
      <c r="U590" s="120"/>
      <c r="V590" s="120"/>
      <c r="W590" s="120"/>
      <c r="X590" s="120"/>
      <c r="Y590" s="120"/>
      <c r="Z590" s="120"/>
      <c r="AA590" s="120"/>
    </row>
    <row r="591" spans="1:27" s="313" customFormat="1" x14ac:dyDescent="0.2">
      <c r="A591" s="10"/>
      <c r="B591" s="10"/>
      <c r="C591" s="15"/>
      <c r="D591" s="314"/>
      <c r="E591" s="148"/>
      <c r="F591" s="253">
        <v>2</v>
      </c>
      <c r="G591" s="253">
        <v>2.4300000000000002</v>
      </c>
      <c r="H591" s="253">
        <v>2.7</v>
      </c>
      <c r="I591" s="249"/>
      <c r="J591" s="253">
        <f t="shared" si="43"/>
        <v>13.12</v>
      </c>
      <c r="K591" s="136">
        <f>J593</f>
        <v>13.12</v>
      </c>
      <c r="L591" s="136">
        <v>65.69</v>
      </c>
      <c r="M591" s="136">
        <f>ROUND(L591*(1+$Q$5),2)</f>
        <v>83.12</v>
      </c>
      <c r="N591" s="199">
        <f>TRUNC(K591*M591,2)</f>
        <v>1090.53</v>
      </c>
      <c r="O591" s="283"/>
      <c r="P591" s="312"/>
      <c r="Q591" s="312"/>
      <c r="R591" s="312"/>
      <c r="S591" s="312"/>
      <c r="T591" s="312"/>
      <c r="U591" s="312"/>
      <c r="V591" s="312"/>
      <c r="W591" s="312"/>
      <c r="X591" s="312"/>
      <c r="Y591" s="312"/>
      <c r="Z591" s="312"/>
      <c r="AA591" s="312"/>
    </row>
    <row r="592" spans="1:27" s="118" customFormat="1" x14ac:dyDescent="0.2">
      <c r="A592" s="10"/>
      <c r="B592" s="10"/>
      <c r="C592" s="10"/>
      <c r="D592" s="2" t="s">
        <v>997</v>
      </c>
      <c r="E592" s="148"/>
      <c r="F592" s="253">
        <v>2</v>
      </c>
      <c r="G592" s="253">
        <v>1.8</v>
      </c>
      <c r="H592" s="253">
        <v>2.7</v>
      </c>
      <c r="I592" s="249"/>
      <c r="J592" s="253">
        <f t="shared" si="43"/>
        <v>9.7200000000000006</v>
      </c>
      <c r="K592" s="137"/>
      <c r="L592" s="137"/>
      <c r="M592" s="137"/>
      <c r="N592" s="138"/>
      <c r="O592" s="167"/>
      <c r="P592" s="111"/>
      <c r="Q592" s="111"/>
      <c r="R592" s="111"/>
      <c r="S592" s="111"/>
      <c r="T592" s="111"/>
      <c r="U592" s="111"/>
      <c r="V592" s="111"/>
      <c r="W592" s="111"/>
      <c r="X592" s="111"/>
      <c r="Y592" s="111"/>
      <c r="Z592" s="111"/>
      <c r="AA592" s="111"/>
    </row>
    <row r="593" spans="1:27" s="118" customFormat="1" x14ac:dyDescent="0.2">
      <c r="A593" s="10"/>
      <c r="B593" s="10"/>
      <c r="C593" s="191"/>
      <c r="D593" s="108"/>
      <c r="E593" s="148"/>
      <c r="F593" s="253">
        <v>2</v>
      </c>
      <c r="G593" s="253">
        <v>2.4300000000000002</v>
      </c>
      <c r="H593" s="253">
        <v>2.7</v>
      </c>
      <c r="I593" s="249"/>
      <c r="J593" s="253">
        <f t="shared" si="43"/>
        <v>13.12</v>
      </c>
      <c r="K593" s="137"/>
      <c r="L593" s="137"/>
      <c r="M593" s="137"/>
      <c r="N593" s="138"/>
      <c r="O593" s="167"/>
      <c r="P593" s="111"/>
      <c r="Q593" s="111"/>
      <c r="R593" s="111"/>
      <c r="S593" s="111"/>
      <c r="T593" s="111"/>
      <c r="U593" s="111"/>
      <c r="V593" s="111"/>
      <c r="W593" s="111"/>
      <c r="X593" s="111"/>
      <c r="Y593" s="111"/>
      <c r="Z593" s="111"/>
      <c r="AA593" s="111"/>
    </row>
    <row r="594" spans="1:27" s="118" customFormat="1" x14ac:dyDescent="0.2">
      <c r="A594" s="10"/>
      <c r="B594" s="10"/>
      <c r="C594" s="191"/>
      <c r="D594" s="2" t="s">
        <v>965</v>
      </c>
      <c r="E594" s="148"/>
      <c r="F594" s="253">
        <v>1</v>
      </c>
      <c r="G594" s="253">
        <v>2.8</v>
      </c>
      <c r="H594" s="253">
        <v>2.7</v>
      </c>
      <c r="I594" s="249"/>
      <c r="J594" s="253">
        <f t="shared" si="43"/>
        <v>7.56</v>
      </c>
      <c r="K594" s="137"/>
      <c r="L594" s="137"/>
      <c r="M594" s="137"/>
      <c r="N594" s="138"/>
      <c r="O594" s="167"/>
      <c r="P594" s="111"/>
      <c r="Q594" s="111"/>
      <c r="R594" s="111"/>
      <c r="S594" s="111"/>
      <c r="T594" s="111"/>
      <c r="U594" s="111"/>
      <c r="V594" s="111"/>
      <c r="W594" s="111"/>
      <c r="X594" s="111"/>
      <c r="Y594" s="111"/>
      <c r="Z594" s="111"/>
      <c r="AA594" s="111"/>
    </row>
    <row r="595" spans="1:27" s="313" customFormat="1" x14ac:dyDescent="0.2">
      <c r="A595" s="10"/>
      <c r="B595" s="10"/>
      <c r="C595" s="15"/>
      <c r="D595" s="314"/>
      <c r="E595" s="148"/>
      <c r="F595" s="253">
        <v>1</v>
      </c>
      <c r="G595" s="253">
        <v>2.5299999999999998</v>
      </c>
      <c r="H595" s="253">
        <v>2.7</v>
      </c>
      <c r="I595" s="249"/>
      <c r="J595" s="253">
        <f t="shared" si="43"/>
        <v>6.83</v>
      </c>
      <c r="K595" s="136">
        <f>J597</f>
        <v>43.2</v>
      </c>
      <c r="L595" s="136">
        <v>14.55</v>
      </c>
      <c r="M595" s="136">
        <f>ROUND(L595*(1+$Q$5),2)</f>
        <v>18.41</v>
      </c>
      <c r="N595" s="199">
        <f>TRUNC(K595*M595,2)</f>
        <v>795.31</v>
      </c>
      <c r="O595" s="283"/>
      <c r="P595" s="312"/>
      <c r="Q595" s="312"/>
      <c r="R595" s="312"/>
      <c r="S595" s="312"/>
      <c r="T595" s="312"/>
      <c r="U595" s="312"/>
      <c r="V595" s="312"/>
      <c r="W595" s="312"/>
      <c r="X595" s="312"/>
      <c r="Y595" s="312"/>
      <c r="Z595" s="312"/>
      <c r="AA595" s="312"/>
    </row>
    <row r="596" spans="1:27" s="118" customFormat="1" x14ac:dyDescent="0.2">
      <c r="A596" s="10"/>
      <c r="B596" s="10"/>
      <c r="C596" s="10"/>
      <c r="D596" s="2"/>
      <c r="E596" s="148"/>
      <c r="F596" s="253">
        <v>2</v>
      </c>
      <c r="G596" s="253">
        <v>3</v>
      </c>
      <c r="H596" s="253">
        <v>2.7</v>
      </c>
      <c r="I596" s="249"/>
      <c r="J596" s="253">
        <f t="shared" si="43"/>
        <v>16.2</v>
      </c>
      <c r="K596" s="137"/>
      <c r="L596" s="137"/>
      <c r="M596" s="137"/>
      <c r="N596" s="138"/>
      <c r="O596" s="167"/>
      <c r="P596" s="111"/>
      <c r="Q596" s="111"/>
      <c r="R596" s="111"/>
      <c r="S596" s="111"/>
      <c r="T596" s="111"/>
      <c r="U596" s="111"/>
      <c r="V596" s="111"/>
      <c r="W596" s="111"/>
      <c r="X596" s="111"/>
      <c r="Y596" s="111"/>
      <c r="Z596" s="111"/>
      <c r="AA596" s="111"/>
    </row>
    <row r="597" spans="1:27" s="118" customFormat="1" x14ac:dyDescent="0.2">
      <c r="A597" s="10"/>
      <c r="B597" s="10"/>
      <c r="C597" s="191"/>
      <c r="D597" s="2" t="s">
        <v>1100</v>
      </c>
      <c r="E597" s="148"/>
      <c r="F597" s="253">
        <v>2</v>
      </c>
      <c r="G597" s="253">
        <v>8</v>
      </c>
      <c r="H597" s="253">
        <v>2.7</v>
      </c>
      <c r="I597" s="249"/>
      <c r="J597" s="253">
        <f t="shared" si="43"/>
        <v>43.2</v>
      </c>
      <c r="K597" s="137"/>
      <c r="L597" s="137"/>
      <c r="M597" s="137"/>
      <c r="N597" s="138"/>
      <c r="O597" s="167"/>
      <c r="P597" s="111"/>
      <c r="Q597" s="111"/>
      <c r="R597" s="111"/>
      <c r="S597" s="111"/>
      <c r="T597" s="111"/>
      <c r="U597" s="111"/>
      <c r="V597" s="111"/>
      <c r="W597" s="111"/>
      <c r="X597" s="111"/>
      <c r="Y597" s="111"/>
      <c r="Z597" s="111"/>
      <c r="AA597" s="111"/>
    </row>
    <row r="598" spans="1:27" s="118" customFormat="1" x14ac:dyDescent="0.2">
      <c r="A598" s="10"/>
      <c r="B598" s="10"/>
      <c r="C598" s="191"/>
      <c r="D598" s="2" t="s">
        <v>1101</v>
      </c>
      <c r="E598" s="148"/>
      <c r="F598" s="253">
        <v>-1</v>
      </c>
      <c r="G598" s="253">
        <v>1</v>
      </c>
      <c r="H598" s="253"/>
      <c r="I598" s="253">
        <v>2.1</v>
      </c>
      <c r="J598" s="253">
        <f t="shared" si="43"/>
        <v>-2.1</v>
      </c>
      <c r="K598" s="137"/>
      <c r="L598" s="137"/>
      <c r="M598" s="137"/>
      <c r="N598" s="138"/>
      <c r="O598" s="167"/>
      <c r="P598" s="111"/>
      <c r="Q598" s="111"/>
      <c r="R598" s="111"/>
      <c r="S598" s="111"/>
      <c r="T598" s="111"/>
      <c r="U598" s="111"/>
      <c r="V598" s="111"/>
      <c r="W598" s="111"/>
      <c r="X598" s="111"/>
      <c r="Y598" s="111"/>
      <c r="Z598" s="111"/>
      <c r="AA598" s="111"/>
    </row>
    <row r="599" spans="1:27" s="118" customFormat="1" x14ac:dyDescent="0.2">
      <c r="A599" s="10"/>
      <c r="B599" s="10"/>
      <c r="C599" s="15"/>
      <c r="D599" s="108"/>
      <c r="E599" s="148"/>
      <c r="F599" s="253">
        <v>-3</v>
      </c>
      <c r="G599" s="253">
        <v>0.6</v>
      </c>
      <c r="H599" s="253"/>
      <c r="I599" s="253">
        <v>2.1</v>
      </c>
      <c r="J599" s="253">
        <f t="shared" si="43"/>
        <v>-3.78</v>
      </c>
      <c r="K599" s="137"/>
      <c r="L599" s="137"/>
      <c r="M599" s="137"/>
      <c r="N599" s="199">
        <f>SUM(N601:N615)</f>
        <v>8191.53</v>
      </c>
      <c r="O599" s="167"/>
      <c r="P599" s="111"/>
      <c r="Q599" s="111"/>
      <c r="R599" s="111"/>
      <c r="S599" s="111"/>
      <c r="T599" s="111"/>
      <c r="U599" s="111"/>
      <c r="V599" s="111"/>
      <c r="W599" s="111"/>
      <c r="X599" s="111"/>
      <c r="Y599" s="111"/>
      <c r="Z599" s="111"/>
      <c r="AA599" s="111"/>
    </row>
    <row r="600" spans="1:27" s="118" customFormat="1" x14ac:dyDescent="0.2">
      <c r="A600" s="10"/>
      <c r="B600" s="10"/>
      <c r="C600" s="191"/>
      <c r="D600" s="108"/>
      <c r="E600" s="148"/>
      <c r="F600" s="253">
        <v>-1</v>
      </c>
      <c r="G600" s="253">
        <v>0.7</v>
      </c>
      <c r="H600" s="253"/>
      <c r="I600" s="253">
        <v>2.1</v>
      </c>
      <c r="J600" s="253">
        <f t="shared" si="43"/>
        <v>-1.47</v>
      </c>
      <c r="K600" s="137"/>
      <c r="L600" s="137"/>
      <c r="M600" s="137"/>
      <c r="N600" s="138"/>
      <c r="O600" s="167"/>
      <c r="P600" s="111"/>
      <c r="Q600" s="111"/>
      <c r="R600" s="111"/>
      <c r="S600" s="111"/>
      <c r="T600" s="111"/>
      <c r="U600" s="111"/>
      <c r="V600" s="111"/>
      <c r="W600" s="111"/>
      <c r="X600" s="111"/>
      <c r="Y600" s="111"/>
      <c r="Z600" s="111"/>
      <c r="AA600" s="111"/>
    </row>
    <row r="601" spans="1:27" s="313" customFormat="1" x14ac:dyDescent="0.2">
      <c r="A601" s="10"/>
      <c r="B601" s="10"/>
      <c r="C601" s="15"/>
      <c r="D601" s="314"/>
      <c r="E601" s="148"/>
      <c r="F601" s="253">
        <v>6</v>
      </c>
      <c r="G601" s="253">
        <v>0.8</v>
      </c>
      <c r="H601" s="253"/>
      <c r="I601" s="253">
        <v>2.1</v>
      </c>
      <c r="J601" s="253">
        <f t="shared" si="43"/>
        <v>10.08</v>
      </c>
      <c r="K601" s="136">
        <f>J604</f>
        <v>346.42999999999989</v>
      </c>
      <c r="L601" s="136">
        <v>8.1199999999999992</v>
      </c>
      <c r="M601" s="136">
        <f>ROUND(L601*(1+$Q$5),2)</f>
        <v>10.27</v>
      </c>
      <c r="N601" s="199">
        <f>TRUNC(K601*M601,2)</f>
        <v>3557.83</v>
      </c>
      <c r="O601" s="283"/>
      <c r="P601" s="312"/>
      <c r="Q601" s="312"/>
      <c r="R601" s="312"/>
      <c r="S601" s="312"/>
      <c r="T601" s="312"/>
      <c r="U601" s="312"/>
      <c r="V601" s="312"/>
      <c r="W601" s="312"/>
      <c r="X601" s="312"/>
      <c r="Y601" s="312"/>
      <c r="Z601" s="312"/>
      <c r="AA601" s="312"/>
    </row>
    <row r="602" spans="1:27" s="118" customFormat="1" x14ac:dyDescent="0.2">
      <c r="A602" s="10"/>
      <c r="B602" s="10"/>
      <c r="C602" s="191"/>
      <c r="D602" s="2"/>
      <c r="E602" s="148"/>
      <c r="F602" s="253">
        <v>-1</v>
      </c>
      <c r="G602" s="253">
        <v>2.7</v>
      </c>
      <c r="H602" s="253"/>
      <c r="I602" s="253">
        <v>1.1499999999999999</v>
      </c>
      <c r="J602" s="253">
        <f t="shared" si="43"/>
        <v>-3.11</v>
      </c>
      <c r="K602" s="137"/>
      <c r="L602" s="137"/>
      <c r="M602" s="137"/>
      <c r="N602" s="138"/>
      <c r="O602" s="167"/>
      <c r="P602" s="111"/>
      <c r="Q602" s="111"/>
      <c r="R602" s="111"/>
      <c r="S602" s="111"/>
      <c r="T602" s="111"/>
      <c r="U602" s="111"/>
      <c r="V602" s="111"/>
      <c r="W602" s="111"/>
      <c r="X602" s="111"/>
      <c r="Y602" s="111"/>
      <c r="Z602" s="111"/>
      <c r="AA602" s="111"/>
    </row>
    <row r="603" spans="1:27" s="118" customFormat="1" x14ac:dyDescent="0.2">
      <c r="A603" s="10"/>
      <c r="B603" s="10"/>
      <c r="C603" s="191"/>
      <c r="D603" s="2"/>
      <c r="E603" s="148"/>
      <c r="F603" s="253">
        <v>-1</v>
      </c>
      <c r="G603" s="253">
        <v>1.6</v>
      </c>
      <c r="H603" s="253"/>
      <c r="I603" s="249">
        <v>1.2</v>
      </c>
      <c r="J603" s="253">
        <f t="shared" si="43"/>
        <v>-1.92</v>
      </c>
      <c r="K603" s="137"/>
      <c r="L603" s="137"/>
      <c r="M603" s="137"/>
      <c r="N603" s="138"/>
      <c r="O603" s="167"/>
      <c r="P603" s="111"/>
      <c r="Q603" s="111"/>
      <c r="R603" s="111"/>
      <c r="S603" s="111"/>
      <c r="T603" s="111"/>
      <c r="U603" s="111"/>
      <c r="V603" s="111"/>
      <c r="W603" s="111"/>
      <c r="X603" s="111"/>
      <c r="Y603" s="111"/>
      <c r="Z603" s="111"/>
      <c r="AA603" s="111"/>
    </row>
    <row r="604" spans="1:27" s="118" customFormat="1" x14ac:dyDescent="0.2">
      <c r="A604" s="10"/>
      <c r="B604" s="10"/>
      <c r="C604" s="191"/>
      <c r="D604" s="110"/>
      <c r="E604" s="158"/>
      <c r="F604" s="267"/>
      <c r="G604" s="267"/>
      <c r="H604" s="267"/>
      <c r="I604" s="246" t="str">
        <f>"Total item "&amp;A566</f>
        <v>Total item 8.1.1</v>
      </c>
      <c r="J604" s="261">
        <f>SUM(J568:J603)</f>
        <v>346.42999999999989</v>
      </c>
      <c r="K604" s="137"/>
      <c r="L604" s="137"/>
      <c r="M604" s="137"/>
      <c r="N604" s="138"/>
      <c r="O604" s="167"/>
      <c r="P604" s="111"/>
      <c r="Q604" s="111"/>
      <c r="R604" s="111"/>
      <c r="S604" s="111"/>
      <c r="T604" s="111"/>
      <c r="U604" s="111"/>
      <c r="V604" s="111"/>
      <c r="W604" s="111"/>
      <c r="X604" s="111"/>
      <c r="Y604" s="111"/>
      <c r="Z604" s="111"/>
      <c r="AA604" s="111"/>
    </row>
    <row r="605" spans="1:27" s="139" customFormat="1" x14ac:dyDescent="0.2">
      <c r="A605" s="10"/>
      <c r="B605" s="10"/>
      <c r="C605" s="15"/>
      <c r="D605" s="117"/>
      <c r="E605" s="10"/>
      <c r="F605" s="263"/>
      <c r="G605" s="263"/>
      <c r="H605" s="263"/>
      <c r="I605" s="250"/>
      <c r="J605" s="263"/>
      <c r="K605" s="137"/>
      <c r="L605" s="137"/>
      <c r="M605" s="137"/>
      <c r="N605" s="138"/>
      <c r="O605" s="283"/>
      <c r="P605" s="120"/>
      <c r="Q605" s="120"/>
      <c r="R605" s="120"/>
      <c r="S605" s="120"/>
      <c r="T605" s="120"/>
      <c r="U605" s="120"/>
      <c r="V605" s="120"/>
      <c r="W605" s="120"/>
      <c r="X605" s="120"/>
      <c r="Y605" s="120"/>
      <c r="Z605" s="120"/>
      <c r="AA605" s="120"/>
    </row>
    <row r="606" spans="1:27" s="147" customFormat="1" ht="40.799999999999997" x14ac:dyDescent="0.2">
      <c r="A606" s="9" t="s">
        <v>49</v>
      </c>
      <c r="B606" s="9"/>
      <c r="C606" s="13"/>
      <c r="D606" s="113" t="str">
        <f>'ORÇAMENTO PINTURA'!D58</f>
        <v>PINTURA COM TINTA ALQUÍDICA DE FUNDO E ACABAMENTO (ESMALTE SINTÉTICO GRAFITE) APLICADA A ROLO OU PINCEL SOBRE PERFIL METÁLICO EXECUTADO EM FÁBRICA (POR DEMÃO). AF_01/2020</v>
      </c>
      <c r="E606" s="9"/>
      <c r="F606" s="261"/>
      <c r="G606" s="261"/>
      <c r="H606" s="261"/>
      <c r="I606" s="245"/>
      <c r="J606" s="261"/>
      <c r="K606" s="131">
        <f>J609</f>
        <v>8.82</v>
      </c>
      <c r="L606" s="131">
        <v>116.1</v>
      </c>
      <c r="M606" s="131">
        <f>ROUND(L606*(1+$Q$5),2)</f>
        <v>146.9</v>
      </c>
      <c r="N606" s="133">
        <f>TRUNC(K606*M606,2)</f>
        <v>1295.6500000000001</v>
      </c>
      <c r="O606" s="291"/>
      <c r="P606" s="146"/>
      <c r="Q606" s="146"/>
      <c r="R606" s="146"/>
      <c r="S606" s="146"/>
      <c r="T606" s="146"/>
      <c r="U606" s="146"/>
      <c r="V606" s="146"/>
      <c r="W606" s="146"/>
      <c r="X606" s="146"/>
      <c r="Y606" s="146"/>
      <c r="Z606" s="146"/>
      <c r="AA606" s="146"/>
    </row>
    <row r="607" spans="1:27" s="118" customFormat="1" x14ac:dyDescent="0.2">
      <c r="A607" s="10"/>
      <c r="B607" s="10"/>
      <c r="C607" s="191"/>
      <c r="D607" s="2" t="s">
        <v>1096</v>
      </c>
      <c r="E607" s="148"/>
      <c r="F607" s="253">
        <v>2</v>
      </c>
      <c r="G607" s="253"/>
      <c r="H607" s="253">
        <v>2.4</v>
      </c>
      <c r="I607" s="253">
        <v>2.4</v>
      </c>
      <c r="J607" s="253">
        <f t="shared" ref="J607:J613" si="44">ROUND(PRODUCT(F607:I607),2)</f>
        <v>11.52</v>
      </c>
      <c r="K607" s="137"/>
      <c r="L607" s="137"/>
      <c r="M607" s="137"/>
      <c r="N607" s="138"/>
      <c r="O607" s="167"/>
      <c r="P607" s="111"/>
      <c r="Q607" s="111"/>
      <c r="R607" s="111"/>
      <c r="S607" s="111"/>
      <c r="T607" s="111"/>
      <c r="U607" s="111"/>
      <c r="V607" s="111"/>
      <c r="W607" s="111"/>
      <c r="X607" s="111"/>
      <c r="Y607" s="111"/>
      <c r="Z607" s="111"/>
      <c r="AA607" s="111"/>
    </row>
    <row r="608" spans="1:27" s="118" customFormat="1" x14ac:dyDescent="0.2">
      <c r="A608" s="10"/>
      <c r="B608" s="10"/>
      <c r="C608" s="191"/>
      <c r="D608" s="108"/>
      <c r="E608" s="148"/>
      <c r="F608" s="253">
        <v>2</v>
      </c>
      <c r="G608" s="253"/>
      <c r="H608" s="253">
        <v>2.2000000000000002</v>
      </c>
      <c r="I608" s="253">
        <v>2.2000000000000002</v>
      </c>
      <c r="J608" s="253">
        <f t="shared" si="44"/>
        <v>9.68</v>
      </c>
      <c r="K608" s="137"/>
      <c r="L608" s="137"/>
      <c r="M608" s="137"/>
      <c r="N608" s="138"/>
      <c r="O608" s="167"/>
      <c r="P608" s="111"/>
      <c r="Q608" s="111"/>
      <c r="R608" s="111"/>
      <c r="S608" s="111"/>
      <c r="T608" s="111"/>
      <c r="U608" s="111"/>
      <c r="V608" s="111"/>
      <c r="W608" s="111"/>
      <c r="X608" s="111"/>
      <c r="Y608" s="111"/>
      <c r="Z608" s="111"/>
      <c r="AA608" s="111"/>
    </row>
    <row r="609" spans="1:27" s="118" customFormat="1" x14ac:dyDescent="0.2">
      <c r="A609" s="10"/>
      <c r="B609" s="10"/>
      <c r="C609" s="191"/>
      <c r="D609" s="108"/>
      <c r="E609" s="148"/>
      <c r="F609" s="253">
        <v>2</v>
      </c>
      <c r="G609" s="253"/>
      <c r="H609" s="253">
        <v>2.1</v>
      </c>
      <c r="I609" s="253">
        <v>2.1</v>
      </c>
      <c r="J609" s="253">
        <f t="shared" si="44"/>
        <v>8.82</v>
      </c>
      <c r="K609" s="137"/>
      <c r="L609" s="137"/>
      <c r="M609" s="137"/>
      <c r="N609" s="138"/>
      <c r="O609" s="167"/>
      <c r="P609" s="111"/>
      <c r="Q609" s="111"/>
      <c r="R609" s="111"/>
      <c r="S609" s="111"/>
      <c r="T609" s="111"/>
      <c r="U609" s="111"/>
      <c r="V609" s="111"/>
      <c r="W609" s="111"/>
      <c r="X609" s="111"/>
      <c r="Y609" s="111"/>
      <c r="Z609" s="111"/>
      <c r="AA609" s="111"/>
    </row>
    <row r="610" spans="1:27" s="139" customFormat="1" x14ac:dyDescent="0.2">
      <c r="A610" s="10"/>
      <c r="B610" s="10"/>
      <c r="C610" s="15"/>
      <c r="D610" s="396" t="s">
        <v>1097</v>
      </c>
      <c r="E610" s="148"/>
      <c r="F610" s="253">
        <v>1</v>
      </c>
      <c r="G610" s="253">
        <v>3.2</v>
      </c>
      <c r="H610" s="253"/>
      <c r="I610" s="253">
        <v>1.2</v>
      </c>
      <c r="J610" s="253">
        <f t="shared" si="44"/>
        <v>3.84</v>
      </c>
      <c r="K610" s="137"/>
      <c r="L610" s="137"/>
      <c r="M610" s="137"/>
      <c r="N610" s="138"/>
      <c r="O610" s="283"/>
      <c r="P610" s="120"/>
      <c r="Q610" s="120"/>
      <c r="R610" s="120"/>
      <c r="S610" s="120"/>
      <c r="T610" s="120"/>
      <c r="U610" s="120"/>
      <c r="V610" s="120"/>
      <c r="W610" s="120"/>
      <c r="X610" s="120"/>
      <c r="Y610" s="120"/>
      <c r="Z610" s="120"/>
      <c r="AA610" s="120"/>
    </row>
    <row r="611" spans="1:27" s="313" customFormat="1" x14ac:dyDescent="0.2">
      <c r="A611" s="10"/>
      <c r="B611" s="10"/>
      <c r="C611" s="15"/>
      <c r="D611" s="2"/>
      <c r="E611" s="148"/>
      <c r="F611" s="253">
        <v>1</v>
      </c>
      <c r="G611" s="253">
        <v>4.7</v>
      </c>
      <c r="H611" s="253"/>
      <c r="I611" s="253">
        <v>1.2</v>
      </c>
      <c r="J611" s="253">
        <f t="shared" si="44"/>
        <v>5.64</v>
      </c>
      <c r="K611" s="136">
        <f>J614</f>
        <v>41.18</v>
      </c>
      <c r="L611" s="136">
        <v>64.06</v>
      </c>
      <c r="M611" s="136">
        <f>ROUND(L611*(1+$Q$5),2)</f>
        <v>81.06</v>
      </c>
      <c r="N611" s="199">
        <f>TRUNC(K611*M611,2)</f>
        <v>3338.05</v>
      </c>
      <c r="O611" s="283"/>
      <c r="P611" s="312"/>
      <c r="Q611" s="312"/>
      <c r="R611" s="312"/>
      <c r="S611" s="312"/>
      <c r="T611" s="312"/>
      <c r="U611" s="312"/>
      <c r="V611" s="312"/>
      <c r="W611" s="312"/>
      <c r="X611" s="312"/>
      <c r="Y611" s="312"/>
      <c r="Z611" s="312"/>
      <c r="AA611" s="312"/>
    </row>
    <row r="612" spans="1:27" s="118" customFormat="1" x14ac:dyDescent="0.2">
      <c r="A612" s="10"/>
      <c r="B612" s="10"/>
      <c r="C612" s="191"/>
      <c r="D612" s="149"/>
      <c r="E612" s="148"/>
      <c r="F612" s="253">
        <v>1</v>
      </c>
      <c r="G612" s="253">
        <v>0.8</v>
      </c>
      <c r="H612" s="253"/>
      <c r="I612" s="253">
        <v>2.1</v>
      </c>
      <c r="J612" s="253">
        <f t="shared" si="44"/>
        <v>1.68</v>
      </c>
      <c r="K612" s="137"/>
      <c r="L612" s="137"/>
      <c r="M612" s="137"/>
      <c r="N612" s="138"/>
      <c r="O612" s="167"/>
      <c r="P612" s="111"/>
      <c r="Q612" s="111"/>
      <c r="R612" s="111"/>
      <c r="S612" s="111"/>
      <c r="T612" s="111"/>
      <c r="U612" s="111"/>
      <c r="V612" s="111"/>
      <c r="W612" s="111"/>
      <c r="X612" s="111"/>
      <c r="Y612" s="111"/>
      <c r="Z612" s="111"/>
      <c r="AA612" s="111"/>
    </row>
    <row r="613" spans="1:27" s="118" customFormat="1" x14ac:dyDescent="0.2">
      <c r="A613" s="10"/>
      <c r="B613" s="10"/>
      <c r="C613" s="191"/>
      <c r="D613" s="149" t="s">
        <v>1102</v>
      </c>
      <c r="E613" s="148"/>
      <c r="F613" s="253"/>
      <c r="G613" s="253"/>
      <c r="H613" s="253"/>
      <c r="I613" s="253">
        <v>2</v>
      </c>
      <c r="J613" s="253">
        <f t="shared" si="44"/>
        <v>2</v>
      </c>
      <c r="K613" s="137"/>
      <c r="L613" s="137"/>
      <c r="M613" s="137"/>
      <c r="N613" s="138"/>
      <c r="O613" s="167"/>
      <c r="P613" s="111"/>
      <c r="Q613" s="111"/>
      <c r="R613" s="111"/>
      <c r="S613" s="111"/>
      <c r="T613" s="111"/>
      <c r="U613" s="111"/>
      <c r="V613" s="111"/>
      <c r="W613" s="111"/>
      <c r="X613" s="111"/>
      <c r="Y613" s="111"/>
      <c r="Z613" s="111"/>
      <c r="AA613" s="111"/>
    </row>
    <row r="614" spans="1:27" s="118" customFormat="1" x14ac:dyDescent="0.2">
      <c r="A614" s="10"/>
      <c r="B614" s="10"/>
      <c r="C614" s="191"/>
      <c r="D614" s="110"/>
      <c r="E614" s="158"/>
      <c r="F614" s="267"/>
      <c r="G614" s="267"/>
      <c r="H614" s="267"/>
      <c r="I614" s="246" t="str">
        <f>"Total item "&amp;A606</f>
        <v>Total item 8.1.2</v>
      </c>
      <c r="J614" s="261">
        <f>SUM(J607:J612)</f>
        <v>41.18</v>
      </c>
      <c r="K614" s="137"/>
      <c r="L614" s="137"/>
      <c r="M614" s="137"/>
      <c r="N614" s="138"/>
      <c r="O614" s="167"/>
      <c r="P614" s="111"/>
      <c r="Q614" s="111"/>
      <c r="R614" s="111"/>
      <c r="S614" s="111"/>
      <c r="T614" s="111"/>
      <c r="U614" s="111"/>
      <c r="V614" s="111"/>
      <c r="W614" s="111"/>
      <c r="X614" s="111"/>
      <c r="Y614" s="111"/>
      <c r="Z614" s="111"/>
      <c r="AA614" s="111"/>
    </row>
    <row r="615" spans="1:27" s="410" customFormat="1" ht="20.399999999999999" x14ac:dyDescent="0.2">
      <c r="A615" s="9" t="s">
        <v>50</v>
      </c>
      <c r="B615" s="9"/>
      <c r="C615" s="13"/>
      <c r="D615" s="109" t="str">
        <f>'ORÇAMENTO PINTURA'!D59</f>
        <v>APLICAÇÃO MANUAL DE PINTURA COM TINTA LÁTEX ACRÍLICA EM PAREDES, DUAS DEMÃOS. AF_06/2014</v>
      </c>
      <c r="E615" s="9"/>
      <c r="F615" s="261"/>
      <c r="G615" s="261"/>
      <c r="H615" s="261"/>
      <c r="I615" s="245"/>
      <c r="J615" s="261"/>
      <c r="K615" s="403"/>
      <c r="L615" s="403"/>
      <c r="M615" s="403"/>
      <c r="N615" s="404"/>
      <c r="O615" s="291"/>
      <c r="P615" s="409"/>
      <c r="Q615" s="409"/>
      <c r="R615" s="409"/>
      <c r="S615" s="409"/>
      <c r="T615" s="409"/>
      <c r="U615" s="409"/>
      <c r="V615" s="409"/>
      <c r="W615" s="409"/>
      <c r="X615" s="409"/>
      <c r="Y615" s="409"/>
      <c r="Z615" s="409"/>
      <c r="AA615" s="409"/>
    </row>
    <row r="616" spans="1:27" s="118" customFormat="1" x14ac:dyDescent="0.2">
      <c r="A616" s="10"/>
      <c r="B616" s="10"/>
      <c r="C616" s="15"/>
      <c r="D616" s="2" t="s">
        <v>1094</v>
      </c>
      <c r="E616" s="148"/>
      <c r="F616" s="253"/>
      <c r="G616" s="253"/>
      <c r="H616" s="253"/>
      <c r="I616" s="249"/>
      <c r="J616" s="253"/>
      <c r="K616" s="137"/>
      <c r="L616" s="137"/>
      <c r="M616" s="137"/>
      <c r="N616" s="199">
        <f>SUM(N618:N629)</f>
        <v>-184.59</v>
      </c>
      <c r="O616" s="167"/>
      <c r="P616" s="111"/>
      <c r="Q616" s="111"/>
      <c r="R616" s="111"/>
      <c r="S616" s="111"/>
      <c r="T616" s="111"/>
      <c r="U616" s="111"/>
      <c r="V616" s="111"/>
      <c r="W616" s="111"/>
      <c r="X616" s="111"/>
      <c r="Y616" s="111"/>
      <c r="Z616" s="111"/>
      <c r="AA616" s="111"/>
    </row>
    <row r="617" spans="1:27" s="139" customFormat="1" x14ac:dyDescent="0.2">
      <c r="A617" s="10"/>
      <c r="B617" s="10"/>
      <c r="C617" s="15"/>
      <c r="D617" s="2" t="s">
        <v>1095</v>
      </c>
      <c r="E617" s="148"/>
      <c r="F617" s="253">
        <v>1</v>
      </c>
      <c r="G617" s="253">
        <v>9.1</v>
      </c>
      <c r="H617" s="253">
        <v>3.1</v>
      </c>
      <c r="I617" s="249"/>
      <c r="J617" s="253">
        <f t="shared" ref="J617:J626" si="45">ROUND(PRODUCT(F617:I617),2)</f>
        <v>28.21</v>
      </c>
      <c r="K617" s="137"/>
      <c r="L617" s="137"/>
      <c r="M617" s="137"/>
      <c r="N617" s="138"/>
      <c r="O617" s="283"/>
      <c r="P617" s="120"/>
      <c r="Q617" s="120"/>
      <c r="R617" s="120"/>
      <c r="S617" s="120"/>
      <c r="T617" s="120"/>
      <c r="U617" s="120"/>
      <c r="V617" s="120"/>
      <c r="W617" s="120"/>
      <c r="X617" s="120"/>
      <c r="Y617" s="120"/>
      <c r="Z617" s="120"/>
      <c r="AA617" s="120"/>
    </row>
    <row r="618" spans="1:27" s="313" customFormat="1" x14ac:dyDescent="0.2">
      <c r="A618" s="10"/>
      <c r="B618" s="10"/>
      <c r="C618" s="15"/>
      <c r="D618" s="2" t="s">
        <v>1019</v>
      </c>
      <c r="E618" s="148"/>
      <c r="F618" s="253">
        <v>1</v>
      </c>
      <c r="G618" s="253">
        <v>3.55</v>
      </c>
      <c r="H618" s="253">
        <v>2.7</v>
      </c>
      <c r="I618" s="249"/>
      <c r="J618" s="253">
        <f t="shared" si="45"/>
        <v>9.59</v>
      </c>
      <c r="K618" s="136">
        <f>J620</f>
        <v>24.92</v>
      </c>
      <c r="L618" s="136">
        <f>'COMPOSICOES - SINAPI COM DESON'!G18</f>
        <v>5.79</v>
      </c>
      <c r="M618" s="136">
        <f>ROUND(L618*(1+$Q$5),2)</f>
        <v>7.33</v>
      </c>
      <c r="N618" s="199">
        <f>TRUNC(K618*M618,2)</f>
        <v>182.66</v>
      </c>
      <c r="O618" s="283"/>
      <c r="P618" s="312"/>
      <c r="Q618" s="312"/>
      <c r="R618" s="312"/>
      <c r="S618" s="312"/>
      <c r="T618" s="312"/>
      <c r="U618" s="312"/>
      <c r="V618" s="312"/>
      <c r="W618" s="312"/>
      <c r="X618" s="312"/>
      <c r="Y618" s="312"/>
      <c r="Z618" s="312"/>
      <c r="AA618" s="312"/>
    </row>
    <row r="619" spans="1:27" s="118" customFormat="1" x14ac:dyDescent="0.2">
      <c r="A619" s="10"/>
      <c r="B619" s="10"/>
      <c r="C619" s="191"/>
      <c r="D619" s="108"/>
      <c r="E619" s="148"/>
      <c r="F619" s="253">
        <v>1</v>
      </c>
      <c r="G619" s="253">
        <v>2.5499999999999998</v>
      </c>
      <c r="H619" s="253">
        <v>2.7</v>
      </c>
      <c r="I619" s="249"/>
      <c r="J619" s="253">
        <f t="shared" si="45"/>
        <v>6.89</v>
      </c>
      <c r="K619" s="137"/>
      <c r="L619" s="137"/>
      <c r="M619" s="137"/>
      <c r="N619" s="138"/>
      <c r="O619" s="167"/>
      <c r="P619" s="111"/>
      <c r="Q619" s="111"/>
      <c r="R619" s="111"/>
      <c r="S619" s="111"/>
      <c r="T619" s="111"/>
      <c r="U619" s="111"/>
      <c r="V619" s="111"/>
      <c r="W619" s="111"/>
      <c r="X619" s="111"/>
      <c r="Y619" s="111"/>
      <c r="Z619" s="111"/>
      <c r="AA619" s="111"/>
    </row>
    <row r="620" spans="1:27" s="118" customFormat="1" x14ac:dyDescent="0.2">
      <c r="A620" s="10"/>
      <c r="B620" s="10"/>
      <c r="C620" s="191"/>
      <c r="D620" s="314"/>
      <c r="E620" s="148"/>
      <c r="F620" s="253">
        <v>1</v>
      </c>
      <c r="G620" s="253">
        <v>9.23</v>
      </c>
      <c r="H620" s="253">
        <v>2.7</v>
      </c>
      <c r="I620" s="249"/>
      <c r="J620" s="253">
        <f t="shared" si="45"/>
        <v>24.92</v>
      </c>
      <c r="K620" s="137"/>
      <c r="L620" s="137"/>
      <c r="M620" s="137"/>
      <c r="N620" s="138"/>
      <c r="O620" s="167"/>
      <c r="P620" s="111"/>
      <c r="Q620" s="111"/>
      <c r="R620" s="111"/>
      <c r="S620" s="111"/>
      <c r="T620" s="111"/>
      <c r="U620" s="111"/>
      <c r="V620" s="111"/>
      <c r="W620" s="111"/>
      <c r="X620" s="111"/>
      <c r="Y620" s="111"/>
      <c r="Z620" s="111"/>
      <c r="AA620" s="111"/>
    </row>
    <row r="621" spans="1:27" s="118" customFormat="1" x14ac:dyDescent="0.2">
      <c r="A621" s="10"/>
      <c r="B621" s="10"/>
      <c r="C621" s="157"/>
      <c r="D621" s="2"/>
      <c r="E621" s="148"/>
      <c r="F621" s="253">
        <v>1</v>
      </c>
      <c r="G621" s="253">
        <v>2.65</v>
      </c>
      <c r="H621" s="253">
        <v>2.7</v>
      </c>
      <c r="I621" s="249"/>
      <c r="J621" s="253">
        <f t="shared" si="45"/>
        <v>7.16</v>
      </c>
      <c r="K621" s="137"/>
      <c r="L621" s="137"/>
      <c r="M621" s="137"/>
      <c r="N621" s="138"/>
      <c r="O621" s="167"/>
      <c r="P621" s="111"/>
      <c r="Q621" s="111"/>
      <c r="R621" s="111"/>
      <c r="S621" s="111"/>
      <c r="T621" s="111"/>
      <c r="U621" s="111"/>
      <c r="V621" s="111"/>
      <c r="W621" s="111"/>
      <c r="X621" s="111"/>
      <c r="Y621" s="111"/>
      <c r="Z621" s="111"/>
      <c r="AA621" s="111"/>
    </row>
    <row r="622" spans="1:27" s="313" customFormat="1" x14ac:dyDescent="0.2">
      <c r="A622" s="10"/>
      <c r="B622" s="10"/>
      <c r="C622" s="400"/>
      <c r="D622" s="2"/>
      <c r="E622" s="148"/>
      <c r="F622" s="253">
        <v>1</v>
      </c>
      <c r="G622" s="253">
        <v>11.65</v>
      </c>
      <c r="H622" s="253">
        <v>2.7</v>
      </c>
      <c r="I622" s="249"/>
      <c r="J622" s="253">
        <f t="shared" si="45"/>
        <v>31.46</v>
      </c>
      <c r="K622" s="136">
        <f>J629</f>
        <v>-4.84</v>
      </c>
      <c r="L622" s="136">
        <v>59.97</v>
      </c>
      <c r="M622" s="136">
        <f>ROUND(L622*(1+$Q$5),2)</f>
        <v>75.88</v>
      </c>
      <c r="N622" s="199">
        <f>TRUNC(K622*M622,2)</f>
        <v>-367.25</v>
      </c>
      <c r="O622" s="283"/>
      <c r="P622" s="312"/>
      <c r="Q622" s="312"/>
      <c r="R622" s="312"/>
      <c r="S622" s="312"/>
      <c r="T622" s="312"/>
      <c r="U622" s="312"/>
      <c r="V622" s="312"/>
      <c r="W622" s="312"/>
      <c r="X622" s="312"/>
      <c r="Y622" s="312"/>
      <c r="Z622" s="312"/>
      <c r="AA622" s="312"/>
    </row>
    <row r="623" spans="1:27" s="118" customFormat="1" x14ac:dyDescent="0.2">
      <c r="A623" s="10"/>
      <c r="B623" s="10"/>
      <c r="C623" s="191"/>
      <c r="D623" s="2"/>
      <c r="E623" s="148"/>
      <c r="F623" s="253">
        <v>1</v>
      </c>
      <c r="G623" s="253">
        <v>8.9</v>
      </c>
      <c r="H623" s="253">
        <v>2.7</v>
      </c>
      <c r="I623" s="249"/>
      <c r="J623" s="253">
        <f t="shared" si="45"/>
        <v>24.03</v>
      </c>
      <c r="K623" s="137"/>
      <c r="L623" s="137"/>
      <c r="M623" s="137"/>
      <c r="N623" s="138"/>
      <c r="O623" s="167"/>
      <c r="P623" s="111"/>
      <c r="Q623" s="111"/>
      <c r="R623" s="111"/>
      <c r="S623" s="111"/>
      <c r="T623" s="111"/>
      <c r="U623" s="111"/>
      <c r="V623" s="111"/>
      <c r="W623" s="111"/>
      <c r="X623" s="111"/>
      <c r="Y623" s="111"/>
      <c r="Z623" s="111"/>
      <c r="AA623" s="111"/>
    </row>
    <row r="624" spans="1:27" s="118" customFormat="1" x14ac:dyDescent="0.2">
      <c r="A624" s="10"/>
      <c r="B624" s="10"/>
      <c r="C624" s="191"/>
      <c r="D624" s="108"/>
      <c r="E624" s="148"/>
      <c r="F624" s="253">
        <v>1</v>
      </c>
      <c r="G624" s="253">
        <v>4.5999999999999996</v>
      </c>
      <c r="H624" s="253">
        <v>2.7</v>
      </c>
      <c r="I624" s="249"/>
      <c r="J624" s="253">
        <f t="shared" si="45"/>
        <v>12.42</v>
      </c>
      <c r="K624" s="137"/>
      <c r="L624" s="137"/>
      <c r="M624" s="137"/>
      <c r="N624" s="138"/>
      <c r="O624" s="167"/>
      <c r="P624" s="111"/>
      <c r="Q624" s="111"/>
      <c r="R624" s="111"/>
      <c r="S624" s="111"/>
      <c r="T624" s="111"/>
      <c r="U624" s="111"/>
      <c r="V624" s="111"/>
      <c r="W624" s="111"/>
      <c r="X624" s="111"/>
      <c r="Y624" s="111"/>
      <c r="Z624" s="111"/>
      <c r="AA624" s="111"/>
    </row>
    <row r="625" spans="1:27" s="118" customFormat="1" x14ac:dyDescent="0.2">
      <c r="A625" s="10"/>
      <c r="B625" s="10"/>
      <c r="C625" s="191"/>
      <c r="D625" s="108"/>
      <c r="E625" s="148"/>
      <c r="F625" s="253">
        <v>1</v>
      </c>
      <c r="G625" s="253">
        <v>4.22</v>
      </c>
      <c r="H625" s="253">
        <v>2.7</v>
      </c>
      <c r="I625" s="249"/>
      <c r="J625" s="253">
        <f t="shared" si="45"/>
        <v>11.39</v>
      </c>
      <c r="K625" s="137"/>
      <c r="L625" s="137"/>
      <c r="M625" s="137"/>
      <c r="N625" s="138"/>
      <c r="O625" s="167"/>
      <c r="P625" s="111"/>
      <c r="Q625" s="111"/>
      <c r="R625" s="111"/>
      <c r="S625" s="111"/>
      <c r="T625" s="111"/>
      <c r="U625" s="111"/>
      <c r="V625" s="111"/>
      <c r="W625" s="111"/>
      <c r="X625" s="111"/>
      <c r="Y625" s="111"/>
      <c r="Z625" s="111"/>
      <c r="AA625" s="111"/>
    </row>
    <row r="626" spans="1:27" s="118" customFormat="1" x14ac:dyDescent="0.2">
      <c r="A626" s="10"/>
      <c r="B626" s="10"/>
      <c r="C626" s="191"/>
      <c r="D626" s="314"/>
      <c r="E626" s="148"/>
      <c r="F626" s="253">
        <v>1</v>
      </c>
      <c r="G626" s="253">
        <v>3.44</v>
      </c>
      <c r="H626" s="253">
        <v>2.7</v>
      </c>
      <c r="I626" s="249"/>
      <c r="J626" s="253">
        <f t="shared" si="45"/>
        <v>9.2899999999999991</v>
      </c>
      <c r="K626" s="137"/>
      <c r="L626" s="137"/>
      <c r="M626" s="137"/>
      <c r="N626" s="138"/>
      <c r="O626" s="167"/>
      <c r="P626" s="111"/>
      <c r="Q626" s="111"/>
      <c r="R626" s="111"/>
      <c r="S626" s="111"/>
      <c r="T626" s="111"/>
      <c r="U626" s="111"/>
      <c r="V626" s="111"/>
      <c r="W626" s="111"/>
      <c r="X626" s="111"/>
      <c r="Y626" s="111"/>
      <c r="Z626" s="111"/>
      <c r="AA626" s="111"/>
    </row>
    <row r="627" spans="1:27" s="118" customFormat="1" x14ac:dyDescent="0.2">
      <c r="A627" s="10"/>
      <c r="B627" s="10"/>
      <c r="C627" s="191"/>
      <c r="D627" s="2" t="s">
        <v>1034</v>
      </c>
      <c r="E627" s="148"/>
      <c r="F627" s="253"/>
      <c r="G627" s="253"/>
      <c r="H627" s="253"/>
      <c r="I627" s="249"/>
      <c r="J627" s="253"/>
      <c r="K627" s="137"/>
      <c r="L627" s="137"/>
      <c r="M627" s="137"/>
      <c r="N627" s="138"/>
      <c r="O627" s="167"/>
      <c r="P627" s="111"/>
      <c r="Q627" s="111"/>
      <c r="R627" s="111"/>
      <c r="S627" s="111"/>
      <c r="T627" s="111"/>
      <c r="U627" s="111"/>
      <c r="V627" s="111"/>
      <c r="W627" s="111"/>
      <c r="X627" s="111"/>
      <c r="Y627" s="111"/>
      <c r="Z627" s="111"/>
      <c r="AA627" s="111"/>
    </row>
    <row r="628" spans="1:27" s="118" customFormat="1" x14ac:dyDescent="0.2">
      <c r="A628" s="10"/>
      <c r="B628" s="10"/>
      <c r="C628" s="191"/>
      <c r="D628" s="2" t="s">
        <v>1096</v>
      </c>
      <c r="E628" s="148"/>
      <c r="F628" s="253">
        <v>-1</v>
      </c>
      <c r="G628" s="253"/>
      <c r="H628" s="253">
        <v>2.4</v>
      </c>
      <c r="I628" s="253">
        <v>2.4</v>
      </c>
      <c r="J628" s="253">
        <f t="shared" ref="J628:J633" si="46">ROUND(PRODUCT(F628:I628),2)</f>
        <v>-5.76</v>
      </c>
      <c r="K628" s="137"/>
      <c r="L628" s="137"/>
      <c r="M628" s="137"/>
      <c r="N628" s="138"/>
      <c r="O628" s="167"/>
      <c r="P628" s="111"/>
      <c r="Q628" s="111"/>
      <c r="R628" s="111"/>
      <c r="S628" s="111"/>
      <c r="T628" s="111"/>
      <c r="U628" s="111"/>
      <c r="V628" s="111"/>
      <c r="W628" s="111"/>
      <c r="X628" s="111"/>
      <c r="Y628" s="111"/>
      <c r="Z628" s="111"/>
      <c r="AA628" s="111"/>
    </row>
    <row r="629" spans="1:27" s="118" customFormat="1" x14ac:dyDescent="0.2">
      <c r="A629" s="10"/>
      <c r="B629" s="10"/>
      <c r="C629" s="190"/>
      <c r="D629" s="108"/>
      <c r="E629" s="148"/>
      <c r="F629" s="253">
        <v>-1</v>
      </c>
      <c r="G629" s="253"/>
      <c r="H629" s="253">
        <v>2.2000000000000002</v>
      </c>
      <c r="I629" s="253">
        <v>2.2000000000000002</v>
      </c>
      <c r="J629" s="253">
        <f t="shared" si="46"/>
        <v>-4.84</v>
      </c>
      <c r="K629" s="137"/>
      <c r="L629" s="137"/>
      <c r="M629" s="137"/>
      <c r="N629" s="138"/>
      <c r="O629" s="167"/>
      <c r="P629" s="111"/>
      <c r="Q629" s="111"/>
      <c r="R629" s="111"/>
      <c r="S629" s="111"/>
      <c r="T629" s="111"/>
      <c r="U629" s="111"/>
      <c r="V629" s="111"/>
      <c r="W629" s="111"/>
      <c r="X629" s="111"/>
      <c r="Y629" s="111"/>
      <c r="Z629" s="111"/>
      <c r="AA629" s="111"/>
    </row>
    <row r="630" spans="1:27" s="139" customFormat="1" x14ac:dyDescent="0.2">
      <c r="A630" s="10"/>
      <c r="B630" s="10"/>
      <c r="C630" s="15"/>
      <c r="D630" s="108"/>
      <c r="E630" s="148"/>
      <c r="F630" s="253">
        <v>-1</v>
      </c>
      <c r="G630" s="253"/>
      <c r="H630" s="253">
        <v>2.1</v>
      </c>
      <c r="I630" s="253">
        <v>2.1</v>
      </c>
      <c r="J630" s="253">
        <f t="shared" si="46"/>
        <v>-4.41</v>
      </c>
      <c r="K630" s="137"/>
      <c r="L630" s="137"/>
      <c r="M630" s="137"/>
      <c r="N630" s="138"/>
      <c r="O630" s="283"/>
      <c r="P630" s="120"/>
      <c r="Q630" s="120"/>
      <c r="R630" s="120"/>
      <c r="S630" s="120"/>
      <c r="T630" s="120"/>
      <c r="U630" s="120"/>
      <c r="V630" s="120"/>
      <c r="W630" s="120"/>
      <c r="X630" s="120"/>
      <c r="Y630" s="120"/>
      <c r="Z630" s="120"/>
      <c r="AA630" s="120"/>
    </row>
    <row r="631" spans="1:27" s="241" customFormat="1" ht="13.2" x14ac:dyDescent="0.25">
      <c r="A631" s="401"/>
      <c r="B631" s="331"/>
      <c r="C631" s="332"/>
      <c r="D631" s="396" t="s">
        <v>1097</v>
      </c>
      <c r="E631" s="148"/>
      <c r="F631" s="253">
        <v>-1</v>
      </c>
      <c r="G631" s="253">
        <v>3.2</v>
      </c>
      <c r="H631" s="253"/>
      <c r="I631" s="253">
        <v>1.2</v>
      </c>
      <c r="J631" s="253">
        <f t="shared" si="46"/>
        <v>-3.84</v>
      </c>
      <c r="K631" s="238"/>
      <c r="L631" s="238"/>
      <c r="M631" s="238"/>
      <c r="N631" s="239" t="e">
        <f>N633+N685+N699+N713+N720</f>
        <v>#VALUE!</v>
      </c>
      <c r="O631" s="284" t="e">
        <f>N631/$N$1660</f>
        <v>#VALUE!</v>
      </c>
      <c r="P631" s="240" t="s">
        <v>533</v>
      </c>
      <c r="Q631" s="240" t="s">
        <v>533</v>
      </c>
      <c r="R631" s="240"/>
      <c r="S631" s="240"/>
      <c r="T631" s="240"/>
      <c r="U631" s="240"/>
      <c r="V631" s="240"/>
      <c r="W631" s="240"/>
      <c r="X631" s="240"/>
      <c r="Y631" s="240"/>
      <c r="Z631" s="240"/>
      <c r="AA631" s="240"/>
    </row>
    <row r="632" spans="1:27" s="139" customFormat="1" x14ac:dyDescent="0.2">
      <c r="A632" s="10"/>
      <c r="B632" s="10"/>
      <c r="C632" s="15"/>
      <c r="D632" s="2"/>
      <c r="E632" s="148"/>
      <c r="F632" s="253">
        <v>-1</v>
      </c>
      <c r="G632" s="253">
        <v>4.7</v>
      </c>
      <c r="H632" s="253"/>
      <c r="I632" s="253">
        <v>1.2</v>
      </c>
      <c r="J632" s="253">
        <f t="shared" si="46"/>
        <v>-5.64</v>
      </c>
      <c r="K632" s="137"/>
      <c r="L632" s="137"/>
      <c r="M632" s="137"/>
      <c r="N632" s="138"/>
      <c r="O632" s="283"/>
      <c r="P632" s="120"/>
      <c r="Q632" s="120"/>
      <c r="R632" s="120"/>
      <c r="S632" s="120"/>
      <c r="T632" s="120"/>
      <c r="U632" s="120"/>
      <c r="V632" s="120"/>
      <c r="W632" s="120"/>
      <c r="X632" s="120"/>
      <c r="Y632" s="120"/>
      <c r="Z632" s="120"/>
      <c r="AA632" s="120"/>
    </row>
    <row r="633" spans="1:27" s="145" customFormat="1" x14ac:dyDescent="0.2">
      <c r="A633" s="10"/>
      <c r="B633" s="192"/>
      <c r="C633" s="193"/>
      <c r="D633" s="149"/>
      <c r="E633" s="148"/>
      <c r="F633" s="253">
        <v>-1</v>
      </c>
      <c r="G633" s="253">
        <v>0.8</v>
      </c>
      <c r="H633" s="253"/>
      <c r="I633" s="253">
        <v>2.1</v>
      </c>
      <c r="J633" s="253">
        <f t="shared" si="46"/>
        <v>-1.68</v>
      </c>
      <c r="K633" s="142"/>
      <c r="L633" s="142"/>
      <c r="M633" s="142"/>
      <c r="N633" s="143" t="e">
        <f>SUM(N635:N683)</f>
        <v>#VALUE!</v>
      </c>
      <c r="O633" s="285"/>
      <c r="P633" s="144"/>
      <c r="Q633" s="144"/>
      <c r="R633" s="144"/>
      <c r="S633" s="144"/>
      <c r="T633" s="144"/>
      <c r="U633" s="144"/>
      <c r="V633" s="144"/>
      <c r="W633" s="144"/>
      <c r="X633" s="144"/>
      <c r="Y633" s="144"/>
      <c r="Z633" s="144"/>
      <c r="AA633" s="144"/>
    </row>
    <row r="634" spans="1:27" s="139" customFormat="1" x14ac:dyDescent="0.2">
      <c r="A634" s="10"/>
      <c r="B634" s="10"/>
      <c r="C634" s="15"/>
      <c r="D634" s="149" t="s">
        <v>1098</v>
      </c>
      <c r="E634" s="148"/>
      <c r="F634" s="253"/>
      <c r="G634" s="253"/>
      <c r="H634" s="253"/>
      <c r="I634" s="249"/>
      <c r="J634" s="253"/>
      <c r="K634" s="137"/>
      <c r="L634" s="137"/>
      <c r="M634" s="137"/>
      <c r="N634" s="138"/>
      <c r="O634" s="283"/>
      <c r="P634" s="120"/>
      <c r="Q634" s="120"/>
      <c r="R634" s="120"/>
      <c r="S634" s="120"/>
      <c r="T634" s="120"/>
      <c r="U634" s="120"/>
      <c r="V634" s="120"/>
      <c r="W634" s="120"/>
      <c r="X634" s="120"/>
      <c r="Y634" s="120"/>
      <c r="Z634" s="120"/>
      <c r="AA634" s="120"/>
    </row>
    <row r="635" spans="1:27" s="147" customFormat="1" x14ac:dyDescent="0.2">
      <c r="A635" s="10"/>
      <c r="B635" s="184"/>
      <c r="C635" s="185"/>
      <c r="D635" s="396" t="s">
        <v>967</v>
      </c>
      <c r="E635" s="148"/>
      <c r="F635" s="253">
        <v>2</v>
      </c>
      <c r="G635" s="253">
        <v>2.5</v>
      </c>
      <c r="H635" s="253">
        <v>2.7</v>
      </c>
      <c r="I635" s="249"/>
      <c r="J635" s="253">
        <f t="shared" ref="J635:J652" si="47">ROUND(PRODUCT(F635:I635),2)</f>
        <v>13.5</v>
      </c>
      <c r="K635" s="131">
        <f>J639</f>
        <v>13.5</v>
      </c>
      <c r="L635" s="131">
        <v>73.44</v>
      </c>
      <c r="M635" s="131">
        <f>ROUND(L635*(1+$Q$5),2)</f>
        <v>92.92</v>
      </c>
      <c r="N635" s="133">
        <f>TRUNC(K635*M635,2)</f>
        <v>1254.42</v>
      </c>
      <c r="O635" s="286"/>
      <c r="P635" s="146"/>
      <c r="Q635" s="146"/>
      <c r="R635" s="146"/>
      <c r="S635" s="146"/>
      <c r="T635" s="146"/>
      <c r="U635" s="146"/>
      <c r="V635" s="146"/>
      <c r="W635" s="146"/>
      <c r="X635" s="146"/>
      <c r="Y635" s="146"/>
      <c r="Z635" s="146"/>
      <c r="AA635" s="146"/>
    </row>
    <row r="636" spans="1:27" s="118" customFormat="1" x14ac:dyDescent="0.2">
      <c r="A636" s="10"/>
      <c r="B636" s="10"/>
      <c r="C636" s="191"/>
      <c r="D636" s="2"/>
      <c r="E636" s="148"/>
      <c r="F636" s="253">
        <v>2</v>
      </c>
      <c r="G636" s="253">
        <v>5.4</v>
      </c>
      <c r="H636" s="253">
        <v>2.7</v>
      </c>
      <c r="I636" s="249"/>
      <c r="J636" s="253">
        <f t="shared" si="47"/>
        <v>29.16</v>
      </c>
      <c r="K636" s="137"/>
      <c r="L636" s="137"/>
      <c r="M636" s="137"/>
      <c r="N636" s="138"/>
      <c r="O636" s="167"/>
      <c r="P636" s="111"/>
      <c r="Q636" s="111"/>
      <c r="R636" s="111"/>
      <c r="S636" s="111"/>
      <c r="T636" s="111"/>
      <c r="U636" s="111"/>
      <c r="V636" s="111"/>
      <c r="W636" s="111"/>
      <c r="X636" s="111"/>
      <c r="Y636" s="111"/>
      <c r="Z636" s="111"/>
      <c r="AA636" s="111"/>
    </row>
    <row r="637" spans="1:27" s="118" customFormat="1" x14ac:dyDescent="0.2">
      <c r="A637" s="10"/>
      <c r="B637" s="10"/>
      <c r="C637" s="191"/>
      <c r="D637" s="2" t="s">
        <v>1099</v>
      </c>
      <c r="E637" s="148"/>
      <c r="F637" s="253">
        <v>2</v>
      </c>
      <c r="G637" s="253">
        <v>5.65</v>
      </c>
      <c r="H637" s="253">
        <v>2.7</v>
      </c>
      <c r="I637" s="249"/>
      <c r="J637" s="253">
        <f t="shared" si="47"/>
        <v>30.51</v>
      </c>
      <c r="K637" s="137"/>
      <c r="L637" s="137"/>
      <c r="M637" s="137"/>
      <c r="N637" s="138"/>
      <c r="O637" s="167"/>
      <c r="P637" s="111"/>
      <c r="Q637" s="111"/>
      <c r="R637" s="111"/>
      <c r="S637" s="111"/>
      <c r="T637" s="111"/>
      <c r="U637" s="111"/>
      <c r="V637" s="111"/>
      <c r="W637" s="111"/>
      <c r="X637" s="111"/>
      <c r="Y637" s="111"/>
      <c r="Z637" s="111"/>
      <c r="AA637" s="111"/>
    </row>
    <row r="638" spans="1:27" s="118" customFormat="1" x14ac:dyDescent="0.2">
      <c r="A638" s="10"/>
      <c r="B638" s="10"/>
      <c r="C638" s="191"/>
      <c r="D638" s="108"/>
      <c r="E638" s="148"/>
      <c r="F638" s="253">
        <v>2</v>
      </c>
      <c r="G638" s="253">
        <v>2.4300000000000002</v>
      </c>
      <c r="H638" s="253">
        <v>2.7</v>
      </c>
      <c r="I638" s="249"/>
      <c r="J638" s="253">
        <f t="shared" si="47"/>
        <v>13.12</v>
      </c>
      <c r="K638" s="137"/>
      <c r="L638" s="137"/>
      <c r="M638" s="137"/>
      <c r="N638" s="138"/>
      <c r="O638" s="167"/>
      <c r="P638" s="111"/>
      <c r="Q638" s="111"/>
      <c r="R638" s="111"/>
      <c r="S638" s="111"/>
      <c r="T638" s="111"/>
      <c r="U638" s="111"/>
      <c r="V638" s="111"/>
      <c r="W638" s="111"/>
      <c r="X638" s="111"/>
      <c r="Y638" s="111"/>
      <c r="Z638" s="111"/>
      <c r="AA638" s="111"/>
    </row>
    <row r="639" spans="1:27" s="118" customFormat="1" x14ac:dyDescent="0.2">
      <c r="A639" s="10"/>
      <c r="B639" s="10"/>
      <c r="C639" s="190"/>
      <c r="D639" s="2" t="s">
        <v>972</v>
      </c>
      <c r="E639" s="148"/>
      <c r="F639" s="253">
        <v>2</v>
      </c>
      <c r="G639" s="253">
        <v>2.5</v>
      </c>
      <c r="H639" s="253">
        <v>2.7</v>
      </c>
      <c r="I639" s="249"/>
      <c r="J639" s="253">
        <f t="shared" si="47"/>
        <v>13.5</v>
      </c>
      <c r="K639" s="137"/>
      <c r="L639" s="137"/>
      <c r="M639" s="137"/>
      <c r="N639" s="138"/>
      <c r="O639" s="167"/>
      <c r="P639" s="111"/>
      <c r="Q639" s="111"/>
      <c r="R639" s="111"/>
      <c r="S639" s="111"/>
      <c r="T639" s="111"/>
      <c r="U639" s="111"/>
      <c r="V639" s="111"/>
      <c r="W639" s="111"/>
      <c r="X639" s="111"/>
      <c r="Y639" s="111"/>
      <c r="Z639" s="111"/>
      <c r="AA639" s="111"/>
    </row>
    <row r="640" spans="1:27" s="154" customFormat="1" x14ac:dyDescent="0.2">
      <c r="A640" s="10"/>
      <c r="B640" s="10"/>
      <c r="C640" s="15"/>
      <c r="D640" s="314"/>
      <c r="E640" s="148"/>
      <c r="F640" s="253">
        <v>2</v>
      </c>
      <c r="G640" s="253">
        <v>2.4300000000000002</v>
      </c>
      <c r="H640" s="253">
        <v>2.7</v>
      </c>
      <c r="I640" s="249"/>
      <c r="J640" s="253">
        <f t="shared" si="47"/>
        <v>13.12</v>
      </c>
      <c r="K640" s="151"/>
      <c r="L640" s="151"/>
      <c r="M640" s="151"/>
      <c r="N640" s="152"/>
      <c r="O640" s="283"/>
      <c r="P640" s="153"/>
      <c r="Q640" s="153"/>
      <c r="R640" s="153"/>
      <c r="S640" s="153"/>
      <c r="T640" s="153"/>
      <c r="U640" s="153"/>
      <c r="V640" s="153"/>
      <c r="W640" s="153"/>
      <c r="X640" s="153"/>
      <c r="Y640" s="153"/>
      <c r="Z640" s="153"/>
      <c r="AA640" s="153"/>
    </row>
    <row r="641" spans="1:27" s="147" customFormat="1" x14ac:dyDescent="0.2">
      <c r="A641" s="10"/>
      <c r="B641" s="184"/>
      <c r="C641" s="185"/>
      <c r="D641" s="2" t="s">
        <v>997</v>
      </c>
      <c r="E641" s="148"/>
      <c r="F641" s="253">
        <v>2</v>
      </c>
      <c r="G641" s="253">
        <v>1.8</v>
      </c>
      <c r="H641" s="253">
        <v>2.7</v>
      </c>
      <c r="I641" s="249"/>
      <c r="J641" s="253">
        <f t="shared" si="47"/>
        <v>9.7200000000000006</v>
      </c>
      <c r="K641" s="131">
        <f>J647</f>
        <v>-2.1</v>
      </c>
      <c r="L641" s="131" t="e">
        <f>'COMPOSICOES - SINAPI COM DESON'!G36</f>
        <v>#VALUE!</v>
      </c>
      <c r="M641" s="131" t="e">
        <f>ROUND(L641*(1+$Q$5),2)</f>
        <v>#VALUE!</v>
      </c>
      <c r="N641" s="133" t="e">
        <f>TRUNC(K641*M641,2)</f>
        <v>#VALUE!</v>
      </c>
      <c r="O641" s="286"/>
      <c r="P641" s="146"/>
      <c r="Q641" s="146"/>
      <c r="R641" s="146"/>
      <c r="S641" s="146"/>
      <c r="T641" s="146"/>
      <c r="U641" s="146"/>
      <c r="V641" s="146"/>
      <c r="W641" s="146"/>
      <c r="X641" s="146"/>
      <c r="Y641" s="146"/>
      <c r="Z641" s="146"/>
      <c r="AA641" s="146"/>
    </row>
    <row r="642" spans="1:27" s="118" customFormat="1" x14ac:dyDescent="0.2">
      <c r="A642" s="10"/>
      <c r="B642" s="10"/>
      <c r="C642" s="191"/>
      <c r="D642" s="108"/>
      <c r="E642" s="148"/>
      <c r="F642" s="253">
        <v>2</v>
      </c>
      <c r="G642" s="253">
        <v>2.4300000000000002</v>
      </c>
      <c r="H642" s="253">
        <v>2.7</v>
      </c>
      <c r="I642" s="249"/>
      <c r="J642" s="253">
        <f t="shared" si="47"/>
        <v>13.12</v>
      </c>
      <c r="K642" s="137"/>
      <c r="L642" s="137"/>
      <c r="M642" s="137"/>
      <c r="N642" s="138"/>
      <c r="O642" s="167"/>
      <c r="P642" s="111"/>
      <c r="Q642" s="111"/>
      <c r="R642" s="111"/>
      <c r="S642" s="111"/>
      <c r="T642" s="111"/>
      <c r="U642" s="111"/>
      <c r="V642" s="111"/>
      <c r="W642" s="111"/>
      <c r="X642" s="111"/>
      <c r="Y642" s="111"/>
      <c r="Z642" s="111"/>
      <c r="AA642" s="111"/>
    </row>
    <row r="643" spans="1:27" s="118" customFormat="1" x14ac:dyDescent="0.2">
      <c r="A643" s="10"/>
      <c r="B643" s="10"/>
      <c r="C643" s="191"/>
      <c r="D643" s="2" t="s">
        <v>965</v>
      </c>
      <c r="E643" s="148"/>
      <c r="F643" s="253">
        <v>1</v>
      </c>
      <c r="G643" s="253">
        <v>2.8</v>
      </c>
      <c r="H643" s="253">
        <v>2.7</v>
      </c>
      <c r="I643" s="249"/>
      <c r="J643" s="253">
        <f t="shared" si="47"/>
        <v>7.56</v>
      </c>
      <c r="K643" s="137"/>
      <c r="L643" s="137"/>
      <c r="M643" s="137"/>
      <c r="N643" s="138"/>
      <c r="O643" s="167"/>
      <c r="P643" s="111"/>
      <c r="Q643" s="111"/>
      <c r="R643" s="111"/>
      <c r="S643" s="111"/>
      <c r="T643" s="111"/>
      <c r="U643" s="111"/>
      <c r="V643" s="111"/>
      <c r="W643" s="111"/>
      <c r="X643" s="111"/>
      <c r="Y643" s="111"/>
      <c r="Z643" s="111"/>
      <c r="AA643" s="111"/>
    </row>
    <row r="644" spans="1:27" s="118" customFormat="1" x14ac:dyDescent="0.2">
      <c r="A644" s="10"/>
      <c r="B644" s="10"/>
      <c r="C644" s="191"/>
      <c r="D644" s="314"/>
      <c r="E644" s="148"/>
      <c r="F644" s="253">
        <v>1</v>
      </c>
      <c r="G644" s="253">
        <v>2.5299999999999998</v>
      </c>
      <c r="H644" s="253">
        <v>2.7</v>
      </c>
      <c r="I644" s="249"/>
      <c r="J644" s="253">
        <f t="shared" si="47"/>
        <v>6.83</v>
      </c>
      <c r="K644" s="137"/>
      <c r="L644" s="137"/>
      <c r="M644" s="137"/>
      <c r="N644" s="138"/>
      <c r="O644" s="167"/>
      <c r="P644" s="111"/>
      <c r="Q644" s="111"/>
      <c r="R644" s="111"/>
      <c r="S644" s="111"/>
      <c r="T644" s="111"/>
      <c r="U644" s="111"/>
      <c r="V644" s="111"/>
      <c r="W644" s="111"/>
      <c r="X644" s="111"/>
      <c r="Y644" s="111"/>
      <c r="Z644" s="111"/>
      <c r="AA644" s="111"/>
    </row>
    <row r="645" spans="1:27" s="118" customFormat="1" x14ac:dyDescent="0.2">
      <c r="A645" s="10"/>
      <c r="B645" s="10"/>
      <c r="C645" s="191"/>
      <c r="D645" s="2"/>
      <c r="E645" s="148"/>
      <c r="F645" s="253">
        <v>2</v>
      </c>
      <c r="G645" s="253">
        <v>3</v>
      </c>
      <c r="H645" s="253">
        <v>2.7</v>
      </c>
      <c r="I645" s="249"/>
      <c r="J645" s="253">
        <f t="shared" si="47"/>
        <v>16.2</v>
      </c>
      <c r="K645" s="137"/>
      <c r="L645" s="137"/>
      <c r="M645" s="137"/>
      <c r="N645" s="138"/>
      <c r="O645" s="167"/>
      <c r="P645" s="111"/>
      <c r="Q645" s="111"/>
      <c r="R645" s="111"/>
      <c r="S645" s="111"/>
      <c r="T645" s="111"/>
      <c r="U645" s="111"/>
      <c r="V645" s="111"/>
      <c r="W645" s="111"/>
      <c r="X645" s="111"/>
      <c r="Y645" s="111"/>
      <c r="Z645" s="111"/>
      <c r="AA645" s="111"/>
    </row>
    <row r="646" spans="1:27" s="118" customFormat="1" x14ac:dyDescent="0.2">
      <c r="A646" s="10"/>
      <c r="B646" s="10"/>
      <c r="C646" s="191"/>
      <c r="D646" s="2" t="s">
        <v>1100</v>
      </c>
      <c r="E646" s="148"/>
      <c r="F646" s="253">
        <v>2</v>
      </c>
      <c r="G646" s="253">
        <v>8</v>
      </c>
      <c r="H646" s="253">
        <v>2.7</v>
      </c>
      <c r="I646" s="249"/>
      <c r="J646" s="253">
        <f t="shared" si="47"/>
        <v>43.2</v>
      </c>
      <c r="K646" s="137"/>
      <c r="L646" s="137"/>
      <c r="M646" s="137"/>
      <c r="N646" s="138"/>
      <c r="O646" s="167"/>
      <c r="P646" s="111"/>
      <c r="Q646" s="111"/>
      <c r="R646" s="111"/>
      <c r="S646" s="111"/>
      <c r="T646" s="111"/>
      <c r="U646" s="111"/>
      <c r="V646" s="111"/>
      <c r="W646" s="111"/>
      <c r="X646" s="111"/>
      <c r="Y646" s="111"/>
      <c r="Z646" s="111"/>
      <c r="AA646" s="111"/>
    </row>
    <row r="647" spans="1:27" s="118" customFormat="1" x14ac:dyDescent="0.2">
      <c r="A647" s="10"/>
      <c r="B647" s="10"/>
      <c r="C647" s="190"/>
      <c r="D647" s="2" t="s">
        <v>1101</v>
      </c>
      <c r="E647" s="148"/>
      <c r="F647" s="253">
        <v>-1</v>
      </c>
      <c r="G647" s="253">
        <v>1</v>
      </c>
      <c r="H647" s="253"/>
      <c r="I647" s="253">
        <v>2.1</v>
      </c>
      <c r="J647" s="253">
        <f t="shared" si="47"/>
        <v>-2.1</v>
      </c>
      <c r="K647" s="137"/>
      <c r="L647" s="137"/>
      <c r="M647" s="137"/>
      <c r="N647" s="138"/>
      <c r="O647" s="167"/>
      <c r="P647" s="111"/>
      <c r="Q647" s="111"/>
      <c r="R647" s="111"/>
      <c r="S647" s="111"/>
      <c r="T647" s="111"/>
      <c r="U647" s="111"/>
      <c r="V647" s="111"/>
      <c r="W647" s="111"/>
      <c r="X647" s="111"/>
      <c r="Y647" s="111"/>
      <c r="Z647" s="111"/>
      <c r="AA647" s="111"/>
    </row>
    <row r="648" spans="1:27" s="139" customFormat="1" x14ac:dyDescent="0.2">
      <c r="A648" s="10"/>
      <c r="B648" s="10"/>
      <c r="C648" s="15"/>
      <c r="D648" s="108"/>
      <c r="E648" s="148"/>
      <c r="F648" s="253">
        <v>-3</v>
      </c>
      <c r="G648" s="253">
        <v>0.6</v>
      </c>
      <c r="H648" s="253"/>
      <c r="I648" s="253">
        <v>2.1</v>
      </c>
      <c r="J648" s="253">
        <f t="shared" si="47"/>
        <v>-3.78</v>
      </c>
      <c r="K648" s="137"/>
      <c r="L648" s="137"/>
      <c r="M648" s="137"/>
      <c r="N648" s="138"/>
      <c r="O648" s="283"/>
      <c r="P648" s="120"/>
      <c r="Q648" s="120"/>
      <c r="R648" s="120"/>
      <c r="S648" s="120"/>
      <c r="T648" s="120"/>
      <c r="U648" s="120"/>
      <c r="V648" s="120"/>
      <c r="W648" s="120"/>
      <c r="X648" s="120"/>
      <c r="Y648" s="120"/>
      <c r="Z648" s="120"/>
      <c r="AA648" s="120"/>
    </row>
    <row r="649" spans="1:27" s="147" customFormat="1" x14ac:dyDescent="0.2">
      <c r="A649" s="10"/>
      <c r="B649" s="184"/>
      <c r="C649" s="185"/>
      <c r="D649" s="108"/>
      <c r="E649" s="148"/>
      <c r="F649" s="253">
        <v>-1</v>
      </c>
      <c r="G649" s="253">
        <v>0.7</v>
      </c>
      <c r="H649" s="253"/>
      <c r="I649" s="253">
        <v>2.1</v>
      </c>
      <c r="J649" s="253">
        <f t="shared" si="47"/>
        <v>-1.47</v>
      </c>
      <c r="K649" s="131" t="e">
        <f>#REF!</f>
        <v>#REF!</v>
      </c>
      <c r="L649" s="131">
        <v>116.08</v>
      </c>
      <c r="M649" s="131">
        <f>ROUND(L649*(1+$Q$5),2)</f>
        <v>146.88</v>
      </c>
      <c r="N649" s="133" t="e">
        <f>TRUNC(K649*M649,2)</f>
        <v>#REF!</v>
      </c>
      <c r="O649" s="286"/>
      <c r="P649" s="146"/>
      <c r="Q649" s="146"/>
      <c r="R649" s="146"/>
      <c r="S649" s="146"/>
      <c r="T649" s="146"/>
      <c r="U649" s="146"/>
      <c r="V649" s="146"/>
      <c r="W649" s="146"/>
      <c r="X649" s="146"/>
      <c r="Y649" s="146"/>
      <c r="Z649" s="146"/>
      <c r="AA649" s="146"/>
    </row>
    <row r="650" spans="1:27" s="118" customFormat="1" x14ac:dyDescent="0.2">
      <c r="A650" s="10"/>
      <c r="B650" s="10"/>
      <c r="C650" s="191"/>
      <c r="D650" s="314"/>
      <c r="E650" s="148"/>
      <c r="F650" s="253">
        <v>6</v>
      </c>
      <c r="G650" s="253">
        <v>0.8</v>
      </c>
      <c r="H650" s="253"/>
      <c r="I650" s="253">
        <v>2.1</v>
      </c>
      <c r="J650" s="253">
        <f t="shared" si="47"/>
        <v>10.08</v>
      </c>
      <c r="K650" s="137"/>
      <c r="L650" s="137"/>
      <c r="M650" s="137"/>
      <c r="N650" s="138"/>
      <c r="O650" s="167"/>
      <c r="P650" s="111"/>
      <c r="Q650" s="111"/>
      <c r="R650" s="111"/>
      <c r="S650" s="111"/>
      <c r="T650" s="111"/>
      <c r="U650" s="111"/>
      <c r="V650" s="111"/>
      <c r="W650" s="111"/>
      <c r="X650" s="111"/>
      <c r="Y650" s="111"/>
      <c r="Z650" s="111"/>
      <c r="AA650" s="111"/>
    </row>
    <row r="651" spans="1:27" s="118" customFormat="1" x14ac:dyDescent="0.2">
      <c r="A651" s="10"/>
      <c r="B651" s="10"/>
      <c r="C651" s="191"/>
      <c r="D651" s="2"/>
      <c r="E651" s="148"/>
      <c r="F651" s="253">
        <v>-1</v>
      </c>
      <c r="G651" s="253">
        <v>2.7</v>
      </c>
      <c r="H651" s="253"/>
      <c r="I651" s="253">
        <v>1.1499999999999999</v>
      </c>
      <c r="J651" s="253">
        <f t="shared" si="47"/>
        <v>-3.11</v>
      </c>
      <c r="K651" s="137"/>
      <c r="L651" s="137"/>
      <c r="M651" s="137"/>
      <c r="N651" s="138"/>
      <c r="O651" s="167"/>
      <c r="P651" s="111"/>
      <c r="Q651" s="111"/>
      <c r="R651" s="111"/>
      <c r="S651" s="111"/>
      <c r="T651" s="111"/>
      <c r="U651" s="111"/>
      <c r="V651" s="111"/>
      <c r="W651" s="111"/>
      <c r="X651" s="111"/>
      <c r="Y651" s="111"/>
      <c r="Z651" s="111"/>
      <c r="AA651" s="111"/>
    </row>
    <row r="652" spans="1:27" s="118" customFormat="1" x14ac:dyDescent="0.2">
      <c r="A652" s="10"/>
      <c r="B652" s="10"/>
      <c r="C652" s="191"/>
      <c r="D652" s="2"/>
      <c r="E652" s="148"/>
      <c r="F652" s="253">
        <v>-1</v>
      </c>
      <c r="G652" s="253">
        <v>1.6</v>
      </c>
      <c r="H652" s="253"/>
      <c r="I652" s="249">
        <v>1.2</v>
      </c>
      <c r="J652" s="253">
        <f t="shared" si="47"/>
        <v>-1.92</v>
      </c>
      <c r="K652" s="137"/>
      <c r="L652" s="137"/>
      <c r="M652" s="137"/>
      <c r="N652" s="138"/>
      <c r="O652" s="167"/>
      <c r="P652" s="111"/>
      <c r="Q652" s="111"/>
      <c r="R652" s="111"/>
      <c r="S652" s="111"/>
      <c r="T652" s="111"/>
      <c r="U652" s="111"/>
      <c r="V652" s="111"/>
      <c r="W652" s="111"/>
      <c r="X652" s="111"/>
      <c r="Y652" s="111"/>
      <c r="Z652" s="111"/>
      <c r="AA652" s="111"/>
    </row>
    <row r="653" spans="1:27" s="118" customFormat="1" x14ac:dyDescent="0.2">
      <c r="A653" s="10"/>
      <c r="B653" s="10"/>
      <c r="C653" s="191"/>
      <c r="D653" s="110"/>
      <c r="E653" s="158"/>
      <c r="F653" s="267"/>
      <c r="G653" s="267"/>
      <c r="H653" s="267"/>
      <c r="I653" s="246" t="str">
        <f>"Total item "&amp;A615</f>
        <v>Total item 8.1.3</v>
      </c>
      <c r="J653" s="261">
        <f>SUM(J617:J652)</f>
        <v>346.42999999999989</v>
      </c>
      <c r="K653" s="137"/>
      <c r="L653" s="137"/>
      <c r="M653" s="137"/>
      <c r="N653" s="138"/>
      <c r="O653" s="167"/>
      <c r="P653" s="111"/>
      <c r="Q653" s="111"/>
      <c r="R653" s="111"/>
      <c r="S653" s="111"/>
      <c r="T653" s="111"/>
      <c r="U653" s="111"/>
      <c r="V653" s="111"/>
      <c r="W653" s="111"/>
      <c r="X653" s="111"/>
      <c r="Y653" s="111"/>
      <c r="Z653" s="111"/>
      <c r="AA653" s="111"/>
    </row>
    <row r="654" spans="1:27" s="147" customFormat="1" ht="20.399999999999999" x14ac:dyDescent="0.2">
      <c r="A654" s="9" t="s">
        <v>51</v>
      </c>
      <c r="B654" s="9"/>
      <c r="C654" s="13"/>
      <c r="D654" s="113" t="str">
        <f>'ORÇAMENTO PINTURA'!D60</f>
        <v>APLICAÇÃO MANUAL DE PINTURA COM TINTA LÁTEX ACRÍLICA EM TETO, DUAS DEMÃOS. AF_06/2014</v>
      </c>
      <c r="E654" s="9"/>
      <c r="F654" s="261"/>
      <c r="G654" s="261"/>
      <c r="H654" s="261"/>
      <c r="I654" s="245"/>
      <c r="J654" s="261"/>
      <c r="K654" s="131">
        <f>J657</f>
        <v>3.52</v>
      </c>
      <c r="L654" s="131">
        <f>'COMPOSICOES - SINAPI COM DESON'!G50</f>
        <v>104.48</v>
      </c>
      <c r="M654" s="131">
        <f>ROUND(L654*(1+$Q$5),2)</f>
        <v>132.19999999999999</v>
      </c>
      <c r="N654" s="133">
        <f>TRUNC(K654*M654,2)</f>
        <v>465.34</v>
      </c>
      <c r="O654" s="291"/>
      <c r="P654" s="146"/>
      <c r="Q654" s="146"/>
      <c r="R654" s="146"/>
      <c r="S654" s="146"/>
      <c r="T654" s="146"/>
      <c r="U654" s="146"/>
      <c r="V654" s="146"/>
      <c r="W654" s="146"/>
      <c r="X654" s="146"/>
      <c r="Y654" s="146"/>
      <c r="Z654" s="146"/>
      <c r="AA654" s="146"/>
    </row>
    <row r="655" spans="1:27" s="174" customFormat="1" x14ac:dyDescent="0.2">
      <c r="A655" s="177"/>
      <c r="B655" s="177"/>
      <c r="C655" s="178"/>
      <c r="D655" s="2" t="s">
        <v>1037</v>
      </c>
      <c r="E655" s="176"/>
      <c r="F655" s="253"/>
      <c r="G655" s="253"/>
      <c r="H655" s="253"/>
      <c r="I655" s="249"/>
      <c r="J655" s="253"/>
      <c r="K655" s="172"/>
      <c r="L655" s="172"/>
      <c r="M655" s="172"/>
      <c r="N655" s="173"/>
      <c r="O655" s="287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3"/>
    </row>
    <row r="656" spans="1:27" s="118" customFormat="1" x14ac:dyDescent="0.2">
      <c r="A656" s="10"/>
      <c r="B656" s="10"/>
      <c r="C656" s="15"/>
      <c r="D656" s="2" t="s">
        <v>1099</v>
      </c>
      <c r="E656" s="148"/>
      <c r="F656" s="253"/>
      <c r="G656" s="253"/>
      <c r="H656" s="253"/>
      <c r="I656" s="249">
        <v>13.5</v>
      </c>
      <c r="J656" s="253">
        <f t="shared" ref="J656:J668" si="48">ROUND(PRODUCT(F656:I656),2)</f>
        <v>13.5</v>
      </c>
      <c r="K656" s="137"/>
      <c r="L656" s="137"/>
      <c r="M656" s="137"/>
      <c r="N656" s="138"/>
      <c r="O656" s="167"/>
      <c r="P656" s="111"/>
      <c r="Q656" s="111"/>
      <c r="R656" s="111"/>
      <c r="S656" s="111"/>
      <c r="T656" s="111"/>
      <c r="U656" s="111"/>
      <c r="V656" s="111"/>
      <c r="W656" s="111"/>
      <c r="X656" s="111"/>
      <c r="Y656" s="111"/>
      <c r="Z656" s="111"/>
      <c r="AA656" s="111"/>
    </row>
    <row r="657" spans="1:27" s="118" customFormat="1" x14ac:dyDescent="0.2">
      <c r="A657" s="10"/>
      <c r="B657" s="10"/>
      <c r="C657" s="15"/>
      <c r="D657" s="149" t="s">
        <v>1103</v>
      </c>
      <c r="E657" s="148"/>
      <c r="F657" s="253"/>
      <c r="G657" s="253"/>
      <c r="H657" s="253"/>
      <c r="I657" s="249">
        <v>3.52</v>
      </c>
      <c r="J657" s="253">
        <f t="shared" si="48"/>
        <v>3.52</v>
      </c>
      <c r="K657" s="137"/>
      <c r="L657" s="137"/>
      <c r="M657" s="137"/>
      <c r="N657" s="138"/>
      <c r="O657" s="167"/>
      <c r="P657" s="111"/>
      <c r="Q657" s="111"/>
      <c r="R657" s="111"/>
      <c r="S657" s="111"/>
      <c r="T657" s="111"/>
      <c r="U657" s="111"/>
      <c r="V657" s="111"/>
      <c r="W657" s="111"/>
      <c r="X657" s="111"/>
      <c r="Y657" s="111"/>
      <c r="Z657" s="111"/>
      <c r="AA657" s="111"/>
    </row>
    <row r="658" spans="1:27" s="118" customFormat="1" x14ac:dyDescent="0.2">
      <c r="A658" s="10"/>
      <c r="B658" s="10"/>
      <c r="C658" s="15"/>
      <c r="D658" s="149" t="s">
        <v>972</v>
      </c>
      <c r="E658" s="148"/>
      <c r="F658" s="253"/>
      <c r="G658" s="253"/>
      <c r="H658" s="253"/>
      <c r="I658" s="249">
        <v>6.11</v>
      </c>
      <c r="J658" s="253">
        <f t="shared" si="48"/>
        <v>6.11</v>
      </c>
      <c r="K658" s="137"/>
      <c r="L658" s="137"/>
      <c r="M658" s="137"/>
      <c r="N658" s="138"/>
      <c r="O658" s="167"/>
      <c r="P658" s="111"/>
      <c r="Q658" s="111"/>
      <c r="R658" s="111"/>
      <c r="S658" s="111"/>
      <c r="T658" s="111"/>
      <c r="U658" s="111"/>
      <c r="V658" s="111"/>
      <c r="W658" s="111"/>
      <c r="X658" s="111"/>
      <c r="Y658" s="111"/>
      <c r="Z658" s="111"/>
      <c r="AA658" s="111"/>
    </row>
    <row r="659" spans="1:27" s="313" customFormat="1" x14ac:dyDescent="0.2">
      <c r="A659" s="10"/>
      <c r="B659" s="10"/>
      <c r="C659" s="15"/>
      <c r="D659" s="396" t="s">
        <v>997</v>
      </c>
      <c r="E659" s="148"/>
      <c r="F659" s="253"/>
      <c r="G659" s="253"/>
      <c r="H659" s="253"/>
      <c r="I659" s="249">
        <v>4.4000000000000004</v>
      </c>
      <c r="J659" s="253">
        <f t="shared" si="48"/>
        <v>4.4000000000000004</v>
      </c>
      <c r="K659" s="136">
        <f>J666</f>
        <v>2.3199999999999998</v>
      </c>
      <c r="L659" s="136">
        <v>166.81</v>
      </c>
      <c r="M659" s="136">
        <f>ROUND(L659*(1+$Q$5),2)</f>
        <v>211.06</v>
      </c>
      <c r="N659" s="199">
        <f>TRUNC(K659*M659,2)</f>
        <v>489.65</v>
      </c>
      <c r="O659" s="283"/>
      <c r="P659" s="312"/>
      <c r="Q659" s="312"/>
      <c r="R659" s="312"/>
      <c r="S659" s="312"/>
      <c r="T659" s="312"/>
      <c r="U659" s="312"/>
      <c r="V659" s="312"/>
      <c r="W659" s="312"/>
      <c r="X659" s="312"/>
      <c r="Y659" s="312"/>
      <c r="Z659" s="312"/>
      <c r="AA659" s="312"/>
    </row>
    <row r="660" spans="1:27" s="118" customFormat="1" x14ac:dyDescent="0.2">
      <c r="A660" s="10"/>
      <c r="B660" s="10"/>
      <c r="C660" s="191"/>
      <c r="D660" s="2" t="s">
        <v>1104</v>
      </c>
      <c r="E660" s="148"/>
      <c r="F660" s="253"/>
      <c r="G660" s="253"/>
      <c r="H660" s="253"/>
      <c r="I660" s="249">
        <v>3.5</v>
      </c>
      <c r="J660" s="253">
        <f t="shared" si="48"/>
        <v>3.5</v>
      </c>
      <c r="K660" s="137"/>
      <c r="L660" s="137"/>
      <c r="M660" s="137"/>
      <c r="N660" s="138"/>
      <c r="O660" s="167"/>
      <c r="P660" s="111"/>
      <c r="Q660" s="111"/>
      <c r="R660" s="111"/>
      <c r="S660" s="111"/>
      <c r="T660" s="111"/>
      <c r="U660" s="111"/>
      <c r="V660" s="111"/>
      <c r="W660" s="111"/>
      <c r="X660" s="111"/>
      <c r="Y660" s="111"/>
      <c r="Z660" s="111"/>
      <c r="AA660" s="111"/>
    </row>
    <row r="661" spans="1:27" s="118" customFormat="1" x14ac:dyDescent="0.2">
      <c r="A661" s="10"/>
      <c r="B661" s="10"/>
      <c r="C661" s="191"/>
      <c r="D661" s="396" t="s">
        <v>965</v>
      </c>
      <c r="E661" s="148"/>
      <c r="F661" s="253"/>
      <c r="G661" s="253"/>
      <c r="H661" s="253"/>
      <c r="I661" s="249">
        <v>7.6</v>
      </c>
      <c r="J661" s="253">
        <f t="shared" si="48"/>
        <v>7.6</v>
      </c>
      <c r="K661" s="137"/>
      <c r="L661" s="137"/>
      <c r="M661" s="137"/>
      <c r="N661" s="138"/>
      <c r="O661" s="167"/>
      <c r="P661" s="111"/>
      <c r="Q661" s="111"/>
      <c r="R661" s="111"/>
      <c r="S661" s="111"/>
      <c r="T661" s="111"/>
      <c r="U661" s="111"/>
      <c r="V661" s="111"/>
      <c r="W661" s="111"/>
      <c r="X661" s="111"/>
      <c r="Y661" s="111"/>
      <c r="Z661" s="111"/>
      <c r="AA661" s="111"/>
    </row>
    <row r="662" spans="1:27" s="118" customFormat="1" x14ac:dyDescent="0.2">
      <c r="A662" s="10"/>
      <c r="B662" s="10"/>
      <c r="C662" s="191"/>
      <c r="D662" s="2" t="s">
        <v>1105</v>
      </c>
      <c r="E662" s="148"/>
      <c r="F662" s="253"/>
      <c r="G662" s="253"/>
      <c r="H662" s="253"/>
      <c r="I662" s="249">
        <v>21.07</v>
      </c>
      <c r="J662" s="253">
        <f t="shared" si="48"/>
        <v>21.07</v>
      </c>
      <c r="K662" s="137"/>
      <c r="L662" s="137"/>
      <c r="M662" s="137"/>
      <c r="N662" s="138"/>
      <c r="O662" s="167"/>
      <c r="P662" s="111"/>
      <c r="Q662" s="111"/>
      <c r="R662" s="111"/>
      <c r="S662" s="111"/>
      <c r="T662" s="111"/>
      <c r="U662" s="111"/>
      <c r="V662" s="111"/>
      <c r="W662" s="111"/>
      <c r="X662" s="111"/>
      <c r="Y662" s="111"/>
      <c r="Z662" s="111"/>
      <c r="AA662" s="111"/>
    </row>
    <row r="663" spans="1:27" s="118" customFormat="1" x14ac:dyDescent="0.2">
      <c r="A663" s="10"/>
      <c r="B663" s="10"/>
      <c r="C663" s="191"/>
      <c r="D663" s="2" t="s">
        <v>1003</v>
      </c>
      <c r="E663" s="148"/>
      <c r="F663" s="253"/>
      <c r="G663" s="253"/>
      <c r="H663" s="253"/>
      <c r="I663" s="249">
        <v>5.18</v>
      </c>
      <c r="J663" s="253">
        <f t="shared" si="48"/>
        <v>5.18</v>
      </c>
      <c r="K663" s="137"/>
      <c r="L663" s="137"/>
      <c r="M663" s="137"/>
      <c r="N663" s="138"/>
      <c r="O663" s="167"/>
      <c r="P663" s="111"/>
      <c r="Q663" s="111"/>
      <c r="R663" s="111"/>
      <c r="S663" s="111"/>
      <c r="T663" s="111"/>
      <c r="U663" s="111"/>
      <c r="V663" s="111"/>
      <c r="W663" s="111"/>
      <c r="X663" s="111"/>
      <c r="Y663" s="111"/>
      <c r="Z663" s="111"/>
      <c r="AA663" s="111"/>
    </row>
    <row r="664" spans="1:27" s="118" customFormat="1" x14ac:dyDescent="0.2">
      <c r="A664" s="10"/>
      <c r="B664" s="10"/>
      <c r="C664" s="191"/>
      <c r="D664" s="2" t="s">
        <v>967</v>
      </c>
      <c r="E664" s="148"/>
      <c r="F664" s="253"/>
      <c r="G664" s="253"/>
      <c r="H664" s="253"/>
      <c r="I664" s="249">
        <v>13.34</v>
      </c>
      <c r="J664" s="253">
        <f t="shared" si="48"/>
        <v>13.34</v>
      </c>
      <c r="K664" s="137"/>
      <c r="L664" s="137"/>
      <c r="M664" s="137"/>
      <c r="N664" s="138"/>
      <c r="O664" s="167"/>
      <c r="P664" s="111"/>
      <c r="Q664" s="111"/>
      <c r="R664" s="111"/>
      <c r="S664" s="111"/>
      <c r="T664" s="111"/>
      <c r="U664" s="111"/>
      <c r="V664" s="111"/>
      <c r="W664" s="111"/>
      <c r="X664" s="111"/>
      <c r="Y664" s="111"/>
      <c r="Z664" s="111"/>
      <c r="AA664" s="111"/>
    </row>
    <row r="665" spans="1:27" s="118" customFormat="1" x14ac:dyDescent="0.2">
      <c r="A665" s="10"/>
      <c r="B665" s="10"/>
      <c r="C665" s="191"/>
      <c r="D665" s="2" t="s">
        <v>1106</v>
      </c>
      <c r="E665" s="148"/>
      <c r="F665" s="253"/>
      <c r="G665" s="253"/>
      <c r="H665" s="253"/>
      <c r="I665" s="249">
        <v>15.43</v>
      </c>
      <c r="J665" s="253">
        <f t="shared" si="48"/>
        <v>15.43</v>
      </c>
      <c r="K665" s="137"/>
      <c r="L665" s="137"/>
      <c r="M665" s="137"/>
      <c r="N665" s="138"/>
      <c r="O665" s="167"/>
      <c r="P665" s="111"/>
      <c r="Q665" s="111"/>
      <c r="R665" s="111"/>
      <c r="S665" s="111"/>
      <c r="T665" s="111"/>
      <c r="U665" s="111"/>
      <c r="V665" s="111"/>
      <c r="W665" s="111"/>
      <c r="X665" s="111"/>
      <c r="Y665" s="111"/>
      <c r="Z665" s="111"/>
      <c r="AA665" s="111"/>
    </row>
    <row r="666" spans="1:27" s="118" customFormat="1" x14ac:dyDescent="0.2">
      <c r="A666" s="10"/>
      <c r="B666" s="10"/>
      <c r="C666" s="191"/>
      <c r="D666" s="2" t="s">
        <v>1107</v>
      </c>
      <c r="E666" s="148"/>
      <c r="F666" s="253"/>
      <c r="G666" s="253"/>
      <c r="H666" s="253"/>
      <c r="I666" s="249">
        <v>2.3199999999999998</v>
      </c>
      <c r="J666" s="253">
        <f t="shared" si="48"/>
        <v>2.3199999999999998</v>
      </c>
      <c r="K666" s="137"/>
      <c r="L666" s="137"/>
      <c r="M666" s="137"/>
      <c r="N666" s="138"/>
      <c r="O666" s="167"/>
      <c r="P666" s="111"/>
      <c r="Q666" s="111"/>
      <c r="R666" s="111"/>
      <c r="S666" s="111"/>
      <c r="T666" s="111"/>
      <c r="U666" s="111"/>
      <c r="V666" s="111"/>
      <c r="W666" s="111"/>
      <c r="X666" s="111"/>
      <c r="Y666" s="111"/>
      <c r="Z666" s="111"/>
      <c r="AA666" s="111"/>
    </row>
    <row r="667" spans="1:27" s="161" customFormat="1" x14ac:dyDescent="0.2">
      <c r="A667" s="10"/>
      <c r="B667" s="10"/>
      <c r="C667" s="191"/>
      <c r="D667" s="2" t="s">
        <v>1019</v>
      </c>
      <c r="E667" s="148"/>
      <c r="F667" s="253"/>
      <c r="G667" s="253"/>
      <c r="H667" s="253"/>
      <c r="I667" s="249">
        <v>22.24</v>
      </c>
      <c r="J667" s="253">
        <f t="shared" si="48"/>
        <v>22.24</v>
      </c>
      <c r="K667" s="151"/>
      <c r="L667" s="151"/>
      <c r="M667" s="151"/>
      <c r="N667" s="152"/>
      <c r="O667" s="167"/>
      <c r="P667" s="114"/>
      <c r="Q667" s="114"/>
      <c r="R667" s="114"/>
      <c r="S667" s="114"/>
      <c r="T667" s="114"/>
      <c r="U667" s="114"/>
      <c r="V667" s="114"/>
      <c r="W667" s="114"/>
      <c r="X667" s="114"/>
      <c r="Y667" s="114"/>
      <c r="Z667" s="114"/>
      <c r="AA667" s="114"/>
    </row>
    <row r="668" spans="1:27" s="147" customFormat="1" x14ac:dyDescent="0.2">
      <c r="A668" s="10"/>
      <c r="B668" s="10"/>
      <c r="C668" s="400"/>
      <c r="D668" s="396" t="s">
        <v>1108</v>
      </c>
      <c r="E668" s="148"/>
      <c r="F668" s="253"/>
      <c r="G668" s="253"/>
      <c r="H668" s="253"/>
      <c r="I668" s="249">
        <v>26.96</v>
      </c>
      <c r="J668" s="253">
        <f t="shared" si="48"/>
        <v>26.96</v>
      </c>
      <c r="K668" s="131">
        <f>J675</f>
        <v>6.21</v>
      </c>
      <c r="L668" s="131">
        <v>46.44</v>
      </c>
      <c r="M668" s="131">
        <f>ROUND(L668*(1+$Q$5),2)</f>
        <v>58.76</v>
      </c>
      <c r="N668" s="133">
        <f>TRUNC(K668*M668,2)</f>
        <v>364.89</v>
      </c>
      <c r="O668" s="286"/>
      <c r="P668" s="146"/>
      <c r="Q668" s="146"/>
      <c r="R668" s="146"/>
      <c r="S668" s="146"/>
      <c r="T668" s="146"/>
      <c r="U668" s="146"/>
      <c r="V668" s="146"/>
      <c r="W668" s="146"/>
      <c r="X668" s="146"/>
      <c r="Y668" s="146"/>
      <c r="Z668" s="146"/>
      <c r="AA668" s="146"/>
    </row>
    <row r="669" spans="1:27" s="118" customFormat="1" x14ac:dyDescent="0.2">
      <c r="A669" s="10"/>
      <c r="B669" s="10"/>
      <c r="C669" s="191"/>
      <c r="D669" s="408"/>
      <c r="E669" s="158"/>
      <c r="F669" s="267"/>
      <c r="G669" s="267"/>
      <c r="H669" s="267"/>
      <c r="I669" s="246" t="str">
        <f>"Total item "&amp;A654</f>
        <v>Total item 8.1.4</v>
      </c>
      <c r="J669" s="261">
        <f>SUM(J656:J668)</f>
        <v>145.16999999999999</v>
      </c>
      <c r="K669" s="137"/>
      <c r="L669" s="137"/>
      <c r="M669" s="137"/>
      <c r="N669" s="138"/>
      <c r="O669" s="167"/>
      <c r="P669" s="111"/>
      <c r="Q669" s="111"/>
      <c r="R669" s="111"/>
      <c r="S669" s="111"/>
      <c r="T669" s="111"/>
      <c r="U669" s="111"/>
      <c r="V669" s="111"/>
      <c r="W669" s="111"/>
      <c r="X669" s="111"/>
      <c r="Y669" s="111"/>
      <c r="Z669" s="111"/>
      <c r="AA669" s="111"/>
    </row>
    <row r="670" spans="1:27" s="147" customFormat="1" ht="20.399999999999999" x14ac:dyDescent="0.2">
      <c r="A670" s="9" t="s">
        <v>52</v>
      </c>
      <c r="B670" s="9"/>
      <c r="C670" s="360"/>
      <c r="D670" s="364" t="str">
        <f>'ORÇAMENTO PINTURA'!D61</f>
        <v>PINTURA TINTA DE ACABAMENTO (PIGMENTADA) A ÓLEO EM MADEIRA, 2 DEMÃOS. AF_01/2021</v>
      </c>
      <c r="E670" s="9"/>
      <c r="F670" s="261"/>
      <c r="G670" s="261"/>
      <c r="H670" s="261"/>
      <c r="I670" s="245"/>
      <c r="J670" s="261"/>
      <c r="K670" s="131"/>
      <c r="L670" s="131"/>
      <c r="M670" s="131"/>
      <c r="N670" s="133"/>
      <c r="O670" s="291"/>
      <c r="P670" s="146"/>
      <c r="Q670" s="146"/>
      <c r="R670" s="146"/>
      <c r="S670" s="146"/>
      <c r="T670" s="146"/>
      <c r="U670" s="146"/>
      <c r="V670" s="146"/>
      <c r="W670" s="146"/>
      <c r="X670" s="146"/>
      <c r="Y670" s="146"/>
      <c r="Z670" s="146"/>
      <c r="AA670" s="146"/>
    </row>
    <row r="671" spans="1:27" s="118" customFormat="1" x14ac:dyDescent="0.2">
      <c r="A671" s="10"/>
      <c r="B671" s="10"/>
      <c r="C671" s="191"/>
      <c r="D671" s="2" t="s">
        <v>1101</v>
      </c>
      <c r="E671" s="148"/>
      <c r="F671" s="253">
        <v>2</v>
      </c>
      <c r="G671" s="253">
        <v>1</v>
      </c>
      <c r="H671" s="253"/>
      <c r="I671" s="253">
        <v>2.1</v>
      </c>
      <c r="J671" s="253">
        <f t="shared" ref="J671:J676" si="49">ROUND(PRODUCT(F671:I671),2)</f>
        <v>4.2</v>
      </c>
      <c r="K671" s="137"/>
      <c r="L671" s="137"/>
      <c r="M671" s="137"/>
      <c r="N671" s="138"/>
      <c r="O671" s="167"/>
      <c r="P671" s="111"/>
      <c r="Q671" s="111"/>
      <c r="R671" s="111"/>
      <c r="S671" s="111"/>
      <c r="T671" s="111"/>
      <c r="U671" s="111"/>
      <c r="V671" s="111"/>
      <c r="W671" s="111"/>
      <c r="X671" s="111"/>
      <c r="Y671" s="111"/>
      <c r="Z671" s="111"/>
      <c r="AA671" s="111"/>
    </row>
    <row r="672" spans="1:27" s="118" customFormat="1" x14ac:dyDescent="0.2">
      <c r="A672" s="10"/>
      <c r="B672" s="10"/>
      <c r="C672" s="191"/>
      <c r="D672" s="108"/>
      <c r="E672" s="148"/>
      <c r="F672" s="253">
        <v>6</v>
      </c>
      <c r="G672" s="253">
        <v>0.6</v>
      </c>
      <c r="H672" s="253"/>
      <c r="I672" s="253">
        <v>2.1</v>
      </c>
      <c r="J672" s="253">
        <f t="shared" si="49"/>
        <v>7.56</v>
      </c>
      <c r="K672" s="137"/>
      <c r="L672" s="137"/>
      <c r="M672" s="137"/>
      <c r="N672" s="138"/>
      <c r="O672" s="167"/>
      <c r="P672" s="111"/>
      <c r="Q672" s="111"/>
      <c r="R672" s="111"/>
      <c r="S672" s="111"/>
      <c r="T672" s="111"/>
      <c r="U672" s="111"/>
      <c r="V672" s="111"/>
      <c r="W672" s="111"/>
      <c r="X672" s="111"/>
      <c r="Y672" s="111"/>
      <c r="Z672" s="111"/>
      <c r="AA672" s="111"/>
    </row>
    <row r="673" spans="1:27" s="118" customFormat="1" x14ac:dyDescent="0.2">
      <c r="A673" s="10"/>
      <c r="B673" s="10"/>
      <c r="C673" s="191"/>
      <c r="D673" s="108"/>
      <c r="E673" s="148"/>
      <c r="F673" s="253">
        <v>1</v>
      </c>
      <c r="G673" s="253">
        <v>0.7</v>
      </c>
      <c r="H673" s="253"/>
      <c r="I673" s="253">
        <v>2.1</v>
      </c>
      <c r="J673" s="253">
        <f t="shared" si="49"/>
        <v>1.47</v>
      </c>
      <c r="K673" s="137"/>
      <c r="L673" s="137"/>
      <c r="M673" s="137"/>
      <c r="N673" s="138"/>
      <c r="O673" s="167"/>
      <c r="P673" s="111"/>
      <c r="Q673" s="111"/>
      <c r="R673" s="111"/>
      <c r="S673" s="111"/>
      <c r="T673" s="111"/>
      <c r="U673" s="111"/>
      <c r="V673" s="111"/>
      <c r="W673" s="111"/>
      <c r="X673" s="111"/>
      <c r="Y673" s="111"/>
      <c r="Z673" s="111"/>
      <c r="AA673" s="111"/>
    </row>
    <row r="674" spans="1:27" s="118" customFormat="1" x14ac:dyDescent="0.2">
      <c r="A674" s="10"/>
      <c r="B674" s="10"/>
      <c r="C674" s="191"/>
      <c r="D674" s="314"/>
      <c r="E674" s="148"/>
      <c r="F674" s="253">
        <v>12</v>
      </c>
      <c r="G674" s="253">
        <v>0.8</v>
      </c>
      <c r="H674" s="253"/>
      <c r="I674" s="253">
        <v>2.1</v>
      </c>
      <c r="J674" s="253">
        <f t="shared" si="49"/>
        <v>20.16</v>
      </c>
      <c r="K674" s="137"/>
      <c r="L674" s="137"/>
      <c r="M674" s="137"/>
      <c r="N674" s="138"/>
      <c r="O674" s="167"/>
      <c r="P674" s="111"/>
      <c r="Q674" s="111"/>
      <c r="R674" s="111"/>
      <c r="S674" s="111"/>
      <c r="T674" s="111"/>
      <c r="U674" s="111"/>
      <c r="V674" s="111"/>
      <c r="W674" s="111"/>
      <c r="X674" s="111"/>
      <c r="Y674" s="111"/>
      <c r="Z674" s="111"/>
      <c r="AA674" s="111"/>
    </row>
    <row r="675" spans="1:27" s="118" customFormat="1" x14ac:dyDescent="0.2">
      <c r="A675" s="10"/>
      <c r="B675" s="10"/>
      <c r="C675" s="190"/>
      <c r="D675" s="2"/>
      <c r="E675" s="148"/>
      <c r="F675" s="253">
        <v>2</v>
      </c>
      <c r="G675" s="253">
        <v>2.7</v>
      </c>
      <c r="H675" s="253"/>
      <c r="I675" s="253">
        <v>1.1499999999999999</v>
      </c>
      <c r="J675" s="253">
        <f t="shared" si="49"/>
        <v>6.21</v>
      </c>
      <c r="K675" s="137"/>
      <c r="L675" s="137"/>
      <c r="M675" s="137"/>
      <c r="N675" s="138"/>
      <c r="O675" s="167"/>
      <c r="P675" s="111"/>
      <c r="Q675" s="111"/>
      <c r="R675" s="111"/>
      <c r="S675" s="111"/>
      <c r="T675" s="111"/>
      <c r="U675" s="111"/>
      <c r="V675" s="111"/>
      <c r="W675" s="111"/>
      <c r="X675" s="111"/>
      <c r="Y675" s="111"/>
      <c r="Z675" s="111"/>
      <c r="AA675" s="111"/>
    </row>
    <row r="676" spans="1:27" s="161" customFormat="1" x14ac:dyDescent="0.2">
      <c r="A676" s="10"/>
      <c r="B676" s="10"/>
      <c r="C676" s="191"/>
      <c r="D676" s="2"/>
      <c r="E676" s="148"/>
      <c r="F676" s="253">
        <v>2</v>
      </c>
      <c r="G676" s="253">
        <v>1.6</v>
      </c>
      <c r="H676" s="253"/>
      <c r="I676" s="249">
        <v>1.2</v>
      </c>
      <c r="J676" s="253">
        <f t="shared" si="49"/>
        <v>3.84</v>
      </c>
      <c r="K676" s="151"/>
      <c r="L676" s="151"/>
      <c r="M676" s="151"/>
      <c r="N676" s="152"/>
      <c r="O676" s="167"/>
      <c r="P676" s="114"/>
      <c r="Q676" s="114"/>
      <c r="R676" s="114"/>
      <c r="S676" s="114"/>
      <c r="T676" s="114"/>
      <c r="U676" s="114"/>
      <c r="V676" s="114"/>
      <c r="W676" s="114"/>
      <c r="X676" s="114"/>
      <c r="Y676" s="114"/>
      <c r="Z676" s="114"/>
      <c r="AA676" s="114"/>
    </row>
    <row r="677" spans="1:27" s="147" customFormat="1" x14ac:dyDescent="0.2">
      <c r="A677" s="10"/>
      <c r="B677" s="10"/>
      <c r="C677" s="15"/>
      <c r="D677" s="399"/>
      <c r="E677" s="10"/>
      <c r="F677" s="263"/>
      <c r="G677" s="263"/>
      <c r="H677" s="263"/>
      <c r="I677" s="246" t="str">
        <f>"Total item "&amp;A670</f>
        <v>Total item 8.1.5</v>
      </c>
      <c r="J677" s="261">
        <f>SUM(J671:J676)</f>
        <v>43.44</v>
      </c>
      <c r="K677" s="131">
        <f>J679</f>
        <v>0</v>
      </c>
      <c r="L677" s="131">
        <v>54</v>
      </c>
      <c r="M677" s="131">
        <f>ROUND(L677*(1+$Q$5),2)</f>
        <v>68.33</v>
      </c>
      <c r="N677" s="133">
        <f>TRUNC(K677*M677,2)</f>
        <v>0</v>
      </c>
      <c r="O677" s="286"/>
      <c r="P677" s="146"/>
      <c r="Q677" s="146"/>
      <c r="R677" s="146"/>
      <c r="S677" s="146"/>
      <c r="T677" s="146"/>
      <c r="U677" s="146"/>
      <c r="V677" s="146"/>
      <c r="W677" s="146"/>
      <c r="X677" s="146"/>
      <c r="Y677" s="146"/>
      <c r="Z677" s="146"/>
      <c r="AA677" s="146"/>
    </row>
    <row r="678" spans="1:27" s="118" customFormat="1" x14ac:dyDescent="0.2">
      <c r="A678" s="10"/>
      <c r="B678" s="10"/>
      <c r="C678" s="191"/>
      <c r="D678" s="115"/>
      <c r="E678" s="158"/>
      <c r="F678" s="267"/>
      <c r="G678" s="267"/>
      <c r="H678" s="267"/>
      <c r="I678" s="250"/>
      <c r="J678" s="267"/>
      <c r="K678" s="137"/>
      <c r="L678" s="137"/>
      <c r="M678" s="137"/>
      <c r="N678" s="138"/>
      <c r="O678" s="167"/>
      <c r="P678" s="111"/>
      <c r="Q678" s="111"/>
      <c r="R678" s="111"/>
      <c r="S678" s="111"/>
      <c r="T678" s="111"/>
      <c r="U678" s="111"/>
      <c r="V678" s="111"/>
      <c r="W678" s="111"/>
      <c r="X678" s="111"/>
      <c r="Y678" s="111"/>
      <c r="Z678" s="111"/>
      <c r="AA678" s="111"/>
    </row>
    <row r="679" spans="1:27" s="118" customFormat="1" x14ac:dyDescent="0.2">
      <c r="A679" s="10"/>
      <c r="B679" s="10"/>
      <c r="C679" s="191"/>
      <c r="D679" s="110"/>
      <c r="E679" s="158"/>
      <c r="F679" s="267"/>
      <c r="G679" s="267"/>
      <c r="H679" s="267"/>
      <c r="I679" s="250"/>
      <c r="J679" s="263"/>
      <c r="K679" s="137"/>
      <c r="L679" s="137"/>
      <c r="M679" s="137"/>
      <c r="N679" s="138"/>
      <c r="O679" s="167"/>
      <c r="P679" s="111"/>
      <c r="Q679" s="111"/>
      <c r="R679" s="111"/>
      <c r="S679" s="111"/>
      <c r="T679" s="111"/>
      <c r="U679" s="111"/>
      <c r="V679" s="111"/>
      <c r="W679" s="111"/>
      <c r="X679" s="111"/>
      <c r="Y679" s="111"/>
      <c r="Z679" s="111"/>
      <c r="AA679" s="111"/>
    </row>
    <row r="680" spans="1:27" s="118" customFormat="1" x14ac:dyDescent="0.2">
      <c r="A680" s="10"/>
      <c r="B680" s="10"/>
      <c r="C680" s="191"/>
      <c r="D680" s="110"/>
      <c r="E680" s="158"/>
      <c r="F680" s="267"/>
      <c r="G680" s="267"/>
      <c r="H680" s="267"/>
      <c r="I680" s="250"/>
      <c r="J680" s="263"/>
      <c r="K680" s="137"/>
      <c r="L680" s="137"/>
      <c r="M680" s="137"/>
      <c r="N680" s="138"/>
      <c r="O680" s="167"/>
      <c r="P680" s="111"/>
      <c r="Q680" s="111"/>
      <c r="R680" s="111"/>
      <c r="S680" s="111"/>
      <c r="T680" s="111"/>
      <c r="U680" s="111"/>
      <c r="V680" s="111"/>
      <c r="W680" s="111"/>
      <c r="X680" s="111"/>
      <c r="Y680" s="111"/>
      <c r="Z680" s="111"/>
      <c r="AA680" s="111"/>
    </row>
    <row r="681" spans="1:27" s="313" customFormat="1" x14ac:dyDescent="0.2">
      <c r="A681" s="10"/>
      <c r="B681" s="10"/>
      <c r="C681" s="15"/>
      <c r="D681" s="399"/>
      <c r="E681" s="10"/>
      <c r="F681" s="263"/>
      <c r="G681" s="263"/>
      <c r="H681" s="263"/>
      <c r="I681" s="250"/>
      <c r="J681" s="263"/>
      <c r="K681" s="136">
        <f>J683</f>
        <v>0</v>
      </c>
      <c r="L681" s="136">
        <v>14.55</v>
      </c>
      <c r="M681" s="136">
        <f>ROUND(L681*(1+$Q$5),2)</f>
        <v>18.41</v>
      </c>
      <c r="N681" s="199">
        <f>TRUNC(K681*M681,2)</f>
        <v>0</v>
      </c>
      <c r="O681" s="283"/>
      <c r="P681" s="312"/>
      <c r="Q681" s="312"/>
      <c r="R681" s="312"/>
      <c r="S681" s="312"/>
      <c r="T681" s="312"/>
      <c r="U681" s="312"/>
      <c r="V681" s="312"/>
      <c r="W681" s="312"/>
      <c r="X681" s="312"/>
      <c r="Y681" s="312"/>
      <c r="Z681" s="312"/>
      <c r="AA681" s="312"/>
    </row>
    <row r="682" spans="1:27" s="118" customFormat="1" x14ac:dyDescent="0.2">
      <c r="A682" s="10"/>
      <c r="B682" s="10"/>
      <c r="C682" s="191"/>
      <c r="D682" s="115"/>
      <c r="E682" s="158"/>
      <c r="F682" s="267"/>
      <c r="G682" s="267"/>
      <c r="H682" s="267"/>
      <c r="I682" s="250"/>
      <c r="J682" s="267"/>
      <c r="K682" s="137"/>
      <c r="L682" s="137"/>
      <c r="M682" s="137"/>
      <c r="N682" s="138"/>
      <c r="O682" s="167"/>
      <c r="P682" s="111"/>
      <c r="Q682" s="111"/>
      <c r="R682" s="111"/>
      <c r="S682" s="111"/>
      <c r="T682" s="111"/>
      <c r="U682" s="111"/>
      <c r="V682" s="111"/>
      <c r="W682" s="111"/>
      <c r="X682" s="111"/>
      <c r="Y682" s="111"/>
      <c r="Z682" s="111"/>
      <c r="AA682" s="111"/>
    </row>
    <row r="683" spans="1:27" s="118" customFormat="1" x14ac:dyDescent="0.2">
      <c r="A683" s="10"/>
      <c r="B683" s="10"/>
      <c r="C683" s="191"/>
      <c r="D683" s="110"/>
      <c r="E683" s="158"/>
      <c r="F683" s="267"/>
      <c r="G683" s="267"/>
      <c r="H683" s="267"/>
      <c r="I683" s="250"/>
      <c r="J683" s="263"/>
      <c r="K683" s="137"/>
      <c r="L683" s="137"/>
      <c r="M683" s="137"/>
      <c r="N683" s="138"/>
      <c r="O683" s="167"/>
      <c r="P683" s="111"/>
      <c r="Q683" s="111"/>
      <c r="R683" s="111"/>
      <c r="S683" s="111"/>
      <c r="T683" s="111"/>
      <c r="U683" s="111"/>
      <c r="V683" s="111"/>
      <c r="W683" s="111"/>
      <c r="X683" s="111"/>
      <c r="Y683" s="111"/>
      <c r="Z683" s="111"/>
      <c r="AA683" s="111"/>
    </row>
    <row r="684" spans="1:27" s="118" customFormat="1" x14ac:dyDescent="0.2">
      <c r="A684" s="10"/>
      <c r="B684" s="10"/>
      <c r="C684" s="191"/>
      <c r="D684" s="110"/>
      <c r="E684" s="158"/>
      <c r="F684" s="267"/>
      <c r="G684" s="267"/>
      <c r="H684" s="267"/>
      <c r="I684" s="250"/>
      <c r="J684" s="263"/>
      <c r="K684" s="137"/>
      <c r="L684" s="137"/>
      <c r="M684" s="137"/>
      <c r="N684" s="138"/>
      <c r="O684" s="167"/>
      <c r="P684" s="111"/>
      <c r="Q684" s="111"/>
      <c r="R684" s="111"/>
      <c r="S684" s="111"/>
      <c r="T684" s="111"/>
      <c r="U684" s="111"/>
      <c r="V684" s="111"/>
      <c r="W684" s="111"/>
      <c r="X684" s="111"/>
      <c r="Y684" s="111"/>
      <c r="Z684" s="111"/>
      <c r="AA684" s="111"/>
    </row>
    <row r="685" spans="1:27" s="118" customFormat="1" x14ac:dyDescent="0.2">
      <c r="A685" s="10"/>
      <c r="B685" s="10"/>
      <c r="C685" s="15"/>
      <c r="D685" s="117"/>
      <c r="E685" s="10"/>
      <c r="F685" s="263"/>
      <c r="G685" s="263"/>
      <c r="H685" s="263"/>
      <c r="I685" s="250"/>
      <c r="J685" s="263"/>
      <c r="K685" s="137"/>
      <c r="L685" s="137"/>
      <c r="M685" s="137"/>
      <c r="N685" s="199">
        <f>SUM(N687:N697)</f>
        <v>0</v>
      </c>
      <c r="O685" s="167"/>
      <c r="P685" s="111"/>
      <c r="Q685" s="111"/>
      <c r="R685" s="111"/>
      <c r="S685" s="111"/>
      <c r="T685" s="111"/>
      <c r="U685" s="111"/>
      <c r="V685" s="111"/>
      <c r="W685" s="111"/>
      <c r="X685" s="111"/>
      <c r="Y685" s="111"/>
      <c r="Z685" s="111"/>
      <c r="AA685" s="111"/>
    </row>
    <row r="686" spans="1:27" s="139" customFormat="1" x14ac:dyDescent="0.2">
      <c r="A686" s="10"/>
      <c r="B686" s="10"/>
      <c r="C686" s="15"/>
      <c r="D686" s="117"/>
      <c r="E686" s="10"/>
      <c r="F686" s="263"/>
      <c r="G686" s="263"/>
      <c r="H686" s="263"/>
      <c r="I686" s="250"/>
      <c r="J686" s="263"/>
      <c r="K686" s="137"/>
      <c r="L686" s="137"/>
      <c r="M686" s="137"/>
      <c r="N686" s="138"/>
      <c r="O686" s="283"/>
      <c r="P686" s="120"/>
      <c r="Q686" s="120"/>
      <c r="R686" s="120"/>
      <c r="S686" s="120"/>
      <c r="T686" s="120"/>
      <c r="U686" s="120"/>
      <c r="V686" s="120"/>
      <c r="W686" s="120"/>
      <c r="X686" s="120"/>
      <c r="Y686" s="120"/>
      <c r="Z686" s="120"/>
      <c r="AA686" s="120"/>
    </row>
    <row r="687" spans="1:27" s="313" customFormat="1" x14ac:dyDescent="0.2">
      <c r="A687" s="10"/>
      <c r="B687" s="10"/>
      <c r="C687" s="15"/>
      <c r="D687" s="399"/>
      <c r="E687" s="10"/>
      <c r="F687" s="263"/>
      <c r="G687" s="263"/>
      <c r="H687" s="263"/>
      <c r="I687" s="250"/>
      <c r="J687" s="263"/>
      <c r="K687" s="136">
        <f>J689</f>
        <v>0</v>
      </c>
      <c r="L687" s="136">
        <v>154.4</v>
      </c>
      <c r="M687" s="136">
        <f>ROUND(L687*(1+$Q$5),2)</f>
        <v>195.36</v>
      </c>
      <c r="N687" s="199">
        <f>TRUNC(K687*M687,2)</f>
        <v>0</v>
      </c>
      <c r="O687" s="283"/>
      <c r="P687" s="312"/>
      <c r="Q687" s="312"/>
      <c r="R687" s="312"/>
      <c r="S687" s="312"/>
      <c r="T687" s="312"/>
      <c r="U687" s="312"/>
      <c r="V687" s="312"/>
      <c r="W687" s="312"/>
      <c r="X687" s="312"/>
      <c r="Y687" s="312"/>
      <c r="Z687" s="312"/>
      <c r="AA687" s="312"/>
    </row>
    <row r="688" spans="1:27" s="118" customFormat="1" x14ac:dyDescent="0.2">
      <c r="A688" s="10"/>
      <c r="B688" s="10"/>
      <c r="C688" s="191"/>
      <c r="D688" s="115"/>
      <c r="E688" s="158"/>
      <c r="F688" s="267"/>
      <c r="G688" s="267"/>
      <c r="H688" s="267"/>
      <c r="I688" s="250"/>
      <c r="J688" s="267"/>
      <c r="K688" s="137"/>
      <c r="L688" s="137"/>
      <c r="M688" s="137"/>
      <c r="N688" s="138"/>
      <c r="O688" s="167"/>
      <c r="P688" s="111"/>
      <c r="Q688" s="111"/>
      <c r="R688" s="111"/>
      <c r="S688" s="111"/>
      <c r="T688" s="111"/>
      <c r="U688" s="111"/>
      <c r="V688" s="111"/>
      <c r="W688" s="111"/>
      <c r="X688" s="111"/>
      <c r="Y688" s="111"/>
      <c r="Z688" s="111"/>
      <c r="AA688" s="111"/>
    </row>
    <row r="689" spans="1:27" s="118" customFormat="1" x14ac:dyDescent="0.2">
      <c r="A689" s="10"/>
      <c r="B689" s="10"/>
      <c r="C689" s="191"/>
      <c r="D689" s="110"/>
      <c r="E689" s="158"/>
      <c r="F689" s="267"/>
      <c r="G689" s="267"/>
      <c r="H689" s="267"/>
      <c r="I689" s="250"/>
      <c r="J689" s="263"/>
      <c r="K689" s="137"/>
      <c r="L689" s="137"/>
      <c r="M689" s="137"/>
      <c r="N689" s="138"/>
      <c r="O689" s="167"/>
      <c r="P689" s="111"/>
      <c r="Q689" s="111"/>
      <c r="R689" s="111"/>
      <c r="S689" s="111"/>
      <c r="T689" s="111"/>
      <c r="U689" s="111"/>
      <c r="V689" s="111"/>
      <c r="W689" s="111"/>
      <c r="X689" s="111"/>
      <c r="Y689" s="111"/>
      <c r="Z689" s="111"/>
      <c r="AA689" s="111"/>
    </row>
    <row r="690" spans="1:27" s="139" customFormat="1" x14ac:dyDescent="0.2">
      <c r="A690" s="10"/>
      <c r="B690" s="10"/>
      <c r="C690" s="15"/>
      <c r="D690" s="117"/>
      <c r="E690" s="10"/>
      <c r="F690" s="263"/>
      <c r="G690" s="263"/>
      <c r="H690" s="263"/>
      <c r="I690" s="250"/>
      <c r="J690" s="263"/>
      <c r="K690" s="137"/>
      <c r="L690" s="137"/>
      <c r="M690" s="137"/>
      <c r="N690" s="138"/>
      <c r="O690" s="283"/>
      <c r="P690" s="120"/>
      <c r="Q690" s="120"/>
      <c r="R690" s="120"/>
      <c r="S690" s="120"/>
      <c r="T690" s="120"/>
      <c r="U690" s="120"/>
      <c r="V690" s="120"/>
      <c r="W690" s="120"/>
      <c r="X690" s="120"/>
      <c r="Y690" s="120"/>
      <c r="Z690" s="120"/>
      <c r="AA690" s="120"/>
    </row>
    <row r="691" spans="1:27" s="313" customFormat="1" x14ac:dyDescent="0.2">
      <c r="A691" s="10"/>
      <c r="B691" s="10"/>
      <c r="C691" s="15"/>
      <c r="D691" s="399"/>
      <c r="E691" s="10"/>
      <c r="F691" s="263"/>
      <c r="G691" s="263"/>
      <c r="H691" s="263"/>
      <c r="I691" s="250"/>
      <c r="J691" s="263"/>
      <c r="K691" s="136">
        <f>J693</f>
        <v>0</v>
      </c>
      <c r="L691" s="136">
        <v>116.1</v>
      </c>
      <c r="M691" s="136">
        <f>ROUND(L691*(1+$Q$5),2)</f>
        <v>146.9</v>
      </c>
      <c r="N691" s="199">
        <f>TRUNC(K691*M691,2)</f>
        <v>0</v>
      </c>
      <c r="O691" s="283"/>
      <c r="P691" s="312"/>
      <c r="Q691" s="312"/>
      <c r="R691" s="312"/>
      <c r="S691" s="312"/>
      <c r="T691" s="312"/>
      <c r="U691" s="312"/>
      <c r="V691" s="312"/>
      <c r="W691" s="312"/>
      <c r="X691" s="312"/>
      <c r="Y691" s="312"/>
      <c r="Z691" s="312"/>
      <c r="AA691" s="312"/>
    </row>
    <row r="692" spans="1:27" s="118" customFormat="1" x14ac:dyDescent="0.2">
      <c r="A692" s="10"/>
      <c r="B692" s="10"/>
      <c r="C692" s="191"/>
      <c r="D692" s="115"/>
      <c r="E692" s="158"/>
      <c r="F692" s="267"/>
      <c r="G692" s="267"/>
      <c r="H692" s="267"/>
      <c r="I692" s="250"/>
      <c r="J692" s="267"/>
      <c r="K692" s="137"/>
      <c r="L692" s="137"/>
      <c r="M692" s="137"/>
      <c r="N692" s="138"/>
      <c r="O692" s="167"/>
      <c r="P692" s="111"/>
      <c r="Q692" s="111"/>
      <c r="R692" s="111"/>
      <c r="S692" s="111"/>
      <c r="T692" s="111"/>
      <c r="U692" s="111"/>
      <c r="V692" s="111"/>
      <c r="W692" s="111"/>
      <c r="X692" s="111"/>
      <c r="Y692" s="111"/>
      <c r="Z692" s="111"/>
      <c r="AA692" s="111"/>
    </row>
    <row r="693" spans="1:27" s="118" customFormat="1" x14ac:dyDescent="0.2">
      <c r="A693" s="10"/>
      <c r="B693" s="10"/>
      <c r="C693" s="191"/>
      <c r="D693" s="110"/>
      <c r="E693" s="158"/>
      <c r="F693" s="267"/>
      <c r="G693" s="267"/>
      <c r="H693" s="267"/>
      <c r="I693" s="250"/>
      <c r="J693" s="263"/>
      <c r="K693" s="137"/>
      <c r="L693" s="137"/>
      <c r="M693" s="137"/>
      <c r="N693" s="138"/>
      <c r="O693" s="167"/>
      <c r="P693" s="111"/>
      <c r="Q693" s="111"/>
      <c r="R693" s="111"/>
      <c r="S693" s="111"/>
      <c r="T693" s="111"/>
      <c r="U693" s="111"/>
      <c r="V693" s="111"/>
      <c r="W693" s="111"/>
      <c r="X693" s="111"/>
      <c r="Y693" s="111"/>
      <c r="Z693" s="111"/>
      <c r="AA693" s="111"/>
    </row>
    <row r="694" spans="1:27" s="139" customFormat="1" x14ac:dyDescent="0.2">
      <c r="A694" s="10"/>
      <c r="B694" s="10"/>
      <c r="C694" s="15"/>
      <c r="D694" s="117"/>
      <c r="E694" s="10"/>
      <c r="F694" s="263"/>
      <c r="G694" s="263"/>
      <c r="H694" s="263"/>
      <c r="I694" s="250"/>
      <c r="J694" s="263"/>
      <c r="K694" s="137"/>
      <c r="L694" s="137"/>
      <c r="M694" s="137"/>
      <c r="N694" s="138"/>
      <c r="O694" s="283"/>
      <c r="P694" s="120"/>
      <c r="Q694" s="120"/>
      <c r="R694" s="120"/>
      <c r="S694" s="120"/>
      <c r="T694" s="120"/>
      <c r="U694" s="120"/>
      <c r="V694" s="120"/>
      <c r="W694" s="120"/>
      <c r="X694" s="120"/>
      <c r="Y694" s="120"/>
      <c r="Z694" s="120"/>
      <c r="AA694" s="120"/>
    </row>
    <row r="695" spans="1:27" s="313" customFormat="1" x14ac:dyDescent="0.2">
      <c r="A695" s="10"/>
      <c r="B695" s="10"/>
      <c r="C695" s="400"/>
      <c r="D695" s="399"/>
      <c r="E695" s="10"/>
      <c r="F695" s="263"/>
      <c r="G695" s="263"/>
      <c r="H695" s="263"/>
      <c r="I695" s="250"/>
      <c r="J695" s="263"/>
      <c r="K695" s="136">
        <f>J697</f>
        <v>0</v>
      </c>
      <c r="L695" s="136">
        <v>10.33</v>
      </c>
      <c r="M695" s="136">
        <f>ROUND(L695*(1+$Q$5),2)</f>
        <v>13.07</v>
      </c>
      <c r="N695" s="199">
        <f>TRUNC(K695*M695,2)</f>
        <v>0</v>
      </c>
      <c r="O695" s="283"/>
      <c r="P695" s="312"/>
      <c r="Q695" s="312"/>
      <c r="R695" s="312"/>
      <c r="S695" s="312"/>
      <c r="T695" s="312"/>
      <c r="U695" s="312"/>
      <c r="V695" s="312"/>
      <c r="W695" s="312"/>
      <c r="X695" s="312"/>
      <c r="Y695" s="312"/>
      <c r="Z695" s="312"/>
      <c r="AA695" s="312"/>
    </row>
    <row r="696" spans="1:27" s="118" customFormat="1" x14ac:dyDescent="0.2">
      <c r="A696" s="10"/>
      <c r="B696" s="10"/>
      <c r="C696" s="191"/>
      <c r="D696" s="115"/>
      <c r="E696" s="158"/>
      <c r="F696" s="267"/>
      <c r="G696" s="267"/>
      <c r="H696" s="267"/>
      <c r="I696" s="250"/>
      <c r="J696" s="267"/>
      <c r="K696" s="137"/>
      <c r="L696" s="137"/>
      <c r="M696" s="137"/>
      <c r="N696" s="138"/>
      <c r="O696" s="167"/>
      <c r="P696" s="111"/>
      <c r="Q696" s="111"/>
      <c r="R696" s="111"/>
      <c r="S696" s="111"/>
      <c r="T696" s="111"/>
      <c r="U696" s="111"/>
      <c r="V696" s="111"/>
      <c r="W696" s="111"/>
      <c r="X696" s="111"/>
      <c r="Y696" s="111"/>
      <c r="Z696" s="111"/>
      <c r="AA696" s="111"/>
    </row>
    <row r="697" spans="1:27" s="118" customFormat="1" x14ac:dyDescent="0.2">
      <c r="A697" s="10"/>
      <c r="B697" s="10"/>
      <c r="C697" s="191"/>
      <c r="D697" s="110"/>
      <c r="E697" s="158"/>
      <c r="F697" s="267"/>
      <c r="G697" s="267"/>
      <c r="H697" s="267"/>
      <c r="I697" s="250"/>
      <c r="J697" s="263"/>
      <c r="K697" s="137"/>
      <c r="L697" s="137"/>
      <c r="M697" s="137"/>
      <c r="N697" s="138"/>
      <c r="O697" s="167"/>
      <c r="P697" s="111"/>
      <c r="Q697" s="111"/>
      <c r="R697" s="111"/>
      <c r="S697" s="111"/>
      <c r="T697" s="111"/>
      <c r="U697" s="111"/>
      <c r="V697" s="111"/>
      <c r="W697" s="111"/>
      <c r="X697" s="111"/>
      <c r="Y697" s="111"/>
      <c r="Z697" s="111"/>
      <c r="AA697" s="111"/>
    </row>
    <row r="698" spans="1:27" s="118" customFormat="1" x14ac:dyDescent="0.2">
      <c r="A698" s="10"/>
      <c r="B698" s="10"/>
      <c r="C698" s="191"/>
      <c r="D698" s="110"/>
      <c r="E698" s="158"/>
      <c r="F698" s="267"/>
      <c r="G698" s="267"/>
      <c r="H698" s="267"/>
      <c r="I698" s="250"/>
      <c r="J698" s="263"/>
      <c r="K698" s="137"/>
      <c r="L698" s="137"/>
      <c r="M698" s="137"/>
      <c r="N698" s="138"/>
      <c r="O698" s="167"/>
      <c r="P698" s="111"/>
      <c r="Q698" s="111"/>
      <c r="R698" s="111"/>
      <c r="S698" s="111"/>
      <c r="T698" s="111"/>
      <c r="U698" s="111"/>
      <c r="V698" s="111"/>
      <c r="W698" s="111"/>
      <c r="X698" s="111"/>
      <c r="Y698" s="111"/>
      <c r="Z698" s="111"/>
      <c r="AA698" s="111"/>
    </row>
    <row r="699" spans="1:27" s="118" customFormat="1" x14ac:dyDescent="0.2">
      <c r="A699" s="10"/>
      <c r="B699" s="10"/>
      <c r="C699" s="15"/>
      <c r="D699" s="117"/>
      <c r="E699" s="10"/>
      <c r="F699" s="263"/>
      <c r="G699" s="263"/>
      <c r="H699" s="263"/>
      <c r="I699" s="250"/>
      <c r="J699" s="263"/>
      <c r="K699" s="137"/>
      <c r="L699" s="137"/>
      <c r="M699" s="137"/>
      <c r="N699" s="199">
        <f>SUM(N701:N710)</f>
        <v>0</v>
      </c>
      <c r="O699" s="167"/>
      <c r="P699" s="111"/>
      <c r="Q699" s="111"/>
      <c r="R699" s="111"/>
      <c r="S699" s="111"/>
      <c r="T699" s="111"/>
      <c r="U699" s="111"/>
      <c r="V699" s="111"/>
      <c r="W699" s="111"/>
      <c r="X699" s="111"/>
      <c r="Y699" s="111"/>
      <c r="Z699" s="111"/>
      <c r="AA699" s="111"/>
    </row>
    <row r="700" spans="1:27" s="118" customFormat="1" x14ac:dyDescent="0.2">
      <c r="A700" s="10"/>
      <c r="B700" s="10"/>
      <c r="C700" s="191"/>
      <c r="D700" s="110"/>
      <c r="E700" s="158"/>
      <c r="F700" s="267"/>
      <c r="G700" s="267"/>
      <c r="H700" s="267"/>
      <c r="I700" s="250"/>
      <c r="J700" s="263"/>
      <c r="K700" s="137"/>
      <c r="L700" s="137"/>
      <c r="M700" s="137"/>
      <c r="N700" s="138"/>
      <c r="O700" s="167"/>
      <c r="P700" s="111"/>
      <c r="Q700" s="111"/>
      <c r="R700" s="111"/>
      <c r="S700" s="111"/>
      <c r="T700" s="111"/>
      <c r="U700" s="111"/>
      <c r="V700" s="111"/>
      <c r="W700" s="111"/>
      <c r="X700" s="111"/>
      <c r="Y700" s="111"/>
      <c r="Z700" s="111"/>
      <c r="AA700" s="111"/>
    </row>
    <row r="701" spans="1:27" s="313" customFormat="1" x14ac:dyDescent="0.2">
      <c r="A701" s="10"/>
      <c r="B701" s="10"/>
      <c r="C701" s="15"/>
      <c r="D701" s="399"/>
      <c r="E701" s="10"/>
      <c r="F701" s="263"/>
      <c r="G701" s="263"/>
      <c r="H701" s="263"/>
      <c r="I701" s="250"/>
      <c r="J701" s="263"/>
      <c r="K701" s="136">
        <f>J703</f>
        <v>0</v>
      </c>
      <c r="L701" s="136">
        <v>287.51</v>
      </c>
      <c r="M701" s="136">
        <f>ROUND(L701*(1+$Q$5),2)</f>
        <v>363.79</v>
      </c>
      <c r="N701" s="199">
        <f>TRUNC(K701*M701,2)</f>
        <v>0</v>
      </c>
      <c r="O701" s="283"/>
      <c r="P701" s="312"/>
      <c r="Q701" s="312"/>
      <c r="R701" s="312"/>
      <c r="S701" s="312"/>
      <c r="T701" s="312"/>
      <c r="U701" s="312"/>
      <c r="V701" s="312"/>
      <c r="W701" s="312"/>
      <c r="X701" s="312"/>
      <c r="Y701" s="312"/>
      <c r="Z701" s="312"/>
      <c r="AA701" s="312"/>
    </row>
    <row r="702" spans="1:27" s="118" customFormat="1" x14ac:dyDescent="0.2">
      <c r="A702" s="10"/>
      <c r="B702" s="10"/>
      <c r="C702" s="191"/>
      <c r="D702" s="115"/>
      <c r="E702" s="158"/>
      <c r="F702" s="267"/>
      <c r="G702" s="267"/>
      <c r="H702" s="267"/>
      <c r="I702" s="339"/>
      <c r="J702" s="267"/>
      <c r="K702" s="137"/>
      <c r="L702" s="137"/>
      <c r="M702" s="137"/>
      <c r="N702" s="138"/>
      <c r="O702" s="167"/>
      <c r="P702" s="111"/>
      <c r="Q702" s="111"/>
      <c r="R702" s="111"/>
      <c r="S702" s="111"/>
      <c r="T702" s="111"/>
      <c r="U702" s="111"/>
      <c r="V702" s="111"/>
      <c r="W702" s="111"/>
      <c r="X702" s="111"/>
      <c r="Y702" s="111"/>
      <c r="Z702" s="111"/>
      <c r="AA702" s="111"/>
    </row>
    <row r="703" spans="1:27" s="118" customFormat="1" x14ac:dyDescent="0.2">
      <c r="A703" s="10"/>
      <c r="B703" s="10"/>
      <c r="C703" s="191"/>
      <c r="D703" s="110"/>
      <c r="E703" s="158"/>
      <c r="F703" s="267"/>
      <c r="G703" s="267"/>
      <c r="H703" s="267"/>
      <c r="I703" s="250"/>
      <c r="J703" s="263"/>
      <c r="K703" s="137"/>
      <c r="L703" s="137"/>
      <c r="M703" s="137"/>
      <c r="N703" s="138"/>
      <c r="O703" s="167"/>
      <c r="P703" s="111"/>
      <c r="Q703" s="111"/>
      <c r="R703" s="111"/>
      <c r="S703" s="111"/>
      <c r="T703" s="111"/>
      <c r="U703" s="111"/>
      <c r="V703" s="111"/>
      <c r="W703" s="111"/>
      <c r="X703" s="111"/>
      <c r="Y703" s="111"/>
      <c r="Z703" s="111"/>
      <c r="AA703" s="111"/>
    </row>
    <row r="704" spans="1:27" s="118" customFormat="1" x14ac:dyDescent="0.2">
      <c r="A704" s="10"/>
      <c r="B704" s="10"/>
      <c r="C704" s="191"/>
      <c r="D704" s="110"/>
      <c r="E704" s="158"/>
      <c r="F704" s="267"/>
      <c r="G704" s="267"/>
      <c r="H704" s="267"/>
      <c r="I704" s="250"/>
      <c r="J704" s="250"/>
      <c r="K704" s="137"/>
      <c r="L704" s="137"/>
      <c r="M704" s="137"/>
      <c r="N704" s="138"/>
      <c r="O704" s="167"/>
      <c r="P704" s="111"/>
      <c r="Q704" s="111"/>
      <c r="R704" s="111"/>
      <c r="S704" s="111"/>
      <c r="T704" s="111"/>
      <c r="U704" s="111"/>
      <c r="V704" s="111"/>
      <c r="W704" s="111"/>
      <c r="X704" s="111"/>
      <c r="Y704" s="111"/>
      <c r="Z704" s="111"/>
      <c r="AA704" s="111"/>
    </row>
    <row r="705" spans="1:27" s="313" customFormat="1" x14ac:dyDescent="0.2">
      <c r="A705" s="10"/>
      <c r="B705" s="10"/>
      <c r="C705" s="15"/>
      <c r="D705" s="399"/>
      <c r="E705" s="10"/>
      <c r="F705" s="263"/>
      <c r="G705" s="263"/>
      <c r="H705" s="263"/>
      <c r="I705" s="250"/>
      <c r="J705" s="263"/>
      <c r="K705" s="136">
        <f>J707</f>
        <v>0</v>
      </c>
      <c r="L705" s="136">
        <v>24.82</v>
      </c>
      <c r="M705" s="136">
        <f>ROUND(L705*(1+$Q$5),2)</f>
        <v>31.4</v>
      </c>
      <c r="N705" s="199">
        <f>TRUNC(K705*M705,2)</f>
        <v>0</v>
      </c>
      <c r="O705" s="283"/>
      <c r="P705" s="312"/>
      <c r="Q705" s="312"/>
      <c r="R705" s="312"/>
      <c r="S705" s="312"/>
      <c r="T705" s="312"/>
      <c r="U705" s="312"/>
      <c r="V705" s="312"/>
      <c r="W705" s="312"/>
      <c r="X705" s="312"/>
      <c r="Y705" s="312"/>
      <c r="Z705" s="312"/>
      <c r="AA705" s="312"/>
    </row>
    <row r="706" spans="1:27" s="118" customFormat="1" x14ac:dyDescent="0.2">
      <c r="A706" s="10"/>
      <c r="B706" s="10"/>
      <c r="C706" s="191"/>
      <c r="D706" s="115"/>
      <c r="E706" s="158"/>
      <c r="F706" s="267"/>
      <c r="G706" s="267"/>
      <c r="H706" s="267"/>
      <c r="I706" s="339"/>
      <c r="J706" s="267"/>
      <c r="K706" s="137"/>
      <c r="L706" s="137"/>
      <c r="M706" s="137"/>
      <c r="N706" s="138"/>
      <c r="O706" s="167"/>
      <c r="P706" s="111"/>
      <c r="Q706" s="111"/>
      <c r="R706" s="111"/>
      <c r="S706" s="111"/>
      <c r="T706" s="111"/>
      <c r="U706" s="111"/>
      <c r="V706" s="111"/>
      <c r="W706" s="111"/>
      <c r="X706" s="111"/>
      <c r="Y706" s="111"/>
      <c r="Z706" s="111"/>
      <c r="AA706" s="111"/>
    </row>
    <row r="707" spans="1:27" s="118" customFormat="1" x14ac:dyDescent="0.2">
      <c r="A707" s="10"/>
      <c r="B707" s="10"/>
      <c r="C707" s="191"/>
      <c r="D707" s="110"/>
      <c r="E707" s="158"/>
      <c r="F707" s="267"/>
      <c r="G707" s="267"/>
      <c r="H707" s="267"/>
      <c r="I707" s="250"/>
      <c r="J707" s="263"/>
      <c r="K707" s="137"/>
      <c r="L707" s="137"/>
      <c r="M707" s="137"/>
      <c r="N707" s="138"/>
      <c r="O707" s="167"/>
      <c r="P707" s="111"/>
      <c r="Q707" s="111"/>
      <c r="R707" s="111"/>
      <c r="S707" s="111"/>
      <c r="T707" s="111"/>
      <c r="U707" s="111"/>
      <c r="V707" s="111"/>
      <c r="W707" s="111"/>
      <c r="X707" s="111"/>
      <c r="Y707" s="111"/>
      <c r="Z707" s="111"/>
      <c r="AA707" s="111"/>
    </row>
    <row r="708" spans="1:27" s="118" customFormat="1" x14ac:dyDescent="0.2">
      <c r="A708" s="10"/>
      <c r="B708" s="10"/>
      <c r="C708" s="191"/>
      <c r="D708" s="110"/>
      <c r="E708" s="158"/>
      <c r="F708" s="267"/>
      <c r="G708" s="267"/>
      <c r="H708" s="267"/>
      <c r="I708" s="250"/>
      <c r="J708" s="250"/>
      <c r="K708" s="137"/>
      <c r="L708" s="137"/>
      <c r="M708" s="137"/>
      <c r="N708" s="138"/>
      <c r="O708" s="167"/>
      <c r="P708" s="111"/>
      <c r="Q708" s="111"/>
      <c r="R708" s="111"/>
      <c r="S708" s="111"/>
      <c r="T708" s="111"/>
      <c r="U708" s="111"/>
      <c r="V708" s="111"/>
      <c r="W708" s="111"/>
      <c r="X708" s="111"/>
      <c r="Y708" s="111"/>
      <c r="Z708" s="111"/>
      <c r="AA708" s="111"/>
    </row>
    <row r="709" spans="1:27" s="313" customFormat="1" x14ac:dyDescent="0.2">
      <c r="A709" s="10"/>
      <c r="B709" s="10"/>
      <c r="C709" s="15"/>
      <c r="D709" s="399"/>
      <c r="E709" s="10"/>
      <c r="F709" s="263"/>
      <c r="G709" s="263"/>
      <c r="H709" s="263"/>
      <c r="I709" s="250"/>
      <c r="J709" s="263"/>
      <c r="K709" s="136">
        <f>J711</f>
        <v>0</v>
      </c>
      <c r="L709" s="136">
        <v>47.52</v>
      </c>
      <c r="M709" s="136">
        <f>ROUND(L709*(1+$Q$5),2)</f>
        <v>60.13</v>
      </c>
      <c r="N709" s="199">
        <f>TRUNC(K709*M709,2)</f>
        <v>0</v>
      </c>
      <c r="O709" s="283"/>
      <c r="P709" s="312"/>
      <c r="Q709" s="312"/>
      <c r="R709" s="312"/>
      <c r="S709" s="312"/>
      <c r="T709" s="312"/>
      <c r="U709" s="312"/>
      <c r="V709" s="312"/>
      <c r="W709" s="312"/>
      <c r="X709" s="312"/>
      <c r="Y709" s="312"/>
      <c r="Z709" s="312"/>
      <c r="AA709" s="312"/>
    </row>
    <row r="710" spans="1:27" s="118" customFormat="1" x14ac:dyDescent="0.2">
      <c r="A710" s="10"/>
      <c r="B710" s="10"/>
      <c r="C710" s="191"/>
      <c r="D710" s="115"/>
      <c r="E710" s="158"/>
      <c r="F710" s="267"/>
      <c r="G710" s="267"/>
      <c r="H710" s="267"/>
      <c r="I710" s="339"/>
      <c r="J710" s="267"/>
      <c r="K710" s="137"/>
      <c r="L710" s="137"/>
      <c r="M710" s="137"/>
      <c r="N710" s="138"/>
      <c r="O710" s="167"/>
      <c r="P710" s="111"/>
      <c r="Q710" s="111"/>
      <c r="R710" s="111"/>
      <c r="S710" s="111"/>
      <c r="T710" s="111"/>
      <c r="U710" s="111"/>
      <c r="V710" s="111"/>
      <c r="W710" s="111"/>
      <c r="X710" s="111"/>
      <c r="Y710" s="111"/>
      <c r="Z710" s="111"/>
      <c r="AA710" s="111"/>
    </row>
    <row r="711" spans="1:27" s="118" customFormat="1" x14ac:dyDescent="0.2">
      <c r="A711" s="10"/>
      <c r="B711" s="10"/>
      <c r="C711" s="191"/>
      <c r="D711" s="110"/>
      <c r="E711" s="158"/>
      <c r="F711" s="267"/>
      <c r="G711" s="267"/>
      <c r="H711" s="267"/>
      <c r="I711" s="250"/>
      <c r="J711" s="263"/>
      <c r="K711" s="137"/>
      <c r="L711" s="137"/>
      <c r="M711" s="137"/>
      <c r="N711" s="138"/>
      <c r="O711" s="167"/>
      <c r="P711" s="111"/>
      <c r="Q711" s="111"/>
      <c r="R711" s="111"/>
      <c r="S711" s="111"/>
      <c r="T711" s="111"/>
      <c r="U711" s="111"/>
      <c r="V711" s="111"/>
      <c r="W711" s="111"/>
      <c r="X711" s="111"/>
      <c r="Y711" s="111"/>
      <c r="Z711" s="111"/>
      <c r="AA711" s="111"/>
    </row>
    <row r="712" spans="1:27" s="118" customFormat="1" ht="10.5" customHeight="1" x14ac:dyDescent="0.2">
      <c r="A712" s="10"/>
      <c r="B712" s="10"/>
      <c r="C712" s="191"/>
      <c r="D712" s="110"/>
      <c r="E712" s="158"/>
      <c r="F712" s="267"/>
      <c r="G712" s="267"/>
      <c r="H712" s="267"/>
      <c r="I712" s="250"/>
      <c r="J712" s="250"/>
      <c r="K712" s="137"/>
      <c r="L712" s="137"/>
      <c r="M712" s="137"/>
      <c r="N712" s="138"/>
      <c r="O712" s="167"/>
      <c r="P712" s="111"/>
      <c r="Q712" s="111"/>
      <c r="R712" s="111"/>
      <c r="S712" s="111"/>
      <c r="T712" s="111"/>
      <c r="U712" s="111"/>
      <c r="V712" s="111"/>
      <c r="W712" s="111"/>
      <c r="X712" s="111"/>
      <c r="Y712" s="111"/>
      <c r="Z712" s="111"/>
      <c r="AA712" s="111"/>
    </row>
    <row r="713" spans="1:27" s="118" customFormat="1" x14ac:dyDescent="0.2">
      <c r="A713" s="10"/>
      <c r="B713" s="10"/>
      <c r="C713" s="15"/>
      <c r="D713" s="117"/>
      <c r="E713" s="10"/>
      <c r="F713" s="263"/>
      <c r="G713" s="263"/>
      <c r="H713" s="263"/>
      <c r="I713" s="250"/>
      <c r="J713" s="263"/>
      <c r="K713" s="137"/>
      <c r="L713" s="137"/>
      <c r="M713" s="137"/>
      <c r="N713" s="199">
        <f>SUM(N715:N719)</f>
        <v>0</v>
      </c>
      <c r="O713" s="167"/>
      <c r="P713" s="111"/>
      <c r="Q713" s="111"/>
      <c r="R713" s="111"/>
      <c r="S713" s="111"/>
      <c r="T713" s="111"/>
      <c r="U713" s="111"/>
      <c r="V713" s="111"/>
      <c r="W713" s="111"/>
      <c r="X713" s="111"/>
      <c r="Y713" s="111"/>
      <c r="Z713" s="111"/>
      <c r="AA713" s="111"/>
    </row>
    <row r="714" spans="1:27" s="118" customFormat="1" x14ac:dyDescent="0.2">
      <c r="A714" s="10"/>
      <c r="B714" s="10"/>
      <c r="C714" s="191"/>
      <c r="D714" s="110"/>
      <c r="E714" s="158"/>
      <c r="F714" s="267"/>
      <c r="G714" s="267"/>
      <c r="H714" s="267"/>
      <c r="I714" s="250"/>
      <c r="J714" s="250"/>
      <c r="K714" s="137"/>
      <c r="L714" s="137"/>
      <c r="M714" s="137"/>
      <c r="N714" s="138"/>
      <c r="O714" s="167"/>
      <c r="P714" s="111"/>
      <c r="Q714" s="111"/>
      <c r="R714" s="111"/>
      <c r="S714" s="111"/>
      <c r="T714" s="111"/>
      <c r="U714" s="111"/>
      <c r="V714" s="111"/>
      <c r="W714" s="111"/>
      <c r="X714" s="111"/>
      <c r="Y714" s="111"/>
      <c r="Z714" s="111"/>
      <c r="AA714" s="111"/>
    </row>
    <row r="715" spans="1:27" s="147" customFormat="1" x14ac:dyDescent="0.2">
      <c r="A715" s="184"/>
      <c r="B715" s="347"/>
      <c r="C715" s="347"/>
      <c r="D715" s="337"/>
      <c r="E715" s="346"/>
      <c r="F715" s="338"/>
      <c r="G715" s="338"/>
      <c r="H715" s="338"/>
      <c r="I715" s="257"/>
      <c r="J715" s="338"/>
      <c r="K715" s="131">
        <f>J718</f>
        <v>0</v>
      </c>
      <c r="L715" s="131">
        <v>13.42</v>
      </c>
      <c r="M715" s="131">
        <f>ROUND(L715*(1+$Q$5),2)</f>
        <v>16.98</v>
      </c>
      <c r="N715" s="133">
        <f>TRUNC(K715*M715,2)</f>
        <v>0</v>
      </c>
      <c r="O715" s="286"/>
      <c r="P715" s="146"/>
      <c r="Q715" s="146"/>
      <c r="R715" s="146"/>
      <c r="S715" s="146"/>
      <c r="T715" s="146"/>
      <c r="U715" s="146"/>
      <c r="V715" s="146"/>
      <c r="W715" s="146"/>
      <c r="X715" s="146"/>
      <c r="Y715" s="146"/>
      <c r="Z715" s="146"/>
      <c r="AA715" s="146"/>
    </row>
    <row r="716" spans="1:27" s="118" customFormat="1" x14ac:dyDescent="0.2">
      <c r="A716" s="10"/>
      <c r="B716" s="10"/>
      <c r="C716" s="191"/>
      <c r="D716" s="343"/>
      <c r="E716" s="158"/>
      <c r="F716" s="267"/>
      <c r="G716" s="267"/>
      <c r="H716" s="267"/>
      <c r="I716" s="339"/>
      <c r="J716" s="267"/>
      <c r="K716" s="137"/>
      <c r="L716" s="137"/>
      <c r="M716" s="137"/>
      <c r="N716" s="138"/>
      <c r="O716" s="167"/>
      <c r="P716" s="111"/>
      <c r="Q716" s="111"/>
      <c r="R716" s="111"/>
      <c r="S716" s="111"/>
      <c r="T716" s="111"/>
      <c r="U716" s="111"/>
      <c r="V716" s="111"/>
      <c r="W716" s="111"/>
      <c r="X716" s="111"/>
      <c r="Y716" s="111"/>
      <c r="Z716" s="111"/>
      <c r="AA716" s="111"/>
    </row>
    <row r="717" spans="1:27" s="118" customFormat="1" x14ac:dyDescent="0.2">
      <c r="A717" s="10"/>
      <c r="B717" s="10"/>
      <c r="C717" s="191"/>
      <c r="D717" s="115"/>
      <c r="E717" s="158"/>
      <c r="F717" s="267"/>
      <c r="G717" s="267"/>
      <c r="H717" s="267"/>
      <c r="I717" s="339"/>
      <c r="J717" s="267"/>
      <c r="K717" s="137"/>
      <c r="L717" s="137"/>
      <c r="M717" s="137"/>
      <c r="N717" s="138"/>
      <c r="O717" s="167"/>
      <c r="P717" s="111"/>
      <c r="Q717" s="111"/>
      <c r="R717" s="111"/>
      <c r="S717" s="111"/>
      <c r="T717" s="111"/>
      <c r="U717" s="111"/>
      <c r="V717" s="111"/>
      <c r="W717" s="111"/>
      <c r="X717" s="111"/>
      <c r="Y717" s="111"/>
      <c r="Z717" s="111"/>
      <c r="AA717" s="111"/>
    </row>
    <row r="718" spans="1:27" s="118" customFormat="1" x14ac:dyDescent="0.2">
      <c r="A718" s="10"/>
      <c r="B718" s="10"/>
      <c r="C718" s="190"/>
      <c r="D718" s="110"/>
      <c r="E718" s="158"/>
      <c r="F718" s="267"/>
      <c r="G718" s="267"/>
      <c r="H718" s="267"/>
      <c r="I718" s="250"/>
      <c r="J718" s="338"/>
      <c r="K718" s="137"/>
      <c r="L718" s="137"/>
      <c r="M718" s="137"/>
      <c r="N718" s="138"/>
      <c r="O718" s="167"/>
      <c r="P718" s="111"/>
      <c r="Q718" s="111"/>
      <c r="R718" s="111"/>
      <c r="S718" s="111"/>
      <c r="T718" s="111"/>
      <c r="U718" s="111"/>
      <c r="V718" s="111"/>
      <c r="W718" s="111"/>
      <c r="X718" s="111"/>
      <c r="Y718" s="111"/>
      <c r="Z718" s="111"/>
      <c r="AA718" s="111"/>
    </row>
    <row r="719" spans="1:27" s="118" customFormat="1" x14ac:dyDescent="0.2">
      <c r="A719" s="10"/>
      <c r="B719" s="10"/>
      <c r="C719" s="190"/>
      <c r="D719" s="110"/>
      <c r="E719" s="158"/>
      <c r="F719" s="267"/>
      <c r="G719" s="267"/>
      <c r="H719" s="267"/>
      <c r="I719" s="250"/>
      <c r="J719" s="250"/>
      <c r="K719" s="137"/>
      <c r="L719" s="137"/>
      <c r="M719" s="137"/>
      <c r="N719" s="138"/>
      <c r="O719" s="167"/>
      <c r="P719" s="111"/>
      <c r="Q719" s="111"/>
      <c r="R719" s="111"/>
      <c r="S719" s="111"/>
      <c r="T719" s="111"/>
      <c r="U719" s="111"/>
      <c r="V719" s="111"/>
      <c r="W719" s="111"/>
      <c r="X719" s="111"/>
      <c r="Y719" s="111"/>
      <c r="Z719" s="111"/>
      <c r="AA719" s="111"/>
    </row>
    <row r="720" spans="1:27" s="145" customFormat="1" x14ac:dyDescent="0.2">
      <c r="A720" s="192"/>
      <c r="B720" s="192"/>
      <c r="C720" s="193"/>
      <c r="D720" s="336"/>
      <c r="E720" s="192"/>
      <c r="F720" s="269"/>
      <c r="G720" s="269"/>
      <c r="H720" s="269"/>
      <c r="I720" s="254"/>
      <c r="J720" s="269"/>
      <c r="K720" s="142"/>
      <c r="L720" s="142"/>
      <c r="M720" s="142"/>
      <c r="N720" s="143">
        <f>SUM(N722:N732)</f>
        <v>0</v>
      </c>
      <c r="O720" s="285"/>
      <c r="P720" s="144"/>
      <c r="Q720" s="144"/>
      <c r="R720" s="144"/>
      <c r="S720" s="144"/>
      <c r="T720" s="144"/>
      <c r="U720" s="144"/>
      <c r="V720" s="144"/>
      <c r="W720" s="144"/>
      <c r="X720" s="144"/>
      <c r="Y720" s="144"/>
      <c r="Z720" s="144"/>
      <c r="AA720" s="144"/>
    </row>
    <row r="721" spans="1:27" s="118" customFormat="1" x14ac:dyDescent="0.2">
      <c r="A721" s="10"/>
      <c r="B721" s="10"/>
      <c r="C721" s="190"/>
      <c r="D721" s="110"/>
      <c r="E721" s="158"/>
      <c r="F721" s="267"/>
      <c r="G721" s="267"/>
      <c r="H721" s="267"/>
      <c r="I721" s="250"/>
      <c r="J721" s="250"/>
      <c r="K721" s="137"/>
      <c r="L721" s="137"/>
      <c r="M721" s="137"/>
      <c r="N721" s="138"/>
      <c r="O721" s="167"/>
      <c r="P721" s="111"/>
      <c r="Q721" s="111"/>
      <c r="R721" s="111"/>
      <c r="S721" s="111"/>
      <c r="T721" s="111"/>
      <c r="U721" s="111"/>
      <c r="V721" s="111"/>
      <c r="W721" s="111"/>
      <c r="X721" s="111"/>
      <c r="Y721" s="111"/>
      <c r="Z721" s="111"/>
      <c r="AA721" s="111"/>
    </row>
    <row r="722" spans="1:27" s="147" customFormat="1" x14ac:dyDescent="0.2">
      <c r="A722" s="184"/>
      <c r="B722" s="184"/>
      <c r="C722" s="185"/>
      <c r="D722" s="337"/>
      <c r="E722" s="184"/>
      <c r="F722" s="338"/>
      <c r="G722" s="338"/>
      <c r="H722" s="338"/>
      <c r="I722" s="257"/>
      <c r="J722" s="338"/>
      <c r="K722" s="131">
        <f>J725</f>
        <v>0</v>
      </c>
      <c r="L722" s="131">
        <v>5.8</v>
      </c>
      <c r="M722" s="131">
        <f>ROUND(L722*(1+$Q$5),2)</f>
        <v>7.34</v>
      </c>
      <c r="N722" s="133">
        <f>TRUNC(K722*M722,2)</f>
        <v>0</v>
      </c>
      <c r="O722" s="286"/>
      <c r="P722" s="146"/>
      <c r="Q722" s="146"/>
      <c r="R722" s="146"/>
      <c r="S722" s="146"/>
      <c r="T722" s="146"/>
      <c r="U722" s="146"/>
      <c r="V722" s="146"/>
      <c r="W722" s="146"/>
      <c r="X722" s="146"/>
      <c r="Y722" s="146"/>
      <c r="Z722" s="146"/>
      <c r="AA722" s="146"/>
    </row>
    <row r="723" spans="1:27" s="118" customFormat="1" x14ac:dyDescent="0.2">
      <c r="A723" s="10"/>
      <c r="B723" s="10"/>
      <c r="C723" s="191"/>
      <c r="D723" s="115"/>
      <c r="E723" s="158"/>
      <c r="F723" s="267"/>
      <c r="G723" s="267"/>
      <c r="H723" s="267"/>
      <c r="I723" s="339"/>
      <c r="J723" s="267"/>
      <c r="K723" s="137"/>
      <c r="L723" s="137"/>
      <c r="M723" s="137"/>
      <c r="N723" s="138"/>
      <c r="O723" s="167"/>
      <c r="P723" s="111"/>
      <c r="Q723" s="111"/>
      <c r="R723" s="111"/>
      <c r="S723" s="111"/>
      <c r="T723" s="111"/>
      <c r="U723" s="111"/>
      <c r="V723" s="111"/>
      <c r="W723" s="111"/>
      <c r="X723" s="111"/>
      <c r="Y723" s="111"/>
      <c r="Z723" s="111"/>
      <c r="AA723" s="111"/>
    </row>
    <row r="724" spans="1:27" s="118" customFormat="1" x14ac:dyDescent="0.2">
      <c r="A724" s="10"/>
      <c r="B724" s="10"/>
      <c r="C724" s="191"/>
      <c r="D724" s="115"/>
      <c r="E724" s="158"/>
      <c r="F724" s="267"/>
      <c r="G724" s="267"/>
      <c r="H724" s="267"/>
      <c r="I724" s="339"/>
      <c r="J724" s="267"/>
      <c r="K724" s="137"/>
      <c r="L724" s="137"/>
      <c r="M724" s="137"/>
      <c r="N724" s="138"/>
      <c r="O724" s="167"/>
      <c r="P724" s="111"/>
      <c r="Q724" s="111"/>
      <c r="R724" s="111"/>
      <c r="S724" s="111"/>
      <c r="T724" s="111"/>
      <c r="U724" s="111"/>
      <c r="V724" s="111"/>
      <c r="W724" s="111"/>
      <c r="X724" s="111"/>
      <c r="Y724" s="111"/>
      <c r="Z724" s="111"/>
      <c r="AA724" s="111"/>
    </row>
    <row r="725" spans="1:27" s="118" customFormat="1" x14ac:dyDescent="0.2">
      <c r="A725" s="10"/>
      <c r="B725" s="10"/>
      <c r="C725" s="190"/>
      <c r="D725" s="110"/>
      <c r="E725" s="158"/>
      <c r="F725" s="267"/>
      <c r="G725" s="267"/>
      <c r="H725" s="267"/>
      <c r="I725" s="250"/>
      <c r="J725" s="338"/>
      <c r="K725" s="137"/>
      <c r="L725" s="137"/>
      <c r="M725" s="137"/>
      <c r="N725" s="138"/>
      <c r="O725" s="167"/>
      <c r="P725" s="111"/>
      <c r="Q725" s="111"/>
      <c r="R725" s="111"/>
      <c r="S725" s="111"/>
      <c r="T725" s="111"/>
      <c r="U725" s="111"/>
      <c r="V725" s="111"/>
      <c r="W725" s="111"/>
      <c r="X725" s="111"/>
      <c r="Y725" s="111"/>
      <c r="Z725" s="111"/>
      <c r="AA725" s="111"/>
    </row>
    <row r="726" spans="1:27" s="118" customFormat="1" x14ac:dyDescent="0.2">
      <c r="A726" s="10"/>
      <c r="B726" s="10"/>
      <c r="C726" s="191"/>
      <c r="D726" s="110"/>
      <c r="E726" s="158"/>
      <c r="F726" s="267"/>
      <c r="G726" s="267"/>
      <c r="H726" s="267"/>
      <c r="I726" s="250"/>
      <c r="J726" s="263"/>
      <c r="K726" s="137"/>
      <c r="L726" s="137"/>
      <c r="M726" s="137"/>
      <c r="N726" s="138"/>
      <c r="O726" s="167"/>
      <c r="P726" s="111"/>
      <c r="Q726" s="111"/>
      <c r="R726" s="111"/>
      <c r="S726" s="111"/>
      <c r="T726" s="111"/>
      <c r="U726" s="111"/>
      <c r="V726" s="111"/>
      <c r="W726" s="111"/>
      <c r="X726" s="111"/>
      <c r="Y726" s="111"/>
      <c r="Z726" s="111"/>
      <c r="AA726" s="111"/>
    </row>
    <row r="727" spans="1:27" s="147" customFormat="1" x14ac:dyDescent="0.2">
      <c r="A727" s="184"/>
      <c r="B727" s="184"/>
      <c r="C727" s="344"/>
      <c r="D727" s="337"/>
      <c r="E727" s="184"/>
      <c r="F727" s="338"/>
      <c r="G727" s="338"/>
      <c r="H727" s="338"/>
      <c r="I727" s="257"/>
      <c r="J727" s="338"/>
      <c r="K727" s="131">
        <f>J733</f>
        <v>0</v>
      </c>
      <c r="L727" s="131">
        <v>59.97</v>
      </c>
      <c r="M727" s="131">
        <f>ROUND(L727*(1+$Q$5),2)</f>
        <v>75.88</v>
      </c>
      <c r="N727" s="133">
        <f>TRUNC(K727*M727,2)</f>
        <v>0</v>
      </c>
      <c r="O727" s="286"/>
      <c r="P727" s="146"/>
      <c r="Q727" s="146"/>
      <c r="R727" s="146"/>
      <c r="S727" s="146"/>
      <c r="T727" s="146"/>
      <c r="U727" s="146"/>
      <c r="V727" s="146"/>
      <c r="W727" s="146"/>
      <c r="X727" s="146"/>
      <c r="Y727" s="146"/>
      <c r="Z727" s="146"/>
      <c r="AA727" s="146"/>
    </row>
    <row r="728" spans="1:27" s="118" customFormat="1" x14ac:dyDescent="0.2">
      <c r="A728" s="10"/>
      <c r="B728" s="10"/>
      <c r="C728" s="191"/>
      <c r="D728" s="115"/>
      <c r="E728" s="158"/>
      <c r="F728" s="267"/>
      <c r="G728" s="267"/>
      <c r="H728" s="267"/>
      <c r="I728" s="339"/>
      <c r="J728" s="267"/>
      <c r="K728" s="137"/>
      <c r="L728" s="137"/>
      <c r="M728" s="137"/>
      <c r="N728" s="138"/>
      <c r="O728" s="167"/>
      <c r="P728" s="111"/>
      <c r="Q728" s="111"/>
      <c r="R728" s="111"/>
      <c r="S728" s="111"/>
      <c r="T728" s="111"/>
      <c r="U728" s="111"/>
      <c r="V728" s="111"/>
      <c r="W728" s="111"/>
      <c r="X728" s="111"/>
      <c r="Y728" s="111"/>
      <c r="Z728" s="111"/>
      <c r="AA728" s="111"/>
    </row>
    <row r="729" spans="1:27" s="118" customFormat="1" x14ac:dyDescent="0.2">
      <c r="A729" s="10"/>
      <c r="B729" s="10"/>
      <c r="C729" s="191"/>
      <c r="D729" s="115"/>
      <c r="E729" s="158"/>
      <c r="F729" s="267"/>
      <c r="G729" s="267"/>
      <c r="H729" s="267"/>
      <c r="I729" s="339"/>
      <c r="J729" s="267"/>
      <c r="K729" s="137"/>
      <c r="L729" s="137"/>
      <c r="M729" s="137"/>
      <c r="N729" s="138"/>
      <c r="O729" s="167"/>
      <c r="P729" s="111"/>
      <c r="Q729" s="111"/>
      <c r="R729" s="111"/>
      <c r="S729" s="111"/>
      <c r="T729" s="111"/>
      <c r="U729" s="111"/>
      <c r="V729" s="111"/>
      <c r="W729" s="111"/>
      <c r="X729" s="111"/>
      <c r="Y729" s="111"/>
      <c r="Z729" s="111"/>
      <c r="AA729" s="111"/>
    </row>
    <row r="730" spans="1:27" s="118" customFormat="1" x14ac:dyDescent="0.2">
      <c r="A730" s="10"/>
      <c r="B730" s="10"/>
      <c r="C730" s="191"/>
      <c r="D730" s="115"/>
      <c r="E730" s="158"/>
      <c r="F730" s="267"/>
      <c r="G730" s="267"/>
      <c r="H730" s="267"/>
      <c r="I730" s="339"/>
      <c r="J730" s="267"/>
      <c r="K730" s="137"/>
      <c r="L730" s="137"/>
      <c r="M730" s="137"/>
      <c r="N730" s="138"/>
      <c r="O730" s="167"/>
      <c r="P730" s="111"/>
      <c r="Q730" s="111"/>
      <c r="R730" s="111"/>
      <c r="S730" s="111"/>
      <c r="T730" s="111"/>
      <c r="U730" s="111"/>
      <c r="V730" s="111"/>
      <c r="W730" s="111"/>
      <c r="X730" s="111"/>
      <c r="Y730" s="111"/>
      <c r="Z730" s="111"/>
      <c r="AA730" s="111"/>
    </row>
    <row r="731" spans="1:27" s="118" customFormat="1" x14ac:dyDescent="0.2">
      <c r="A731" s="10"/>
      <c r="B731" s="10"/>
      <c r="C731" s="191"/>
      <c r="D731" s="115"/>
      <c r="E731" s="158"/>
      <c r="F731" s="267"/>
      <c r="G731" s="267"/>
      <c r="H731" s="267"/>
      <c r="I731" s="339"/>
      <c r="J731" s="267"/>
      <c r="K731" s="137"/>
      <c r="L731" s="137"/>
      <c r="M731" s="137"/>
      <c r="N731" s="138"/>
      <c r="O731" s="167"/>
      <c r="P731" s="111"/>
      <c r="Q731" s="111"/>
      <c r="R731" s="111"/>
      <c r="S731" s="111"/>
      <c r="T731" s="111"/>
      <c r="U731" s="111"/>
      <c r="V731" s="111"/>
      <c r="W731" s="111"/>
      <c r="X731" s="111"/>
      <c r="Y731" s="111"/>
      <c r="Z731" s="111"/>
      <c r="AA731" s="111"/>
    </row>
    <row r="732" spans="1:27" s="118" customFormat="1" x14ac:dyDescent="0.2">
      <c r="A732" s="10"/>
      <c r="B732" s="10"/>
      <c r="C732" s="191"/>
      <c r="D732" s="115"/>
      <c r="E732" s="158"/>
      <c r="F732" s="267"/>
      <c r="G732" s="267"/>
      <c r="H732" s="267"/>
      <c r="I732" s="339"/>
      <c r="J732" s="267"/>
      <c r="K732" s="137"/>
      <c r="L732" s="137"/>
      <c r="M732" s="137"/>
      <c r="N732" s="138"/>
      <c r="O732" s="167"/>
      <c r="P732" s="111"/>
      <c r="Q732" s="111"/>
      <c r="R732" s="111"/>
      <c r="S732" s="111"/>
      <c r="T732" s="111"/>
      <c r="U732" s="111"/>
      <c r="V732" s="111"/>
      <c r="W732" s="111"/>
      <c r="X732" s="111"/>
      <c r="Y732" s="111"/>
      <c r="Z732" s="111"/>
      <c r="AA732" s="111"/>
    </row>
    <row r="733" spans="1:27" s="118" customFormat="1" x14ac:dyDescent="0.2">
      <c r="A733" s="10"/>
      <c r="B733" s="10"/>
      <c r="C733" s="190"/>
      <c r="D733" s="110"/>
      <c r="E733" s="158"/>
      <c r="F733" s="267"/>
      <c r="G733" s="267"/>
      <c r="H733" s="267"/>
      <c r="I733" s="250"/>
      <c r="J733" s="338"/>
      <c r="K733" s="137"/>
      <c r="L733" s="137"/>
      <c r="M733" s="137"/>
      <c r="N733" s="138"/>
      <c r="O733" s="167"/>
      <c r="P733" s="111"/>
      <c r="Q733" s="111"/>
      <c r="R733" s="111"/>
      <c r="S733" s="111"/>
      <c r="T733" s="111"/>
      <c r="U733" s="111"/>
      <c r="V733" s="111"/>
      <c r="W733" s="111"/>
      <c r="X733" s="111"/>
      <c r="Y733" s="111"/>
      <c r="Z733" s="111"/>
      <c r="AA733" s="111"/>
    </row>
    <row r="734" spans="1:27" s="118" customFormat="1" x14ac:dyDescent="0.2">
      <c r="A734" s="10"/>
      <c r="B734" s="10"/>
      <c r="C734" s="191"/>
      <c r="D734" s="110"/>
      <c r="E734" s="158"/>
      <c r="F734" s="267"/>
      <c r="G734" s="267"/>
      <c r="H734" s="267"/>
      <c r="I734" s="250"/>
      <c r="J734" s="263"/>
      <c r="K734" s="137"/>
      <c r="L734" s="137"/>
      <c r="M734" s="137"/>
      <c r="N734" s="138"/>
      <c r="O734" s="167"/>
      <c r="P734" s="111"/>
      <c r="Q734" s="111"/>
      <c r="R734" s="111"/>
      <c r="S734" s="111"/>
      <c r="T734" s="111"/>
      <c r="U734" s="111"/>
      <c r="V734" s="111"/>
      <c r="W734" s="111"/>
      <c r="X734" s="111"/>
      <c r="Y734" s="111"/>
      <c r="Z734" s="111"/>
      <c r="AA734" s="111"/>
    </row>
    <row r="735" spans="1:27" s="241" customFormat="1" ht="13.2" x14ac:dyDescent="0.25">
      <c r="A735" s="331"/>
      <c r="B735" s="331"/>
      <c r="C735" s="332"/>
      <c r="D735" s="333"/>
      <c r="E735" s="331"/>
      <c r="F735" s="334"/>
      <c r="G735" s="334"/>
      <c r="H735" s="334"/>
      <c r="I735" s="335"/>
      <c r="J735" s="334"/>
      <c r="K735" s="238"/>
      <c r="L735" s="238"/>
      <c r="M735" s="238"/>
      <c r="N735" s="239" t="e">
        <f>N737+N767+N779+N794+N786</f>
        <v>#VALUE!</v>
      </c>
      <c r="O735" s="284" t="e">
        <f>N735/$N$1660</f>
        <v>#VALUE!</v>
      </c>
      <c r="P735" s="240" t="s">
        <v>533</v>
      </c>
      <c r="Q735" s="240" t="s">
        <v>533</v>
      </c>
      <c r="R735" s="240"/>
      <c r="S735" s="240"/>
      <c r="T735" s="240"/>
      <c r="U735" s="240"/>
      <c r="V735" s="240"/>
      <c r="W735" s="240"/>
      <c r="X735" s="240"/>
      <c r="Y735" s="240"/>
      <c r="Z735" s="240"/>
      <c r="AA735" s="240"/>
    </row>
    <row r="736" spans="1:27" s="118" customFormat="1" x14ac:dyDescent="0.2">
      <c r="A736" s="10"/>
      <c r="B736" s="10"/>
      <c r="C736" s="191"/>
      <c r="D736" s="110"/>
      <c r="E736" s="158"/>
      <c r="F736" s="267"/>
      <c r="G736" s="267"/>
      <c r="H736" s="267"/>
      <c r="I736" s="250"/>
      <c r="J736" s="263"/>
      <c r="K736" s="137"/>
      <c r="L736" s="137"/>
      <c r="M736" s="137"/>
      <c r="N736" s="138"/>
      <c r="O736" s="167"/>
      <c r="P736" s="111"/>
      <c r="Q736" s="111"/>
      <c r="R736" s="111"/>
      <c r="S736" s="111"/>
      <c r="T736" s="111"/>
      <c r="U736" s="111"/>
      <c r="V736" s="111"/>
      <c r="W736" s="111"/>
      <c r="X736" s="111"/>
      <c r="Y736" s="111"/>
      <c r="Z736" s="111"/>
      <c r="AA736" s="111"/>
    </row>
    <row r="737" spans="1:27" s="145" customFormat="1" x14ac:dyDescent="0.2">
      <c r="A737" s="192"/>
      <c r="B737" s="192"/>
      <c r="C737" s="193"/>
      <c r="D737" s="336"/>
      <c r="E737" s="192"/>
      <c r="F737" s="269"/>
      <c r="G737" s="269"/>
      <c r="H737" s="269"/>
      <c r="I737" s="254"/>
      <c r="J737" s="269"/>
      <c r="K737" s="142"/>
      <c r="L737" s="142"/>
      <c r="M737" s="142"/>
      <c r="N737" s="143" t="e">
        <f>SUM(N739:N766)</f>
        <v>#VALUE!</v>
      </c>
      <c r="O737" s="285"/>
      <c r="P737" s="144"/>
      <c r="Q737" s="144"/>
      <c r="R737" s="144"/>
      <c r="S737" s="144"/>
      <c r="T737" s="144"/>
      <c r="U737" s="144"/>
      <c r="V737" s="144"/>
      <c r="W737" s="144"/>
      <c r="X737" s="144"/>
      <c r="Y737" s="144"/>
      <c r="Z737" s="144"/>
      <c r="AA737" s="144"/>
    </row>
    <row r="738" spans="1:27" s="118" customFormat="1" x14ac:dyDescent="0.2">
      <c r="A738" s="10"/>
      <c r="B738" s="10"/>
      <c r="C738" s="191"/>
      <c r="D738" s="110"/>
      <c r="E738" s="158"/>
      <c r="F738" s="267"/>
      <c r="G738" s="267"/>
      <c r="H738" s="267"/>
      <c r="I738" s="250"/>
      <c r="J738" s="263"/>
      <c r="K738" s="137"/>
      <c r="L738" s="137"/>
      <c r="M738" s="137"/>
      <c r="N738" s="138"/>
      <c r="O738" s="167"/>
      <c r="P738" s="111"/>
      <c r="Q738" s="111"/>
      <c r="R738" s="111"/>
      <c r="S738" s="111"/>
      <c r="T738" s="111"/>
      <c r="U738" s="111"/>
      <c r="V738" s="111"/>
      <c r="W738" s="111"/>
      <c r="X738" s="111"/>
      <c r="Y738" s="111"/>
      <c r="Z738" s="111"/>
      <c r="AA738" s="111"/>
    </row>
    <row r="739" spans="1:27" s="147" customFormat="1" x14ac:dyDescent="0.2">
      <c r="A739" s="184"/>
      <c r="B739" s="184"/>
      <c r="C739" s="185"/>
      <c r="D739" s="337"/>
      <c r="E739" s="184"/>
      <c r="F739" s="338"/>
      <c r="G739" s="338"/>
      <c r="H739" s="338"/>
      <c r="I739" s="257"/>
      <c r="J739" s="338"/>
      <c r="K739" s="131">
        <f>J744</f>
        <v>0</v>
      </c>
      <c r="L739" s="131">
        <v>73.44</v>
      </c>
      <c r="M739" s="131">
        <f>ROUND(L739*(1+$Q$5),2)</f>
        <v>92.92</v>
      </c>
      <c r="N739" s="133">
        <f>TRUNC(K739*M739,2)</f>
        <v>0</v>
      </c>
      <c r="O739" s="286"/>
      <c r="P739" s="146"/>
      <c r="Q739" s="146"/>
      <c r="R739" s="146"/>
      <c r="S739" s="146"/>
      <c r="T739" s="146"/>
      <c r="U739" s="146"/>
      <c r="V739" s="146"/>
      <c r="W739" s="146"/>
      <c r="X739" s="146"/>
      <c r="Y739" s="146"/>
      <c r="Z739" s="146"/>
      <c r="AA739" s="146"/>
    </row>
    <row r="740" spans="1:27" s="118" customFormat="1" x14ac:dyDescent="0.2">
      <c r="A740" s="10"/>
      <c r="B740" s="10"/>
      <c r="C740" s="191"/>
      <c r="D740" s="115"/>
      <c r="E740" s="158"/>
      <c r="F740" s="267"/>
      <c r="G740" s="267"/>
      <c r="H740" s="267"/>
      <c r="I740" s="250"/>
      <c r="J740" s="267"/>
      <c r="K740" s="137"/>
      <c r="L740" s="137"/>
      <c r="M740" s="137"/>
      <c r="N740" s="138"/>
      <c r="O740" s="167"/>
      <c r="P740" s="111"/>
      <c r="Q740" s="111"/>
      <c r="R740" s="111"/>
      <c r="S740" s="111"/>
      <c r="T740" s="111"/>
      <c r="U740" s="111"/>
      <c r="V740" s="111"/>
      <c r="W740" s="111"/>
      <c r="X740" s="111"/>
      <c r="Y740" s="111"/>
      <c r="Z740" s="111"/>
      <c r="AA740" s="111"/>
    </row>
    <row r="741" spans="1:27" s="118" customFormat="1" x14ac:dyDescent="0.2">
      <c r="A741" s="10"/>
      <c r="B741" s="10"/>
      <c r="C741" s="191"/>
      <c r="D741" s="115"/>
      <c r="E741" s="158"/>
      <c r="F741" s="267"/>
      <c r="G741" s="267"/>
      <c r="H741" s="267"/>
      <c r="I741" s="250"/>
      <c r="J741" s="267"/>
      <c r="K741" s="137"/>
      <c r="L741" s="137"/>
      <c r="M741" s="137"/>
      <c r="N741" s="138"/>
      <c r="O741" s="167"/>
      <c r="P741" s="111"/>
      <c r="Q741" s="111"/>
      <c r="R741" s="111"/>
      <c r="S741" s="111"/>
      <c r="T741" s="111"/>
      <c r="U741" s="111"/>
      <c r="V741" s="111"/>
      <c r="W741" s="111"/>
      <c r="X741" s="111"/>
      <c r="Y741" s="111"/>
      <c r="Z741" s="111"/>
      <c r="AA741" s="111"/>
    </row>
    <row r="742" spans="1:27" s="118" customFormat="1" x14ac:dyDescent="0.2">
      <c r="A742" s="10"/>
      <c r="B742" s="10"/>
      <c r="C742" s="191"/>
      <c r="D742" s="115"/>
      <c r="E742" s="158"/>
      <c r="F742" s="267"/>
      <c r="G742" s="267"/>
      <c r="H742" s="267"/>
      <c r="I742" s="250"/>
      <c r="J742" s="267"/>
      <c r="K742" s="137"/>
      <c r="L742" s="137"/>
      <c r="M742" s="137"/>
      <c r="N742" s="138"/>
      <c r="O742" s="167"/>
      <c r="P742" s="111"/>
      <c r="Q742" s="111"/>
      <c r="R742" s="111"/>
      <c r="S742" s="111"/>
      <c r="T742" s="111"/>
      <c r="U742" s="111"/>
      <c r="V742" s="111"/>
      <c r="W742" s="111"/>
      <c r="X742" s="111"/>
      <c r="Y742" s="111"/>
      <c r="Z742" s="111"/>
      <c r="AA742" s="111"/>
    </row>
    <row r="743" spans="1:27" s="118" customFormat="1" x14ac:dyDescent="0.2">
      <c r="A743" s="10"/>
      <c r="B743" s="10"/>
      <c r="C743" s="191"/>
      <c r="D743" s="115"/>
      <c r="E743" s="158"/>
      <c r="F743" s="267"/>
      <c r="G743" s="267"/>
      <c r="H743" s="267"/>
      <c r="I743" s="250"/>
      <c r="J743" s="267"/>
      <c r="K743" s="137"/>
      <c r="L743" s="137"/>
      <c r="M743" s="137"/>
      <c r="N743" s="138"/>
      <c r="O743" s="167"/>
      <c r="P743" s="111"/>
      <c r="Q743" s="111"/>
      <c r="R743" s="111"/>
      <c r="S743" s="111"/>
      <c r="T743" s="111"/>
      <c r="U743" s="111"/>
      <c r="V743" s="111"/>
      <c r="W743" s="111"/>
      <c r="X743" s="111"/>
      <c r="Y743" s="111"/>
      <c r="Z743" s="111"/>
      <c r="AA743" s="111"/>
    </row>
    <row r="744" spans="1:27" s="118" customFormat="1" x14ac:dyDescent="0.2">
      <c r="A744" s="10"/>
      <c r="B744" s="10"/>
      <c r="C744" s="190"/>
      <c r="D744" s="110"/>
      <c r="E744" s="158"/>
      <c r="F744" s="267"/>
      <c r="G744" s="267"/>
      <c r="H744" s="267"/>
      <c r="I744" s="250"/>
      <c r="J744" s="338"/>
      <c r="K744" s="137"/>
      <c r="L744" s="137"/>
      <c r="M744" s="137"/>
      <c r="N744" s="138"/>
      <c r="O744" s="167"/>
      <c r="P744" s="111"/>
      <c r="Q744" s="111"/>
      <c r="R744" s="111"/>
      <c r="S744" s="111"/>
      <c r="T744" s="111"/>
      <c r="U744" s="111"/>
      <c r="V744" s="111"/>
      <c r="W744" s="111"/>
      <c r="X744" s="111"/>
      <c r="Y744" s="111"/>
      <c r="Z744" s="111"/>
      <c r="AA744" s="111"/>
    </row>
    <row r="745" spans="1:27" s="154" customFormat="1" x14ac:dyDescent="0.2">
      <c r="A745" s="10"/>
      <c r="B745" s="10"/>
      <c r="C745" s="15"/>
      <c r="D745" s="117"/>
      <c r="E745" s="10"/>
      <c r="F745" s="263"/>
      <c r="G745" s="263"/>
      <c r="H745" s="263"/>
      <c r="I745" s="250"/>
      <c r="J745" s="263"/>
      <c r="K745" s="151"/>
      <c r="L745" s="151"/>
      <c r="M745" s="151"/>
      <c r="N745" s="152"/>
      <c r="O745" s="283"/>
      <c r="P745" s="153"/>
      <c r="Q745" s="153"/>
      <c r="R745" s="153"/>
      <c r="S745" s="153"/>
      <c r="T745" s="153"/>
      <c r="U745" s="153"/>
      <c r="V745" s="153"/>
      <c r="W745" s="153"/>
      <c r="X745" s="153"/>
      <c r="Y745" s="153"/>
      <c r="Z745" s="153"/>
      <c r="AA745" s="153"/>
    </row>
    <row r="746" spans="1:27" s="147" customFormat="1" x14ac:dyDescent="0.2">
      <c r="A746" s="184"/>
      <c r="B746" s="184"/>
      <c r="C746" s="185"/>
      <c r="D746" s="337"/>
      <c r="E746" s="184"/>
      <c r="F746" s="338"/>
      <c r="G746" s="338"/>
      <c r="H746" s="338"/>
      <c r="I746" s="257"/>
      <c r="J746" s="338"/>
      <c r="K746" s="131">
        <f>J751</f>
        <v>0</v>
      </c>
      <c r="L746" s="131" t="e">
        <f>'COMPOSICOES - SINAPI COM DESON'!G36</f>
        <v>#VALUE!</v>
      </c>
      <c r="M746" s="131" t="e">
        <f>ROUND(L746*(1+$Q$5),2)</f>
        <v>#VALUE!</v>
      </c>
      <c r="N746" s="133" t="e">
        <f>TRUNC(K746*M746,2)</f>
        <v>#VALUE!</v>
      </c>
      <c r="O746" s="286"/>
      <c r="P746" s="146"/>
      <c r="Q746" s="146"/>
      <c r="R746" s="146"/>
      <c r="S746" s="146"/>
      <c r="T746" s="146"/>
      <c r="U746" s="146"/>
      <c r="V746" s="146"/>
      <c r="W746" s="146"/>
      <c r="X746" s="146"/>
      <c r="Y746" s="146"/>
      <c r="Z746" s="146"/>
      <c r="AA746" s="146"/>
    </row>
    <row r="747" spans="1:27" s="118" customFormat="1" x14ac:dyDescent="0.2">
      <c r="A747" s="10"/>
      <c r="B747" s="10"/>
      <c r="C747" s="191"/>
      <c r="D747" s="115"/>
      <c r="E747" s="158"/>
      <c r="F747" s="267"/>
      <c r="G747" s="267"/>
      <c r="H747" s="267"/>
      <c r="I747" s="250"/>
      <c r="J747" s="267"/>
      <c r="K747" s="137"/>
      <c r="L747" s="137"/>
      <c r="M747" s="137"/>
      <c r="N747" s="138"/>
      <c r="O747" s="167"/>
      <c r="P747" s="111"/>
      <c r="Q747" s="111"/>
      <c r="R747" s="111"/>
      <c r="S747" s="111"/>
      <c r="T747" s="111"/>
      <c r="U747" s="111"/>
      <c r="V747" s="111"/>
      <c r="W747" s="111"/>
      <c r="X747" s="111"/>
      <c r="Y747" s="111"/>
      <c r="Z747" s="111"/>
      <c r="AA747" s="111"/>
    </row>
    <row r="748" spans="1:27" s="118" customFormat="1" x14ac:dyDescent="0.2">
      <c r="A748" s="10"/>
      <c r="B748" s="10"/>
      <c r="C748" s="191"/>
      <c r="D748" s="115"/>
      <c r="E748" s="158"/>
      <c r="F748" s="267"/>
      <c r="G748" s="267"/>
      <c r="H748" s="267"/>
      <c r="I748" s="250"/>
      <c r="J748" s="267"/>
      <c r="K748" s="137"/>
      <c r="L748" s="137"/>
      <c r="M748" s="137"/>
      <c r="N748" s="138"/>
      <c r="O748" s="167"/>
      <c r="P748" s="111"/>
      <c r="Q748" s="111"/>
      <c r="R748" s="111"/>
      <c r="S748" s="111"/>
      <c r="T748" s="111"/>
      <c r="U748" s="111"/>
      <c r="V748" s="111"/>
      <c r="W748" s="111"/>
      <c r="X748" s="111"/>
      <c r="Y748" s="111"/>
      <c r="Z748" s="111"/>
      <c r="AA748" s="111"/>
    </row>
    <row r="749" spans="1:27" s="118" customFormat="1" x14ac:dyDescent="0.2">
      <c r="A749" s="10"/>
      <c r="B749" s="10"/>
      <c r="C749" s="191"/>
      <c r="D749" s="115"/>
      <c r="E749" s="158"/>
      <c r="F749" s="267"/>
      <c r="G749" s="267"/>
      <c r="H749" s="267"/>
      <c r="I749" s="250"/>
      <c r="J749" s="267"/>
      <c r="K749" s="137"/>
      <c r="L749" s="137"/>
      <c r="M749" s="137"/>
      <c r="N749" s="138"/>
      <c r="O749" s="167"/>
      <c r="P749" s="111"/>
      <c r="Q749" s="111"/>
      <c r="R749" s="111"/>
      <c r="S749" s="111"/>
      <c r="T749" s="111"/>
      <c r="U749" s="111"/>
      <c r="V749" s="111"/>
      <c r="W749" s="111"/>
      <c r="X749" s="111"/>
      <c r="Y749" s="111"/>
      <c r="Z749" s="111"/>
      <c r="AA749" s="111"/>
    </row>
    <row r="750" spans="1:27" s="118" customFormat="1" x14ac:dyDescent="0.2">
      <c r="A750" s="10"/>
      <c r="B750" s="10"/>
      <c r="C750" s="191"/>
      <c r="D750" s="115"/>
      <c r="E750" s="158"/>
      <c r="F750" s="267"/>
      <c r="G750" s="267"/>
      <c r="H750" s="267"/>
      <c r="I750" s="250"/>
      <c r="J750" s="267"/>
      <c r="K750" s="137"/>
      <c r="L750" s="137"/>
      <c r="M750" s="137"/>
      <c r="N750" s="138"/>
      <c r="O750" s="167"/>
      <c r="P750" s="111"/>
      <c r="Q750" s="111"/>
      <c r="R750" s="111"/>
      <c r="S750" s="111"/>
      <c r="T750" s="111"/>
      <c r="U750" s="111"/>
      <c r="V750" s="111"/>
      <c r="W750" s="111"/>
      <c r="X750" s="111"/>
      <c r="Y750" s="111"/>
      <c r="Z750" s="111"/>
      <c r="AA750" s="111"/>
    </row>
    <row r="751" spans="1:27" s="118" customFormat="1" x14ac:dyDescent="0.2">
      <c r="A751" s="10"/>
      <c r="B751" s="10"/>
      <c r="C751" s="190"/>
      <c r="D751" s="110"/>
      <c r="E751" s="158"/>
      <c r="F751" s="267"/>
      <c r="G751" s="267"/>
      <c r="H751" s="267"/>
      <c r="I751" s="250"/>
      <c r="J751" s="338"/>
      <c r="K751" s="137"/>
      <c r="L751" s="137"/>
      <c r="M751" s="137"/>
      <c r="N751" s="138"/>
      <c r="O751" s="167"/>
      <c r="P751" s="111"/>
      <c r="Q751" s="111"/>
      <c r="R751" s="111"/>
      <c r="S751" s="111"/>
      <c r="T751" s="111"/>
      <c r="U751" s="111"/>
      <c r="V751" s="111"/>
      <c r="W751" s="111"/>
      <c r="X751" s="111"/>
      <c r="Y751" s="111"/>
      <c r="Z751" s="111"/>
      <c r="AA751" s="111"/>
    </row>
    <row r="752" spans="1:27" s="139" customFormat="1" x14ac:dyDescent="0.2">
      <c r="A752" s="10"/>
      <c r="B752" s="10"/>
      <c r="C752" s="15"/>
      <c r="D752" s="117"/>
      <c r="E752" s="10"/>
      <c r="F752" s="263"/>
      <c r="G752" s="263"/>
      <c r="H752" s="263"/>
      <c r="I752" s="250"/>
      <c r="J752" s="263"/>
      <c r="K752" s="137"/>
      <c r="L752" s="137"/>
      <c r="M752" s="137"/>
      <c r="N752" s="138"/>
      <c r="O752" s="283"/>
      <c r="P752" s="120"/>
      <c r="Q752" s="120"/>
      <c r="R752" s="120"/>
      <c r="S752" s="120"/>
      <c r="T752" s="120"/>
      <c r="U752" s="120"/>
      <c r="V752" s="120"/>
      <c r="W752" s="120"/>
      <c r="X752" s="120"/>
      <c r="Y752" s="120"/>
      <c r="Z752" s="120"/>
      <c r="AA752" s="120"/>
    </row>
    <row r="753" spans="1:27" s="147" customFormat="1" x14ac:dyDescent="0.2">
      <c r="A753" s="184"/>
      <c r="B753" s="184"/>
      <c r="C753" s="185"/>
      <c r="D753" s="337"/>
      <c r="E753" s="184"/>
      <c r="F753" s="338"/>
      <c r="G753" s="338"/>
      <c r="H753" s="338"/>
      <c r="I753" s="257"/>
      <c r="J753" s="338"/>
      <c r="K753" s="131">
        <f>J757</f>
        <v>0</v>
      </c>
      <c r="L753" s="131">
        <f>'COMPOSICOES - SINAPI COM DESON'!G50</f>
        <v>104.48</v>
      </c>
      <c r="M753" s="131">
        <f>ROUND(L753*(1+$Q$5),2)</f>
        <v>132.19999999999999</v>
      </c>
      <c r="N753" s="133">
        <f>TRUNC(K753*M753,2)</f>
        <v>0</v>
      </c>
      <c r="O753" s="286"/>
      <c r="P753" s="146"/>
      <c r="Q753" s="146"/>
      <c r="R753" s="146"/>
      <c r="S753" s="146"/>
      <c r="T753" s="146"/>
      <c r="U753" s="146"/>
      <c r="V753" s="146"/>
      <c r="W753" s="146"/>
      <c r="X753" s="146"/>
      <c r="Y753" s="146"/>
      <c r="Z753" s="146"/>
      <c r="AA753" s="146"/>
    </row>
    <row r="754" spans="1:27" s="174" customFormat="1" x14ac:dyDescent="0.2">
      <c r="A754" s="177"/>
      <c r="B754" s="177"/>
      <c r="C754" s="178"/>
      <c r="D754" s="115"/>
      <c r="E754" s="177"/>
      <c r="F754" s="267"/>
      <c r="G754" s="267"/>
      <c r="H754" s="267"/>
      <c r="I754" s="339"/>
      <c r="J754" s="267"/>
      <c r="K754" s="172"/>
      <c r="L754" s="172"/>
      <c r="M754" s="172"/>
      <c r="N754" s="173"/>
      <c r="O754" s="287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3"/>
    </row>
    <row r="755" spans="1:27" s="174" customFormat="1" x14ac:dyDescent="0.2">
      <c r="A755" s="177"/>
      <c r="B755" s="177"/>
      <c r="C755" s="178"/>
      <c r="D755" s="115"/>
      <c r="E755" s="177"/>
      <c r="F755" s="267"/>
      <c r="G755" s="267"/>
      <c r="H755" s="267"/>
      <c r="I755" s="339"/>
      <c r="J755" s="267"/>
      <c r="K755" s="172"/>
      <c r="L755" s="172"/>
      <c r="M755" s="172"/>
      <c r="N755" s="173"/>
      <c r="O755" s="287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3"/>
    </row>
    <row r="756" spans="1:27" s="174" customFormat="1" x14ac:dyDescent="0.2">
      <c r="A756" s="177"/>
      <c r="B756" s="177"/>
      <c r="C756" s="178"/>
      <c r="D756" s="115"/>
      <c r="E756" s="177"/>
      <c r="F756" s="267"/>
      <c r="G756" s="267"/>
      <c r="H756" s="267"/>
      <c r="I756" s="339"/>
      <c r="J756" s="267"/>
      <c r="K756" s="172"/>
      <c r="L756" s="172"/>
      <c r="M756" s="172"/>
      <c r="N756" s="173"/>
      <c r="O756" s="287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3"/>
    </row>
    <row r="757" spans="1:27" s="174" customFormat="1" x14ac:dyDescent="0.2">
      <c r="A757" s="177"/>
      <c r="B757" s="177"/>
      <c r="C757" s="178"/>
      <c r="D757" s="179"/>
      <c r="E757" s="180"/>
      <c r="F757" s="265"/>
      <c r="G757" s="265"/>
      <c r="H757" s="265"/>
      <c r="I757" s="252"/>
      <c r="J757" s="338"/>
      <c r="K757" s="172"/>
      <c r="L757" s="172"/>
      <c r="M757" s="172"/>
      <c r="N757" s="173"/>
      <c r="O757" s="287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3"/>
    </row>
    <row r="758" spans="1:27" s="174" customFormat="1" x14ac:dyDescent="0.2">
      <c r="A758" s="177"/>
      <c r="B758" s="177"/>
      <c r="C758" s="178"/>
      <c r="D758" s="179"/>
      <c r="E758" s="180"/>
      <c r="F758" s="265"/>
      <c r="G758" s="265"/>
      <c r="H758" s="265"/>
      <c r="I758" s="252"/>
      <c r="J758" s="266"/>
      <c r="K758" s="172"/>
      <c r="L758" s="172"/>
      <c r="M758" s="172"/>
      <c r="N758" s="173"/>
      <c r="O758" s="287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3"/>
    </row>
    <row r="759" spans="1:27" s="147" customFormat="1" x14ac:dyDescent="0.2">
      <c r="A759" s="184"/>
      <c r="B759" s="184"/>
      <c r="C759" s="185"/>
      <c r="D759" s="337"/>
      <c r="E759" s="184"/>
      <c r="F759" s="338"/>
      <c r="G759" s="338"/>
      <c r="H759" s="338"/>
      <c r="I759" s="257"/>
      <c r="J759" s="338"/>
      <c r="K759" s="131">
        <f>J761</f>
        <v>0</v>
      </c>
      <c r="L759" s="131">
        <v>54</v>
      </c>
      <c r="M759" s="131">
        <f>ROUND(L759*(1+$Q$5),2)</f>
        <v>68.33</v>
      </c>
      <c r="N759" s="133">
        <f>TRUNC(K759*M759,2)</f>
        <v>0</v>
      </c>
      <c r="O759" s="286"/>
      <c r="P759" s="146"/>
      <c r="Q759" s="146"/>
      <c r="R759" s="146"/>
      <c r="S759" s="146"/>
      <c r="T759" s="146"/>
      <c r="U759" s="146"/>
      <c r="V759" s="146"/>
      <c r="W759" s="146"/>
      <c r="X759" s="146"/>
      <c r="Y759" s="146"/>
      <c r="Z759" s="146"/>
      <c r="AA759" s="146"/>
    </row>
    <row r="760" spans="1:27" s="118" customFormat="1" x14ac:dyDescent="0.2">
      <c r="A760" s="10"/>
      <c r="B760" s="10"/>
      <c r="C760" s="191"/>
      <c r="D760" s="115"/>
      <c r="E760" s="158"/>
      <c r="F760" s="267"/>
      <c r="G760" s="267"/>
      <c r="H760" s="267"/>
      <c r="I760" s="250"/>
      <c r="J760" s="267"/>
      <c r="K760" s="137"/>
      <c r="L760" s="137"/>
      <c r="M760" s="137"/>
      <c r="N760" s="138"/>
      <c r="O760" s="167"/>
      <c r="P760" s="111"/>
      <c r="Q760" s="111"/>
      <c r="R760" s="111"/>
      <c r="S760" s="111"/>
      <c r="T760" s="111"/>
      <c r="U760" s="111"/>
      <c r="V760" s="111"/>
      <c r="W760" s="111"/>
      <c r="X760" s="111"/>
      <c r="Y760" s="111"/>
      <c r="Z760" s="111"/>
      <c r="AA760" s="111"/>
    </row>
    <row r="761" spans="1:27" s="118" customFormat="1" x14ac:dyDescent="0.2">
      <c r="A761" s="10"/>
      <c r="B761" s="10"/>
      <c r="C761" s="190"/>
      <c r="D761" s="110"/>
      <c r="E761" s="158"/>
      <c r="F761" s="267"/>
      <c r="G761" s="267"/>
      <c r="H761" s="267"/>
      <c r="I761" s="250"/>
      <c r="J761" s="338"/>
      <c r="K761" s="137"/>
      <c r="L761" s="137"/>
      <c r="M761" s="137"/>
      <c r="N761" s="138"/>
      <c r="O761" s="167"/>
      <c r="P761" s="111"/>
      <c r="Q761" s="111"/>
      <c r="R761" s="111"/>
      <c r="S761" s="111"/>
      <c r="T761" s="111"/>
      <c r="U761" s="111"/>
      <c r="V761" s="111"/>
      <c r="W761" s="111"/>
      <c r="X761" s="111"/>
      <c r="Y761" s="111"/>
      <c r="Z761" s="111"/>
      <c r="AA761" s="111"/>
    </row>
    <row r="762" spans="1:27" s="118" customFormat="1" x14ac:dyDescent="0.2">
      <c r="A762" s="10"/>
      <c r="B762" s="10"/>
      <c r="C762" s="191"/>
      <c r="D762" s="110"/>
      <c r="E762" s="158"/>
      <c r="F762" s="267"/>
      <c r="G762" s="267"/>
      <c r="H762" s="267"/>
      <c r="I762" s="250"/>
      <c r="J762" s="263"/>
      <c r="K762" s="137"/>
      <c r="L762" s="137"/>
      <c r="M762" s="137"/>
      <c r="N762" s="138"/>
      <c r="O762" s="167"/>
      <c r="P762" s="111"/>
      <c r="Q762" s="111"/>
      <c r="R762" s="111"/>
      <c r="S762" s="111"/>
      <c r="T762" s="111"/>
      <c r="U762" s="111"/>
      <c r="V762" s="111"/>
      <c r="W762" s="111"/>
      <c r="X762" s="111"/>
      <c r="Y762" s="111"/>
      <c r="Z762" s="111"/>
      <c r="AA762" s="111"/>
    </row>
    <row r="763" spans="1:27" s="147" customFormat="1" x14ac:dyDescent="0.2">
      <c r="A763" s="184"/>
      <c r="B763" s="184"/>
      <c r="C763" s="185"/>
      <c r="D763" s="337"/>
      <c r="E763" s="184"/>
      <c r="F763" s="338"/>
      <c r="G763" s="338"/>
      <c r="H763" s="338"/>
      <c r="I763" s="257"/>
      <c r="J763" s="338"/>
      <c r="K763" s="131">
        <f>J765</f>
        <v>0</v>
      </c>
      <c r="L763" s="131">
        <v>14.55</v>
      </c>
      <c r="M763" s="131">
        <f>ROUND(L763*(1+$Q$5),2)</f>
        <v>18.41</v>
      </c>
      <c r="N763" s="133">
        <f>TRUNC(K763*M763,2)</f>
        <v>0</v>
      </c>
      <c r="O763" s="286"/>
      <c r="P763" s="146"/>
      <c r="Q763" s="146"/>
      <c r="R763" s="146"/>
      <c r="S763" s="146"/>
      <c r="T763" s="146"/>
      <c r="U763" s="146"/>
      <c r="V763" s="146"/>
      <c r="W763" s="146"/>
      <c r="X763" s="146"/>
      <c r="Y763" s="146"/>
      <c r="Z763" s="146"/>
      <c r="AA763" s="146"/>
    </row>
    <row r="764" spans="1:27" s="118" customFormat="1" x14ac:dyDescent="0.2">
      <c r="A764" s="10"/>
      <c r="B764" s="10"/>
      <c r="C764" s="191"/>
      <c r="D764" s="115"/>
      <c r="E764" s="158"/>
      <c r="F764" s="267"/>
      <c r="G764" s="267"/>
      <c r="H764" s="267"/>
      <c r="I764" s="250"/>
      <c r="J764" s="267"/>
      <c r="K764" s="137"/>
      <c r="L764" s="137"/>
      <c r="M764" s="137"/>
      <c r="N764" s="138"/>
      <c r="O764" s="167"/>
      <c r="P764" s="111"/>
      <c r="Q764" s="111"/>
      <c r="R764" s="111"/>
      <c r="S764" s="111"/>
      <c r="T764" s="111"/>
      <c r="U764" s="111"/>
      <c r="V764" s="111"/>
      <c r="W764" s="111"/>
      <c r="X764" s="111"/>
      <c r="Y764" s="111"/>
      <c r="Z764" s="111"/>
      <c r="AA764" s="111"/>
    </row>
    <row r="765" spans="1:27" s="118" customFormat="1" x14ac:dyDescent="0.2">
      <c r="A765" s="10"/>
      <c r="B765" s="10"/>
      <c r="C765" s="190"/>
      <c r="D765" s="110"/>
      <c r="E765" s="158"/>
      <c r="F765" s="267"/>
      <c r="G765" s="267"/>
      <c r="H765" s="267"/>
      <c r="I765" s="250"/>
      <c r="J765" s="338"/>
      <c r="K765" s="137"/>
      <c r="L765" s="137"/>
      <c r="M765" s="137"/>
      <c r="N765" s="138"/>
      <c r="O765" s="167"/>
      <c r="P765" s="111"/>
      <c r="Q765" s="111"/>
      <c r="R765" s="111"/>
      <c r="S765" s="111"/>
      <c r="T765" s="111"/>
      <c r="U765" s="111"/>
      <c r="V765" s="111"/>
      <c r="W765" s="111"/>
      <c r="X765" s="111"/>
      <c r="Y765" s="111"/>
      <c r="Z765" s="111"/>
      <c r="AA765" s="111"/>
    </row>
    <row r="766" spans="1:27" s="118" customFormat="1" x14ac:dyDescent="0.2">
      <c r="A766" s="10"/>
      <c r="B766" s="10"/>
      <c r="C766" s="191"/>
      <c r="D766" s="110"/>
      <c r="E766" s="158"/>
      <c r="F766" s="267"/>
      <c r="G766" s="267"/>
      <c r="H766" s="267"/>
      <c r="I766" s="250"/>
      <c r="J766" s="263"/>
      <c r="K766" s="137"/>
      <c r="L766" s="137"/>
      <c r="M766" s="137"/>
      <c r="N766" s="138"/>
      <c r="O766" s="167"/>
      <c r="P766" s="111"/>
      <c r="Q766" s="111"/>
      <c r="R766" s="111"/>
      <c r="S766" s="111"/>
      <c r="T766" s="111"/>
      <c r="U766" s="111"/>
      <c r="V766" s="111"/>
      <c r="W766" s="111"/>
      <c r="X766" s="111"/>
      <c r="Y766" s="111"/>
      <c r="Z766" s="111"/>
      <c r="AA766" s="111"/>
    </row>
    <row r="767" spans="1:27" s="145" customFormat="1" x14ac:dyDescent="0.2">
      <c r="A767" s="192"/>
      <c r="B767" s="192"/>
      <c r="C767" s="193"/>
      <c r="D767" s="336"/>
      <c r="E767" s="192"/>
      <c r="F767" s="269"/>
      <c r="G767" s="269"/>
      <c r="H767" s="269"/>
      <c r="I767" s="254"/>
      <c r="J767" s="269"/>
      <c r="K767" s="142"/>
      <c r="L767" s="142"/>
      <c r="M767" s="142"/>
      <c r="N767" s="143">
        <f>SUM(N769:N777)</f>
        <v>0</v>
      </c>
      <c r="O767" s="285"/>
      <c r="P767" s="144"/>
      <c r="Q767" s="144"/>
      <c r="R767" s="144"/>
      <c r="S767" s="144"/>
      <c r="T767" s="144"/>
      <c r="U767" s="144"/>
      <c r="V767" s="144"/>
      <c r="W767" s="144"/>
      <c r="X767" s="144"/>
      <c r="Y767" s="144"/>
      <c r="Z767" s="144"/>
      <c r="AA767" s="144"/>
    </row>
    <row r="768" spans="1:27" s="118" customFormat="1" x14ac:dyDescent="0.2">
      <c r="A768" s="10"/>
      <c r="B768" s="10"/>
      <c r="C768" s="191"/>
      <c r="D768" s="110"/>
      <c r="E768" s="158"/>
      <c r="F768" s="267"/>
      <c r="G768" s="267"/>
      <c r="H768" s="267"/>
      <c r="I768" s="250"/>
      <c r="J768" s="263"/>
      <c r="K768" s="137"/>
      <c r="L768" s="137"/>
      <c r="M768" s="137"/>
      <c r="N768" s="138"/>
      <c r="O768" s="167"/>
      <c r="P768" s="111"/>
      <c r="Q768" s="111"/>
      <c r="R768" s="111"/>
      <c r="S768" s="111"/>
      <c r="T768" s="111"/>
      <c r="U768" s="111"/>
      <c r="V768" s="111"/>
      <c r="W768" s="111"/>
      <c r="X768" s="111"/>
      <c r="Y768" s="111"/>
      <c r="Z768" s="111"/>
      <c r="AA768" s="111"/>
    </row>
    <row r="769" spans="1:27" s="147" customFormat="1" x14ac:dyDescent="0.2">
      <c r="A769" s="184"/>
      <c r="B769" s="184"/>
      <c r="C769" s="185"/>
      <c r="D769" s="337"/>
      <c r="E769" s="184"/>
      <c r="F769" s="338"/>
      <c r="G769" s="338"/>
      <c r="H769" s="338"/>
      <c r="I769" s="257"/>
      <c r="J769" s="338"/>
      <c r="K769" s="131">
        <f>J772</f>
        <v>0</v>
      </c>
      <c r="L769" s="131">
        <v>116.1</v>
      </c>
      <c r="M769" s="131">
        <f>ROUND(L769*(1+$Q$5),2)</f>
        <v>146.9</v>
      </c>
      <c r="N769" s="133">
        <f>TRUNC(K769*M769,2)</f>
        <v>0</v>
      </c>
      <c r="O769" s="286"/>
      <c r="P769" s="146"/>
      <c r="Q769" s="146"/>
      <c r="R769" s="146"/>
      <c r="S769" s="146"/>
      <c r="T769" s="146"/>
      <c r="U769" s="146"/>
      <c r="V769" s="146"/>
      <c r="W769" s="146"/>
      <c r="X769" s="146"/>
      <c r="Y769" s="146"/>
      <c r="Z769" s="146"/>
      <c r="AA769" s="146"/>
    </row>
    <row r="770" spans="1:27" s="118" customFormat="1" x14ac:dyDescent="0.2">
      <c r="A770" s="10"/>
      <c r="B770" s="10"/>
      <c r="C770" s="191"/>
      <c r="D770" s="115"/>
      <c r="E770" s="158"/>
      <c r="F770" s="267"/>
      <c r="G770" s="267"/>
      <c r="H770" s="267"/>
      <c r="I770" s="250"/>
      <c r="J770" s="267"/>
      <c r="K770" s="137"/>
      <c r="L770" s="137"/>
      <c r="M770" s="137"/>
      <c r="N770" s="138"/>
      <c r="O770" s="167"/>
      <c r="P770" s="111"/>
      <c r="Q770" s="111"/>
      <c r="R770" s="111"/>
      <c r="S770" s="111"/>
      <c r="T770" s="111"/>
      <c r="U770" s="111"/>
      <c r="V770" s="111"/>
      <c r="W770" s="111"/>
      <c r="X770" s="111"/>
      <c r="Y770" s="111"/>
      <c r="Z770" s="111"/>
      <c r="AA770" s="111"/>
    </row>
    <row r="771" spans="1:27" s="118" customFormat="1" x14ac:dyDescent="0.2">
      <c r="A771" s="10"/>
      <c r="B771" s="10"/>
      <c r="C771" s="191"/>
      <c r="D771" s="115"/>
      <c r="E771" s="158"/>
      <c r="F771" s="267"/>
      <c r="G771" s="267"/>
      <c r="H771" s="267"/>
      <c r="I771" s="250"/>
      <c r="J771" s="267"/>
      <c r="K771" s="137"/>
      <c r="L771" s="137"/>
      <c r="M771" s="137"/>
      <c r="N771" s="138"/>
      <c r="O771" s="167"/>
      <c r="P771" s="111"/>
      <c r="Q771" s="111"/>
      <c r="R771" s="111"/>
      <c r="S771" s="111"/>
      <c r="T771" s="111"/>
      <c r="U771" s="111"/>
      <c r="V771" s="111"/>
      <c r="W771" s="111"/>
      <c r="X771" s="111"/>
      <c r="Y771" s="111"/>
      <c r="Z771" s="111"/>
      <c r="AA771" s="111"/>
    </row>
    <row r="772" spans="1:27" s="118" customFormat="1" x14ac:dyDescent="0.2">
      <c r="A772" s="10"/>
      <c r="B772" s="10"/>
      <c r="C772" s="190"/>
      <c r="D772" s="110"/>
      <c r="E772" s="158"/>
      <c r="F772" s="267"/>
      <c r="G772" s="267"/>
      <c r="H772" s="267"/>
      <c r="I772" s="250"/>
      <c r="J772" s="338"/>
      <c r="K772" s="137"/>
      <c r="L772" s="137"/>
      <c r="M772" s="137"/>
      <c r="N772" s="138"/>
      <c r="O772" s="167"/>
      <c r="P772" s="111"/>
      <c r="Q772" s="111"/>
      <c r="R772" s="111"/>
      <c r="S772" s="111"/>
      <c r="T772" s="111"/>
      <c r="U772" s="111"/>
      <c r="V772" s="111"/>
      <c r="W772" s="111"/>
      <c r="X772" s="111"/>
      <c r="Y772" s="111"/>
      <c r="Z772" s="111"/>
      <c r="AA772" s="111"/>
    </row>
    <row r="773" spans="1:27" s="139" customFormat="1" x14ac:dyDescent="0.2">
      <c r="A773" s="10"/>
      <c r="B773" s="10"/>
      <c r="C773" s="15"/>
      <c r="D773" s="117"/>
      <c r="E773" s="10"/>
      <c r="F773" s="263"/>
      <c r="G773" s="263"/>
      <c r="H773" s="263"/>
      <c r="I773" s="250"/>
      <c r="J773" s="263"/>
      <c r="K773" s="137"/>
      <c r="L773" s="137"/>
      <c r="M773" s="137"/>
      <c r="N773" s="138"/>
      <c r="O773" s="283"/>
      <c r="P773" s="120"/>
      <c r="Q773" s="120"/>
      <c r="R773" s="120"/>
      <c r="S773" s="120"/>
      <c r="T773" s="120"/>
      <c r="U773" s="120"/>
      <c r="V773" s="120"/>
      <c r="W773" s="120"/>
      <c r="X773" s="120"/>
      <c r="Y773" s="120"/>
      <c r="Z773" s="120"/>
      <c r="AA773" s="120"/>
    </row>
    <row r="774" spans="1:27" s="147" customFormat="1" x14ac:dyDescent="0.2">
      <c r="A774" s="184"/>
      <c r="B774" s="184"/>
      <c r="C774" s="344"/>
      <c r="D774" s="337"/>
      <c r="E774" s="184"/>
      <c r="F774" s="338"/>
      <c r="G774" s="338"/>
      <c r="H774" s="338"/>
      <c r="I774" s="257"/>
      <c r="J774" s="338"/>
      <c r="K774" s="131">
        <f>J777</f>
        <v>0</v>
      </c>
      <c r="L774" s="131">
        <v>22.9</v>
      </c>
      <c r="M774" s="131">
        <f>ROUND(L774*(1+$Q$5),2)</f>
        <v>28.98</v>
      </c>
      <c r="N774" s="133">
        <f>TRUNC(K774*M774,2)</f>
        <v>0</v>
      </c>
      <c r="O774" s="286"/>
      <c r="P774" s="146"/>
      <c r="Q774" s="146"/>
      <c r="R774" s="146"/>
      <c r="S774" s="146"/>
      <c r="T774" s="146"/>
      <c r="U774" s="146"/>
      <c r="V774" s="146"/>
      <c r="W774" s="146"/>
      <c r="X774" s="146"/>
      <c r="Y774" s="146"/>
      <c r="Z774" s="146"/>
      <c r="AA774" s="146"/>
    </row>
    <row r="775" spans="1:27" s="118" customFormat="1" x14ac:dyDescent="0.2">
      <c r="A775" s="10"/>
      <c r="B775" s="10"/>
      <c r="C775" s="191"/>
      <c r="D775" s="115"/>
      <c r="E775" s="158"/>
      <c r="F775" s="267"/>
      <c r="G775" s="267"/>
      <c r="H775" s="267"/>
      <c r="I775" s="250"/>
      <c r="J775" s="267"/>
      <c r="K775" s="137"/>
      <c r="L775" s="137"/>
      <c r="M775" s="137"/>
      <c r="N775" s="138"/>
      <c r="O775" s="167"/>
      <c r="P775" s="111"/>
      <c r="Q775" s="111"/>
      <c r="R775" s="111"/>
      <c r="S775" s="111"/>
      <c r="T775" s="111"/>
      <c r="U775" s="111"/>
      <c r="V775" s="111"/>
      <c r="W775" s="111"/>
      <c r="X775" s="111"/>
      <c r="Y775" s="111"/>
      <c r="Z775" s="111"/>
      <c r="AA775" s="111"/>
    </row>
    <row r="776" spans="1:27" s="118" customFormat="1" x14ac:dyDescent="0.2">
      <c r="A776" s="10"/>
      <c r="B776" s="10"/>
      <c r="C776" s="191"/>
      <c r="D776" s="115"/>
      <c r="E776" s="158"/>
      <c r="F776" s="267"/>
      <c r="G776" s="267"/>
      <c r="H776" s="267"/>
      <c r="I776" s="250"/>
      <c r="J776" s="267"/>
      <c r="K776" s="137"/>
      <c r="L776" s="137"/>
      <c r="M776" s="137"/>
      <c r="N776" s="138"/>
      <c r="O776" s="167"/>
      <c r="P776" s="111"/>
      <c r="Q776" s="111"/>
      <c r="R776" s="111"/>
      <c r="S776" s="111"/>
      <c r="T776" s="111"/>
      <c r="U776" s="111"/>
      <c r="V776" s="111"/>
      <c r="W776" s="111"/>
      <c r="X776" s="111"/>
      <c r="Y776" s="111"/>
      <c r="Z776" s="111"/>
      <c r="AA776" s="111"/>
    </row>
    <row r="777" spans="1:27" s="118" customFormat="1" x14ac:dyDescent="0.2">
      <c r="A777" s="10"/>
      <c r="B777" s="10"/>
      <c r="C777" s="190"/>
      <c r="D777" s="110"/>
      <c r="E777" s="158"/>
      <c r="F777" s="267"/>
      <c r="G777" s="267"/>
      <c r="H777" s="267"/>
      <c r="I777" s="250"/>
      <c r="J777" s="338"/>
      <c r="K777" s="137"/>
      <c r="L777" s="137"/>
      <c r="M777" s="137"/>
      <c r="N777" s="138"/>
      <c r="O777" s="167"/>
      <c r="P777" s="111"/>
      <c r="Q777" s="111"/>
      <c r="R777" s="111"/>
      <c r="S777" s="111"/>
      <c r="T777" s="111"/>
      <c r="U777" s="111"/>
      <c r="V777" s="111"/>
      <c r="W777" s="111"/>
      <c r="X777" s="111"/>
      <c r="Y777" s="111"/>
      <c r="Z777" s="111"/>
      <c r="AA777" s="111"/>
    </row>
    <row r="778" spans="1:27" s="118" customFormat="1" x14ac:dyDescent="0.2">
      <c r="A778" s="10"/>
      <c r="B778" s="10"/>
      <c r="C778" s="191"/>
      <c r="D778" s="110"/>
      <c r="E778" s="158"/>
      <c r="F778" s="267"/>
      <c r="G778" s="267"/>
      <c r="H778" s="267"/>
      <c r="I778" s="250"/>
      <c r="J778" s="263"/>
      <c r="K778" s="137"/>
      <c r="L778" s="137"/>
      <c r="M778" s="137"/>
      <c r="N778" s="138"/>
      <c r="O778" s="167"/>
      <c r="P778" s="111"/>
      <c r="Q778" s="111"/>
      <c r="R778" s="111"/>
      <c r="S778" s="111"/>
      <c r="T778" s="111"/>
      <c r="U778" s="111"/>
      <c r="V778" s="111"/>
      <c r="W778" s="111"/>
      <c r="X778" s="111"/>
      <c r="Y778" s="111"/>
      <c r="Z778" s="111"/>
      <c r="AA778" s="111"/>
    </row>
    <row r="779" spans="1:27" s="145" customFormat="1" x14ac:dyDescent="0.2">
      <c r="A779" s="192"/>
      <c r="B779" s="192"/>
      <c r="C779" s="193"/>
      <c r="D779" s="336"/>
      <c r="E779" s="192"/>
      <c r="F779" s="269"/>
      <c r="G779" s="269"/>
      <c r="H779" s="269"/>
      <c r="I779" s="254"/>
      <c r="J779" s="269"/>
      <c r="K779" s="142"/>
      <c r="L779" s="142"/>
      <c r="M779" s="142"/>
      <c r="N779" s="143">
        <f>SUM(N781)</f>
        <v>0</v>
      </c>
      <c r="O779" s="285"/>
      <c r="P779" s="144"/>
      <c r="Q779" s="144"/>
      <c r="R779" s="144"/>
      <c r="S779" s="144"/>
      <c r="T779" s="144"/>
      <c r="U779" s="144"/>
      <c r="V779" s="144"/>
      <c r="W779" s="144"/>
      <c r="X779" s="144"/>
      <c r="Y779" s="144"/>
      <c r="Z779" s="144"/>
      <c r="AA779" s="144"/>
    </row>
    <row r="780" spans="1:27" s="118" customFormat="1" x14ac:dyDescent="0.2">
      <c r="A780" s="10"/>
      <c r="B780" s="10"/>
      <c r="C780" s="191"/>
      <c r="D780" s="110"/>
      <c r="E780" s="158"/>
      <c r="F780" s="267"/>
      <c r="G780" s="267"/>
      <c r="H780" s="267"/>
      <c r="I780" s="250"/>
      <c r="J780" s="263"/>
      <c r="K780" s="137"/>
      <c r="L780" s="137"/>
      <c r="M780" s="137"/>
      <c r="N780" s="138"/>
      <c r="O780" s="167"/>
      <c r="P780" s="111"/>
      <c r="Q780" s="111"/>
      <c r="R780" s="111"/>
      <c r="S780" s="111"/>
      <c r="T780" s="111"/>
      <c r="U780" s="111"/>
      <c r="V780" s="111"/>
      <c r="W780" s="111"/>
      <c r="X780" s="111"/>
      <c r="Y780" s="111"/>
      <c r="Z780" s="111"/>
      <c r="AA780" s="111"/>
    </row>
    <row r="781" spans="1:27" s="147" customFormat="1" x14ac:dyDescent="0.2">
      <c r="A781" s="184"/>
      <c r="B781" s="184"/>
      <c r="C781" s="185"/>
      <c r="D781" s="337"/>
      <c r="E781" s="184"/>
      <c r="F781" s="338"/>
      <c r="G781" s="338"/>
      <c r="H781" s="338"/>
      <c r="I781" s="257"/>
      <c r="J781" s="338"/>
      <c r="K781" s="131">
        <f>J784</f>
        <v>0</v>
      </c>
      <c r="L781" s="131">
        <v>287.51</v>
      </c>
      <c r="M781" s="131">
        <f>ROUND(L781*(1+$Q$5),2)</f>
        <v>363.79</v>
      </c>
      <c r="N781" s="133">
        <f>TRUNC(K781*M781,2)</f>
        <v>0</v>
      </c>
      <c r="O781" s="286"/>
      <c r="P781" s="146"/>
      <c r="Q781" s="146"/>
      <c r="R781" s="146"/>
      <c r="S781" s="146"/>
      <c r="T781" s="146"/>
      <c r="U781" s="146"/>
      <c r="V781" s="146"/>
      <c r="W781" s="146"/>
      <c r="X781" s="146"/>
      <c r="Y781" s="146"/>
      <c r="Z781" s="146"/>
      <c r="AA781" s="146"/>
    </row>
    <row r="782" spans="1:27" s="118" customFormat="1" x14ac:dyDescent="0.2">
      <c r="A782" s="10"/>
      <c r="B782" s="10"/>
      <c r="C782" s="191"/>
      <c r="D782" s="115"/>
      <c r="E782" s="158"/>
      <c r="F782" s="267"/>
      <c r="G782" s="267"/>
      <c r="H782" s="267"/>
      <c r="I782" s="339"/>
      <c r="J782" s="267"/>
      <c r="K782" s="137"/>
      <c r="L782" s="137"/>
      <c r="M782" s="137"/>
      <c r="N782" s="138"/>
      <c r="O782" s="167"/>
      <c r="P782" s="111"/>
      <c r="Q782" s="111"/>
      <c r="R782" s="111"/>
      <c r="S782" s="111"/>
      <c r="T782" s="111"/>
      <c r="U782" s="111"/>
      <c r="V782" s="111"/>
      <c r="W782" s="111"/>
      <c r="X782" s="111"/>
      <c r="Y782" s="111"/>
      <c r="Z782" s="111"/>
      <c r="AA782" s="111"/>
    </row>
    <row r="783" spans="1:27" s="118" customFormat="1" x14ac:dyDescent="0.2">
      <c r="A783" s="10"/>
      <c r="B783" s="10"/>
      <c r="C783" s="191"/>
      <c r="D783" s="115"/>
      <c r="E783" s="158"/>
      <c r="F783" s="267"/>
      <c r="G783" s="267"/>
      <c r="H783" s="267"/>
      <c r="I783" s="339"/>
      <c r="J783" s="267"/>
      <c r="K783" s="137"/>
      <c r="L783" s="137"/>
      <c r="M783" s="137"/>
      <c r="N783" s="138"/>
      <c r="O783" s="167"/>
      <c r="P783" s="111"/>
      <c r="Q783" s="111"/>
      <c r="R783" s="111"/>
      <c r="S783" s="111"/>
      <c r="T783" s="111"/>
      <c r="U783" s="111"/>
      <c r="V783" s="111"/>
      <c r="W783" s="111"/>
      <c r="X783" s="111"/>
      <c r="Y783" s="111"/>
      <c r="Z783" s="111"/>
      <c r="AA783" s="111"/>
    </row>
    <row r="784" spans="1:27" s="118" customFormat="1" x14ac:dyDescent="0.2">
      <c r="A784" s="10"/>
      <c r="B784" s="10"/>
      <c r="C784" s="190"/>
      <c r="D784" s="110"/>
      <c r="E784" s="158"/>
      <c r="F784" s="267"/>
      <c r="G784" s="267"/>
      <c r="H784" s="267"/>
      <c r="I784" s="250"/>
      <c r="J784" s="338"/>
      <c r="K784" s="137"/>
      <c r="L784" s="137"/>
      <c r="M784" s="137"/>
      <c r="N784" s="138"/>
      <c r="O784" s="167"/>
      <c r="P784" s="111"/>
      <c r="Q784" s="111"/>
      <c r="R784" s="111"/>
      <c r="S784" s="111"/>
      <c r="T784" s="111"/>
      <c r="U784" s="111"/>
      <c r="V784" s="111"/>
      <c r="W784" s="111"/>
      <c r="X784" s="111"/>
      <c r="Y784" s="111"/>
      <c r="Z784" s="111"/>
      <c r="AA784" s="111"/>
    </row>
    <row r="785" spans="1:27" s="118" customFormat="1" x14ac:dyDescent="0.2">
      <c r="A785" s="10"/>
      <c r="B785" s="10"/>
      <c r="C785" s="190"/>
      <c r="D785" s="110"/>
      <c r="E785" s="158"/>
      <c r="F785" s="267"/>
      <c r="G785" s="267"/>
      <c r="H785" s="267"/>
      <c r="I785" s="250"/>
      <c r="J785" s="250"/>
      <c r="K785" s="137"/>
      <c r="L785" s="137"/>
      <c r="M785" s="137"/>
      <c r="N785" s="138"/>
      <c r="O785" s="167"/>
      <c r="P785" s="111"/>
      <c r="Q785" s="111"/>
      <c r="R785" s="111"/>
      <c r="S785" s="111"/>
      <c r="T785" s="111"/>
      <c r="U785" s="111"/>
      <c r="V785" s="111"/>
      <c r="W785" s="111"/>
      <c r="X785" s="111"/>
      <c r="Y785" s="111"/>
      <c r="Z785" s="111"/>
      <c r="AA785" s="111"/>
    </row>
    <row r="786" spans="1:27" s="145" customFormat="1" x14ac:dyDescent="0.2">
      <c r="A786" s="192"/>
      <c r="B786" s="192"/>
      <c r="C786" s="193"/>
      <c r="D786" s="336"/>
      <c r="E786" s="192"/>
      <c r="F786" s="269"/>
      <c r="G786" s="269"/>
      <c r="H786" s="269"/>
      <c r="I786" s="254"/>
      <c r="J786" s="269"/>
      <c r="K786" s="142"/>
      <c r="L786" s="142"/>
      <c r="M786" s="142"/>
      <c r="N786" s="143">
        <f>SUM(N788:N793)</f>
        <v>0</v>
      </c>
      <c r="O786" s="285"/>
      <c r="P786" s="144"/>
      <c r="Q786" s="144"/>
      <c r="R786" s="144"/>
      <c r="S786" s="144"/>
      <c r="T786" s="144"/>
      <c r="U786" s="144"/>
      <c r="V786" s="144"/>
      <c r="W786" s="144"/>
      <c r="X786" s="144"/>
      <c r="Y786" s="144"/>
      <c r="Z786" s="144"/>
      <c r="AA786" s="144"/>
    </row>
    <row r="787" spans="1:27" s="118" customFormat="1" x14ac:dyDescent="0.2">
      <c r="A787" s="10"/>
      <c r="B787" s="10"/>
      <c r="C787" s="190"/>
      <c r="D787" s="110"/>
      <c r="E787" s="158"/>
      <c r="F787" s="267"/>
      <c r="G787" s="267"/>
      <c r="H787" s="267"/>
      <c r="I787" s="250"/>
      <c r="J787" s="250"/>
      <c r="K787" s="137"/>
      <c r="L787" s="137"/>
      <c r="M787" s="137"/>
      <c r="N787" s="138"/>
      <c r="O787" s="167"/>
      <c r="P787" s="111"/>
      <c r="Q787" s="111"/>
      <c r="R787" s="111"/>
      <c r="S787" s="111"/>
      <c r="T787" s="111"/>
      <c r="U787" s="111"/>
      <c r="V787" s="111"/>
      <c r="W787" s="111"/>
      <c r="X787" s="111"/>
      <c r="Y787" s="111"/>
      <c r="Z787" s="111"/>
      <c r="AA787" s="111"/>
    </row>
    <row r="788" spans="1:27" s="147" customFormat="1" x14ac:dyDescent="0.2">
      <c r="A788" s="184"/>
      <c r="B788" s="347"/>
      <c r="C788" s="347"/>
      <c r="D788" s="337"/>
      <c r="E788" s="346"/>
      <c r="F788" s="338"/>
      <c r="G788" s="338"/>
      <c r="H788" s="338"/>
      <c r="I788" s="257"/>
      <c r="J788" s="338"/>
      <c r="K788" s="131">
        <f>J792</f>
        <v>0</v>
      </c>
      <c r="L788" s="131">
        <v>13.42</v>
      </c>
      <c r="M788" s="131">
        <f>ROUND(L788*(1+$Q$5),2)</f>
        <v>16.98</v>
      </c>
      <c r="N788" s="133">
        <f>TRUNC(K788*M788,2)</f>
        <v>0</v>
      </c>
      <c r="O788" s="286"/>
      <c r="P788" s="146"/>
      <c r="Q788" s="146"/>
      <c r="R788" s="146"/>
      <c r="S788" s="146"/>
      <c r="T788" s="146"/>
      <c r="U788" s="146"/>
      <c r="V788" s="146"/>
      <c r="W788" s="146"/>
      <c r="X788" s="146"/>
      <c r="Y788" s="146"/>
      <c r="Z788" s="146"/>
      <c r="AA788" s="146"/>
    </row>
    <row r="789" spans="1:27" s="118" customFormat="1" x14ac:dyDescent="0.2">
      <c r="A789" s="10"/>
      <c r="B789" s="10"/>
      <c r="C789" s="191"/>
      <c r="D789" s="343"/>
      <c r="E789" s="158"/>
      <c r="F789" s="267"/>
      <c r="G789" s="267"/>
      <c r="H789" s="267"/>
      <c r="I789" s="339"/>
      <c r="J789" s="267"/>
      <c r="K789" s="137"/>
      <c r="L789" s="137"/>
      <c r="M789" s="137"/>
      <c r="N789" s="138"/>
      <c r="O789" s="167"/>
      <c r="P789" s="111"/>
      <c r="Q789" s="111"/>
      <c r="R789" s="111"/>
      <c r="S789" s="111"/>
      <c r="T789" s="111"/>
      <c r="U789" s="111"/>
      <c r="V789" s="111"/>
      <c r="W789" s="111"/>
      <c r="X789" s="111"/>
      <c r="Y789" s="111"/>
      <c r="Z789" s="111"/>
      <c r="AA789" s="111"/>
    </row>
    <row r="790" spans="1:27" s="118" customFormat="1" x14ac:dyDescent="0.2">
      <c r="A790" s="10"/>
      <c r="B790" s="10"/>
      <c r="C790" s="191"/>
      <c r="D790" s="115"/>
      <c r="E790" s="158"/>
      <c r="F790" s="267"/>
      <c r="G790" s="267"/>
      <c r="H790" s="267"/>
      <c r="I790" s="339"/>
      <c r="J790" s="267"/>
      <c r="K790" s="137"/>
      <c r="L790" s="137"/>
      <c r="M790" s="137"/>
      <c r="N790" s="138"/>
      <c r="O790" s="167"/>
      <c r="P790" s="111"/>
      <c r="Q790" s="111"/>
      <c r="R790" s="111"/>
      <c r="S790" s="111"/>
      <c r="T790" s="111"/>
      <c r="U790" s="111"/>
      <c r="V790" s="111"/>
      <c r="W790" s="111"/>
      <c r="X790" s="111"/>
      <c r="Y790" s="111"/>
      <c r="Z790" s="111"/>
      <c r="AA790" s="111"/>
    </row>
    <row r="791" spans="1:27" s="118" customFormat="1" x14ac:dyDescent="0.2">
      <c r="A791" s="10"/>
      <c r="B791" s="10"/>
      <c r="C791" s="191"/>
      <c r="D791" s="115"/>
      <c r="E791" s="158"/>
      <c r="F791" s="267"/>
      <c r="G791" s="267"/>
      <c r="H791" s="267"/>
      <c r="I791" s="339"/>
      <c r="J791" s="267"/>
      <c r="K791" s="137"/>
      <c r="L791" s="137"/>
      <c r="M791" s="137"/>
      <c r="N791" s="138"/>
      <c r="O791" s="167"/>
      <c r="P791" s="111"/>
      <c r="Q791" s="111"/>
      <c r="R791" s="111"/>
      <c r="S791" s="111"/>
      <c r="T791" s="111"/>
      <c r="U791" s="111"/>
      <c r="V791" s="111"/>
      <c r="W791" s="111"/>
      <c r="X791" s="111"/>
      <c r="Y791" s="111"/>
      <c r="Z791" s="111"/>
      <c r="AA791" s="111"/>
    </row>
    <row r="792" spans="1:27" s="118" customFormat="1" x14ac:dyDescent="0.2">
      <c r="A792" s="10"/>
      <c r="B792" s="10"/>
      <c r="C792" s="190"/>
      <c r="D792" s="110"/>
      <c r="E792" s="158"/>
      <c r="F792" s="267"/>
      <c r="G792" s="267"/>
      <c r="H792" s="267"/>
      <c r="I792" s="250"/>
      <c r="J792" s="338"/>
      <c r="K792" s="137"/>
      <c r="L792" s="137"/>
      <c r="M792" s="137"/>
      <c r="N792" s="138"/>
      <c r="O792" s="167"/>
      <c r="P792" s="111"/>
      <c r="Q792" s="111"/>
      <c r="R792" s="111"/>
      <c r="S792" s="111"/>
      <c r="T792" s="111"/>
      <c r="U792" s="111"/>
      <c r="V792" s="111"/>
      <c r="W792" s="111"/>
      <c r="X792" s="111"/>
      <c r="Y792" s="111"/>
      <c r="Z792" s="111"/>
      <c r="AA792" s="111"/>
    </row>
    <row r="793" spans="1:27" s="118" customFormat="1" x14ac:dyDescent="0.2">
      <c r="A793" s="10"/>
      <c r="B793" s="10"/>
      <c r="C793" s="191"/>
      <c r="D793" s="110"/>
      <c r="E793" s="158"/>
      <c r="F793" s="267"/>
      <c r="G793" s="267"/>
      <c r="H793" s="267"/>
      <c r="I793" s="250"/>
      <c r="J793" s="263"/>
      <c r="K793" s="137"/>
      <c r="L793" s="137"/>
      <c r="M793" s="137"/>
      <c r="N793" s="138"/>
      <c r="O793" s="167"/>
      <c r="P793" s="111"/>
      <c r="Q793" s="111"/>
      <c r="R793" s="111"/>
      <c r="S793" s="111"/>
      <c r="T793" s="111"/>
      <c r="U793" s="111"/>
      <c r="V793" s="111"/>
      <c r="W793" s="111"/>
      <c r="X793" s="111"/>
      <c r="Y793" s="111"/>
      <c r="Z793" s="111"/>
      <c r="AA793" s="111"/>
    </row>
    <row r="794" spans="1:27" s="145" customFormat="1" x14ac:dyDescent="0.2">
      <c r="A794" s="192"/>
      <c r="B794" s="192"/>
      <c r="C794" s="193"/>
      <c r="D794" s="336"/>
      <c r="E794" s="192"/>
      <c r="F794" s="269"/>
      <c r="G794" s="269"/>
      <c r="H794" s="269"/>
      <c r="I794" s="254"/>
      <c r="J794" s="269"/>
      <c r="K794" s="142"/>
      <c r="L794" s="142"/>
      <c r="M794" s="142"/>
      <c r="N794" s="143">
        <f>SUM(N796:N797)</f>
        <v>0</v>
      </c>
      <c r="O794" s="285"/>
      <c r="P794" s="144"/>
      <c r="Q794" s="144"/>
      <c r="R794" s="144"/>
      <c r="S794" s="144"/>
      <c r="T794" s="144"/>
      <c r="U794" s="144"/>
      <c r="V794" s="144"/>
      <c r="W794" s="144"/>
      <c r="X794" s="144"/>
      <c r="Y794" s="144"/>
      <c r="Z794" s="144"/>
      <c r="AA794" s="144"/>
    </row>
    <row r="795" spans="1:27" s="118" customFormat="1" x14ac:dyDescent="0.2">
      <c r="A795" s="10"/>
      <c r="B795" s="10"/>
      <c r="C795" s="191"/>
      <c r="D795" s="110"/>
      <c r="E795" s="158"/>
      <c r="F795" s="267"/>
      <c r="G795" s="267"/>
      <c r="H795" s="267"/>
      <c r="I795" s="250"/>
      <c r="J795" s="263"/>
      <c r="K795" s="137"/>
      <c r="L795" s="137"/>
      <c r="M795" s="137"/>
      <c r="N795" s="138"/>
      <c r="O795" s="167"/>
      <c r="P795" s="111"/>
      <c r="Q795" s="111"/>
      <c r="R795" s="111"/>
      <c r="S795" s="111"/>
      <c r="T795" s="111"/>
      <c r="U795" s="111"/>
      <c r="V795" s="111"/>
      <c r="W795" s="111"/>
      <c r="X795" s="111"/>
      <c r="Y795" s="111"/>
      <c r="Z795" s="111"/>
      <c r="AA795" s="111"/>
    </row>
    <row r="796" spans="1:27" s="147" customFormat="1" x14ac:dyDescent="0.2">
      <c r="A796" s="184"/>
      <c r="B796" s="184"/>
      <c r="C796" s="185"/>
      <c r="D796" s="337"/>
      <c r="E796" s="184"/>
      <c r="F796" s="338"/>
      <c r="G796" s="338"/>
      <c r="H796" s="338"/>
      <c r="I796" s="257"/>
      <c r="J796" s="338"/>
      <c r="K796" s="131">
        <f>J798</f>
        <v>0</v>
      </c>
      <c r="L796" s="131">
        <f>'COMPOSICOES - SINAPI COM DESON'!G18</f>
        <v>5.79</v>
      </c>
      <c r="M796" s="131">
        <f>ROUND(L796*(1+$Q$5),2)</f>
        <v>7.33</v>
      </c>
      <c r="N796" s="133">
        <f>TRUNC(K796*M796,2)</f>
        <v>0</v>
      </c>
      <c r="O796" s="286"/>
      <c r="P796" s="146"/>
      <c r="Q796" s="146"/>
      <c r="R796" s="146"/>
      <c r="S796" s="146"/>
      <c r="T796" s="146"/>
      <c r="U796" s="146"/>
      <c r="V796" s="146"/>
      <c r="W796" s="146"/>
      <c r="X796" s="146"/>
      <c r="Y796" s="146"/>
      <c r="Z796" s="146"/>
      <c r="AA796" s="146"/>
    </row>
    <row r="797" spans="1:27" s="118" customFormat="1" x14ac:dyDescent="0.2">
      <c r="A797" s="10"/>
      <c r="B797" s="10"/>
      <c r="C797" s="191"/>
      <c r="D797" s="115"/>
      <c r="E797" s="158"/>
      <c r="F797" s="267"/>
      <c r="G797" s="267"/>
      <c r="H797" s="267"/>
      <c r="I797" s="339"/>
      <c r="J797" s="267"/>
      <c r="K797" s="137"/>
      <c r="L797" s="137"/>
      <c r="M797" s="137"/>
      <c r="N797" s="138"/>
      <c r="O797" s="167"/>
      <c r="P797" s="111"/>
      <c r="Q797" s="111"/>
      <c r="R797" s="111"/>
      <c r="S797" s="111"/>
      <c r="T797" s="111"/>
      <c r="U797" s="111"/>
      <c r="V797" s="111"/>
      <c r="W797" s="111"/>
      <c r="X797" s="111"/>
      <c r="Y797" s="111"/>
      <c r="Z797" s="111"/>
      <c r="AA797" s="111"/>
    </row>
    <row r="798" spans="1:27" s="118" customFormat="1" x14ac:dyDescent="0.2">
      <c r="A798" s="10"/>
      <c r="B798" s="10"/>
      <c r="C798" s="190"/>
      <c r="D798" s="110"/>
      <c r="E798" s="158"/>
      <c r="F798" s="267"/>
      <c r="G798" s="267"/>
      <c r="H798" s="267"/>
      <c r="I798" s="250"/>
      <c r="J798" s="338"/>
      <c r="K798" s="137"/>
      <c r="L798" s="137"/>
      <c r="M798" s="137"/>
      <c r="N798" s="138"/>
      <c r="O798" s="167"/>
      <c r="P798" s="111"/>
      <c r="Q798" s="111"/>
      <c r="R798" s="111"/>
      <c r="S798" s="111"/>
      <c r="T798" s="111"/>
      <c r="U798" s="111"/>
      <c r="V798" s="111"/>
      <c r="W798" s="111"/>
      <c r="X798" s="111"/>
      <c r="Y798" s="111"/>
      <c r="Z798" s="111"/>
      <c r="AA798" s="111"/>
    </row>
    <row r="799" spans="1:27" s="118" customFormat="1" x14ac:dyDescent="0.2">
      <c r="A799" s="10"/>
      <c r="B799" s="10"/>
      <c r="C799" s="191"/>
      <c r="D799" s="110"/>
      <c r="E799" s="158"/>
      <c r="F799" s="267"/>
      <c r="G799" s="267"/>
      <c r="H799" s="267"/>
      <c r="I799" s="250"/>
      <c r="J799" s="263"/>
      <c r="K799" s="137"/>
      <c r="L799" s="137"/>
      <c r="M799" s="137"/>
      <c r="N799" s="138"/>
      <c r="O799" s="167"/>
      <c r="P799" s="111"/>
      <c r="Q799" s="111"/>
      <c r="R799" s="111"/>
      <c r="S799" s="111"/>
      <c r="T799" s="111"/>
      <c r="U799" s="111"/>
      <c r="V799" s="111"/>
      <c r="W799" s="111"/>
      <c r="X799" s="111"/>
      <c r="Y799" s="111"/>
      <c r="Z799" s="111"/>
      <c r="AA799" s="111"/>
    </row>
    <row r="800" spans="1:27" s="241" customFormat="1" ht="13.2" x14ac:dyDescent="0.25">
      <c r="A800" s="331"/>
      <c r="B800" s="331"/>
      <c r="C800" s="332"/>
      <c r="D800" s="333"/>
      <c r="E800" s="331"/>
      <c r="F800" s="334"/>
      <c r="G800" s="334"/>
      <c r="H800" s="334"/>
      <c r="I800" s="335"/>
      <c r="J800" s="334"/>
      <c r="K800" s="238"/>
      <c r="L800" s="238"/>
      <c r="M800" s="238"/>
      <c r="N800" s="239" t="e">
        <f>N802+N855+N861+N870+N880+N901+N921</f>
        <v>#VALUE!</v>
      </c>
      <c r="O800" s="284" t="e">
        <f>N800/$N$1660</f>
        <v>#VALUE!</v>
      </c>
      <c r="P800" s="240" t="s">
        <v>533</v>
      </c>
      <c r="Q800" s="240" t="s">
        <v>533</v>
      </c>
      <c r="R800" s="240"/>
      <c r="S800" s="240"/>
      <c r="T800" s="240"/>
      <c r="U800" s="240"/>
      <c r="V800" s="240"/>
      <c r="W800" s="240"/>
      <c r="X800" s="240"/>
      <c r="Y800" s="240"/>
      <c r="Z800" s="240"/>
      <c r="AA800" s="240"/>
    </row>
    <row r="801" spans="1:27" s="118" customFormat="1" x14ac:dyDescent="0.2">
      <c r="A801" s="10"/>
      <c r="B801" s="10"/>
      <c r="C801" s="191"/>
      <c r="D801" s="110"/>
      <c r="E801" s="158"/>
      <c r="F801" s="267"/>
      <c r="G801" s="267"/>
      <c r="H801" s="267"/>
      <c r="I801" s="250"/>
      <c r="J801" s="263"/>
      <c r="K801" s="137"/>
      <c r="L801" s="137"/>
      <c r="M801" s="137"/>
      <c r="N801" s="138"/>
      <c r="O801" s="167"/>
      <c r="P801" s="111"/>
      <c r="Q801" s="111"/>
      <c r="R801" s="111"/>
      <c r="S801" s="111"/>
      <c r="T801" s="111"/>
      <c r="U801" s="111"/>
      <c r="V801" s="111"/>
      <c r="W801" s="111"/>
      <c r="X801" s="111"/>
      <c r="Y801" s="111"/>
      <c r="Z801" s="111"/>
      <c r="AA801" s="111"/>
    </row>
    <row r="802" spans="1:27" s="145" customFormat="1" x14ac:dyDescent="0.2">
      <c r="A802" s="192"/>
      <c r="B802" s="192"/>
      <c r="C802" s="193"/>
      <c r="D802" s="336"/>
      <c r="E802" s="192"/>
      <c r="F802" s="269"/>
      <c r="G802" s="269"/>
      <c r="H802" s="269"/>
      <c r="I802" s="254"/>
      <c r="J802" s="269"/>
      <c r="K802" s="142"/>
      <c r="L802" s="142"/>
      <c r="M802" s="142"/>
      <c r="N802" s="143" t="e">
        <f>SUM(N804:N854)</f>
        <v>#VALUE!</v>
      </c>
      <c r="O802" s="285"/>
      <c r="P802" s="144"/>
      <c r="Q802" s="144"/>
      <c r="R802" s="144"/>
      <c r="S802" s="144"/>
      <c r="T802" s="144"/>
      <c r="U802" s="144"/>
      <c r="V802" s="144"/>
      <c r="W802" s="144"/>
      <c r="X802" s="144"/>
      <c r="Y802" s="144"/>
      <c r="Z802" s="144"/>
      <c r="AA802" s="144"/>
    </row>
    <row r="803" spans="1:27" s="118" customFormat="1" x14ac:dyDescent="0.2">
      <c r="A803" s="10"/>
      <c r="B803" s="10"/>
      <c r="C803" s="191"/>
      <c r="D803" s="110"/>
      <c r="E803" s="158"/>
      <c r="F803" s="267"/>
      <c r="G803" s="267"/>
      <c r="H803" s="267"/>
      <c r="I803" s="250"/>
      <c r="J803" s="263"/>
      <c r="K803" s="137"/>
      <c r="L803" s="137"/>
      <c r="M803" s="137"/>
      <c r="N803" s="138"/>
      <c r="O803" s="167"/>
      <c r="P803" s="111"/>
      <c r="Q803" s="111"/>
      <c r="R803" s="111"/>
      <c r="S803" s="111"/>
      <c r="T803" s="111"/>
      <c r="U803" s="111"/>
      <c r="V803" s="111"/>
      <c r="W803" s="111"/>
      <c r="X803" s="111"/>
      <c r="Y803" s="111"/>
      <c r="Z803" s="111"/>
      <c r="AA803" s="111"/>
    </row>
    <row r="804" spans="1:27" s="147" customFormat="1" x14ac:dyDescent="0.2">
      <c r="A804" s="184"/>
      <c r="B804" s="184"/>
      <c r="C804" s="185"/>
      <c r="D804" s="337"/>
      <c r="E804" s="184"/>
      <c r="F804" s="338"/>
      <c r="G804" s="338"/>
      <c r="H804" s="338"/>
      <c r="I804" s="257"/>
      <c r="J804" s="338"/>
      <c r="K804" s="131">
        <f>J810</f>
        <v>0</v>
      </c>
      <c r="L804" s="131" t="e">
        <f>'COMPOSICOES - SINAPI COM DESON'!G36</f>
        <v>#VALUE!</v>
      </c>
      <c r="M804" s="131" t="e">
        <f>ROUND(L804*(1+$Q$5),2)</f>
        <v>#VALUE!</v>
      </c>
      <c r="N804" s="133" t="e">
        <f>TRUNC(K804*M804,2)</f>
        <v>#VALUE!</v>
      </c>
      <c r="O804" s="286"/>
      <c r="P804" s="146"/>
      <c r="Q804" s="146"/>
      <c r="R804" s="146"/>
      <c r="S804" s="146"/>
      <c r="T804" s="146"/>
      <c r="U804" s="146"/>
      <c r="V804" s="146"/>
      <c r="W804" s="146"/>
      <c r="X804" s="146"/>
      <c r="Y804" s="146"/>
      <c r="Z804" s="146"/>
      <c r="AA804" s="146"/>
    </row>
    <row r="805" spans="1:27" s="118" customFormat="1" x14ac:dyDescent="0.2">
      <c r="A805" s="10"/>
      <c r="B805" s="10"/>
      <c r="C805" s="191"/>
      <c r="D805" s="115"/>
      <c r="E805" s="158"/>
      <c r="F805" s="267"/>
      <c r="G805" s="267"/>
      <c r="H805" s="267"/>
      <c r="I805" s="250"/>
      <c r="J805" s="267"/>
      <c r="K805" s="137"/>
      <c r="L805" s="137"/>
      <c r="M805" s="137"/>
      <c r="N805" s="138"/>
      <c r="O805" s="167"/>
      <c r="P805" s="111"/>
      <c r="Q805" s="111"/>
      <c r="R805" s="111"/>
      <c r="S805" s="111"/>
      <c r="T805" s="111"/>
      <c r="U805" s="111"/>
      <c r="V805" s="111"/>
      <c r="W805" s="111"/>
      <c r="X805" s="111"/>
      <c r="Y805" s="111"/>
      <c r="Z805" s="111"/>
      <c r="AA805" s="111"/>
    </row>
    <row r="806" spans="1:27" s="118" customFormat="1" x14ac:dyDescent="0.2">
      <c r="A806" s="10"/>
      <c r="B806" s="10"/>
      <c r="C806" s="191"/>
      <c r="D806" s="115"/>
      <c r="E806" s="158"/>
      <c r="F806" s="267"/>
      <c r="G806" s="267"/>
      <c r="H806" s="267"/>
      <c r="I806" s="250"/>
      <c r="J806" s="267"/>
      <c r="K806" s="137"/>
      <c r="L806" s="137"/>
      <c r="M806" s="137"/>
      <c r="N806" s="138"/>
      <c r="O806" s="167"/>
      <c r="P806" s="111"/>
      <c r="Q806" s="111"/>
      <c r="R806" s="111"/>
      <c r="S806" s="111"/>
      <c r="T806" s="111"/>
      <c r="U806" s="111"/>
      <c r="V806" s="111"/>
      <c r="W806" s="111"/>
      <c r="X806" s="111"/>
      <c r="Y806" s="111"/>
      <c r="Z806" s="111"/>
      <c r="AA806" s="111"/>
    </row>
    <row r="807" spans="1:27" s="118" customFormat="1" x14ac:dyDescent="0.2">
      <c r="A807" s="10"/>
      <c r="B807" s="10"/>
      <c r="C807" s="191"/>
      <c r="D807" s="115"/>
      <c r="E807" s="158"/>
      <c r="F807" s="267"/>
      <c r="G807" s="267"/>
      <c r="H807" s="267"/>
      <c r="I807" s="250"/>
      <c r="J807" s="267"/>
      <c r="K807" s="137"/>
      <c r="L807" s="137"/>
      <c r="M807" s="137"/>
      <c r="N807" s="138"/>
      <c r="O807" s="167"/>
      <c r="P807" s="111"/>
      <c r="Q807" s="111"/>
      <c r="R807" s="111"/>
      <c r="S807" s="111"/>
      <c r="T807" s="111"/>
      <c r="U807" s="111"/>
      <c r="V807" s="111"/>
      <c r="W807" s="111"/>
      <c r="X807" s="111"/>
      <c r="Y807" s="111"/>
      <c r="Z807" s="111"/>
      <c r="AA807" s="111"/>
    </row>
    <row r="808" spans="1:27" s="118" customFormat="1" x14ac:dyDescent="0.2">
      <c r="A808" s="10"/>
      <c r="B808" s="10"/>
      <c r="C808" s="191"/>
      <c r="D808" s="115"/>
      <c r="E808" s="158"/>
      <c r="F808" s="267"/>
      <c r="G808" s="267"/>
      <c r="H808" s="267"/>
      <c r="I808" s="250"/>
      <c r="J808" s="267"/>
      <c r="K808" s="137"/>
      <c r="L808" s="137"/>
      <c r="M808" s="137"/>
      <c r="N808" s="138"/>
      <c r="O808" s="167"/>
      <c r="P808" s="111"/>
      <c r="Q808" s="111"/>
      <c r="R808" s="111"/>
      <c r="S808" s="111"/>
      <c r="T808" s="111"/>
      <c r="U808" s="111"/>
      <c r="V808" s="111"/>
      <c r="W808" s="111"/>
      <c r="X808" s="111"/>
      <c r="Y808" s="111"/>
      <c r="Z808" s="111"/>
      <c r="AA808" s="111"/>
    </row>
    <row r="809" spans="1:27" s="118" customFormat="1" x14ac:dyDescent="0.2">
      <c r="A809" s="10"/>
      <c r="B809" s="10"/>
      <c r="C809" s="191"/>
      <c r="D809" s="115"/>
      <c r="E809" s="158"/>
      <c r="F809" s="267"/>
      <c r="G809" s="267"/>
      <c r="H809" s="267"/>
      <c r="I809" s="250"/>
      <c r="J809" s="267"/>
      <c r="K809" s="137"/>
      <c r="L809" s="137"/>
      <c r="M809" s="137"/>
      <c r="N809" s="138"/>
      <c r="O809" s="167"/>
      <c r="P809" s="111"/>
      <c r="Q809" s="111"/>
      <c r="R809" s="111"/>
      <c r="S809" s="111"/>
      <c r="T809" s="111"/>
      <c r="U809" s="111"/>
      <c r="V809" s="111"/>
      <c r="W809" s="111"/>
      <c r="X809" s="111"/>
      <c r="Y809" s="111"/>
      <c r="Z809" s="111"/>
      <c r="AA809" s="111"/>
    </row>
    <row r="810" spans="1:27" s="118" customFormat="1" x14ac:dyDescent="0.2">
      <c r="A810" s="10"/>
      <c r="B810" s="10"/>
      <c r="C810" s="190"/>
      <c r="D810" s="110"/>
      <c r="E810" s="158"/>
      <c r="F810" s="267"/>
      <c r="G810" s="267"/>
      <c r="H810" s="267"/>
      <c r="I810" s="250"/>
      <c r="J810" s="338"/>
      <c r="K810" s="137"/>
      <c r="L810" s="137"/>
      <c r="M810" s="137"/>
      <c r="N810" s="138"/>
      <c r="O810" s="167"/>
      <c r="P810" s="111"/>
      <c r="Q810" s="111"/>
      <c r="R810" s="111"/>
      <c r="S810" s="111"/>
      <c r="T810" s="111"/>
      <c r="U810" s="111"/>
      <c r="V810" s="111"/>
      <c r="W810" s="111"/>
      <c r="X810" s="111"/>
      <c r="Y810" s="111"/>
      <c r="Z810" s="111"/>
      <c r="AA810" s="111"/>
    </row>
    <row r="811" spans="1:27" s="139" customFormat="1" x14ac:dyDescent="0.2">
      <c r="A811" s="10"/>
      <c r="B811" s="10"/>
      <c r="C811" s="15"/>
      <c r="D811" s="117"/>
      <c r="E811" s="10"/>
      <c r="F811" s="263"/>
      <c r="G811" s="263"/>
      <c r="H811" s="263"/>
      <c r="I811" s="250"/>
      <c r="J811" s="263"/>
      <c r="K811" s="137"/>
      <c r="L811" s="137"/>
      <c r="M811" s="137"/>
      <c r="N811" s="138"/>
      <c r="O811" s="283"/>
      <c r="P811" s="120"/>
      <c r="Q811" s="120"/>
      <c r="R811" s="120"/>
      <c r="S811" s="120"/>
      <c r="T811" s="120"/>
      <c r="U811" s="120"/>
      <c r="V811" s="120"/>
      <c r="W811" s="120"/>
      <c r="X811" s="120"/>
      <c r="Y811" s="120"/>
      <c r="Z811" s="120"/>
      <c r="AA811" s="120"/>
    </row>
    <row r="812" spans="1:27" s="147" customFormat="1" x14ac:dyDescent="0.2">
      <c r="A812" s="184"/>
      <c r="B812" s="184"/>
      <c r="C812" s="185"/>
      <c r="D812" s="337"/>
      <c r="E812" s="184"/>
      <c r="F812" s="338"/>
      <c r="G812" s="338"/>
      <c r="H812" s="338"/>
      <c r="I812" s="257"/>
      <c r="J812" s="338"/>
      <c r="K812" s="131">
        <f>J820</f>
        <v>0</v>
      </c>
      <c r="L812" s="131">
        <v>166.81</v>
      </c>
      <c r="M812" s="131">
        <f>ROUND(L812*(1+$Q$5),2)</f>
        <v>211.06</v>
      </c>
      <c r="N812" s="133">
        <f>TRUNC(K812*M812,2)</f>
        <v>0</v>
      </c>
      <c r="O812" s="286"/>
      <c r="P812" s="146"/>
      <c r="Q812" s="146"/>
      <c r="R812" s="146"/>
      <c r="S812" s="146"/>
      <c r="T812" s="146"/>
      <c r="U812" s="146"/>
      <c r="V812" s="146"/>
      <c r="W812" s="146"/>
      <c r="X812" s="146"/>
      <c r="Y812" s="146"/>
      <c r="Z812" s="146"/>
      <c r="AA812" s="146"/>
    </row>
    <row r="813" spans="1:27" s="118" customFormat="1" x14ac:dyDescent="0.2">
      <c r="A813" s="10"/>
      <c r="B813" s="10"/>
      <c r="C813" s="191"/>
      <c r="D813" s="343"/>
      <c r="E813" s="158"/>
      <c r="F813" s="267"/>
      <c r="G813" s="267"/>
      <c r="H813" s="267"/>
      <c r="I813" s="250"/>
      <c r="J813" s="267"/>
      <c r="K813" s="137"/>
      <c r="L813" s="137"/>
      <c r="M813" s="137"/>
      <c r="N813" s="138"/>
      <c r="O813" s="167"/>
      <c r="P813" s="111"/>
      <c r="Q813" s="111"/>
      <c r="R813" s="111"/>
      <c r="S813" s="111"/>
      <c r="T813" s="111"/>
      <c r="U813" s="111"/>
      <c r="V813" s="111"/>
      <c r="W813" s="111"/>
      <c r="X813" s="111"/>
      <c r="Y813" s="111"/>
      <c r="Z813" s="111"/>
      <c r="AA813" s="111"/>
    </row>
    <row r="814" spans="1:27" s="118" customFormat="1" x14ac:dyDescent="0.2">
      <c r="A814" s="10"/>
      <c r="B814" s="10"/>
      <c r="C814" s="191"/>
      <c r="D814" s="115"/>
      <c r="E814" s="158"/>
      <c r="F814" s="267"/>
      <c r="G814" s="267"/>
      <c r="H814" s="267"/>
      <c r="I814" s="250"/>
      <c r="J814" s="267"/>
      <c r="K814" s="137"/>
      <c r="L814" s="137"/>
      <c r="M814" s="137"/>
      <c r="N814" s="138"/>
      <c r="O814" s="167"/>
      <c r="P814" s="111"/>
      <c r="Q814" s="111"/>
      <c r="R814" s="111"/>
      <c r="S814" s="111"/>
      <c r="T814" s="111"/>
      <c r="U814" s="111"/>
      <c r="V814" s="111"/>
      <c r="W814" s="111"/>
      <c r="X814" s="111"/>
      <c r="Y814" s="111"/>
      <c r="Z814" s="111"/>
      <c r="AA814" s="111"/>
    </row>
    <row r="815" spans="1:27" s="118" customFormat="1" x14ac:dyDescent="0.2">
      <c r="A815" s="10"/>
      <c r="B815" s="10"/>
      <c r="C815" s="191"/>
      <c r="D815" s="115"/>
      <c r="E815" s="158"/>
      <c r="F815" s="267"/>
      <c r="G815" s="267"/>
      <c r="H815" s="267"/>
      <c r="I815" s="250"/>
      <c r="J815" s="267"/>
      <c r="K815" s="137"/>
      <c r="L815" s="137"/>
      <c r="M815" s="137"/>
      <c r="N815" s="138"/>
      <c r="O815" s="167"/>
      <c r="P815" s="111"/>
      <c r="Q815" s="111"/>
      <c r="R815" s="111"/>
      <c r="S815" s="111"/>
      <c r="T815" s="111"/>
      <c r="U815" s="111"/>
      <c r="V815" s="111"/>
      <c r="W815" s="111"/>
      <c r="X815" s="111"/>
      <c r="Y815" s="111"/>
      <c r="Z815" s="111"/>
      <c r="AA815" s="111"/>
    </row>
    <row r="816" spans="1:27" s="118" customFormat="1" x14ac:dyDescent="0.2">
      <c r="A816" s="10"/>
      <c r="B816" s="10"/>
      <c r="C816" s="191"/>
      <c r="D816" s="115"/>
      <c r="E816" s="158"/>
      <c r="F816" s="267"/>
      <c r="G816" s="267"/>
      <c r="H816" s="267"/>
      <c r="I816" s="250"/>
      <c r="J816" s="267"/>
      <c r="K816" s="137"/>
      <c r="L816" s="137"/>
      <c r="M816" s="137"/>
      <c r="N816" s="138"/>
      <c r="O816" s="167"/>
      <c r="P816" s="111"/>
      <c r="Q816" s="111"/>
      <c r="R816" s="111"/>
      <c r="S816" s="111"/>
      <c r="T816" s="111"/>
      <c r="U816" s="111"/>
      <c r="V816" s="111"/>
      <c r="W816" s="111"/>
      <c r="X816" s="111"/>
      <c r="Y816" s="111"/>
      <c r="Z816" s="111"/>
      <c r="AA816" s="111"/>
    </row>
    <row r="817" spans="1:27" s="118" customFormat="1" x14ac:dyDescent="0.2">
      <c r="A817" s="10"/>
      <c r="B817" s="10"/>
      <c r="C817" s="191"/>
      <c r="D817" s="115"/>
      <c r="E817" s="158"/>
      <c r="F817" s="267"/>
      <c r="G817" s="267"/>
      <c r="H817" s="267"/>
      <c r="I817" s="250"/>
      <c r="J817" s="267"/>
      <c r="K817" s="137"/>
      <c r="L817" s="137"/>
      <c r="M817" s="137"/>
      <c r="N817" s="138"/>
      <c r="O817" s="167"/>
      <c r="P817" s="111"/>
      <c r="Q817" s="111"/>
      <c r="R817" s="111"/>
      <c r="S817" s="111"/>
      <c r="T817" s="111"/>
      <c r="U817" s="111"/>
      <c r="V817" s="111"/>
      <c r="W817" s="111"/>
      <c r="X817" s="111"/>
      <c r="Y817" s="111"/>
      <c r="Z817" s="111"/>
      <c r="AA817" s="111"/>
    </row>
    <row r="818" spans="1:27" s="118" customFormat="1" x14ac:dyDescent="0.2">
      <c r="A818" s="10"/>
      <c r="B818" s="10"/>
      <c r="C818" s="191"/>
      <c r="D818" s="115"/>
      <c r="E818" s="158"/>
      <c r="F818" s="267"/>
      <c r="G818" s="267"/>
      <c r="H818" s="267"/>
      <c r="I818" s="250"/>
      <c r="J818" s="267"/>
      <c r="K818" s="137"/>
      <c r="L818" s="137"/>
      <c r="M818" s="137"/>
      <c r="N818" s="138"/>
      <c r="O818" s="167"/>
      <c r="P818" s="111"/>
      <c r="Q818" s="111"/>
      <c r="R818" s="111"/>
      <c r="S818" s="111"/>
      <c r="T818" s="111"/>
      <c r="U818" s="111"/>
      <c r="V818" s="111"/>
      <c r="W818" s="111"/>
      <c r="X818" s="111"/>
      <c r="Y818" s="111"/>
      <c r="Z818" s="111"/>
      <c r="AA818" s="111"/>
    </row>
    <row r="819" spans="1:27" s="118" customFormat="1" x14ac:dyDescent="0.2">
      <c r="A819" s="10"/>
      <c r="B819" s="10"/>
      <c r="C819" s="191"/>
      <c r="D819" s="115"/>
      <c r="E819" s="158"/>
      <c r="F819" s="267"/>
      <c r="G819" s="267"/>
      <c r="H819" s="267"/>
      <c r="I819" s="250"/>
      <c r="J819" s="267"/>
      <c r="K819" s="137"/>
      <c r="L819" s="137"/>
      <c r="M819" s="137"/>
      <c r="N819" s="138"/>
      <c r="O819" s="167"/>
      <c r="P819" s="111"/>
      <c r="Q819" s="111"/>
      <c r="R819" s="111"/>
      <c r="S819" s="111"/>
      <c r="T819" s="111"/>
      <c r="U819" s="111"/>
      <c r="V819" s="111"/>
      <c r="W819" s="111"/>
      <c r="X819" s="111"/>
      <c r="Y819" s="111"/>
      <c r="Z819" s="111"/>
      <c r="AA819" s="111"/>
    </row>
    <row r="820" spans="1:27" s="118" customFormat="1" x14ac:dyDescent="0.2">
      <c r="A820" s="10"/>
      <c r="B820" s="10"/>
      <c r="C820" s="190"/>
      <c r="D820" s="110"/>
      <c r="E820" s="158"/>
      <c r="F820" s="267"/>
      <c r="G820" s="267"/>
      <c r="H820" s="267"/>
      <c r="I820" s="250"/>
      <c r="J820" s="338"/>
      <c r="K820" s="137"/>
      <c r="L820" s="137"/>
      <c r="M820" s="137"/>
      <c r="N820" s="138"/>
      <c r="O820" s="167"/>
      <c r="P820" s="111"/>
      <c r="Q820" s="111"/>
      <c r="R820" s="111"/>
      <c r="S820" s="111"/>
      <c r="T820" s="111"/>
      <c r="U820" s="111"/>
      <c r="V820" s="111"/>
      <c r="W820" s="111"/>
      <c r="X820" s="111"/>
      <c r="Y820" s="111"/>
      <c r="Z820" s="111"/>
      <c r="AA820" s="111"/>
    </row>
    <row r="821" spans="1:27" s="161" customFormat="1" x14ac:dyDescent="0.2">
      <c r="A821" s="10"/>
      <c r="B821" s="10"/>
      <c r="C821" s="191"/>
      <c r="D821" s="110"/>
      <c r="E821" s="158"/>
      <c r="F821" s="267"/>
      <c r="G821" s="267"/>
      <c r="H821" s="267"/>
      <c r="I821" s="250"/>
      <c r="J821" s="263"/>
      <c r="K821" s="151"/>
      <c r="L821" s="151"/>
      <c r="M821" s="151"/>
      <c r="N821" s="152"/>
      <c r="O821" s="167"/>
      <c r="P821" s="114"/>
      <c r="Q821" s="114"/>
      <c r="R821" s="114"/>
      <c r="S821" s="114"/>
      <c r="T821" s="114"/>
      <c r="U821" s="114"/>
      <c r="V821" s="114"/>
      <c r="W821" s="114"/>
      <c r="X821" s="114"/>
      <c r="Y821" s="114"/>
      <c r="Z821" s="114"/>
      <c r="AA821" s="114"/>
    </row>
    <row r="822" spans="1:27" s="147" customFormat="1" x14ac:dyDescent="0.2">
      <c r="A822" s="184"/>
      <c r="B822" s="184"/>
      <c r="C822" s="344"/>
      <c r="D822" s="337"/>
      <c r="E822" s="184"/>
      <c r="F822" s="338"/>
      <c r="G822" s="338"/>
      <c r="H822" s="338"/>
      <c r="I822" s="257"/>
      <c r="J822" s="338"/>
      <c r="K822" s="131">
        <f>J830</f>
        <v>0</v>
      </c>
      <c r="L822" s="131">
        <v>46.44</v>
      </c>
      <c r="M822" s="131">
        <f>ROUND(L822*(1+$Q$5),2)</f>
        <v>58.76</v>
      </c>
      <c r="N822" s="133">
        <f>TRUNC(K822*M822,2)</f>
        <v>0</v>
      </c>
      <c r="O822" s="286"/>
      <c r="P822" s="146"/>
      <c r="Q822" s="146"/>
      <c r="R822" s="146"/>
      <c r="S822" s="146"/>
      <c r="T822" s="146"/>
      <c r="U822" s="146"/>
      <c r="V822" s="146"/>
      <c r="W822" s="146"/>
      <c r="X822" s="146"/>
      <c r="Y822" s="146"/>
      <c r="Z822" s="146"/>
      <c r="AA822" s="146"/>
    </row>
    <row r="823" spans="1:27" s="118" customFormat="1" x14ac:dyDescent="0.2">
      <c r="A823" s="10"/>
      <c r="B823" s="10"/>
      <c r="C823" s="191"/>
      <c r="D823" s="343"/>
      <c r="E823" s="158"/>
      <c r="F823" s="267"/>
      <c r="G823" s="267"/>
      <c r="H823" s="267"/>
      <c r="I823" s="250"/>
      <c r="J823" s="267"/>
      <c r="K823" s="137"/>
      <c r="L823" s="137"/>
      <c r="M823" s="137"/>
      <c r="N823" s="138"/>
      <c r="O823" s="167"/>
      <c r="P823" s="111"/>
      <c r="Q823" s="111"/>
      <c r="R823" s="111"/>
      <c r="S823" s="111"/>
      <c r="T823" s="111"/>
      <c r="U823" s="111"/>
      <c r="V823" s="111"/>
      <c r="W823" s="111"/>
      <c r="X823" s="111"/>
      <c r="Y823" s="111"/>
      <c r="Z823" s="111"/>
      <c r="AA823" s="111"/>
    </row>
    <row r="824" spans="1:27" s="118" customFormat="1" x14ac:dyDescent="0.2">
      <c r="A824" s="10"/>
      <c r="B824" s="10"/>
      <c r="C824" s="191"/>
      <c r="D824" s="115"/>
      <c r="E824" s="158"/>
      <c r="F824" s="267"/>
      <c r="G824" s="267"/>
      <c r="H824" s="267"/>
      <c r="I824" s="250"/>
      <c r="J824" s="267"/>
      <c r="K824" s="137"/>
      <c r="L824" s="137"/>
      <c r="M824" s="137"/>
      <c r="N824" s="138"/>
      <c r="O824" s="167"/>
      <c r="P824" s="111"/>
      <c r="Q824" s="111"/>
      <c r="R824" s="111"/>
      <c r="S824" s="111"/>
      <c r="T824" s="111"/>
      <c r="U824" s="111"/>
      <c r="V824" s="111"/>
      <c r="W824" s="111"/>
      <c r="X824" s="111"/>
      <c r="Y824" s="111"/>
      <c r="Z824" s="111"/>
      <c r="AA824" s="111"/>
    </row>
    <row r="825" spans="1:27" s="118" customFormat="1" x14ac:dyDescent="0.2">
      <c r="A825" s="10"/>
      <c r="B825" s="10"/>
      <c r="C825" s="191"/>
      <c r="D825" s="115"/>
      <c r="E825" s="158"/>
      <c r="F825" s="267"/>
      <c r="G825" s="267"/>
      <c r="H825" s="267"/>
      <c r="I825" s="250"/>
      <c r="J825" s="267"/>
      <c r="K825" s="137"/>
      <c r="L825" s="137"/>
      <c r="M825" s="137"/>
      <c r="N825" s="138"/>
      <c r="O825" s="167"/>
      <c r="P825" s="111"/>
      <c r="Q825" s="111"/>
      <c r="R825" s="111"/>
      <c r="S825" s="111"/>
      <c r="T825" s="111"/>
      <c r="U825" s="111"/>
      <c r="V825" s="111"/>
      <c r="W825" s="111"/>
      <c r="X825" s="111"/>
      <c r="Y825" s="111"/>
      <c r="Z825" s="111"/>
      <c r="AA825" s="111"/>
    </row>
    <row r="826" spans="1:27" s="118" customFormat="1" x14ac:dyDescent="0.2">
      <c r="A826" s="10"/>
      <c r="B826" s="10"/>
      <c r="C826" s="191"/>
      <c r="D826" s="115"/>
      <c r="E826" s="158"/>
      <c r="F826" s="267"/>
      <c r="G826" s="267"/>
      <c r="H826" s="267"/>
      <c r="I826" s="250"/>
      <c r="J826" s="267"/>
      <c r="K826" s="137"/>
      <c r="L826" s="137"/>
      <c r="M826" s="137"/>
      <c r="N826" s="138"/>
      <c r="O826" s="167"/>
      <c r="P826" s="111"/>
      <c r="Q826" s="111"/>
      <c r="R826" s="111"/>
      <c r="S826" s="111"/>
      <c r="T826" s="111"/>
      <c r="U826" s="111"/>
      <c r="V826" s="111"/>
      <c r="W826" s="111"/>
      <c r="X826" s="111"/>
      <c r="Y826" s="111"/>
      <c r="Z826" s="111"/>
      <c r="AA826" s="111"/>
    </row>
    <row r="827" spans="1:27" s="118" customFormat="1" x14ac:dyDescent="0.2">
      <c r="A827" s="10"/>
      <c r="B827" s="10"/>
      <c r="C827" s="191"/>
      <c r="D827" s="115"/>
      <c r="E827" s="158"/>
      <c r="F827" s="267"/>
      <c r="G827" s="267"/>
      <c r="H827" s="267"/>
      <c r="I827" s="250"/>
      <c r="J827" s="267"/>
      <c r="K827" s="137"/>
      <c r="L827" s="137"/>
      <c r="M827" s="137"/>
      <c r="N827" s="138"/>
      <c r="O827" s="167"/>
      <c r="P827" s="111"/>
      <c r="Q827" s="111"/>
      <c r="R827" s="111"/>
      <c r="S827" s="111"/>
      <c r="T827" s="111"/>
      <c r="U827" s="111"/>
      <c r="V827" s="111"/>
      <c r="W827" s="111"/>
      <c r="X827" s="111"/>
      <c r="Y827" s="111"/>
      <c r="Z827" s="111"/>
      <c r="AA827" s="111"/>
    </row>
    <row r="828" spans="1:27" s="118" customFormat="1" x14ac:dyDescent="0.2">
      <c r="A828" s="10"/>
      <c r="B828" s="10"/>
      <c r="C828" s="191"/>
      <c r="D828" s="115"/>
      <c r="E828" s="158"/>
      <c r="F828" s="267"/>
      <c r="G828" s="267"/>
      <c r="H828" s="267"/>
      <c r="I828" s="250"/>
      <c r="J828" s="267"/>
      <c r="K828" s="137"/>
      <c r="L828" s="137"/>
      <c r="M828" s="137"/>
      <c r="N828" s="138"/>
      <c r="O828" s="167"/>
      <c r="P828" s="111"/>
      <c r="Q828" s="111"/>
      <c r="R828" s="111"/>
      <c r="S828" s="111"/>
      <c r="T828" s="111"/>
      <c r="U828" s="111"/>
      <c r="V828" s="111"/>
      <c r="W828" s="111"/>
      <c r="X828" s="111"/>
      <c r="Y828" s="111"/>
      <c r="Z828" s="111"/>
      <c r="AA828" s="111"/>
    </row>
    <row r="829" spans="1:27" s="118" customFormat="1" x14ac:dyDescent="0.2">
      <c r="A829" s="10"/>
      <c r="B829" s="10"/>
      <c r="C829" s="191"/>
      <c r="D829" s="115"/>
      <c r="E829" s="158"/>
      <c r="F829" s="267"/>
      <c r="G829" s="267"/>
      <c r="H829" s="267"/>
      <c r="I829" s="250"/>
      <c r="J829" s="267"/>
      <c r="K829" s="137"/>
      <c r="L829" s="137"/>
      <c r="M829" s="137"/>
      <c r="N829" s="138"/>
      <c r="O829" s="167"/>
      <c r="P829" s="111"/>
      <c r="Q829" s="111"/>
      <c r="R829" s="111"/>
      <c r="S829" s="111"/>
      <c r="T829" s="111"/>
      <c r="U829" s="111"/>
      <c r="V829" s="111"/>
      <c r="W829" s="111"/>
      <c r="X829" s="111"/>
      <c r="Y829" s="111"/>
      <c r="Z829" s="111"/>
      <c r="AA829" s="111"/>
    </row>
    <row r="830" spans="1:27" s="118" customFormat="1" x14ac:dyDescent="0.2">
      <c r="A830" s="10"/>
      <c r="B830" s="10"/>
      <c r="C830" s="190"/>
      <c r="D830" s="110"/>
      <c r="E830" s="158"/>
      <c r="F830" s="267"/>
      <c r="G830" s="267"/>
      <c r="H830" s="267"/>
      <c r="I830" s="250"/>
      <c r="J830" s="338"/>
      <c r="K830" s="137"/>
      <c r="L830" s="137"/>
      <c r="M830" s="137"/>
      <c r="N830" s="138"/>
      <c r="O830" s="167"/>
      <c r="P830" s="111"/>
      <c r="Q830" s="111"/>
      <c r="R830" s="111"/>
      <c r="S830" s="111"/>
      <c r="T830" s="111"/>
      <c r="U830" s="111"/>
      <c r="V830" s="111"/>
      <c r="W830" s="111"/>
      <c r="X830" s="111"/>
      <c r="Y830" s="111"/>
      <c r="Z830" s="111"/>
      <c r="AA830" s="111"/>
    </row>
    <row r="831" spans="1:27" s="139" customFormat="1" x14ac:dyDescent="0.2">
      <c r="A831" s="10"/>
      <c r="B831" s="10"/>
      <c r="C831" s="15"/>
      <c r="D831" s="117"/>
      <c r="E831" s="10"/>
      <c r="F831" s="263"/>
      <c r="G831" s="263"/>
      <c r="H831" s="263"/>
      <c r="I831" s="250"/>
      <c r="J831" s="263"/>
      <c r="K831" s="137"/>
      <c r="L831" s="137"/>
      <c r="M831" s="137"/>
      <c r="N831" s="138"/>
      <c r="O831" s="283"/>
      <c r="P831" s="120"/>
      <c r="Q831" s="120"/>
      <c r="R831" s="120"/>
      <c r="S831" s="120"/>
      <c r="T831" s="120"/>
      <c r="U831" s="120"/>
      <c r="V831" s="120"/>
      <c r="W831" s="120"/>
      <c r="X831" s="120"/>
      <c r="Y831" s="120"/>
      <c r="Z831" s="120"/>
      <c r="AA831" s="120"/>
    </row>
    <row r="832" spans="1:27" s="147" customFormat="1" x14ac:dyDescent="0.2">
      <c r="A832" s="184"/>
      <c r="B832" s="184"/>
      <c r="C832" s="185"/>
      <c r="D832" s="337"/>
      <c r="E832" s="184"/>
      <c r="F832" s="338"/>
      <c r="G832" s="338"/>
      <c r="H832" s="338"/>
      <c r="I832" s="257"/>
      <c r="J832" s="338"/>
      <c r="K832" s="131">
        <f>J835</f>
        <v>0</v>
      </c>
      <c r="L832" s="131">
        <v>8.1300000000000008</v>
      </c>
      <c r="M832" s="131">
        <f>ROUND(L832*(1+$Q$5),2)</f>
        <v>10.29</v>
      </c>
      <c r="N832" s="133">
        <f>TRUNC(K832*M832,2)</f>
        <v>0</v>
      </c>
      <c r="O832" s="286"/>
      <c r="P832" s="146"/>
      <c r="Q832" s="146" t="s">
        <v>415</v>
      </c>
      <c r="R832" s="146"/>
      <c r="S832" s="146"/>
      <c r="T832" s="146"/>
      <c r="U832" s="146"/>
      <c r="V832" s="146"/>
      <c r="W832" s="146"/>
      <c r="X832" s="146"/>
      <c r="Y832" s="146"/>
      <c r="Z832" s="146"/>
      <c r="AA832" s="146"/>
    </row>
    <row r="833" spans="1:27" s="118" customFormat="1" x14ac:dyDescent="0.2">
      <c r="A833" s="10"/>
      <c r="B833" s="10"/>
      <c r="C833" s="191"/>
      <c r="D833" s="115"/>
      <c r="E833" s="158"/>
      <c r="F833" s="267"/>
      <c r="G833" s="267"/>
      <c r="H833" s="267"/>
      <c r="I833" s="250"/>
      <c r="J833" s="267"/>
      <c r="K833" s="137"/>
      <c r="L833" s="137"/>
      <c r="M833" s="137"/>
      <c r="N833" s="138"/>
      <c r="O833" s="167"/>
      <c r="P833" s="111"/>
      <c r="Q833" s="111"/>
      <c r="R833" s="111"/>
      <c r="S833" s="111"/>
      <c r="T833" s="111"/>
      <c r="U833" s="111"/>
      <c r="V833" s="111"/>
      <c r="W833" s="111"/>
      <c r="X833" s="111"/>
      <c r="Y833" s="111"/>
      <c r="Z833" s="111"/>
      <c r="AA833" s="111"/>
    </row>
    <row r="834" spans="1:27" s="118" customFormat="1" x14ac:dyDescent="0.2">
      <c r="A834" s="10"/>
      <c r="B834" s="10"/>
      <c r="C834" s="191"/>
      <c r="D834" s="115"/>
      <c r="E834" s="158"/>
      <c r="F834" s="267"/>
      <c r="G834" s="267"/>
      <c r="H834" s="267"/>
      <c r="I834" s="250"/>
      <c r="J834" s="267"/>
      <c r="K834" s="137"/>
      <c r="L834" s="137"/>
      <c r="M834" s="137"/>
      <c r="N834" s="138"/>
      <c r="O834" s="167"/>
      <c r="P834" s="111"/>
      <c r="Q834" s="111"/>
      <c r="R834" s="111"/>
      <c r="S834" s="111"/>
      <c r="T834" s="111"/>
      <c r="U834" s="111"/>
      <c r="V834" s="111"/>
      <c r="W834" s="111"/>
      <c r="X834" s="111"/>
      <c r="Y834" s="111"/>
      <c r="Z834" s="111"/>
      <c r="AA834" s="111"/>
    </row>
    <row r="835" spans="1:27" s="118" customFormat="1" x14ac:dyDescent="0.2">
      <c r="A835" s="10"/>
      <c r="B835" s="10"/>
      <c r="C835" s="190"/>
      <c r="D835" s="110"/>
      <c r="E835" s="158"/>
      <c r="F835" s="267"/>
      <c r="G835" s="267"/>
      <c r="H835" s="267"/>
      <c r="I835" s="250"/>
      <c r="J835" s="338"/>
      <c r="K835" s="137"/>
      <c r="L835" s="137"/>
      <c r="M835" s="137"/>
      <c r="N835" s="138"/>
      <c r="O835" s="167"/>
      <c r="P835" s="111"/>
      <c r="Q835" s="111"/>
      <c r="R835" s="111"/>
      <c r="S835" s="111"/>
      <c r="T835" s="111"/>
      <c r="U835" s="111"/>
      <c r="V835" s="111"/>
      <c r="W835" s="111"/>
      <c r="X835" s="111"/>
      <c r="Y835" s="111"/>
      <c r="Z835" s="111"/>
      <c r="AA835" s="111"/>
    </row>
    <row r="836" spans="1:27" s="139" customFormat="1" x14ac:dyDescent="0.2">
      <c r="A836" s="10"/>
      <c r="B836" s="10"/>
      <c r="C836" s="15"/>
      <c r="D836" s="117"/>
      <c r="E836" s="10"/>
      <c r="F836" s="263"/>
      <c r="G836" s="263"/>
      <c r="H836" s="263"/>
      <c r="I836" s="250"/>
      <c r="J836" s="263"/>
      <c r="K836" s="137"/>
      <c r="L836" s="137"/>
      <c r="M836" s="137"/>
      <c r="N836" s="138"/>
      <c r="O836" s="283"/>
      <c r="P836" s="120"/>
      <c r="Q836" s="120"/>
      <c r="R836" s="120"/>
      <c r="S836" s="120"/>
      <c r="T836" s="120"/>
      <c r="U836" s="120"/>
      <c r="V836" s="120"/>
      <c r="W836" s="120"/>
      <c r="X836" s="120"/>
      <c r="Y836" s="120"/>
      <c r="Z836" s="120"/>
      <c r="AA836" s="120"/>
    </row>
    <row r="837" spans="1:27" s="147" customFormat="1" x14ac:dyDescent="0.2">
      <c r="A837" s="184"/>
      <c r="B837" s="184"/>
      <c r="C837" s="185"/>
      <c r="D837" s="337"/>
      <c r="E837" s="184"/>
      <c r="F837" s="338"/>
      <c r="G837" s="338"/>
      <c r="H837" s="338"/>
      <c r="I837" s="257"/>
      <c r="J837" s="338"/>
      <c r="K837" s="131">
        <f>J840</f>
        <v>0</v>
      </c>
      <c r="L837" s="131">
        <v>73.44</v>
      </c>
      <c r="M837" s="131">
        <f>ROUND(L837*(1+$Q$5),2)</f>
        <v>92.92</v>
      </c>
      <c r="N837" s="133">
        <f>TRUNC(K837*M837,2)</f>
        <v>0</v>
      </c>
      <c r="O837" s="286"/>
      <c r="P837" s="146"/>
      <c r="Q837" s="146"/>
      <c r="R837" s="146"/>
      <c r="S837" s="146"/>
      <c r="T837" s="146"/>
      <c r="U837" s="146"/>
      <c r="V837" s="146"/>
      <c r="W837" s="146"/>
      <c r="X837" s="146"/>
      <c r="Y837" s="146"/>
      <c r="Z837" s="146"/>
      <c r="AA837" s="146"/>
    </row>
    <row r="838" spans="1:27" s="118" customFormat="1" x14ac:dyDescent="0.2">
      <c r="A838" s="10"/>
      <c r="B838" s="10"/>
      <c r="C838" s="191"/>
      <c r="D838" s="115"/>
      <c r="E838" s="158"/>
      <c r="F838" s="267"/>
      <c r="G838" s="267"/>
      <c r="H838" s="267"/>
      <c r="I838" s="250"/>
      <c r="J838" s="267"/>
      <c r="K838" s="137"/>
      <c r="L838" s="137"/>
      <c r="M838" s="137"/>
      <c r="N838" s="138"/>
      <c r="O838" s="167"/>
      <c r="P838" s="111"/>
      <c r="Q838" s="111"/>
      <c r="R838" s="111"/>
      <c r="S838" s="111"/>
      <c r="T838" s="111"/>
      <c r="U838" s="111"/>
      <c r="V838" s="111"/>
      <c r="W838" s="111"/>
      <c r="X838" s="111"/>
      <c r="Y838" s="111"/>
      <c r="Z838" s="111"/>
      <c r="AA838" s="111"/>
    </row>
    <row r="839" spans="1:27" s="174" customFormat="1" x14ac:dyDescent="0.2">
      <c r="A839" s="177"/>
      <c r="B839" s="177"/>
      <c r="C839" s="178"/>
      <c r="D839" s="115"/>
      <c r="E839" s="177"/>
      <c r="F839" s="267"/>
      <c r="G839" s="267"/>
      <c r="H839" s="267"/>
      <c r="I839" s="339"/>
      <c r="J839" s="267"/>
      <c r="K839" s="172"/>
      <c r="L839" s="172"/>
      <c r="M839" s="172"/>
      <c r="N839" s="173"/>
      <c r="O839" s="287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3"/>
    </row>
    <row r="840" spans="1:27" s="118" customFormat="1" x14ac:dyDescent="0.2">
      <c r="A840" s="10"/>
      <c r="B840" s="10"/>
      <c r="C840" s="190"/>
      <c r="D840" s="110"/>
      <c r="E840" s="158"/>
      <c r="F840" s="267"/>
      <c r="G840" s="267"/>
      <c r="H840" s="267"/>
      <c r="I840" s="250"/>
      <c r="J840" s="338"/>
      <c r="K840" s="137"/>
      <c r="L840" s="137"/>
      <c r="M840" s="137"/>
      <c r="N840" s="138"/>
      <c r="O840" s="167"/>
      <c r="P840" s="111"/>
      <c r="Q840" s="111"/>
      <c r="R840" s="111"/>
      <c r="S840" s="111"/>
      <c r="T840" s="111"/>
      <c r="U840" s="111"/>
      <c r="V840" s="111"/>
      <c r="W840" s="111"/>
      <c r="X840" s="111"/>
      <c r="Y840" s="111"/>
      <c r="Z840" s="111"/>
      <c r="AA840" s="111"/>
    </row>
    <row r="841" spans="1:27" s="139" customFormat="1" x14ac:dyDescent="0.2">
      <c r="A841" s="10"/>
      <c r="B841" s="10"/>
      <c r="C841" s="15"/>
      <c r="D841" s="117"/>
      <c r="E841" s="10"/>
      <c r="F841" s="263"/>
      <c r="G841" s="263"/>
      <c r="H841" s="263"/>
      <c r="I841" s="250"/>
      <c r="J841" s="263"/>
      <c r="K841" s="137"/>
      <c r="L841" s="137"/>
      <c r="M841" s="137"/>
      <c r="N841" s="138"/>
      <c r="O841" s="283"/>
      <c r="P841" s="120"/>
      <c r="Q841" s="120"/>
      <c r="R841" s="120"/>
      <c r="S841" s="120"/>
      <c r="T841" s="120"/>
      <c r="U841" s="120"/>
      <c r="V841" s="120"/>
      <c r="W841" s="120"/>
      <c r="X841" s="120"/>
      <c r="Y841" s="120"/>
      <c r="Z841" s="120"/>
      <c r="AA841" s="120"/>
    </row>
    <row r="842" spans="1:27" s="147" customFormat="1" x14ac:dyDescent="0.2">
      <c r="A842" s="184"/>
      <c r="B842" s="184"/>
      <c r="C842" s="185"/>
      <c r="D842" s="337"/>
      <c r="E842" s="184"/>
      <c r="F842" s="338"/>
      <c r="G842" s="338"/>
      <c r="H842" s="338"/>
      <c r="I842" s="257"/>
      <c r="J842" s="338"/>
      <c r="K842" s="131">
        <f>J845</f>
        <v>0</v>
      </c>
      <c r="L842" s="131" t="e">
        <f>'COMPOSICOES - SINAPI COM DESON'!G36</f>
        <v>#VALUE!</v>
      </c>
      <c r="M842" s="131" t="e">
        <f>ROUND(L842*(1+$Q$5),2)</f>
        <v>#VALUE!</v>
      </c>
      <c r="N842" s="133" t="e">
        <f>TRUNC(K842*M842,2)</f>
        <v>#VALUE!</v>
      </c>
      <c r="O842" s="286"/>
      <c r="P842" s="146"/>
      <c r="Q842" s="146"/>
      <c r="R842" s="146"/>
      <c r="S842" s="146"/>
      <c r="T842" s="146"/>
      <c r="U842" s="146"/>
      <c r="V842" s="146"/>
      <c r="W842" s="146"/>
      <c r="X842" s="146"/>
      <c r="Y842" s="146"/>
      <c r="Z842" s="146"/>
      <c r="AA842" s="146"/>
    </row>
    <row r="843" spans="1:27" s="174" customFormat="1" x14ac:dyDescent="0.2">
      <c r="A843" s="177"/>
      <c r="B843" s="177"/>
      <c r="C843" s="178"/>
      <c r="D843" s="115"/>
      <c r="E843" s="177"/>
      <c r="F843" s="267"/>
      <c r="G843" s="267"/>
      <c r="H843" s="267"/>
      <c r="I843" s="339"/>
      <c r="J843" s="267"/>
      <c r="K843" s="172"/>
      <c r="L843" s="172"/>
      <c r="M843" s="172"/>
      <c r="N843" s="173"/>
      <c r="O843" s="287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</row>
    <row r="844" spans="1:27" s="174" customFormat="1" x14ac:dyDescent="0.2">
      <c r="A844" s="177"/>
      <c r="B844" s="177"/>
      <c r="C844" s="178"/>
      <c r="D844" s="115"/>
      <c r="E844" s="177"/>
      <c r="F844" s="267"/>
      <c r="G844" s="267"/>
      <c r="H844" s="267"/>
      <c r="I844" s="339"/>
      <c r="J844" s="267"/>
      <c r="K844" s="172"/>
      <c r="L844" s="172"/>
      <c r="M844" s="172"/>
      <c r="N844" s="173"/>
      <c r="O844" s="287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</row>
    <row r="845" spans="1:27" s="174" customFormat="1" x14ac:dyDescent="0.2">
      <c r="A845" s="177"/>
      <c r="B845" s="177"/>
      <c r="C845" s="178"/>
      <c r="D845" s="179"/>
      <c r="E845" s="180"/>
      <c r="F845" s="265"/>
      <c r="G845" s="265"/>
      <c r="H845" s="265"/>
      <c r="I845" s="252"/>
      <c r="J845" s="338"/>
      <c r="K845" s="172"/>
      <c r="L845" s="172"/>
      <c r="M845" s="172"/>
      <c r="N845" s="173"/>
      <c r="O845" s="287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</row>
    <row r="846" spans="1:27" s="183" customFormat="1" x14ac:dyDescent="0.2">
      <c r="A846" s="177"/>
      <c r="B846" s="177"/>
      <c r="C846" s="178"/>
      <c r="D846" s="179"/>
      <c r="E846" s="180"/>
      <c r="F846" s="265"/>
      <c r="G846" s="265"/>
      <c r="H846" s="265"/>
      <c r="I846" s="252"/>
      <c r="J846" s="266"/>
      <c r="K846" s="181"/>
      <c r="L846" s="181"/>
      <c r="M846" s="181"/>
      <c r="N846" s="182"/>
      <c r="O846" s="287"/>
      <c r="P846" s="121"/>
      <c r="Q846" s="121"/>
      <c r="R846" s="121"/>
      <c r="S846" s="121"/>
      <c r="T846" s="121"/>
      <c r="U846" s="121"/>
      <c r="V846" s="121"/>
      <c r="W846" s="121"/>
      <c r="X846" s="121"/>
      <c r="Y846" s="121"/>
      <c r="Z846" s="121"/>
      <c r="AA846" s="121"/>
    </row>
    <row r="847" spans="1:27" s="147" customFormat="1" x14ac:dyDescent="0.2">
      <c r="A847" s="184"/>
      <c r="B847" s="184"/>
      <c r="C847" s="185"/>
      <c r="D847" s="337"/>
      <c r="E847" s="184"/>
      <c r="F847" s="338"/>
      <c r="G847" s="338"/>
      <c r="H847" s="338"/>
      <c r="I847" s="257"/>
      <c r="J847" s="338"/>
      <c r="K847" s="131">
        <f>J849</f>
        <v>0</v>
      </c>
      <c r="L847" s="131">
        <v>65.69</v>
      </c>
      <c r="M847" s="131">
        <f>ROUND(L847*(1+$Q$5),2)</f>
        <v>83.12</v>
      </c>
      <c r="N847" s="133">
        <f>TRUNC(K847*M847,2)</f>
        <v>0</v>
      </c>
      <c r="O847" s="286"/>
      <c r="P847" s="146"/>
      <c r="Q847" s="146"/>
      <c r="R847" s="146"/>
      <c r="S847" s="146"/>
      <c r="T847" s="146"/>
      <c r="U847" s="146"/>
      <c r="V847" s="146"/>
      <c r="W847" s="146"/>
      <c r="X847" s="146"/>
      <c r="Y847" s="146"/>
      <c r="Z847" s="146"/>
      <c r="AA847" s="146"/>
    </row>
    <row r="848" spans="1:27" s="118" customFormat="1" x14ac:dyDescent="0.2">
      <c r="A848" s="10"/>
      <c r="B848" s="10"/>
      <c r="C848" s="10"/>
      <c r="D848" s="115"/>
      <c r="E848" s="158"/>
      <c r="F848" s="267"/>
      <c r="G848" s="267"/>
      <c r="H848" s="267"/>
      <c r="I848" s="250"/>
      <c r="J848" s="267"/>
      <c r="K848" s="137"/>
      <c r="L848" s="137"/>
      <c r="M848" s="137"/>
      <c r="N848" s="138"/>
      <c r="O848" s="167"/>
      <c r="P848" s="111"/>
      <c r="Q848" s="111"/>
      <c r="R848" s="111"/>
      <c r="S848" s="111"/>
      <c r="T848" s="111"/>
      <c r="U848" s="111"/>
      <c r="V848" s="111"/>
      <c r="W848" s="111"/>
      <c r="X848" s="111"/>
      <c r="Y848" s="111"/>
      <c r="Z848" s="111"/>
      <c r="AA848" s="111"/>
    </row>
    <row r="849" spans="1:27" s="118" customFormat="1" x14ac:dyDescent="0.2">
      <c r="A849" s="10"/>
      <c r="B849" s="10"/>
      <c r="C849" s="190"/>
      <c r="D849" s="110"/>
      <c r="E849" s="158"/>
      <c r="F849" s="267"/>
      <c r="G849" s="267"/>
      <c r="H849" s="267"/>
      <c r="I849" s="250"/>
      <c r="J849" s="338"/>
      <c r="K849" s="137"/>
      <c r="L849" s="137"/>
      <c r="M849" s="137"/>
      <c r="N849" s="138"/>
      <c r="O849" s="167"/>
      <c r="P849" s="111"/>
      <c r="Q849" s="111"/>
      <c r="R849" s="111"/>
      <c r="S849" s="111"/>
      <c r="T849" s="111"/>
      <c r="U849" s="111"/>
      <c r="V849" s="111"/>
      <c r="W849" s="111"/>
      <c r="X849" s="111"/>
      <c r="Y849" s="111"/>
      <c r="Z849" s="111"/>
      <c r="AA849" s="111"/>
    </row>
    <row r="850" spans="1:27" s="118" customFormat="1" x14ac:dyDescent="0.2">
      <c r="A850" s="10"/>
      <c r="B850" s="10"/>
      <c r="C850" s="191"/>
      <c r="D850" s="110"/>
      <c r="E850" s="158"/>
      <c r="F850" s="267"/>
      <c r="G850" s="267"/>
      <c r="H850" s="267"/>
      <c r="I850" s="250"/>
      <c r="J850" s="263"/>
      <c r="K850" s="137"/>
      <c r="L850" s="137"/>
      <c r="M850" s="137"/>
      <c r="N850" s="138"/>
      <c r="O850" s="167"/>
      <c r="P850" s="111"/>
      <c r="Q850" s="111"/>
      <c r="R850" s="111"/>
      <c r="S850" s="111"/>
      <c r="T850" s="111"/>
      <c r="U850" s="111"/>
      <c r="V850" s="111"/>
      <c r="W850" s="111"/>
      <c r="X850" s="111"/>
      <c r="Y850" s="111"/>
      <c r="Z850" s="111"/>
      <c r="AA850" s="111"/>
    </row>
    <row r="851" spans="1:27" s="147" customFormat="1" x14ac:dyDescent="0.2">
      <c r="A851" s="184"/>
      <c r="B851" s="184"/>
      <c r="C851" s="185"/>
      <c r="D851" s="337"/>
      <c r="E851" s="184"/>
      <c r="F851" s="338"/>
      <c r="G851" s="338"/>
      <c r="H851" s="338"/>
      <c r="I851" s="257"/>
      <c r="J851" s="338"/>
      <c r="K851" s="131">
        <f>J853</f>
        <v>0</v>
      </c>
      <c r="L851" s="131">
        <v>14.55</v>
      </c>
      <c r="M851" s="131">
        <f>ROUND(L851*(1+$Q$5),2)</f>
        <v>18.41</v>
      </c>
      <c r="N851" s="133">
        <f>TRUNC(K851*M851,2)</f>
        <v>0</v>
      </c>
      <c r="O851" s="286"/>
      <c r="P851" s="146"/>
      <c r="Q851" s="146"/>
      <c r="R851" s="146"/>
      <c r="S851" s="146"/>
      <c r="T851" s="146"/>
      <c r="U851" s="146"/>
      <c r="V851" s="146"/>
      <c r="W851" s="146"/>
      <c r="X851" s="146"/>
      <c r="Y851" s="146"/>
      <c r="Z851" s="146"/>
      <c r="AA851" s="146"/>
    </row>
    <row r="852" spans="1:27" s="118" customFormat="1" x14ac:dyDescent="0.2">
      <c r="A852" s="10"/>
      <c r="B852" s="10"/>
      <c r="C852" s="10"/>
      <c r="D852" s="115"/>
      <c r="E852" s="158"/>
      <c r="F852" s="267"/>
      <c r="G852" s="267"/>
      <c r="H852" s="267"/>
      <c r="I852" s="250"/>
      <c r="J852" s="267"/>
      <c r="K852" s="137"/>
      <c r="L852" s="137"/>
      <c r="M852" s="137"/>
      <c r="N852" s="138"/>
      <c r="O852" s="167"/>
      <c r="P852" s="111"/>
      <c r="Q852" s="111"/>
      <c r="R852" s="111"/>
      <c r="S852" s="111"/>
      <c r="T852" s="111"/>
      <c r="U852" s="111"/>
      <c r="V852" s="111"/>
      <c r="W852" s="111"/>
      <c r="X852" s="111"/>
      <c r="Y852" s="111"/>
      <c r="Z852" s="111"/>
      <c r="AA852" s="111"/>
    </row>
    <row r="853" spans="1:27" s="118" customFormat="1" x14ac:dyDescent="0.2">
      <c r="A853" s="10"/>
      <c r="B853" s="10"/>
      <c r="C853" s="190"/>
      <c r="D853" s="110"/>
      <c r="E853" s="158"/>
      <c r="F853" s="267"/>
      <c r="G853" s="267"/>
      <c r="H853" s="267"/>
      <c r="I853" s="250"/>
      <c r="J853" s="338"/>
      <c r="K853" s="137"/>
      <c r="L853" s="137"/>
      <c r="M853" s="137"/>
      <c r="N853" s="138"/>
      <c r="O853" s="167"/>
      <c r="P853" s="111"/>
      <c r="Q853" s="111"/>
      <c r="R853" s="111"/>
      <c r="S853" s="111"/>
      <c r="T853" s="111"/>
      <c r="U853" s="111"/>
      <c r="V853" s="111"/>
      <c r="W853" s="111"/>
      <c r="X853" s="111"/>
      <c r="Y853" s="111"/>
      <c r="Z853" s="111"/>
      <c r="AA853" s="111"/>
    </row>
    <row r="854" spans="1:27" s="118" customFormat="1" x14ac:dyDescent="0.2">
      <c r="A854" s="10"/>
      <c r="B854" s="10"/>
      <c r="C854" s="191"/>
      <c r="D854" s="110"/>
      <c r="E854" s="158"/>
      <c r="F854" s="267"/>
      <c r="G854" s="267"/>
      <c r="H854" s="267"/>
      <c r="I854" s="250"/>
      <c r="J854" s="263"/>
      <c r="K854" s="137"/>
      <c r="L854" s="137"/>
      <c r="M854" s="137"/>
      <c r="N854" s="138"/>
      <c r="O854" s="167"/>
      <c r="P854" s="111"/>
      <c r="Q854" s="111"/>
      <c r="R854" s="111"/>
      <c r="S854" s="111"/>
      <c r="T854" s="111"/>
      <c r="U854" s="111"/>
      <c r="V854" s="111"/>
      <c r="W854" s="111"/>
      <c r="X854" s="111"/>
      <c r="Y854" s="111"/>
      <c r="Z854" s="111"/>
      <c r="AA854" s="111"/>
    </row>
    <row r="855" spans="1:27" s="145" customFormat="1" x14ac:dyDescent="0.2">
      <c r="A855" s="192"/>
      <c r="B855" s="192"/>
      <c r="C855" s="193"/>
      <c r="D855" s="336"/>
      <c r="E855" s="192"/>
      <c r="F855" s="269"/>
      <c r="G855" s="269"/>
      <c r="H855" s="269"/>
      <c r="I855" s="254"/>
      <c r="J855" s="269"/>
      <c r="K855" s="142"/>
      <c r="L855" s="142"/>
      <c r="M855" s="142"/>
      <c r="N855" s="143">
        <f>SUM(N857:N859)</f>
        <v>0</v>
      </c>
      <c r="O855" s="285"/>
      <c r="P855" s="144"/>
      <c r="Q855" s="144"/>
      <c r="R855" s="144"/>
      <c r="S855" s="144"/>
      <c r="T855" s="144"/>
      <c r="U855" s="144"/>
      <c r="V855" s="144"/>
      <c r="W855" s="144"/>
      <c r="X855" s="144"/>
      <c r="Y855" s="144"/>
      <c r="Z855" s="144"/>
      <c r="AA855" s="144"/>
    </row>
    <row r="856" spans="1:27" s="118" customFormat="1" x14ac:dyDescent="0.2">
      <c r="A856" s="10"/>
      <c r="B856" s="10"/>
      <c r="C856" s="191"/>
      <c r="D856" s="110"/>
      <c r="E856" s="158"/>
      <c r="F856" s="267"/>
      <c r="G856" s="267"/>
      <c r="H856" s="267"/>
      <c r="I856" s="250"/>
      <c r="J856" s="263"/>
      <c r="K856" s="137"/>
      <c r="L856" s="137"/>
      <c r="M856" s="137"/>
      <c r="N856" s="138"/>
      <c r="O856" s="167"/>
      <c r="P856" s="111"/>
      <c r="Q856" s="111"/>
      <c r="R856" s="111"/>
      <c r="S856" s="111"/>
      <c r="T856" s="111"/>
      <c r="U856" s="111"/>
      <c r="V856" s="111"/>
      <c r="W856" s="111"/>
      <c r="X856" s="111"/>
      <c r="Y856" s="111"/>
      <c r="Z856" s="111"/>
      <c r="AA856" s="111"/>
    </row>
    <row r="857" spans="1:27" s="147" customFormat="1" x14ac:dyDescent="0.2">
      <c r="A857" s="184"/>
      <c r="B857" s="184"/>
      <c r="C857" s="185"/>
      <c r="D857" s="337"/>
      <c r="E857" s="184"/>
      <c r="F857" s="338"/>
      <c r="G857" s="338"/>
      <c r="H857" s="338"/>
      <c r="I857" s="257"/>
      <c r="J857" s="338"/>
      <c r="K857" s="131">
        <f>J859</f>
        <v>0</v>
      </c>
      <c r="L857" s="106">
        <v>168.74</v>
      </c>
      <c r="M857" s="131">
        <f>ROUND(L857*(1+$Q$5),2)</f>
        <v>213.51</v>
      </c>
      <c r="N857" s="133">
        <f>TRUNC(K857*M857,2)</f>
        <v>0</v>
      </c>
      <c r="O857" s="286"/>
      <c r="P857" s="146"/>
      <c r="Q857" s="146"/>
      <c r="R857" s="146"/>
      <c r="S857" s="146"/>
      <c r="T857" s="146"/>
      <c r="U857" s="146"/>
      <c r="V857" s="146"/>
      <c r="W857" s="146"/>
      <c r="X857" s="146"/>
      <c r="Y857" s="146"/>
      <c r="Z857" s="146"/>
      <c r="AA857" s="146"/>
    </row>
    <row r="858" spans="1:27" s="118" customFormat="1" x14ac:dyDescent="0.2">
      <c r="A858" s="10"/>
      <c r="B858" s="10"/>
      <c r="C858" s="191"/>
      <c r="D858" s="115"/>
      <c r="E858" s="158"/>
      <c r="F858" s="267"/>
      <c r="G858" s="267"/>
      <c r="H858" s="267"/>
      <c r="I858" s="250"/>
      <c r="J858" s="267"/>
      <c r="K858" s="137"/>
      <c r="L858" s="137"/>
      <c r="M858" s="137"/>
      <c r="N858" s="138"/>
      <c r="O858" s="167"/>
      <c r="P858" s="111"/>
      <c r="Q858" s="111"/>
      <c r="R858" s="111"/>
      <c r="S858" s="111"/>
      <c r="T858" s="111"/>
      <c r="U858" s="111"/>
      <c r="V858" s="111"/>
      <c r="W858" s="111"/>
      <c r="X858" s="111"/>
      <c r="Y858" s="111"/>
      <c r="Z858" s="111"/>
      <c r="AA858" s="111"/>
    </row>
    <row r="859" spans="1:27" s="118" customFormat="1" x14ac:dyDescent="0.2">
      <c r="A859" s="10"/>
      <c r="B859" s="10"/>
      <c r="C859" s="190"/>
      <c r="D859" s="110"/>
      <c r="E859" s="158"/>
      <c r="F859" s="267"/>
      <c r="G859" s="267"/>
      <c r="H859" s="267"/>
      <c r="I859" s="250"/>
      <c r="J859" s="338"/>
      <c r="K859" s="137"/>
      <c r="L859" s="137"/>
      <c r="M859" s="137"/>
      <c r="N859" s="138"/>
      <c r="O859" s="167"/>
      <c r="P859" s="111"/>
      <c r="Q859" s="111"/>
      <c r="R859" s="111"/>
      <c r="S859" s="111"/>
      <c r="T859" s="111"/>
      <c r="U859" s="111"/>
      <c r="V859" s="111"/>
      <c r="W859" s="111"/>
      <c r="X859" s="111"/>
      <c r="Y859" s="111"/>
      <c r="Z859" s="111"/>
      <c r="AA859" s="111"/>
    </row>
    <row r="860" spans="1:27" s="139" customFormat="1" x14ac:dyDescent="0.2">
      <c r="A860" s="10"/>
      <c r="B860" s="10"/>
      <c r="C860" s="15"/>
      <c r="D860" s="117"/>
      <c r="E860" s="10"/>
      <c r="F860" s="263"/>
      <c r="G860" s="263"/>
      <c r="H860" s="263"/>
      <c r="I860" s="250"/>
      <c r="J860" s="263"/>
      <c r="K860" s="137"/>
      <c r="L860" s="137"/>
      <c r="M860" s="137"/>
      <c r="N860" s="138"/>
      <c r="O860" s="283"/>
      <c r="P860" s="120"/>
      <c r="Q860" s="120"/>
      <c r="R860" s="120"/>
      <c r="S860" s="120"/>
      <c r="T860" s="120"/>
      <c r="U860" s="120"/>
      <c r="V860" s="120"/>
      <c r="W860" s="120"/>
      <c r="X860" s="120"/>
      <c r="Y860" s="120"/>
      <c r="Z860" s="120"/>
      <c r="AA860" s="120"/>
    </row>
    <row r="861" spans="1:27" s="145" customFormat="1" x14ac:dyDescent="0.2">
      <c r="A861" s="192"/>
      <c r="B861" s="192"/>
      <c r="C861" s="193"/>
      <c r="D861" s="336"/>
      <c r="E861" s="192"/>
      <c r="F861" s="269"/>
      <c r="G861" s="269"/>
      <c r="H861" s="269"/>
      <c r="I861" s="254"/>
      <c r="J861" s="269"/>
      <c r="K861" s="142"/>
      <c r="L861" s="142"/>
      <c r="M861" s="142"/>
      <c r="N861" s="143">
        <f>SUM(N863:N865)</f>
        <v>0</v>
      </c>
      <c r="O861" s="285"/>
      <c r="P861" s="144"/>
      <c r="Q861" s="144"/>
      <c r="R861" s="144"/>
      <c r="S861" s="144"/>
      <c r="T861" s="144"/>
      <c r="U861" s="144"/>
      <c r="V861" s="144"/>
      <c r="W861" s="144"/>
      <c r="X861" s="144"/>
      <c r="Y861" s="144"/>
      <c r="Z861" s="144"/>
      <c r="AA861" s="144"/>
    </row>
    <row r="862" spans="1:27" s="118" customFormat="1" x14ac:dyDescent="0.2">
      <c r="A862" s="10"/>
      <c r="B862" s="10"/>
      <c r="C862" s="191"/>
      <c r="D862" s="110"/>
      <c r="E862" s="158"/>
      <c r="F862" s="267"/>
      <c r="G862" s="267"/>
      <c r="H862" s="267"/>
      <c r="I862" s="250"/>
      <c r="J862" s="263"/>
      <c r="K862" s="137"/>
      <c r="L862" s="137"/>
      <c r="M862" s="137"/>
      <c r="N862" s="138"/>
      <c r="O862" s="167"/>
      <c r="P862" s="111"/>
      <c r="Q862" s="111"/>
      <c r="R862" s="111"/>
      <c r="S862" s="111"/>
      <c r="T862" s="111"/>
      <c r="U862" s="111"/>
      <c r="V862" s="111"/>
      <c r="W862" s="111"/>
      <c r="X862" s="111"/>
      <c r="Y862" s="111"/>
      <c r="Z862" s="111"/>
      <c r="AA862" s="111"/>
    </row>
    <row r="863" spans="1:27" s="147" customFormat="1" ht="34.5" customHeight="1" x14ac:dyDescent="0.2">
      <c r="A863" s="184"/>
      <c r="B863" s="184"/>
      <c r="C863" s="185"/>
      <c r="D863" s="337"/>
      <c r="E863" s="184"/>
      <c r="F863" s="338"/>
      <c r="G863" s="338"/>
      <c r="H863" s="338"/>
      <c r="I863" s="257"/>
      <c r="J863" s="338"/>
      <c r="K863" s="131">
        <f>J868</f>
        <v>0</v>
      </c>
      <c r="L863" s="131">
        <v>287.51</v>
      </c>
      <c r="M863" s="131">
        <f>ROUND(L863*(1+$Q$5),2)</f>
        <v>363.79</v>
      </c>
      <c r="N863" s="133">
        <f>TRUNC(K863*M863,2)</f>
        <v>0</v>
      </c>
      <c r="O863" s="286"/>
      <c r="P863" s="146"/>
      <c r="Q863" s="146"/>
      <c r="R863" s="146"/>
      <c r="S863" s="146"/>
      <c r="T863" s="146"/>
      <c r="U863" s="146"/>
      <c r="V863" s="146"/>
      <c r="W863" s="146"/>
      <c r="X863" s="146"/>
      <c r="Y863" s="146"/>
      <c r="Z863" s="146"/>
      <c r="AA863" s="146"/>
    </row>
    <row r="864" spans="1:27" s="118" customFormat="1" x14ac:dyDescent="0.2">
      <c r="A864" s="10"/>
      <c r="B864" s="10"/>
      <c r="C864" s="15"/>
      <c r="D864" s="115"/>
      <c r="E864" s="158"/>
      <c r="F864" s="267"/>
      <c r="G864" s="267"/>
      <c r="H864" s="267"/>
      <c r="I864" s="267"/>
      <c r="J864" s="267"/>
      <c r="K864" s="137"/>
      <c r="L864" s="137"/>
      <c r="M864" s="137"/>
      <c r="N864" s="138"/>
      <c r="O864" s="167"/>
      <c r="P864" s="111"/>
      <c r="Q864" s="111"/>
      <c r="R864" s="111"/>
      <c r="S864" s="111"/>
      <c r="T864" s="111"/>
      <c r="U864" s="111"/>
      <c r="V864" s="111"/>
      <c r="W864" s="111"/>
      <c r="X864" s="111"/>
      <c r="Y864" s="111"/>
      <c r="Z864" s="111"/>
      <c r="AA864" s="111"/>
    </row>
    <row r="865" spans="1:27" s="118" customFormat="1" x14ac:dyDescent="0.2">
      <c r="A865" s="10"/>
      <c r="B865" s="10"/>
      <c r="C865" s="15"/>
      <c r="D865" s="115"/>
      <c r="E865" s="158"/>
      <c r="F865" s="267"/>
      <c r="G865" s="267"/>
      <c r="H865" s="267"/>
      <c r="I865" s="267"/>
      <c r="J865" s="267"/>
      <c r="K865" s="137"/>
      <c r="L865" s="137"/>
      <c r="M865" s="137"/>
      <c r="N865" s="138"/>
      <c r="O865" s="167"/>
      <c r="P865" s="111"/>
      <c r="Q865" s="111"/>
      <c r="R865" s="111"/>
      <c r="S865" s="111"/>
      <c r="T865" s="111"/>
      <c r="U865" s="111"/>
      <c r="V865" s="111"/>
      <c r="W865" s="111"/>
      <c r="X865" s="111"/>
      <c r="Y865" s="111"/>
      <c r="Z865" s="111"/>
      <c r="AA865" s="111"/>
    </row>
    <row r="866" spans="1:27" s="118" customFormat="1" x14ac:dyDescent="0.2">
      <c r="A866" s="10"/>
      <c r="B866" s="10"/>
      <c r="C866" s="15"/>
      <c r="D866" s="115"/>
      <c r="E866" s="158"/>
      <c r="F866" s="267"/>
      <c r="G866" s="267"/>
      <c r="H866" s="267"/>
      <c r="I866" s="267"/>
      <c r="J866" s="267"/>
      <c r="K866" s="137"/>
      <c r="L866" s="137"/>
      <c r="M866" s="137"/>
      <c r="N866" s="138"/>
      <c r="O866" s="167"/>
      <c r="P866" s="111"/>
      <c r="Q866" s="111"/>
      <c r="R866" s="111"/>
      <c r="S866" s="111"/>
      <c r="T866" s="111"/>
      <c r="U866" s="111"/>
      <c r="V866" s="111"/>
      <c r="W866" s="111"/>
      <c r="X866" s="111"/>
      <c r="Y866" s="111"/>
      <c r="Z866" s="111"/>
      <c r="AA866" s="111"/>
    </row>
    <row r="867" spans="1:27" s="118" customFormat="1" x14ac:dyDescent="0.2">
      <c r="A867" s="10"/>
      <c r="B867" s="10"/>
      <c r="C867" s="15"/>
      <c r="D867" s="115"/>
      <c r="E867" s="158"/>
      <c r="F867" s="267"/>
      <c r="G867" s="267"/>
      <c r="H867" s="267"/>
      <c r="I867" s="267"/>
      <c r="J867" s="267"/>
      <c r="K867" s="137"/>
      <c r="L867" s="137"/>
      <c r="M867" s="137"/>
      <c r="N867" s="138"/>
      <c r="O867" s="167"/>
      <c r="P867" s="111"/>
      <c r="Q867" s="111"/>
      <c r="R867" s="111"/>
      <c r="S867" s="111"/>
      <c r="T867" s="111"/>
      <c r="U867" s="111"/>
      <c r="V867" s="111"/>
      <c r="W867" s="111"/>
      <c r="X867" s="111"/>
      <c r="Y867" s="111"/>
      <c r="Z867" s="111"/>
      <c r="AA867" s="111"/>
    </row>
    <row r="868" spans="1:27" s="118" customFormat="1" x14ac:dyDescent="0.2">
      <c r="A868" s="10"/>
      <c r="B868" s="10"/>
      <c r="C868" s="15"/>
      <c r="D868" s="340"/>
      <c r="E868" s="158"/>
      <c r="F868" s="267"/>
      <c r="G868" s="267"/>
      <c r="H868" s="267"/>
      <c r="I868" s="250"/>
      <c r="J868" s="338"/>
      <c r="K868" s="137"/>
      <c r="L868" s="137"/>
      <c r="M868" s="137"/>
      <c r="N868" s="138"/>
      <c r="O868" s="167"/>
      <c r="P868" s="111"/>
      <c r="Q868" s="111"/>
      <c r="R868" s="111"/>
      <c r="S868" s="111"/>
      <c r="T868" s="111"/>
      <c r="U868" s="111"/>
      <c r="V868" s="111"/>
      <c r="W868" s="111"/>
      <c r="X868" s="111"/>
      <c r="Y868" s="111"/>
      <c r="Z868" s="111"/>
      <c r="AA868" s="111"/>
    </row>
    <row r="869" spans="1:27" s="118" customFormat="1" x14ac:dyDescent="0.2">
      <c r="A869" s="10"/>
      <c r="B869" s="10"/>
      <c r="C869" s="15"/>
      <c r="D869" s="343"/>
      <c r="E869" s="158"/>
      <c r="F869" s="267"/>
      <c r="G869" s="267"/>
      <c r="H869" s="267"/>
      <c r="I869" s="339"/>
      <c r="J869" s="267"/>
      <c r="K869" s="137"/>
      <c r="L869" s="137"/>
      <c r="M869" s="137"/>
      <c r="N869" s="138"/>
      <c r="O869" s="167"/>
      <c r="P869" s="111"/>
      <c r="Q869" s="111"/>
      <c r="R869" s="111"/>
      <c r="S869" s="111"/>
      <c r="T869" s="111"/>
      <c r="U869" s="111"/>
      <c r="V869" s="111"/>
      <c r="W869" s="111"/>
      <c r="X869" s="111"/>
      <c r="Y869" s="111"/>
      <c r="Z869" s="111"/>
      <c r="AA869" s="111"/>
    </row>
    <row r="870" spans="1:27" s="145" customFormat="1" x14ac:dyDescent="0.2">
      <c r="A870" s="192"/>
      <c r="B870" s="192"/>
      <c r="C870" s="193"/>
      <c r="D870" s="336"/>
      <c r="E870" s="192"/>
      <c r="F870" s="269"/>
      <c r="G870" s="269"/>
      <c r="H870" s="269"/>
      <c r="I870" s="254"/>
      <c r="J870" s="269"/>
      <c r="K870" s="142"/>
      <c r="L870" s="142"/>
      <c r="M870" s="142"/>
      <c r="N870" s="143">
        <f>SUM(N872:N879)</f>
        <v>0</v>
      </c>
      <c r="O870" s="285"/>
      <c r="P870" s="144"/>
      <c r="Q870" s="144"/>
      <c r="R870" s="144"/>
      <c r="S870" s="144"/>
      <c r="T870" s="144"/>
      <c r="U870" s="144"/>
      <c r="V870" s="144"/>
      <c r="W870" s="144"/>
      <c r="X870" s="144"/>
      <c r="Y870" s="144"/>
      <c r="Z870" s="144"/>
      <c r="AA870" s="144"/>
    </row>
    <row r="871" spans="1:27" s="118" customFormat="1" x14ac:dyDescent="0.2">
      <c r="A871" s="10"/>
      <c r="B871" s="10"/>
      <c r="C871" s="15"/>
      <c r="D871" s="343"/>
      <c r="E871" s="158"/>
      <c r="F871" s="267"/>
      <c r="G871" s="267"/>
      <c r="H871" s="267"/>
      <c r="I871" s="339"/>
      <c r="J871" s="267"/>
      <c r="K871" s="137"/>
      <c r="L871" s="137"/>
      <c r="M871" s="137"/>
      <c r="N871" s="138"/>
      <c r="O871" s="167"/>
      <c r="P871" s="111"/>
      <c r="Q871" s="111"/>
      <c r="R871" s="111"/>
      <c r="S871" s="111"/>
      <c r="T871" s="111"/>
      <c r="U871" s="111"/>
      <c r="V871" s="111"/>
      <c r="W871" s="111"/>
      <c r="X871" s="111"/>
      <c r="Y871" s="111"/>
      <c r="Z871" s="111"/>
      <c r="AA871" s="111"/>
    </row>
    <row r="872" spans="1:27" s="147" customFormat="1" x14ac:dyDescent="0.2">
      <c r="A872" s="184"/>
      <c r="B872" s="347"/>
      <c r="C872" s="347"/>
      <c r="D872" s="337"/>
      <c r="E872" s="346"/>
      <c r="F872" s="338"/>
      <c r="G872" s="338"/>
      <c r="H872" s="338"/>
      <c r="I872" s="257"/>
      <c r="J872" s="338"/>
      <c r="K872" s="131">
        <f>J878</f>
        <v>0</v>
      </c>
      <c r="L872" s="131">
        <v>13.42</v>
      </c>
      <c r="M872" s="131">
        <f>ROUND(L872*(1+$Q$5),2)</f>
        <v>16.98</v>
      </c>
      <c r="N872" s="133">
        <f>TRUNC(K872*M872,2)</f>
        <v>0</v>
      </c>
      <c r="O872" s="286"/>
      <c r="P872" s="146"/>
      <c r="Q872" s="146"/>
      <c r="R872" s="146"/>
      <c r="S872" s="146"/>
      <c r="T872" s="146"/>
      <c r="U872" s="146"/>
      <c r="V872" s="146"/>
      <c r="W872" s="146"/>
      <c r="X872" s="146"/>
      <c r="Y872" s="146"/>
      <c r="Z872" s="146"/>
      <c r="AA872" s="146"/>
    </row>
    <row r="873" spans="1:27" s="118" customFormat="1" x14ac:dyDescent="0.2">
      <c r="A873" s="10"/>
      <c r="B873" s="10"/>
      <c r="C873" s="191"/>
      <c r="D873" s="343"/>
      <c r="E873" s="158"/>
      <c r="F873" s="267"/>
      <c r="G873" s="267"/>
      <c r="H873" s="267"/>
      <c r="I873" s="339"/>
      <c r="J873" s="267"/>
      <c r="K873" s="137"/>
      <c r="L873" s="137"/>
      <c r="M873" s="137"/>
      <c r="N873" s="138"/>
      <c r="O873" s="167"/>
      <c r="P873" s="111"/>
      <c r="Q873" s="111"/>
      <c r="R873" s="111"/>
      <c r="S873" s="111"/>
      <c r="T873" s="111"/>
      <c r="U873" s="111"/>
      <c r="V873" s="111"/>
      <c r="W873" s="111"/>
      <c r="X873" s="111"/>
      <c r="Y873" s="111"/>
      <c r="Z873" s="111"/>
      <c r="AA873" s="111"/>
    </row>
    <row r="874" spans="1:27" s="118" customFormat="1" x14ac:dyDescent="0.2">
      <c r="A874" s="10"/>
      <c r="B874" s="10"/>
      <c r="C874" s="15"/>
      <c r="D874" s="115"/>
      <c r="E874" s="158"/>
      <c r="F874" s="267"/>
      <c r="G874" s="267"/>
      <c r="H874" s="267"/>
      <c r="I874" s="267"/>
      <c r="J874" s="267"/>
      <c r="K874" s="137"/>
      <c r="L874" s="137"/>
      <c r="M874" s="137"/>
      <c r="N874" s="138"/>
      <c r="O874" s="167"/>
      <c r="P874" s="111"/>
      <c r="Q874" s="111"/>
      <c r="R874" s="111"/>
      <c r="S874" s="111"/>
      <c r="T874" s="111"/>
      <c r="U874" s="111"/>
      <c r="V874" s="111"/>
      <c r="W874" s="111"/>
      <c r="X874" s="111"/>
      <c r="Y874" s="111"/>
      <c r="Z874" s="111"/>
      <c r="AA874" s="111"/>
    </row>
    <row r="875" spans="1:27" s="118" customFormat="1" x14ac:dyDescent="0.2">
      <c r="A875" s="10"/>
      <c r="B875" s="10"/>
      <c r="C875" s="15"/>
      <c r="D875" s="115"/>
      <c r="E875" s="158"/>
      <c r="F875" s="267"/>
      <c r="G875" s="267"/>
      <c r="H875" s="267"/>
      <c r="I875" s="267"/>
      <c r="J875" s="267"/>
      <c r="K875" s="137"/>
      <c r="L875" s="137"/>
      <c r="M875" s="137"/>
      <c r="N875" s="138"/>
      <c r="O875" s="167"/>
      <c r="P875" s="111"/>
      <c r="Q875" s="111"/>
      <c r="R875" s="111"/>
      <c r="S875" s="111"/>
      <c r="T875" s="111"/>
      <c r="U875" s="111"/>
      <c r="V875" s="111"/>
      <c r="W875" s="111"/>
      <c r="X875" s="111"/>
      <c r="Y875" s="111"/>
      <c r="Z875" s="111"/>
      <c r="AA875" s="111"/>
    </row>
    <row r="876" spans="1:27" s="118" customFormat="1" x14ac:dyDescent="0.2">
      <c r="A876" s="10"/>
      <c r="B876" s="10"/>
      <c r="C876" s="15"/>
      <c r="D876" s="115"/>
      <c r="E876" s="158"/>
      <c r="F876" s="267"/>
      <c r="G876" s="267"/>
      <c r="H876" s="267"/>
      <c r="I876" s="267"/>
      <c r="J876" s="267"/>
      <c r="K876" s="137"/>
      <c r="L876" s="137"/>
      <c r="M876" s="137"/>
      <c r="N876" s="138"/>
      <c r="O876" s="167"/>
      <c r="P876" s="111"/>
      <c r="Q876" s="111"/>
      <c r="R876" s="111"/>
      <c r="S876" s="111"/>
      <c r="T876" s="111"/>
      <c r="U876" s="111"/>
      <c r="V876" s="111"/>
      <c r="W876" s="111"/>
      <c r="X876" s="111"/>
      <c r="Y876" s="111"/>
      <c r="Z876" s="111"/>
      <c r="AA876" s="111"/>
    </row>
    <row r="877" spans="1:27" s="118" customFormat="1" x14ac:dyDescent="0.2">
      <c r="A877" s="10"/>
      <c r="B877" s="10"/>
      <c r="C877" s="15"/>
      <c r="D877" s="115"/>
      <c r="E877" s="158"/>
      <c r="F877" s="267"/>
      <c r="G877" s="267"/>
      <c r="H877" s="267"/>
      <c r="I877" s="267"/>
      <c r="J877" s="267"/>
      <c r="K877" s="137"/>
      <c r="L877" s="137"/>
      <c r="M877" s="137"/>
      <c r="N877" s="138"/>
      <c r="O877" s="167"/>
      <c r="P877" s="111"/>
      <c r="Q877" s="111"/>
      <c r="R877" s="111"/>
      <c r="S877" s="111"/>
      <c r="T877" s="111"/>
      <c r="U877" s="111"/>
      <c r="V877" s="111"/>
      <c r="W877" s="111"/>
      <c r="X877" s="111"/>
      <c r="Y877" s="111"/>
      <c r="Z877" s="111"/>
      <c r="AA877" s="111"/>
    </row>
    <row r="878" spans="1:27" s="118" customFormat="1" x14ac:dyDescent="0.2">
      <c r="A878" s="10"/>
      <c r="B878" s="10"/>
      <c r="C878" s="190"/>
      <c r="D878" s="110"/>
      <c r="E878" s="158"/>
      <c r="F878" s="267"/>
      <c r="G878" s="267"/>
      <c r="H878" s="267"/>
      <c r="I878" s="250"/>
      <c r="J878" s="338"/>
      <c r="K878" s="137"/>
      <c r="L878" s="137"/>
      <c r="M878" s="137"/>
      <c r="N878" s="138"/>
      <c r="O878" s="167"/>
      <c r="P878" s="111"/>
      <c r="Q878" s="111"/>
      <c r="R878" s="111"/>
      <c r="S878" s="111"/>
      <c r="T878" s="111"/>
      <c r="U878" s="111"/>
      <c r="V878" s="111"/>
      <c r="W878" s="111"/>
      <c r="X878" s="111"/>
      <c r="Y878" s="111"/>
      <c r="Z878" s="111"/>
      <c r="AA878" s="111"/>
    </row>
    <row r="879" spans="1:27" s="118" customFormat="1" x14ac:dyDescent="0.2">
      <c r="A879" s="10"/>
      <c r="B879" s="10"/>
      <c r="C879" s="191"/>
      <c r="D879" s="110"/>
      <c r="E879" s="158"/>
      <c r="F879" s="267"/>
      <c r="G879" s="267"/>
      <c r="H879" s="267"/>
      <c r="I879" s="250"/>
      <c r="J879" s="263"/>
      <c r="K879" s="137"/>
      <c r="L879" s="137"/>
      <c r="M879" s="137"/>
      <c r="N879" s="138"/>
      <c r="O879" s="167"/>
      <c r="P879" s="111"/>
      <c r="Q879" s="111"/>
      <c r="R879" s="111"/>
      <c r="S879" s="111"/>
      <c r="T879" s="111"/>
      <c r="U879" s="111"/>
      <c r="V879" s="111"/>
      <c r="W879" s="111"/>
      <c r="X879" s="111"/>
      <c r="Y879" s="111"/>
      <c r="Z879" s="111"/>
      <c r="AA879" s="111"/>
    </row>
    <row r="880" spans="1:27" s="145" customFormat="1" x14ac:dyDescent="0.2">
      <c r="A880" s="192"/>
      <c r="B880" s="192"/>
      <c r="C880" s="193"/>
      <c r="D880" s="336"/>
      <c r="E880" s="192"/>
      <c r="F880" s="269"/>
      <c r="G880" s="269"/>
      <c r="H880" s="269"/>
      <c r="I880" s="254"/>
      <c r="J880" s="269"/>
      <c r="K880" s="142"/>
      <c r="L880" s="142"/>
      <c r="M880" s="142"/>
      <c r="N880" s="143">
        <f>SUM(N882:N900)</f>
        <v>0</v>
      </c>
      <c r="O880" s="285"/>
      <c r="P880" s="144"/>
      <c r="Q880" s="144"/>
      <c r="R880" s="144"/>
      <c r="S880" s="144"/>
      <c r="T880" s="144"/>
      <c r="U880" s="144"/>
      <c r="V880" s="144"/>
      <c r="W880" s="144"/>
      <c r="X880" s="144"/>
      <c r="Y880" s="144"/>
      <c r="Z880" s="144"/>
      <c r="AA880" s="144"/>
    </row>
    <row r="881" spans="1:27" s="118" customFormat="1" x14ac:dyDescent="0.2">
      <c r="A881" s="10"/>
      <c r="B881" s="10"/>
      <c r="C881" s="15"/>
      <c r="D881" s="343"/>
      <c r="E881" s="158"/>
      <c r="F881" s="267"/>
      <c r="G881" s="267"/>
      <c r="H881" s="267"/>
      <c r="I881" s="339"/>
      <c r="J881" s="267"/>
      <c r="K881" s="137"/>
      <c r="L881" s="137"/>
      <c r="M881" s="137"/>
      <c r="N881" s="138"/>
      <c r="O881" s="167"/>
      <c r="P881" s="111"/>
      <c r="Q881" s="111"/>
      <c r="R881" s="111"/>
      <c r="S881" s="111"/>
      <c r="T881" s="111"/>
      <c r="U881" s="111"/>
      <c r="V881" s="111"/>
      <c r="W881" s="111"/>
      <c r="X881" s="111"/>
      <c r="Y881" s="111"/>
      <c r="Z881" s="111"/>
      <c r="AA881" s="111"/>
    </row>
    <row r="882" spans="1:27" s="147" customFormat="1" x14ac:dyDescent="0.2">
      <c r="A882" s="184"/>
      <c r="B882" s="184"/>
      <c r="C882" s="185"/>
      <c r="D882" s="341"/>
      <c r="E882" s="184"/>
      <c r="F882" s="338"/>
      <c r="G882" s="338"/>
      <c r="H882" s="338"/>
      <c r="I882" s="257"/>
      <c r="J882" s="338"/>
      <c r="K882" s="131">
        <f>J887</f>
        <v>0</v>
      </c>
      <c r="L882" s="106">
        <v>59.97</v>
      </c>
      <c r="M882" s="131">
        <f>ROUND(L882*(1+$Q$5),2)</f>
        <v>75.88</v>
      </c>
      <c r="N882" s="133">
        <f>TRUNC(K882*M882,2)</f>
        <v>0</v>
      </c>
      <c r="O882" s="286"/>
      <c r="P882" s="146"/>
      <c r="Q882" s="146"/>
      <c r="R882" s="146"/>
      <c r="S882" s="146"/>
      <c r="T882" s="146"/>
      <c r="U882" s="146"/>
      <c r="V882" s="146"/>
      <c r="W882" s="146"/>
      <c r="X882" s="146"/>
      <c r="Y882" s="146"/>
      <c r="Z882" s="146"/>
      <c r="AA882" s="146"/>
    </row>
    <row r="883" spans="1:27" s="118" customFormat="1" x14ac:dyDescent="0.2">
      <c r="A883" s="10"/>
      <c r="B883" s="10"/>
      <c r="C883" s="191"/>
      <c r="D883" s="115"/>
      <c r="E883" s="158"/>
      <c r="F883" s="267"/>
      <c r="G883" s="267"/>
      <c r="H883" s="267"/>
      <c r="I883" s="250"/>
      <c r="J883" s="267"/>
      <c r="K883" s="137"/>
      <c r="L883" s="137"/>
      <c r="M883" s="137"/>
      <c r="N883" s="138"/>
      <c r="O883" s="167"/>
      <c r="P883" s="111"/>
      <c r="Q883" s="111"/>
      <c r="R883" s="111"/>
      <c r="S883" s="111"/>
      <c r="T883" s="111"/>
      <c r="U883" s="111"/>
      <c r="V883" s="111"/>
      <c r="W883" s="111"/>
      <c r="X883" s="111"/>
      <c r="Y883" s="111"/>
      <c r="Z883" s="111"/>
      <c r="AA883" s="111"/>
    </row>
    <row r="884" spans="1:27" s="118" customFormat="1" x14ac:dyDescent="0.2">
      <c r="A884" s="10"/>
      <c r="B884" s="10"/>
      <c r="C884" s="191"/>
      <c r="D884" s="115"/>
      <c r="E884" s="158"/>
      <c r="F884" s="267"/>
      <c r="G884" s="267"/>
      <c r="H884" s="267"/>
      <c r="I884" s="250"/>
      <c r="J884" s="267"/>
      <c r="K884" s="137"/>
      <c r="L884" s="137"/>
      <c r="M884" s="137"/>
      <c r="N884" s="138"/>
      <c r="O884" s="167"/>
      <c r="P884" s="111"/>
      <c r="Q884" s="111"/>
      <c r="R884" s="111"/>
      <c r="S884" s="111"/>
      <c r="T884" s="111"/>
      <c r="U884" s="111"/>
      <c r="V884" s="111"/>
      <c r="W884" s="111"/>
      <c r="X884" s="111"/>
      <c r="Y884" s="111"/>
      <c r="Z884" s="111"/>
      <c r="AA884" s="111"/>
    </row>
    <row r="885" spans="1:27" s="118" customFormat="1" x14ac:dyDescent="0.2">
      <c r="A885" s="10"/>
      <c r="B885" s="10"/>
      <c r="C885" s="191"/>
      <c r="D885" s="115"/>
      <c r="E885" s="158"/>
      <c r="F885" s="267"/>
      <c r="G885" s="267"/>
      <c r="H885" s="267"/>
      <c r="I885" s="250"/>
      <c r="J885" s="267"/>
      <c r="K885" s="137"/>
      <c r="L885" s="137"/>
      <c r="M885" s="137"/>
      <c r="N885" s="138"/>
      <c r="O885" s="167"/>
      <c r="P885" s="111"/>
      <c r="Q885" s="111"/>
      <c r="R885" s="111"/>
      <c r="S885" s="111"/>
      <c r="T885" s="111"/>
      <c r="U885" s="111"/>
      <c r="V885" s="111"/>
      <c r="W885" s="111"/>
      <c r="X885" s="111"/>
      <c r="Y885" s="111"/>
      <c r="Z885" s="111"/>
      <c r="AA885" s="111"/>
    </row>
    <row r="886" spans="1:27" s="118" customFormat="1" x14ac:dyDescent="0.2">
      <c r="A886" s="10"/>
      <c r="B886" s="10"/>
      <c r="C886" s="191"/>
      <c r="D886" s="115"/>
      <c r="E886" s="158"/>
      <c r="F886" s="267"/>
      <c r="G886" s="267"/>
      <c r="H886" s="267"/>
      <c r="I886" s="250"/>
      <c r="J886" s="267"/>
      <c r="K886" s="137"/>
      <c r="L886" s="137"/>
      <c r="M886" s="137"/>
      <c r="N886" s="138"/>
      <c r="O886" s="167"/>
      <c r="P886" s="111"/>
      <c r="Q886" s="111"/>
      <c r="R886" s="111"/>
      <c r="S886" s="111"/>
      <c r="T886" s="111"/>
      <c r="U886" s="111"/>
      <c r="V886" s="111"/>
      <c r="W886" s="111"/>
      <c r="X886" s="111"/>
      <c r="Y886" s="111"/>
      <c r="Z886" s="111"/>
      <c r="AA886" s="111"/>
    </row>
    <row r="887" spans="1:27" s="118" customFormat="1" x14ac:dyDescent="0.2">
      <c r="A887" s="10"/>
      <c r="B887" s="10"/>
      <c r="C887" s="190"/>
      <c r="D887" s="110"/>
      <c r="E887" s="158"/>
      <c r="F887" s="267"/>
      <c r="G887" s="267"/>
      <c r="H887" s="267"/>
      <c r="I887" s="250"/>
      <c r="J887" s="338"/>
      <c r="K887" s="137"/>
      <c r="L887" s="137"/>
      <c r="M887" s="137"/>
      <c r="N887" s="138"/>
      <c r="O887" s="167"/>
      <c r="P887" s="111"/>
      <c r="Q887" s="111"/>
      <c r="R887" s="111"/>
      <c r="S887" s="111"/>
      <c r="T887" s="111"/>
      <c r="U887" s="111"/>
      <c r="V887" s="111"/>
      <c r="W887" s="111"/>
      <c r="X887" s="111"/>
      <c r="Y887" s="111"/>
      <c r="Z887" s="111"/>
      <c r="AA887" s="111"/>
    </row>
    <row r="888" spans="1:27" s="118" customFormat="1" x14ac:dyDescent="0.2">
      <c r="A888" s="10"/>
      <c r="B888" s="10"/>
      <c r="C888" s="157"/>
      <c r="D888" s="110"/>
      <c r="E888" s="158"/>
      <c r="F888" s="267"/>
      <c r="G888" s="267"/>
      <c r="H888" s="267"/>
      <c r="I888" s="250"/>
      <c r="J888" s="266"/>
      <c r="K888" s="137"/>
      <c r="L888" s="137"/>
      <c r="M888" s="137"/>
      <c r="N888" s="138"/>
      <c r="O888" s="167"/>
      <c r="P888" s="111"/>
      <c r="Q888" s="111"/>
      <c r="R888" s="111"/>
      <c r="S888" s="111"/>
      <c r="T888" s="111"/>
      <c r="U888" s="111"/>
      <c r="V888" s="111"/>
      <c r="W888" s="111"/>
      <c r="X888" s="111"/>
      <c r="Y888" s="111"/>
      <c r="Z888" s="111"/>
      <c r="AA888" s="111"/>
    </row>
    <row r="889" spans="1:27" s="147" customFormat="1" x14ac:dyDescent="0.2">
      <c r="A889" s="184"/>
      <c r="B889" s="184"/>
      <c r="C889" s="185"/>
      <c r="D889" s="341"/>
      <c r="E889" s="184"/>
      <c r="F889" s="338"/>
      <c r="G889" s="338"/>
      <c r="H889" s="338"/>
      <c r="I889" s="257"/>
      <c r="J889" s="338"/>
      <c r="K889" s="131">
        <f>J891</f>
        <v>0</v>
      </c>
      <c r="L889" s="131">
        <f>'COMPOSICOES - SINAPI COM DESON'!G18</f>
        <v>5.79</v>
      </c>
      <c r="M889" s="131">
        <f>ROUND(L889*(1+$Q$5),2)</f>
        <v>7.33</v>
      </c>
      <c r="N889" s="133">
        <f>TRUNC(K889*M889,2)</f>
        <v>0</v>
      </c>
      <c r="O889" s="286"/>
      <c r="P889" s="146"/>
      <c r="Q889" s="146"/>
      <c r="R889" s="146"/>
      <c r="S889" s="146"/>
      <c r="T889" s="146"/>
      <c r="U889" s="146"/>
      <c r="V889" s="146"/>
      <c r="W889" s="146"/>
      <c r="X889" s="146"/>
      <c r="Y889" s="146"/>
      <c r="Z889" s="146"/>
      <c r="AA889" s="146"/>
    </row>
    <row r="890" spans="1:27" s="118" customFormat="1" x14ac:dyDescent="0.2">
      <c r="A890" s="10"/>
      <c r="B890" s="10"/>
      <c r="C890" s="191"/>
      <c r="D890" s="115"/>
      <c r="E890" s="158"/>
      <c r="F890" s="345"/>
      <c r="G890" s="267"/>
      <c r="H890" s="267"/>
      <c r="I890" s="250"/>
      <c r="J890" s="267"/>
      <c r="K890" s="137"/>
      <c r="L890" s="137"/>
      <c r="M890" s="137"/>
      <c r="N890" s="138"/>
      <c r="O890" s="167"/>
      <c r="P890" s="111"/>
      <c r="Q890" s="111"/>
      <c r="R890" s="111"/>
      <c r="S890" s="111"/>
      <c r="T890" s="111"/>
      <c r="U890" s="111"/>
      <c r="V890" s="111"/>
      <c r="W890" s="111"/>
      <c r="X890" s="111"/>
      <c r="Y890" s="111"/>
      <c r="Z890" s="111"/>
      <c r="AA890" s="111"/>
    </row>
    <row r="891" spans="1:27" s="118" customFormat="1" x14ac:dyDescent="0.2">
      <c r="A891" s="10"/>
      <c r="B891" s="10"/>
      <c r="C891" s="190"/>
      <c r="D891" s="110"/>
      <c r="E891" s="158"/>
      <c r="F891" s="267"/>
      <c r="G891" s="267"/>
      <c r="H891" s="267"/>
      <c r="I891" s="250"/>
      <c r="J891" s="338"/>
      <c r="K891" s="137"/>
      <c r="L891" s="137"/>
      <c r="M891" s="137"/>
      <c r="N891" s="138"/>
      <c r="O891" s="167"/>
      <c r="P891" s="111"/>
      <c r="Q891" s="111"/>
      <c r="R891" s="111"/>
      <c r="S891" s="111"/>
      <c r="T891" s="111"/>
      <c r="U891" s="111"/>
      <c r="V891" s="111"/>
      <c r="W891" s="111"/>
      <c r="X891" s="111"/>
      <c r="Y891" s="111"/>
      <c r="Z891" s="111"/>
      <c r="AA891" s="111"/>
    </row>
    <row r="892" spans="1:27" s="118" customFormat="1" x14ac:dyDescent="0.2">
      <c r="A892" s="10"/>
      <c r="B892" s="10"/>
      <c r="C892" s="157"/>
      <c r="D892" s="110"/>
      <c r="E892" s="158"/>
      <c r="F892" s="267"/>
      <c r="G892" s="267"/>
      <c r="H892" s="267"/>
      <c r="I892" s="250"/>
      <c r="J892" s="266"/>
      <c r="K892" s="137"/>
      <c r="L892" s="137"/>
      <c r="M892" s="137"/>
      <c r="N892" s="138"/>
      <c r="O892" s="167"/>
      <c r="P892" s="111"/>
      <c r="Q892" s="111"/>
      <c r="R892" s="111"/>
      <c r="S892" s="111"/>
      <c r="T892" s="111"/>
      <c r="U892" s="111"/>
      <c r="V892" s="111"/>
      <c r="W892" s="111"/>
      <c r="X892" s="111"/>
      <c r="Y892" s="111"/>
      <c r="Z892" s="111"/>
      <c r="AA892" s="111"/>
    </row>
    <row r="893" spans="1:27" s="147" customFormat="1" x14ac:dyDescent="0.2">
      <c r="A893" s="184"/>
      <c r="B893" s="184"/>
      <c r="C893" s="185"/>
      <c r="D893" s="341"/>
      <c r="E893" s="184"/>
      <c r="F893" s="338"/>
      <c r="G893" s="338"/>
      <c r="H893" s="338"/>
      <c r="I893" s="257"/>
      <c r="J893" s="338"/>
      <c r="K893" s="131">
        <f>J895</f>
        <v>0</v>
      </c>
      <c r="L893" s="131">
        <v>35.01</v>
      </c>
      <c r="M893" s="131">
        <f>ROUND(L893*(1+$Q$5),2)</f>
        <v>44.3</v>
      </c>
      <c r="N893" s="133">
        <f>TRUNC(K893*M893,2)</f>
        <v>0</v>
      </c>
      <c r="O893" s="286"/>
      <c r="P893" s="146"/>
      <c r="Q893" s="146"/>
      <c r="R893" s="146"/>
      <c r="S893" s="146"/>
      <c r="T893" s="146"/>
      <c r="U893" s="146"/>
      <c r="V893" s="146"/>
      <c r="W893" s="146"/>
      <c r="X893" s="146"/>
      <c r="Y893" s="146"/>
      <c r="Z893" s="146"/>
      <c r="AA893" s="146"/>
    </row>
    <row r="894" spans="1:27" s="118" customFormat="1" x14ac:dyDescent="0.2">
      <c r="A894" s="10"/>
      <c r="B894" s="10"/>
      <c r="C894" s="15"/>
      <c r="D894" s="343"/>
      <c r="E894" s="158"/>
      <c r="F894" s="345"/>
      <c r="G894" s="267"/>
      <c r="H894" s="267"/>
      <c r="I894" s="339"/>
      <c r="J894" s="267"/>
      <c r="K894" s="137"/>
      <c r="L894" s="137"/>
      <c r="M894" s="137"/>
      <c r="N894" s="138"/>
      <c r="O894" s="167"/>
      <c r="P894" s="111"/>
      <c r="Q894" s="111"/>
      <c r="R894" s="111"/>
      <c r="S894" s="111"/>
      <c r="T894" s="111"/>
      <c r="U894" s="111"/>
      <c r="V894" s="111"/>
      <c r="W894" s="111"/>
      <c r="X894" s="111"/>
      <c r="Y894" s="111"/>
      <c r="Z894" s="111"/>
      <c r="AA894" s="111"/>
    </row>
    <row r="895" spans="1:27" s="118" customFormat="1" x14ac:dyDescent="0.2">
      <c r="A895" s="10"/>
      <c r="B895" s="10"/>
      <c r="C895" s="15"/>
      <c r="D895" s="340"/>
      <c r="E895" s="158"/>
      <c r="F895" s="267"/>
      <c r="G895" s="267"/>
      <c r="H895" s="267"/>
      <c r="I895" s="250"/>
      <c r="J895" s="338"/>
      <c r="K895" s="137"/>
      <c r="L895" s="137"/>
      <c r="M895" s="137"/>
      <c r="N895" s="138"/>
      <c r="O895" s="167"/>
      <c r="P895" s="111"/>
      <c r="Q895" s="111"/>
      <c r="R895" s="111"/>
      <c r="S895" s="111"/>
      <c r="T895" s="111"/>
      <c r="U895" s="111"/>
      <c r="V895" s="111"/>
      <c r="W895" s="111"/>
      <c r="X895" s="111"/>
      <c r="Y895" s="111"/>
      <c r="Z895" s="111"/>
      <c r="AA895" s="111"/>
    </row>
    <row r="896" spans="1:27" s="118" customFormat="1" x14ac:dyDescent="0.2">
      <c r="A896" s="10"/>
      <c r="B896" s="10"/>
      <c r="C896" s="157"/>
      <c r="D896" s="115"/>
      <c r="E896" s="158"/>
      <c r="F896" s="267"/>
      <c r="G896" s="267"/>
      <c r="H896" s="267"/>
      <c r="I896" s="250"/>
      <c r="J896" s="266"/>
      <c r="K896" s="137"/>
      <c r="L896" s="137"/>
      <c r="M896" s="137"/>
      <c r="N896" s="138"/>
      <c r="O896" s="167"/>
      <c r="P896" s="111"/>
      <c r="Q896" s="111"/>
      <c r="R896" s="111"/>
      <c r="S896" s="111"/>
      <c r="T896" s="111"/>
      <c r="U896" s="111"/>
      <c r="V896" s="111"/>
      <c r="W896" s="111"/>
      <c r="X896" s="111"/>
      <c r="Y896" s="111"/>
      <c r="Z896" s="111"/>
      <c r="AA896" s="111"/>
    </row>
    <row r="897" spans="1:27" s="147" customFormat="1" x14ac:dyDescent="0.2">
      <c r="A897" s="184"/>
      <c r="B897" s="184"/>
      <c r="C897" s="185"/>
      <c r="D897" s="337"/>
      <c r="E897" s="184"/>
      <c r="F897" s="338"/>
      <c r="G897" s="338"/>
      <c r="H897" s="338"/>
      <c r="I897" s="257"/>
      <c r="J897" s="338"/>
      <c r="K897" s="131">
        <f>J899</f>
        <v>0</v>
      </c>
      <c r="L897" s="131">
        <v>94.8</v>
      </c>
      <c r="M897" s="131">
        <f>ROUND(L897*(1+$Q$5),2)</f>
        <v>119.95</v>
      </c>
      <c r="N897" s="133">
        <f>TRUNC(K897*M897,2)</f>
        <v>0</v>
      </c>
      <c r="O897" s="286"/>
      <c r="P897" s="146"/>
      <c r="Q897" s="146"/>
      <c r="R897" s="146"/>
      <c r="S897" s="146"/>
      <c r="T897" s="146"/>
      <c r="U897" s="146"/>
      <c r="V897" s="146"/>
      <c r="W897" s="146"/>
      <c r="X897" s="146"/>
      <c r="Y897" s="146"/>
      <c r="Z897" s="146"/>
      <c r="AA897" s="146"/>
    </row>
    <row r="898" spans="1:27" s="118" customFormat="1" x14ac:dyDescent="0.2">
      <c r="A898" s="10"/>
      <c r="B898" s="10"/>
      <c r="C898" s="15"/>
      <c r="D898" s="343"/>
      <c r="E898" s="158"/>
      <c r="F898" s="345"/>
      <c r="G898" s="267"/>
      <c r="H898" s="267"/>
      <c r="I898" s="339"/>
      <c r="J898" s="267"/>
      <c r="K898" s="137"/>
      <c r="L898" s="137"/>
      <c r="M898" s="137"/>
      <c r="N898" s="138"/>
      <c r="O898" s="167"/>
      <c r="P898" s="111"/>
      <c r="Q898" s="111"/>
      <c r="R898" s="111"/>
      <c r="S898" s="111"/>
      <c r="T898" s="111"/>
      <c r="U898" s="111"/>
      <c r="V898" s="111"/>
      <c r="W898" s="111"/>
      <c r="X898" s="111"/>
      <c r="Y898" s="111"/>
      <c r="Z898" s="111"/>
      <c r="AA898" s="111"/>
    </row>
    <row r="899" spans="1:27" s="118" customFormat="1" x14ac:dyDescent="0.2">
      <c r="A899" s="10"/>
      <c r="B899" s="10"/>
      <c r="C899" s="15"/>
      <c r="D899" s="340"/>
      <c r="E899" s="158"/>
      <c r="F899" s="267"/>
      <c r="G899" s="267"/>
      <c r="H899" s="267"/>
      <c r="I899" s="250"/>
      <c r="J899" s="338"/>
      <c r="K899" s="137"/>
      <c r="L899" s="137"/>
      <c r="M899" s="137"/>
      <c r="N899" s="138"/>
      <c r="O899" s="167"/>
      <c r="P899" s="111"/>
      <c r="Q899" s="111"/>
      <c r="R899" s="111"/>
      <c r="S899" s="111"/>
      <c r="T899" s="111"/>
      <c r="U899" s="111"/>
      <c r="V899" s="111"/>
      <c r="W899" s="111"/>
      <c r="X899" s="111"/>
      <c r="Y899" s="111"/>
      <c r="Z899" s="111"/>
      <c r="AA899" s="111"/>
    </row>
    <row r="900" spans="1:27" s="118" customFormat="1" x14ac:dyDescent="0.2">
      <c r="A900" s="10"/>
      <c r="B900" s="10"/>
      <c r="C900" s="157"/>
      <c r="D900" s="115"/>
      <c r="E900" s="158"/>
      <c r="F900" s="267"/>
      <c r="G900" s="267"/>
      <c r="H900" s="267"/>
      <c r="I900" s="250"/>
      <c r="J900" s="266"/>
      <c r="K900" s="137"/>
      <c r="L900" s="137"/>
      <c r="M900" s="137"/>
      <c r="N900" s="138"/>
      <c r="O900" s="167"/>
      <c r="P900" s="111"/>
      <c r="Q900" s="111"/>
      <c r="R900" s="111"/>
      <c r="S900" s="111"/>
      <c r="T900" s="111"/>
      <c r="U900" s="111"/>
      <c r="V900" s="111"/>
      <c r="W900" s="111"/>
      <c r="X900" s="111"/>
      <c r="Y900" s="111"/>
      <c r="Z900" s="111"/>
      <c r="AA900" s="111"/>
    </row>
    <row r="901" spans="1:27" s="145" customFormat="1" x14ac:dyDescent="0.2">
      <c r="A901" s="192"/>
      <c r="B901" s="192"/>
      <c r="C901" s="193"/>
      <c r="D901" s="336"/>
      <c r="E901" s="192"/>
      <c r="F901" s="269"/>
      <c r="G901" s="269"/>
      <c r="H901" s="269"/>
      <c r="I901" s="254"/>
      <c r="J901" s="269"/>
      <c r="K901" s="142"/>
      <c r="L901" s="142"/>
      <c r="M901" s="142"/>
      <c r="N901" s="143">
        <f>SUM(N903:N920)</f>
        <v>0</v>
      </c>
      <c r="O901" s="285"/>
      <c r="P901" s="144"/>
      <c r="Q901" s="144"/>
      <c r="R901" s="144"/>
      <c r="S901" s="144"/>
      <c r="T901" s="144"/>
      <c r="U901" s="144"/>
      <c r="V901" s="144"/>
      <c r="W901" s="144"/>
      <c r="X901" s="144"/>
      <c r="Y901" s="144"/>
      <c r="Z901" s="144"/>
      <c r="AA901" s="144"/>
    </row>
    <row r="902" spans="1:27" s="118" customFormat="1" x14ac:dyDescent="0.2">
      <c r="A902" s="10"/>
      <c r="B902" s="10"/>
      <c r="C902" s="157"/>
      <c r="D902" s="115"/>
      <c r="E902" s="158"/>
      <c r="F902" s="267"/>
      <c r="G902" s="267"/>
      <c r="H902" s="267"/>
      <c r="I902" s="250"/>
      <c r="J902" s="266"/>
      <c r="K902" s="137"/>
      <c r="L902" s="137"/>
      <c r="M902" s="137"/>
      <c r="N902" s="138"/>
      <c r="O902" s="167"/>
      <c r="P902" s="111"/>
      <c r="Q902" s="111"/>
      <c r="R902" s="111"/>
      <c r="S902" s="111"/>
      <c r="T902" s="111"/>
      <c r="U902" s="111"/>
      <c r="V902" s="111"/>
      <c r="W902" s="111"/>
      <c r="X902" s="111"/>
      <c r="Y902" s="111"/>
      <c r="Z902" s="111"/>
      <c r="AA902" s="111"/>
    </row>
    <row r="903" spans="1:27" s="147" customFormat="1" x14ac:dyDescent="0.2">
      <c r="A903" s="184"/>
      <c r="B903" s="184"/>
      <c r="C903" s="185"/>
      <c r="D903" s="341"/>
      <c r="E903" s="184"/>
      <c r="F903" s="338"/>
      <c r="G903" s="338"/>
      <c r="H903" s="338"/>
      <c r="I903" s="257"/>
      <c r="J903" s="338"/>
      <c r="K903" s="131">
        <f>J907</f>
        <v>0</v>
      </c>
      <c r="L903" s="106">
        <v>37.07</v>
      </c>
      <c r="M903" s="131">
        <f>ROUND(L903*(1+$Q$5),2)</f>
        <v>46.9</v>
      </c>
      <c r="N903" s="133">
        <f>TRUNC(K903*M903,2)</f>
        <v>0</v>
      </c>
      <c r="O903" s="286"/>
      <c r="P903" s="146"/>
      <c r="Q903" s="146"/>
      <c r="R903" s="146"/>
      <c r="S903" s="146"/>
      <c r="T903" s="146"/>
      <c r="U903" s="146"/>
      <c r="V903" s="146"/>
      <c r="W903" s="146"/>
      <c r="X903" s="146"/>
      <c r="Y903" s="146"/>
      <c r="Z903" s="146"/>
      <c r="AA903" s="146"/>
    </row>
    <row r="904" spans="1:27" s="118" customFormat="1" x14ac:dyDescent="0.2">
      <c r="A904" s="10"/>
      <c r="B904" s="10"/>
      <c r="C904" s="191"/>
      <c r="D904" s="115"/>
      <c r="E904" s="158"/>
      <c r="F904" s="267"/>
      <c r="G904" s="267"/>
      <c r="H904" s="267"/>
      <c r="I904" s="339"/>
      <c r="J904" s="267"/>
      <c r="K904" s="137"/>
      <c r="L904" s="137"/>
      <c r="M904" s="137"/>
      <c r="N904" s="138"/>
      <c r="O904" s="167"/>
      <c r="P904" s="111"/>
      <c r="Q904" s="111"/>
      <c r="R904" s="111"/>
      <c r="S904" s="111"/>
      <c r="T904" s="111"/>
      <c r="U904" s="111"/>
      <c r="V904" s="111"/>
      <c r="W904" s="111"/>
      <c r="X904" s="111"/>
      <c r="Y904" s="111"/>
      <c r="Z904" s="111"/>
      <c r="AA904" s="111"/>
    </row>
    <row r="905" spans="1:27" s="118" customFormat="1" x14ac:dyDescent="0.2">
      <c r="A905" s="10"/>
      <c r="B905" s="10"/>
      <c r="C905" s="191"/>
      <c r="D905" s="115"/>
      <c r="E905" s="158"/>
      <c r="F905" s="267"/>
      <c r="G905" s="267"/>
      <c r="H905" s="267"/>
      <c r="I905" s="339"/>
      <c r="J905" s="267"/>
      <c r="K905" s="137"/>
      <c r="L905" s="137"/>
      <c r="M905" s="137"/>
      <c r="N905" s="138"/>
      <c r="O905" s="167"/>
      <c r="P905" s="111"/>
      <c r="Q905" s="111"/>
      <c r="R905" s="111"/>
      <c r="S905" s="111"/>
      <c r="T905" s="111"/>
      <c r="U905" s="111"/>
      <c r="V905" s="111"/>
      <c r="W905" s="111"/>
      <c r="X905" s="111"/>
      <c r="Y905" s="111"/>
      <c r="Z905" s="111"/>
      <c r="AA905" s="111"/>
    </row>
    <row r="906" spans="1:27" s="118" customFormat="1" x14ac:dyDescent="0.2">
      <c r="A906" s="10"/>
      <c r="B906" s="10"/>
      <c r="C906" s="191"/>
      <c r="D906" s="115"/>
      <c r="E906" s="158"/>
      <c r="F906" s="267"/>
      <c r="G906" s="267"/>
      <c r="H906" s="267"/>
      <c r="I906" s="339"/>
      <c r="J906" s="267"/>
      <c r="K906" s="137"/>
      <c r="L906" s="137"/>
      <c r="M906" s="137"/>
      <c r="N906" s="138"/>
      <c r="O906" s="167"/>
      <c r="P906" s="111"/>
      <c r="Q906" s="111"/>
      <c r="R906" s="111"/>
      <c r="S906" s="111"/>
      <c r="T906" s="111"/>
      <c r="U906" s="111"/>
      <c r="V906" s="111"/>
      <c r="W906" s="111"/>
      <c r="X906" s="111"/>
      <c r="Y906" s="111"/>
      <c r="Z906" s="111"/>
      <c r="AA906" s="111"/>
    </row>
    <row r="907" spans="1:27" s="118" customFormat="1" x14ac:dyDescent="0.2">
      <c r="A907" s="10"/>
      <c r="B907" s="10"/>
      <c r="C907" s="190"/>
      <c r="D907" s="110"/>
      <c r="E907" s="158"/>
      <c r="F907" s="267"/>
      <c r="G907" s="267"/>
      <c r="H907" s="267"/>
      <c r="I907" s="250"/>
      <c r="J907" s="338"/>
      <c r="K907" s="137"/>
      <c r="L907" s="137"/>
      <c r="M907" s="137"/>
      <c r="N907" s="138"/>
      <c r="O907" s="167"/>
      <c r="P907" s="111"/>
      <c r="Q907" s="111"/>
      <c r="R907" s="111"/>
      <c r="S907" s="111"/>
      <c r="T907" s="111"/>
      <c r="U907" s="111"/>
      <c r="V907" s="111"/>
      <c r="W907" s="111"/>
      <c r="X907" s="111"/>
      <c r="Y907" s="111"/>
      <c r="Z907" s="111"/>
      <c r="AA907" s="111"/>
    </row>
    <row r="908" spans="1:27" s="118" customFormat="1" x14ac:dyDescent="0.2">
      <c r="A908" s="10"/>
      <c r="B908" s="10"/>
      <c r="C908" s="157"/>
      <c r="D908" s="110"/>
      <c r="E908" s="158"/>
      <c r="F908" s="267"/>
      <c r="G908" s="267"/>
      <c r="H908" s="267"/>
      <c r="I908" s="250"/>
      <c r="J908" s="266"/>
      <c r="K908" s="137"/>
      <c r="L908" s="137"/>
      <c r="M908" s="137"/>
      <c r="N908" s="138"/>
      <c r="O908" s="167"/>
      <c r="P908" s="111"/>
      <c r="Q908" s="111"/>
      <c r="R908" s="111"/>
      <c r="S908" s="111"/>
      <c r="T908" s="111"/>
      <c r="U908" s="111"/>
      <c r="V908" s="111"/>
      <c r="W908" s="111"/>
      <c r="X908" s="111"/>
      <c r="Y908" s="111"/>
      <c r="Z908" s="111"/>
      <c r="AA908" s="111"/>
    </row>
    <row r="909" spans="1:27" s="147" customFormat="1" x14ac:dyDescent="0.2">
      <c r="A909" s="184"/>
      <c r="B909" s="184"/>
      <c r="C909" s="185"/>
      <c r="D909" s="341"/>
      <c r="E909" s="184"/>
      <c r="F909" s="338"/>
      <c r="G909" s="338"/>
      <c r="H909" s="338"/>
      <c r="I909" s="257"/>
      <c r="J909" s="338"/>
      <c r="K909" s="131">
        <f>J913</f>
        <v>0</v>
      </c>
      <c r="L909" s="106">
        <v>5.98</v>
      </c>
      <c r="M909" s="131">
        <f>ROUND(L909*(1+$Q$5),2)</f>
        <v>7.57</v>
      </c>
      <c r="N909" s="133">
        <f>TRUNC(K909*M909,2)</f>
        <v>0</v>
      </c>
      <c r="O909" s="286"/>
      <c r="P909" s="146"/>
      <c r="Q909" s="146"/>
      <c r="R909" s="146"/>
      <c r="S909" s="146"/>
      <c r="T909" s="146"/>
      <c r="U909" s="146"/>
      <c r="V909" s="146"/>
      <c r="W909" s="146"/>
      <c r="X909" s="146"/>
      <c r="Y909" s="146"/>
      <c r="Z909" s="146"/>
      <c r="AA909" s="146"/>
    </row>
    <row r="910" spans="1:27" s="118" customFormat="1" x14ac:dyDescent="0.2">
      <c r="A910" s="10"/>
      <c r="B910" s="10"/>
      <c r="C910" s="191"/>
      <c r="D910" s="115"/>
      <c r="E910" s="158"/>
      <c r="F910" s="267"/>
      <c r="G910" s="267"/>
      <c r="H910" s="267"/>
      <c r="I910" s="339"/>
      <c r="J910" s="267"/>
      <c r="K910" s="137"/>
      <c r="L910" s="137"/>
      <c r="M910" s="137"/>
      <c r="N910" s="138"/>
      <c r="O910" s="167"/>
      <c r="P910" s="111"/>
      <c r="Q910" s="111"/>
      <c r="R910" s="111"/>
      <c r="S910" s="111"/>
      <c r="T910" s="111"/>
      <c r="U910" s="111"/>
      <c r="V910" s="111"/>
      <c r="W910" s="111"/>
      <c r="X910" s="111"/>
      <c r="Y910" s="111"/>
      <c r="Z910" s="111"/>
      <c r="AA910" s="111"/>
    </row>
    <row r="911" spans="1:27" s="118" customFormat="1" x14ac:dyDescent="0.2">
      <c r="A911" s="10"/>
      <c r="B911" s="10"/>
      <c r="C911" s="191"/>
      <c r="D911" s="115"/>
      <c r="E911" s="158"/>
      <c r="F911" s="267"/>
      <c r="G911" s="267"/>
      <c r="H911" s="267"/>
      <c r="I911" s="339"/>
      <c r="J911" s="267"/>
      <c r="K911" s="137"/>
      <c r="L911" s="137"/>
      <c r="M911" s="137"/>
      <c r="N911" s="138"/>
      <c r="O911" s="167"/>
      <c r="P911" s="111"/>
      <c r="Q911" s="111"/>
      <c r="R911" s="111"/>
      <c r="S911" s="111"/>
      <c r="T911" s="111"/>
      <c r="U911" s="111"/>
      <c r="V911" s="111"/>
      <c r="W911" s="111"/>
      <c r="X911" s="111"/>
      <c r="Y911" s="111"/>
      <c r="Z911" s="111"/>
      <c r="AA911" s="111"/>
    </row>
    <row r="912" spans="1:27" s="118" customFormat="1" x14ac:dyDescent="0.2">
      <c r="A912" s="10"/>
      <c r="B912" s="10"/>
      <c r="C912" s="191"/>
      <c r="D912" s="115"/>
      <c r="E912" s="158"/>
      <c r="F912" s="267"/>
      <c r="G912" s="267"/>
      <c r="H912" s="267"/>
      <c r="I912" s="339"/>
      <c r="J912" s="267"/>
      <c r="K912" s="137"/>
      <c r="L912" s="137"/>
      <c r="M912" s="137"/>
      <c r="N912" s="138"/>
      <c r="O912" s="167"/>
      <c r="P912" s="111"/>
      <c r="Q912" s="111"/>
      <c r="R912" s="111"/>
      <c r="S912" s="111"/>
      <c r="T912" s="111"/>
      <c r="U912" s="111"/>
      <c r="V912" s="111"/>
      <c r="W912" s="111"/>
      <c r="X912" s="111"/>
      <c r="Y912" s="111"/>
      <c r="Z912" s="111"/>
      <c r="AA912" s="111"/>
    </row>
    <row r="913" spans="1:27" s="118" customFormat="1" x14ac:dyDescent="0.2">
      <c r="A913" s="10"/>
      <c r="B913" s="10"/>
      <c r="C913" s="190"/>
      <c r="D913" s="110"/>
      <c r="E913" s="158"/>
      <c r="F913" s="267"/>
      <c r="G913" s="267"/>
      <c r="H913" s="267"/>
      <c r="I913" s="250"/>
      <c r="J913" s="338"/>
      <c r="K913" s="137"/>
      <c r="L913" s="137"/>
      <c r="M913" s="137"/>
      <c r="N913" s="138"/>
      <c r="O913" s="167"/>
      <c r="P913" s="111"/>
      <c r="Q913" s="111"/>
      <c r="R913" s="111"/>
      <c r="S913" s="111"/>
      <c r="T913" s="111"/>
      <c r="U913" s="111"/>
      <c r="V913" s="111"/>
      <c r="W913" s="111"/>
      <c r="X913" s="111"/>
      <c r="Y913" s="111"/>
      <c r="Z913" s="111"/>
      <c r="AA913" s="111"/>
    </row>
    <row r="914" spans="1:27" s="118" customFormat="1" x14ac:dyDescent="0.2">
      <c r="A914" s="10"/>
      <c r="B914" s="10"/>
      <c r="C914" s="157"/>
      <c r="D914" s="110"/>
      <c r="E914" s="158"/>
      <c r="F914" s="267"/>
      <c r="G914" s="267"/>
      <c r="H914" s="267"/>
      <c r="I914" s="250"/>
      <c r="J914" s="266"/>
      <c r="K914" s="137"/>
      <c r="L914" s="137"/>
      <c r="M914" s="137"/>
      <c r="N914" s="138"/>
      <c r="O914" s="167"/>
      <c r="P914" s="111"/>
      <c r="Q914" s="111"/>
      <c r="R914" s="111"/>
      <c r="S914" s="111"/>
      <c r="T914" s="111"/>
      <c r="U914" s="111"/>
      <c r="V914" s="111"/>
      <c r="W914" s="111"/>
      <c r="X914" s="111"/>
      <c r="Y914" s="111"/>
      <c r="Z914" s="111"/>
      <c r="AA914" s="111"/>
    </row>
    <row r="915" spans="1:27" s="147" customFormat="1" x14ac:dyDescent="0.2">
      <c r="A915" s="184"/>
      <c r="B915" s="184"/>
      <c r="C915" s="185"/>
      <c r="D915" s="341"/>
      <c r="E915" s="184"/>
      <c r="F915" s="338"/>
      <c r="G915" s="338"/>
      <c r="H915" s="338"/>
      <c r="I915" s="257"/>
      <c r="J915" s="338"/>
      <c r="K915" s="131">
        <f>J919</f>
        <v>0</v>
      </c>
      <c r="L915" s="106">
        <v>22.25</v>
      </c>
      <c r="M915" s="131">
        <f>ROUND(L915*(1+$Q$5),2)</f>
        <v>28.15</v>
      </c>
      <c r="N915" s="133">
        <f>TRUNC(K915*M915,2)</f>
        <v>0</v>
      </c>
      <c r="O915" s="286"/>
      <c r="P915" s="146"/>
      <c r="Q915" s="146"/>
      <c r="R915" s="146"/>
      <c r="S915" s="146"/>
      <c r="T915" s="146"/>
      <c r="U915" s="146"/>
      <c r="V915" s="146"/>
      <c r="W915" s="146"/>
      <c r="X915" s="146"/>
      <c r="Y915" s="146"/>
      <c r="Z915" s="146"/>
      <c r="AA915" s="146"/>
    </row>
    <row r="916" spans="1:27" s="118" customFormat="1" x14ac:dyDescent="0.2">
      <c r="A916" s="10"/>
      <c r="B916" s="10"/>
      <c r="C916" s="191"/>
      <c r="D916" s="115"/>
      <c r="E916" s="158"/>
      <c r="F916" s="267"/>
      <c r="G916" s="267"/>
      <c r="H916" s="267"/>
      <c r="I916" s="339"/>
      <c r="J916" s="267"/>
      <c r="K916" s="137"/>
      <c r="L916" s="137"/>
      <c r="M916" s="137"/>
      <c r="N916" s="138"/>
      <c r="O916" s="167"/>
      <c r="P916" s="111"/>
      <c r="Q916" s="111"/>
      <c r="R916" s="111"/>
      <c r="S916" s="111"/>
      <c r="T916" s="111"/>
      <c r="U916" s="111"/>
      <c r="V916" s="111"/>
      <c r="W916" s="111"/>
      <c r="X916" s="111"/>
      <c r="Y916" s="111"/>
      <c r="Z916" s="111"/>
      <c r="AA916" s="111"/>
    </row>
    <row r="917" spans="1:27" s="118" customFormat="1" x14ac:dyDescent="0.2">
      <c r="A917" s="10"/>
      <c r="B917" s="10"/>
      <c r="C917" s="191"/>
      <c r="D917" s="115"/>
      <c r="E917" s="158"/>
      <c r="F917" s="267"/>
      <c r="G917" s="267"/>
      <c r="H917" s="267"/>
      <c r="I917" s="339"/>
      <c r="J917" s="267"/>
      <c r="K917" s="137"/>
      <c r="L917" s="137"/>
      <c r="M917" s="137"/>
      <c r="N917" s="138"/>
      <c r="O917" s="167"/>
      <c r="P917" s="111"/>
      <c r="Q917" s="111"/>
      <c r="R917" s="111"/>
      <c r="S917" s="111"/>
      <c r="T917" s="111"/>
      <c r="U917" s="111"/>
      <c r="V917" s="111"/>
      <c r="W917" s="111"/>
      <c r="X917" s="111"/>
      <c r="Y917" s="111"/>
      <c r="Z917" s="111"/>
      <c r="AA917" s="111"/>
    </row>
    <row r="918" spans="1:27" s="118" customFormat="1" x14ac:dyDescent="0.2">
      <c r="A918" s="10"/>
      <c r="B918" s="10"/>
      <c r="C918" s="191"/>
      <c r="D918" s="115"/>
      <c r="E918" s="158"/>
      <c r="F918" s="267"/>
      <c r="G918" s="267"/>
      <c r="H918" s="267"/>
      <c r="I918" s="339"/>
      <c r="J918" s="267"/>
      <c r="K918" s="137"/>
      <c r="L918" s="137"/>
      <c r="M918" s="137"/>
      <c r="N918" s="138"/>
      <c r="O918" s="167"/>
      <c r="P918" s="111"/>
      <c r="Q918" s="111"/>
      <c r="R918" s="111"/>
      <c r="S918" s="111"/>
      <c r="T918" s="111"/>
      <c r="U918" s="111"/>
      <c r="V918" s="111"/>
      <c r="W918" s="111"/>
      <c r="X918" s="111"/>
      <c r="Y918" s="111"/>
      <c r="Z918" s="111"/>
      <c r="AA918" s="111"/>
    </row>
    <row r="919" spans="1:27" s="118" customFormat="1" x14ac:dyDescent="0.2">
      <c r="A919" s="10"/>
      <c r="B919" s="10"/>
      <c r="C919" s="190"/>
      <c r="D919" s="110"/>
      <c r="E919" s="158"/>
      <c r="F919" s="267"/>
      <c r="G919" s="267"/>
      <c r="H919" s="267"/>
      <c r="I919" s="250"/>
      <c r="J919" s="338"/>
      <c r="K919" s="137"/>
      <c r="L919" s="137"/>
      <c r="M919" s="137"/>
      <c r="N919" s="138"/>
      <c r="O919" s="167"/>
      <c r="P919" s="111"/>
      <c r="Q919" s="111"/>
      <c r="R919" s="111"/>
      <c r="S919" s="111"/>
      <c r="T919" s="111"/>
      <c r="U919" s="111"/>
      <c r="V919" s="111"/>
      <c r="W919" s="111"/>
      <c r="X919" s="111"/>
      <c r="Y919" s="111"/>
      <c r="Z919" s="111"/>
      <c r="AA919" s="111"/>
    </row>
    <row r="920" spans="1:27" s="118" customFormat="1" x14ac:dyDescent="0.2">
      <c r="A920" s="10"/>
      <c r="B920" s="10"/>
      <c r="C920" s="157"/>
      <c r="D920" s="110"/>
      <c r="E920" s="158"/>
      <c r="F920" s="267"/>
      <c r="G920" s="267"/>
      <c r="H920" s="267"/>
      <c r="I920" s="250"/>
      <c r="J920" s="266"/>
      <c r="K920" s="137"/>
      <c r="L920" s="137"/>
      <c r="M920" s="137"/>
      <c r="N920" s="138"/>
      <c r="O920" s="167"/>
      <c r="P920" s="111"/>
      <c r="Q920" s="111"/>
      <c r="R920" s="111"/>
      <c r="S920" s="111"/>
      <c r="T920" s="111"/>
      <c r="U920" s="111"/>
      <c r="V920" s="111"/>
      <c r="W920" s="111"/>
      <c r="X920" s="111"/>
      <c r="Y920" s="111"/>
      <c r="Z920" s="111"/>
      <c r="AA920" s="111"/>
    </row>
    <row r="921" spans="1:27" s="145" customFormat="1" x14ac:dyDescent="0.2">
      <c r="A921" s="192"/>
      <c r="B921" s="192"/>
      <c r="C921" s="193"/>
      <c r="D921" s="336"/>
      <c r="E921" s="192"/>
      <c r="F921" s="269"/>
      <c r="G921" s="269"/>
      <c r="H921" s="269"/>
      <c r="I921" s="254"/>
      <c r="J921" s="269"/>
      <c r="K921" s="142"/>
      <c r="L921" s="142"/>
      <c r="M921" s="142"/>
      <c r="N921" s="143">
        <f>SUM(N922:N961)</f>
        <v>0</v>
      </c>
      <c r="O921" s="285"/>
      <c r="P921" s="144"/>
      <c r="Q921" s="144"/>
      <c r="R921" s="144"/>
      <c r="S921" s="144"/>
      <c r="T921" s="144"/>
      <c r="U921" s="144"/>
      <c r="V921" s="144"/>
      <c r="W921" s="144"/>
      <c r="X921" s="144"/>
      <c r="Y921" s="144"/>
      <c r="Z921" s="144"/>
      <c r="AA921" s="144"/>
    </row>
    <row r="922" spans="1:27" s="118" customFormat="1" x14ac:dyDescent="0.2">
      <c r="A922" s="10"/>
      <c r="B922" s="10"/>
      <c r="C922" s="157"/>
      <c r="D922" s="110"/>
      <c r="E922" s="158"/>
      <c r="F922" s="267"/>
      <c r="G922" s="267"/>
      <c r="H922" s="267"/>
      <c r="I922" s="250"/>
      <c r="J922" s="266"/>
      <c r="K922" s="137"/>
      <c r="L922" s="137"/>
      <c r="M922" s="137"/>
      <c r="N922" s="138"/>
      <c r="O922" s="167"/>
      <c r="P922" s="111"/>
      <c r="Q922" s="111"/>
      <c r="R922" s="111"/>
      <c r="S922" s="111"/>
      <c r="T922" s="111"/>
      <c r="U922" s="111"/>
      <c r="V922" s="111"/>
      <c r="W922" s="111"/>
      <c r="X922" s="111"/>
      <c r="Y922" s="111"/>
      <c r="Z922" s="111"/>
      <c r="AA922" s="111"/>
    </row>
    <row r="923" spans="1:27" s="233" customFormat="1" x14ac:dyDescent="0.2">
      <c r="A923" s="348"/>
      <c r="B923" s="348"/>
      <c r="C923" s="349"/>
      <c r="D923" s="350"/>
      <c r="E923" s="348"/>
      <c r="F923" s="351"/>
      <c r="G923" s="351"/>
      <c r="H923" s="351"/>
      <c r="I923" s="352"/>
      <c r="J923" s="351"/>
      <c r="K923" s="230"/>
      <c r="L923" s="230"/>
      <c r="M923" s="230"/>
      <c r="N923" s="231"/>
      <c r="O923" s="288"/>
      <c r="P923" s="232"/>
      <c r="Q923" s="232"/>
      <c r="R923" s="232"/>
      <c r="S923" s="232"/>
      <c r="T923" s="232"/>
      <c r="U923" s="232"/>
      <c r="V923" s="232"/>
      <c r="W923" s="232"/>
      <c r="X923" s="232"/>
      <c r="Y923" s="232"/>
      <c r="Z923" s="232"/>
      <c r="AA923" s="232"/>
    </row>
    <row r="924" spans="1:27" s="118" customFormat="1" x14ac:dyDescent="0.2">
      <c r="A924" s="10"/>
      <c r="B924" s="10"/>
      <c r="C924" s="157"/>
      <c r="D924" s="110"/>
      <c r="E924" s="158"/>
      <c r="F924" s="267"/>
      <c r="G924" s="267"/>
      <c r="H924" s="267"/>
      <c r="I924" s="250"/>
      <c r="J924" s="266"/>
      <c r="K924" s="137"/>
      <c r="L924" s="137"/>
      <c r="M924" s="137"/>
      <c r="N924" s="138"/>
      <c r="O924" s="167"/>
      <c r="P924" s="111"/>
      <c r="Q924" s="111"/>
      <c r="R924" s="111"/>
      <c r="S924" s="111"/>
      <c r="T924" s="111"/>
      <c r="U924" s="111"/>
      <c r="V924" s="111"/>
      <c r="W924" s="111"/>
      <c r="X924" s="111"/>
      <c r="Y924" s="111"/>
      <c r="Z924" s="111"/>
      <c r="AA924" s="111"/>
    </row>
    <row r="925" spans="1:27" s="147" customFormat="1" x14ac:dyDescent="0.2">
      <c r="A925" s="184"/>
      <c r="B925" s="184"/>
      <c r="C925" s="185"/>
      <c r="D925" s="337"/>
      <c r="E925" s="184"/>
      <c r="F925" s="338"/>
      <c r="G925" s="338"/>
      <c r="H925" s="338"/>
      <c r="I925" s="257"/>
      <c r="J925" s="338"/>
      <c r="K925" s="131">
        <f>J927</f>
        <v>0</v>
      </c>
      <c r="L925" s="106">
        <v>18.440000000000001</v>
      </c>
      <c r="M925" s="131">
        <f>ROUND(L925*(1+$Q$5),2)</f>
        <v>23.33</v>
      </c>
      <c r="N925" s="133">
        <f>TRUNC(K925*M925,2)</f>
        <v>0</v>
      </c>
      <c r="O925" s="286"/>
      <c r="P925" s="146"/>
      <c r="Q925" s="146"/>
      <c r="R925" s="146"/>
      <c r="S925" s="146"/>
      <c r="T925" s="146"/>
      <c r="U925" s="146"/>
      <c r="V925" s="146"/>
      <c r="W925" s="146"/>
      <c r="X925" s="146"/>
      <c r="Y925" s="146"/>
      <c r="Z925" s="146"/>
      <c r="AA925" s="146"/>
    </row>
    <row r="926" spans="1:27" s="118" customFormat="1" x14ac:dyDescent="0.2">
      <c r="A926" s="10"/>
      <c r="B926" s="10"/>
      <c r="C926" s="191"/>
      <c r="D926" s="115"/>
      <c r="E926" s="158"/>
      <c r="F926" s="267"/>
      <c r="G926" s="267"/>
      <c r="H926" s="267"/>
      <c r="I926" s="339"/>
      <c r="J926" s="267"/>
      <c r="K926" s="137"/>
      <c r="L926" s="137"/>
      <c r="M926" s="137"/>
      <c r="N926" s="138"/>
      <c r="O926" s="167"/>
      <c r="P926" s="111"/>
      <c r="Q926" s="111"/>
      <c r="R926" s="111"/>
      <c r="S926" s="111"/>
      <c r="T926" s="111"/>
      <c r="U926" s="111"/>
      <c r="V926" s="111"/>
      <c r="W926" s="111"/>
      <c r="X926" s="111"/>
      <c r="Y926" s="111"/>
      <c r="Z926" s="111"/>
      <c r="AA926" s="111"/>
    </row>
    <row r="927" spans="1:27" s="118" customFormat="1" x14ac:dyDescent="0.2">
      <c r="A927" s="10"/>
      <c r="B927" s="10"/>
      <c r="C927" s="190"/>
      <c r="D927" s="110"/>
      <c r="E927" s="158"/>
      <c r="F927" s="267"/>
      <c r="G927" s="267"/>
      <c r="H927" s="267"/>
      <c r="I927" s="250"/>
      <c r="J927" s="338"/>
      <c r="K927" s="137"/>
      <c r="L927" s="137"/>
      <c r="M927" s="137"/>
      <c r="N927" s="138"/>
      <c r="O927" s="167"/>
      <c r="P927" s="111"/>
      <c r="Q927" s="111"/>
      <c r="R927" s="111"/>
      <c r="S927" s="111"/>
      <c r="T927" s="111"/>
      <c r="U927" s="111"/>
      <c r="V927" s="111"/>
      <c r="W927" s="111"/>
      <c r="X927" s="111"/>
      <c r="Y927" s="111"/>
      <c r="Z927" s="111"/>
      <c r="AA927" s="111"/>
    </row>
    <row r="928" spans="1:27" s="118" customFormat="1" x14ac:dyDescent="0.2">
      <c r="A928" s="10"/>
      <c r="B928" s="10"/>
      <c r="C928" s="157"/>
      <c r="D928" s="110"/>
      <c r="E928" s="158"/>
      <c r="F928" s="267"/>
      <c r="G928" s="267"/>
      <c r="H928" s="267"/>
      <c r="I928" s="250"/>
      <c r="J928" s="266"/>
      <c r="K928" s="137"/>
      <c r="L928" s="137"/>
      <c r="M928" s="137"/>
      <c r="N928" s="138"/>
      <c r="O928" s="167"/>
      <c r="P928" s="111"/>
      <c r="Q928" s="111"/>
      <c r="R928" s="111"/>
      <c r="S928" s="111"/>
      <c r="T928" s="111"/>
      <c r="U928" s="111"/>
      <c r="V928" s="111"/>
      <c r="W928" s="111"/>
      <c r="X928" s="111"/>
      <c r="Y928" s="111"/>
      <c r="Z928" s="111"/>
      <c r="AA928" s="111"/>
    </row>
    <row r="929" spans="1:27" s="147" customFormat="1" x14ac:dyDescent="0.2">
      <c r="A929" s="184"/>
      <c r="B929" s="184"/>
      <c r="C929" s="185"/>
      <c r="D929" s="337"/>
      <c r="E929" s="184"/>
      <c r="F929" s="338"/>
      <c r="G929" s="338"/>
      <c r="H929" s="338"/>
      <c r="I929" s="257"/>
      <c r="J929" s="338"/>
      <c r="K929" s="131">
        <f>J933</f>
        <v>0</v>
      </c>
      <c r="L929" s="106">
        <v>25.14</v>
      </c>
      <c r="M929" s="131">
        <f>ROUND(L929*(1+$Q$5),2)</f>
        <v>31.81</v>
      </c>
      <c r="N929" s="133">
        <f>TRUNC(K929*M929,2)</f>
        <v>0</v>
      </c>
      <c r="O929" s="286"/>
      <c r="P929" s="146"/>
      <c r="Q929" s="146"/>
      <c r="R929" s="146"/>
      <c r="S929" s="146"/>
      <c r="T929" s="146"/>
      <c r="U929" s="146"/>
      <c r="V929" s="146"/>
      <c r="W929" s="146"/>
      <c r="X929" s="146"/>
      <c r="Y929" s="146"/>
      <c r="Z929" s="146"/>
      <c r="AA929" s="146"/>
    </row>
    <row r="930" spans="1:27" s="118" customFormat="1" x14ac:dyDescent="0.2">
      <c r="A930" s="10"/>
      <c r="B930" s="10"/>
      <c r="C930" s="191"/>
      <c r="D930" s="115"/>
      <c r="E930" s="158"/>
      <c r="F930" s="267"/>
      <c r="G930" s="267"/>
      <c r="H930" s="267"/>
      <c r="I930" s="339"/>
      <c r="J930" s="267"/>
      <c r="K930" s="137"/>
      <c r="L930" s="137"/>
      <c r="M930" s="137"/>
      <c r="N930" s="138"/>
      <c r="O930" s="167"/>
      <c r="P930" s="111"/>
      <c r="Q930" s="111"/>
      <c r="R930" s="111"/>
      <c r="S930" s="111"/>
      <c r="T930" s="111"/>
      <c r="U930" s="111"/>
      <c r="V930" s="111"/>
      <c r="W930" s="111"/>
      <c r="X930" s="111"/>
      <c r="Y930" s="111"/>
      <c r="Z930" s="111"/>
      <c r="AA930" s="111"/>
    </row>
    <row r="931" spans="1:27" s="118" customFormat="1" x14ac:dyDescent="0.2">
      <c r="A931" s="10"/>
      <c r="B931" s="10"/>
      <c r="C931" s="191"/>
      <c r="D931" s="115"/>
      <c r="E931" s="158"/>
      <c r="F931" s="267"/>
      <c r="G931" s="267"/>
      <c r="H931" s="267"/>
      <c r="I931" s="339"/>
      <c r="J931" s="267"/>
      <c r="K931" s="137"/>
      <c r="L931" s="137"/>
      <c r="M931" s="137"/>
      <c r="N931" s="138"/>
      <c r="O931" s="167"/>
      <c r="P931" s="111"/>
      <c r="Q931" s="111"/>
      <c r="R931" s="111"/>
      <c r="S931" s="111"/>
      <c r="T931" s="111"/>
      <c r="U931" s="111"/>
      <c r="V931" s="111"/>
      <c r="W931" s="111"/>
      <c r="X931" s="111"/>
      <c r="Y931" s="111"/>
      <c r="Z931" s="111"/>
      <c r="AA931" s="111"/>
    </row>
    <row r="932" spans="1:27" s="118" customFormat="1" x14ac:dyDescent="0.2">
      <c r="A932" s="10"/>
      <c r="B932" s="10"/>
      <c r="C932" s="191"/>
      <c r="D932" s="115"/>
      <c r="E932" s="158"/>
      <c r="F932" s="267"/>
      <c r="G932" s="267"/>
      <c r="H932" s="267"/>
      <c r="I932" s="339"/>
      <c r="J932" s="267"/>
      <c r="K932" s="137"/>
      <c r="L932" s="137"/>
      <c r="M932" s="137"/>
      <c r="N932" s="138"/>
      <c r="O932" s="167"/>
      <c r="P932" s="111"/>
      <c r="Q932" s="111"/>
      <c r="R932" s="111"/>
      <c r="S932" s="111"/>
      <c r="T932" s="111"/>
      <c r="U932" s="111"/>
      <c r="V932" s="111"/>
      <c r="W932" s="111"/>
      <c r="X932" s="111"/>
      <c r="Y932" s="111"/>
      <c r="Z932" s="111"/>
      <c r="AA932" s="111"/>
    </row>
    <row r="933" spans="1:27" s="118" customFormat="1" x14ac:dyDescent="0.2">
      <c r="A933" s="10"/>
      <c r="B933" s="10"/>
      <c r="C933" s="190"/>
      <c r="D933" s="110"/>
      <c r="E933" s="158"/>
      <c r="F933" s="267"/>
      <c r="G933" s="267"/>
      <c r="H933" s="267"/>
      <c r="I933" s="250"/>
      <c r="J933" s="338"/>
      <c r="K933" s="137"/>
      <c r="L933" s="137"/>
      <c r="M933" s="137"/>
      <c r="N933" s="138"/>
      <c r="O933" s="167"/>
      <c r="P933" s="111"/>
      <c r="Q933" s="111"/>
      <c r="R933" s="111"/>
      <c r="S933" s="111"/>
      <c r="T933" s="111"/>
      <c r="U933" s="111"/>
      <c r="V933" s="111"/>
      <c r="W933" s="111"/>
      <c r="X933" s="111"/>
      <c r="Y933" s="111"/>
      <c r="Z933" s="111"/>
      <c r="AA933" s="111"/>
    </row>
    <row r="934" spans="1:27" s="118" customFormat="1" x14ac:dyDescent="0.2">
      <c r="A934" s="10"/>
      <c r="B934" s="10"/>
      <c r="C934" s="157"/>
      <c r="D934" s="110"/>
      <c r="E934" s="158"/>
      <c r="F934" s="267"/>
      <c r="G934" s="267"/>
      <c r="H934" s="267"/>
      <c r="I934" s="250"/>
      <c r="J934" s="266"/>
      <c r="K934" s="137"/>
      <c r="L934" s="137"/>
      <c r="M934" s="137"/>
      <c r="N934" s="138"/>
      <c r="O934" s="167"/>
      <c r="P934" s="111"/>
      <c r="Q934" s="111"/>
      <c r="R934" s="111"/>
      <c r="S934" s="111"/>
      <c r="T934" s="111"/>
      <c r="U934" s="111"/>
      <c r="V934" s="111"/>
      <c r="W934" s="111"/>
      <c r="X934" s="111"/>
      <c r="Y934" s="111"/>
      <c r="Z934" s="111"/>
      <c r="AA934" s="111"/>
    </row>
    <row r="935" spans="1:27" s="147" customFormat="1" x14ac:dyDescent="0.2">
      <c r="A935" s="184"/>
      <c r="B935" s="184"/>
      <c r="C935" s="185"/>
      <c r="D935" s="337"/>
      <c r="E935" s="184"/>
      <c r="F935" s="338"/>
      <c r="G935" s="338"/>
      <c r="H935" s="338"/>
      <c r="I935" s="257"/>
      <c r="J935" s="338"/>
      <c r="K935" s="131">
        <f>J937</f>
        <v>0</v>
      </c>
      <c r="L935" s="106">
        <v>375.94</v>
      </c>
      <c r="M935" s="131">
        <f>ROUND(L935*(1+$Q$5),2)</f>
        <v>475.68</v>
      </c>
      <c r="N935" s="133">
        <f>TRUNC(K935*M935,2)</f>
        <v>0</v>
      </c>
      <c r="O935" s="286"/>
      <c r="P935" s="146"/>
      <c r="Q935" s="146"/>
      <c r="R935" s="146"/>
      <c r="S935" s="146"/>
      <c r="T935" s="146"/>
      <c r="U935" s="146"/>
      <c r="V935" s="146"/>
      <c r="W935" s="146"/>
      <c r="X935" s="146"/>
      <c r="Y935" s="146"/>
      <c r="Z935" s="146"/>
      <c r="AA935" s="146"/>
    </row>
    <row r="936" spans="1:27" s="118" customFormat="1" x14ac:dyDescent="0.2">
      <c r="A936" s="10"/>
      <c r="B936" s="10"/>
      <c r="C936" s="191"/>
      <c r="D936" s="115"/>
      <c r="E936" s="158"/>
      <c r="F936" s="267"/>
      <c r="G936" s="267"/>
      <c r="H936" s="267"/>
      <c r="I936" s="339"/>
      <c r="J936" s="267"/>
      <c r="K936" s="137"/>
      <c r="L936" s="137"/>
      <c r="M936" s="137"/>
      <c r="N936" s="138"/>
      <c r="O936" s="167"/>
      <c r="P936" s="111"/>
      <c r="Q936" s="111"/>
      <c r="R936" s="111"/>
      <c r="S936" s="111"/>
      <c r="T936" s="111"/>
      <c r="U936" s="111"/>
      <c r="V936" s="111"/>
      <c r="W936" s="111"/>
      <c r="X936" s="111"/>
      <c r="Y936" s="111"/>
      <c r="Z936" s="111"/>
      <c r="AA936" s="111"/>
    </row>
    <row r="937" spans="1:27" s="118" customFormat="1" x14ac:dyDescent="0.2">
      <c r="A937" s="10"/>
      <c r="B937" s="10"/>
      <c r="C937" s="190"/>
      <c r="D937" s="110"/>
      <c r="E937" s="158"/>
      <c r="F937" s="267"/>
      <c r="G937" s="267"/>
      <c r="H937" s="267"/>
      <c r="I937" s="250"/>
      <c r="J937" s="338"/>
      <c r="K937" s="137"/>
      <c r="L937" s="137"/>
      <c r="M937" s="137"/>
      <c r="N937" s="138"/>
      <c r="O937" s="167"/>
      <c r="P937" s="111"/>
      <c r="Q937" s="111"/>
      <c r="R937" s="111"/>
      <c r="S937" s="111"/>
      <c r="T937" s="111"/>
      <c r="U937" s="111"/>
      <c r="V937" s="111"/>
      <c r="W937" s="111"/>
      <c r="X937" s="111"/>
      <c r="Y937" s="111"/>
      <c r="Z937" s="111"/>
      <c r="AA937" s="111"/>
    </row>
    <row r="938" spans="1:27" s="118" customFormat="1" x14ac:dyDescent="0.2">
      <c r="A938" s="10"/>
      <c r="B938" s="10"/>
      <c r="C938" s="157"/>
      <c r="D938" s="110"/>
      <c r="E938" s="158"/>
      <c r="F938" s="267"/>
      <c r="G938" s="267"/>
      <c r="H938" s="267"/>
      <c r="I938" s="250"/>
      <c r="J938" s="266"/>
      <c r="K938" s="137"/>
      <c r="L938" s="137"/>
      <c r="M938" s="137"/>
      <c r="N938" s="138"/>
      <c r="O938" s="167"/>
      <c r="P938" s="111"/>
      <c r="Q938" s="111"/>
      <c r="R938" s="111"/>
      <c r="S938" s="111"/>
      <c r="T938" s="111"/>
      <c r="U938" s="111"/>
      <c r="V938" s="111"/>
      <c r="W938" s="111"/>
      <c r="X938" s="111"/>
      <c r="Y938" s="111"/>
      <c r="Z938" s="111"/>
      <c r="AA938" s="111"/>
    </row>
    <row r="939" spans="1:27" s="147" customFormat="1" ht="35.25" customHeight="1" x14ac:dyDescent="0.2">
      <c r="A939" s="184"/>
      <c r="B939" s="184"/>
      <c r="C939" s="185"/>
      <c r="D939" s="337"/>
      <c r="E939" s="184"/>
      <c r="F939" s="338"/>
      <c r="G939" s="338"/>
      <c r="H939" s="338"/>
      <c r="I939" s="257"/>
      <c r="J939" s="338"/>
      <c r="K939" s="131">
        <f>J942</f>
        <v>0</v>
      </c>
      <c r="L939" s="106">
        <v>1396.31</v>
      </c>
      <c r="M939" s="131">
        <f>ROUND(L939*(1+$Q$5),2)</f>
        <v>1766.75</v>
      </c>
      <c r="N939" s="133">
        <f>TRUNC(K939*M939,2)</f>
        <v>0</v>
      </c>
      <c r="O939" s="286"/>
      <c r="P939" s="146"/>
      <c r="Q939" s="146"/>
      <c r="R939" s="146"/>
      <c r="S939" s="146"/>
      <c r="T939" s="146"/>
      <c r="U939" s="146"/>
      <c r="V939" s="146"/>
      <c r="W939" s="146"/>
      <c r="X939" s="146"/>
      <c r="Y939" s="146"/>
      <c r="Z939" s="146"/>
      <c r="AA939" s="146"/>
    </row>
    <row r="940" spans="1:27" s="118" customFormat="1" x14ac:dyDescent="0.2">
      <c r="A940" s="10"/>
      <c r="B940" s="10"/>
      <c r="C940" s="191"/>
      <c r="D940" s="115"/>
      <c r="E940" s="158"/>
      <c r="F940" s="267"/>
      <c r="G940" s="267"/>
      <c r="H940" s="267"/>
      <c r="I940" s="339"/>
      <c r="J940" s="267"/>
      <c r="K940" s="137"/>
      <c r="L940" s="137"/>
      <c r="M940" s="137"/>
      <c r="N940" s="138"/>
      <c r="O940" s="167"/>
      <c r="P940" s="111"/>
      <c r="Q940" s="111"/>
      <c r="R940" s="111"/>
      <c r="S940" s="111"/>
      <c r="T940" s="111"/>
      <c r="U940" s="111"/>
      <c r="V940" s="111"/>
      <c r="W940" s="111"/>
      <c r="X940" s="111"/>
      <c r="Y940" s="111"/>
      <c r="Z940" s="111"/>
      <c r="AA940" s="111"/>
    </row>
    <row r="941" spans="1:27" s="118" customFormat="1" x14ac:dyDescent="0.2">
      <c r="A941" s="10"/>
      <c r="B941" s="10"/>
      <c r="C941" s="191"/>
      <c r="D941" s="115"/>
      <c r="E941" s="158"/>
      <c r="F941" s="267"/>
      <c r="G941" s="267"/>
      <c r="H941" s="267"/>
      <c r="I941" s="339"/>
      <c r="J941" s="267"/>
      <c r="K941" s="137"/>
      <c r="L941" s="137"/>
      <c r="M941" s="137"/>
      <c r="N941" s="138"/>
      <c r="O941" s="167"/>
      <c r="P941" s="111"/>
      <c r="Q941" s="111"/>
      <c r="R941" s="111"/>
      <c r="S941" s="111"/>
      <c r="T941" s="111"/>
      <c r="U941" s="111"/>
      <c r="V941" s="111"/>
      <c r="W941" s="111"/>
      <c r="X941" s="111"/>
      <c r="Y941" s="111"/>
      <c r="Z941" s="111"/>
      <c r="AA941" s="111"/>
    </row>
    <row r="942" spans="1:27" s="118" customFormat="1" x14ac:dyDescent="0.2">
      <c r="A942" s="10"/>
      <c r="B942" s="10"/>
      <c r="C942" s="190"/>
      <c r="D942" s="110"/>
      <c r="E942" s="158"/>
      <c r="F942" s="267"/>
      <c r="G942" s="267"/>
      <c r="H942" s="267"/>
      <c r="I942" s="250"/>
      <c r="J942" s="338"/>
      <c r="K942" s="137"/>
      <c r="L942" s="137"/>
      <c r="M942" s="137"/>
      <c r="N942" s="138"/>
      <c r="O942" s="167"/>
      <c r="P942" s="111"/>
      <c r="Q942" s="111"/>
      <c r="R942" s="111"/>
      <c r="S942" s="111"/>
      <c r="T942" s="111"/>
      <c r="U942" s="111"/>
      <c r="V942" s="111"/>
      <c r="W942" s="111"/>
      <c r="X942" s="111"/>
      <c r="Y942" s="111"/>
      <c r="Z942" s="111"/>
      <c r="AA942" s="111"/>
    </row>
    <row r="943" spans="1:27" s="118" customFormat="1" x14ac:dyDescent="0.2">
      <c r="A943" s="10"/>
      <c r="B943" s="10"/>
      <c r="C943" s="157"/>
      <c r="D943" s="110"/>
      <c r="E943" s="158"/>
      <c r="F943" s="267"/>
      <c r="G943" s="267"/>
      <c r="H943" s="267"/>
      <c r="I943" s="250"/>
      <c r="J943" s="266"/>
      <c r="K943" s="137"/>
      <c r="L943" s="137"/>
      <c r="M943" s="137"/>
      <c r="N943" s="138"/>
      <c r="O943" s="167"/>
      <c r="P943" s="111"/>
      <c r="Q943" s="111"/>
      <c r="R943" s="111"/>
      <c r="S943" s="111"/>
      <c r="T943" s="111"/>
      <c r="U943" s="111"/>
      <c r="V943" s="111"/>
      <c r="W943" s="111"/>
      <c r="X943" s="111"/>
      <c r="Y943" s="111"/>
      <c r="Z943" s="111"/>
      <c r="AA943" s="111"/>
    </row>
    <row r="944" spans="1:27" s="147" customFormat="1" ht="35.25" customHeight="1" x14ac:dyDescent="0.2">
      <c r="A944" s="184"/>
      <c r="B944" s="184"/>
      <c r="C944" s="185"/>
      <c r="D944" s="337"/>
      <c r="E944" s="184"/>
      <c r="F944" s="338"/>
      <c r="G944" s="338"/>
      <c r="H944" s="338"/>
      <c r="I944" s="257"/>
      <c r="J944" s="338"/>
      <c r="K944" s="131">
        <f>J946</f>
        <v>0</v>
      </c>
      <c r="L944" s="106">
        <v>2349.37</v>
      </c>
      <c r="M944" s="131">
        <f>ROUND(L944*(1+$Q$5),2)</f>
        <v>2972.66</v>
      </c>
      <c r="N944" s="133">
        <f>TRUNC(K944*M944,2)</f>
        <v>0</v>
      </c>
      <c r="O944" s="286"/>
      <c r="P944" s="146"/>
      <c r="Q944" s="146"/>
      <c r="R944" s="146"/>
      <c r="S944" s="146"/>
      <c r="T944" s="146"/>
      <c r="U944" s="146"/>
      <c r="V944" s="146"/>
      <c r="W944" s="146"/>
      <c r="X944" s="146"/>
      <c r="Y944" s="146"/>
      <c r="Z944" s="146"/>
      <c r="AA944" s="146"/>
    </row>
    <row r="945" spans="1:27" s="118" customFormat="1" x14ac:dyDescent="0.2">
      <c r="A945" s="10"/>
      <c r="B945" s="10"/>
      <c r="C945" s="191"/>
      <c r="D945" s="115"/>
      <c r="E945" s="158"/>
      <c r="F945" s="267"/>
      <c r="G945" s="267"/>
      <c r="H945" s="267"/>
      <c r="I945" s="339"/>
      <c r="J945" s="267"/>
      <c r="K945" s="137"/>
      <c r="L945" s="137"/>
      <c r="M945" s="137"/>
      <c r="N945" s="138"/>
      <c r="O945" s="167"/>
      <c r="P945" s="111"/>
      <c r="Q945" s="111"/>
      <c r="R945" s="111"/>
      <c r="S945" s="111"/>
      <c r="T945" s="111"/>
      <c r="U945" s="111"/>
      <c r="V945" s="111"/>
      <c r="W945" s="111"/>
      <c r="X945" s="111"/>
      <c r="Y945" s="111"/>
      <c r="Z945" s="111"/>
      <c r="AA945" s="111"/>
    </row>
    <row r="946" spans="1:27" s="118" customFormat="1" x14ac:dyDescent="0.2">
      <c r="A946" s="10"/>
      <c r="B946" s="10"/>
      <c r="C946" s="190"/>
      <c r="D946" s="110"/>
      <c r="E946" s="158"/>
      <c r="F946" s="267"/>
      <c r="G946" s="267"/>
      <c r="H946" s="267"/>
      <c r="I946" s="250"/>
      <c r="J946" s="338"/>
      <c r="K946" s="137"/>
      <c r="L946" s="137"/>
      <c r="M946" s="137"/>
      <c r="N946" s="138"/>
      <c r="O946" s="167"/>
      <c r="P946" s="111"/>
      <c r="Q946" s="111"/>
      <c r="R946" s="111"/>
      <c r="S946" s="111"/>
      <c r="T946" s="111"/>
      <c r="U946" s="111"/>
      <c r="V946" s="111"/>
      <c r="W946" s="111"/>
      <c r="X946" s="111"/>
      <c r="Y946" s="111"/>
      <c r="Z946" s="111"/>
      <c r="AA946" s="111"/>
    </row>
    <row r="947" spans="1:27" s="118" customFormat="1" x14ac:dyDescent="0.2">
      <c r="A947" s="10"/>
      <c r="B947" s="10"/>
      <c r="C947" s="157"/>
      <c r="D947" s="110"/>
      <c r="E947" s="158"/>
      <c r="F947" s="267"/>
      <c r="G947" s="267"/>
      <c r="H947" s="267"/>
      <c r="I947" s="250"/>
      <c r="J947" s="266"/>
      <c r="K947" s="137"/>
      <c r="L947" s="137"/>
      <c r="M947" s="137"/>
      <c r="N947" s="138"/>
      <c r="O947" s="167"/>
      <c r="P947" s="111"/>
      <c r="Q947" s="111"/>
      <c r="R947" s="111"/>
      <c r="S947" s="111"/>
      <c r="T947" s="111"/>
      <c r="U947" s="111"/>
      <c r="V947" s="111"/>
      <c r="W947" s="111"/>
      <c r="X947" s="111"/>
      <c r="Y947" s="111"/>
      <c r="Z947" s="111"/>
      <c r="AA947" s="111"/>
    </row>
    <row r="948" spans="1:27" s="233" customFormat="1" x14ac:dyDescent="0.2">
      <c r="A948" s="348"/>
      <c r="B948" s="348"/>
      <c r="C948" s="349"/>
      <c r="D948" s="350"/>
      <c r="E948" s="348"/>
      <c r="F948" s="351"/>
      <c r="G948" s="351"/>
      <c r="H948" s="351"/>
      <c r="I948" s="352"/>
      <c r="J948" s="351"/>
      <c r="K948" s="230"/>
      <c r="L948" s="230"/>
      <c r="M948" s="230"/>
      <c r="N948" s="231"/>
      <c r="O948" s="288"/>
      <c r="P948" s="232"/>
      <c r="Q948" s="232"/>
      <c r="R948" s="232"/>
      <c r="S948" s="232"/>
      <c r="T948" s="232"/>
      <c r="U948" s="232"/>
      <c r="V948" s="232"/>
      <c r="W948" s="232"/>
      <c r="X948" s="232"/>
      <c r="Y948" s="232"/>
      <c r="Z948" s="232"/>
      <c r="AA948" s="232"/>
    </row>
    <row r="949" spans="1:27" s="118" customFormat="1" x14ac:dyDescent="0.2">
      <c r="A949" s="10"/>
      <c r="B949" s="10"/>
      <c r="C949" s="157"/>
      <c r="D949" s="110"/>
      <c r="E949" s="158"/>
      <c r="F949" s="267"/>
      <c r="G949" s="267"/>
      <c r="H949" s="267"/>
      <c r="I949" s="250"/>
      <c r="J949" s="266"/>
      <c r="K949" s="137"/>
      <c r="L949" s="137"/>
      <c r="M949" s="137"/>
      <c r="N949" s="138"/>
      <c r="O949" s="167"/>
      <c r="P949" s="111"/>
      <c r="Q949" s="111"/>
      <c r="R949" s="111"/>
      <c r="S949" s="111"/>
      <c r="T949" s="111"/>
      <c r="U949" s="111"/>
      <c r="V949" s="111"/>
      <c r="W949" s="111"/>
      <c r="X949" s="111"/>
      <c r="Y949" s="111"/>
      <c r="Z949" s="111"/>
      <c r="AA949" s="111"/>
    </row>
    <row r="950" spans="1:27" s="147" customFormat="1" x14ac:dyDescent="0.2">
      <c r="A950" s="184"/>
      <c r="B950" s="184"/>
      <c r="C950" s="185"/>
      <c r="D950" s="341"/>
      <c r="E950" s="184"/>
      <c r="F950" s="338"/>
      <c r="G950" s="338"/>
      <c r="H950" s="338"/>
      <c r="I950" s="257"/>
      <c r="J950" s="338"/>
      <c r="K950" s="131">
        <f>J954</f>
        <v>0</v>
      </c>
      <c r="L950" s="106">
        <v>5.98</v>
      </c>
      <c r="M950" s="131">
        <f>ROUND(L950*(1+$Q$5),2)</f>
        <v>7.57</v>
      </c>
      <c r="N950" s="133">
        <f>TRUNC(K950*M950,2)</f>
        <v>0</v>
      </c>
      <c r="O950" s="286"/>
      <c r="P950" s="146"/>
      <c r="Q950" s="146"/>
      <c r="R950" s="146"/>
      <c r="S950" s="146"/>
      <c r="T950" s="146"/>
      <c r="U950" s="146"/>
      <c r="V950" s="146"/>
      <c r="W950" s="146"/>
      <c r="X950" s="146"/>
      <c r="Y950" s="146"/>
      <c r="Z950" s="146"/>
      <c r="AA950" s="146"/>
    </row>
    <row r="951" spans="1:27" s="118" customFormat="1" x14ac:dyDescent="0.2">
      <c r="A951" s="10"/>
      <c r="B951" s="10"/>
      <c r="C951" s="191"/>
      <c r="D951" s="115"/>
      <c r="E951" s="158"/>
      <c r="F951" s="267"/>
      <c r="G951" s="267"/>
      <c r="H951" s="267"/>
      <c r="I951" s="339"/>
      <c r="J951" s="267"/>
      <c r="K951" s="137"/>
      <c r="L951" s="137"/>
      <c r="M951" s="137"/>
      <c r="N951" s="138"/>
      <c r="O951" s="167"/>
      <c r="P951" s="111"/>
      <c r="Q951" s="111"/>
      <c r="R951" s="111"/>
      <c r="S951" s="111"/>
      <c r="T951" s="111"/>
      <c r="U951" s="111"/>
      <c r="V951" s="111"/>
      <c r="W951" s="111"/>
      <c r="X951" s="111"/>
      <c r="Y951" s="111"/>
      <c r="Z951" s="111"/>
      <c r="AA951" s="111"/>
    </row>
    <row r="952" spans="1:27" s="118" customFormat="1" x14ac:dyDescent="0.2">
      <c r="A952" s="10"/>
      <c r="B952" s="10"/>
      <c r="C952" s="191"/>
      <c r="D952" s="115"/>
      <c r="E952" s="158"/>
      <c r="F952" s="267"/>
      <c r="G952" s="267"/>
      <c r="H952" s="267"/>
      <c r="I952" s="339"/>
      <c r="J952" s="267"/>
      <c r="K952" s="137"/>
      <c r="L952" s="137"/>
      <c r="M952" s="137"/>
      <c r="N952" s="138"/>
      <c r="O952" s="167"/>
      <c r="P952" s="111"/>
      <c r="Q952" s="111"/>
      <c r="R952" s="111"/>
      <c r="S952" s="111"/>
      <c r="T952" s="111"/>
      <c r="U952" s="111"/>
      <c r="V952" s="111"/>
      <c r="W952" s="111"/>
      <c r="X952" s="111"/>
      <c r="Y952" s="111"/>
      <c r="Z952" s="111"/>
      <c r="AA952" s="111"/>
    </row>
    <row r="953" spans="1:27" s="118" customFormat="1" x14ac:dyDescent="0.2">
      <c r="A953" s="10"/>
      <c r="B953" s="10"/>
      <c r="C953" s="191"/>
      <c r="D953" s="115"/>
      <c r="E953" s="158"/>
      <c r="F953" s="267"/>
      <c r="G953" s="267"/>
      <c r="H953" s="267"/>
      <c r="I953" s="339"/>
      <c r="J953" s="267"/>
      <c r="K953" s="137"/>
      <c r="L953" s="137"/>
      <c r="M953" s="137"/>
      <c r="N953" s="138"/>
      <c r="O953" s="167"/>
      <c r="P953" s="111"/>
      <c r="Q953" s="111"/>
      <c r="R953" s="111"/>
      <c r="S953" s="111"/>
      <c r="T953" s="111"/>
      <c r="U953" s="111"/>
      <c r="V953" s="111"/>
      <c r="W953" s="111"/>
      <c r="X953" s="111"/>
      <c r="Y953" s="111"/>
      <c r="Z953" s="111"/>
      <c r="AA953" s="111"/>
    </row>
    <row r="954" spans="1:27" s="118" customFormat="1" x14ac:dyDescent="0.2">
      <c r="A954" s="10"/>
      <c r="B954" s="10"/>
      <c r="C954" s="190"/>
      <c r="D954" s="110"/>
      <c r="E954" s="158"/>
      <c r="F954" s="267"/>
      <c r="G954" s="267"/>
      <c r="H954" s="267"/>
      <c r="I954" s="250"/>
      <c r="J954" s="338"/>
      <c r="K954" s="137"/>
      <c r="L954" s="137"/>
      <c r="M954" s="137"/>
      <c r="N954" s="138"/>
      <c r="O954" s="167"/>
      <c r="P954" s="111"/>
      <c r="Q954" s="111"/>
      <c r="R954" s="111"/>
      <c r="S954" s="111"/>
      <c r="T954" s="111"/>
      <c r="U954" s="111"/>
      <c r="V954" s="111"/>
      <c r="W954" s="111"/>
      <c r="X954" s="111"/>
      <c r="Y954" s="111"/>
      <c r="Z954" s="111"/>
      <c r="AA954" s="111"/>
    </row>
    <row r="955" spans="1:27" s="118" customFormat="1" x14ac:dyDescent="0.2">
      <c r="A955" s="10"/>
      <c r="B955" s="10"/>
      <c r="C955" s="157"/>
      <c r="D955" s="110"/>
      <c r="E955" s="158"/>
      <c r="F955" s="267"/>
      <c r="G955" s="267"/>
      <c r="H955" s="267"/>
      <c r="I955" s="250"/>
      <c r="J955" s="266"/>
      <c r="K955" s="137"/>
      <c r="L955" s="137"/>
      <c r="M955" s="137"/>
      <c r="N955" s="138"/>
      <c r="O955" s="167"/>
      <c r="P955" s="111"/>
      <c r="Q955" s="111"/>
      <c r="R955" s="111"/>
      <c r="S955" s="111"/>
      <c r="T955" s="111"/>
      <c r="U955" s="111"/>
      <c r="V955" s="111"/>
      <c r="W955" s="111"/>
      <c r="X955" s="111"/>
      <c r="Y955" s="111"/>
      <c r="Z955" s="111"/>
      <c r="AA955" s="111"/>
    </row>
    <row r="956" spans="1:27" s="147" customFormat="1" ht="35.25" customHeight="1" x14ac:dyDescent="0.2">
      <c r="A956" s="184"/>
      <c r="B956" s="184"/>
      <c r="C956" s="185"/>
      <c r="D956" s="337"/>
      <c r="E956" s="184"/>
      <c r="F956" s="338"/>
      <c r="G956" s="338"/>
      <c r="H956" s="338"/>
      <c r="I956" s="257"/>
      <c r="J956" s="338"/>
      <c r="K956" s="131">
        <f>J960</f>
        <v>0</v>
      </c>
      <c r="L956" s="106">
        <v>31.31</v>
      </c>
      <c r="M956" s="131">
        <f>ROUND(L956*(1+$Q$5),2)</f>
        <v>39.619999999999997</v>
      </c>
      <c r="N956" s="133">
        <f>TRUNC(K956*M956,2)</f>
        <v>0</v>
      </c>
      <c r="O956" s="286"/>
      <c r="P956" s="146"/>
      <c r="Q956" s="146"/>
      <c r="R956" s="146"/>
      <c r="S956" s="146"/>
      <c r="T956" s="146"/>
      <c r="U956" s="146"/>
      <c r="V956" s="146"/>
      <c r="W956" s="146"/>
      <c r="X956" s="146"/>
      <c r="Y956" s="146"/>
      <c r="Z956" s="146"/>
      <c r="AA956" s="146"/>
    </row>
    <row r="957" spans="1:27" s="118" customFormat="1" x14ac:dyDescent="0.2">
      <c r="A957" s="10"/>
      <c r="B957" s="10"/>
      <c r="C957" s="191"/>
      <c r="D957" s="115"/>
      <c r="E957" s="158"/>
      <c r="F957" s="267"/>
      <c r="G957" s="267"/>
      <c r="H957" s="267"/>
      <c r="I957" s="339"/>
      <c r="J957" s="267"/>
      <c r="K957" s="137"/>
      <c r="L957" s="137"/>
      <c r="M957" s="137"/>
      <c r="N957" s="138"/>
      <c r="O957" s="167"/>
      <c r="P957" s="111"/>
      <c r="Q957" s="111"/>
      <c r="R957" s="111"/>
      <c r="S957" s="111"/>
      <c r="T957" s="111"/>
      <c r="U957" s="111"/>
      <c r="V957" s="111"/>
      <c r="W957" s="111"/>
      <c r="X957" s="111"/>
      <c r="Y957" s="111"/>
      <c r="Z957" s="111"/>
      <c r="AA957" s="111"/>
    </row>
    <row r="958" spans="1:27" s="118" customFormat="1" x14ac:dyDescent="0.2">
      <c r="A958" s="10"/>
      <c r="B958" s="10"/>
      <c r="C958" s="191"/>
      <c r="D958" s="115"/>
      <c r="E958" s="158"/>
      <c r="F958" s="267"/>
      <c r="G958" s="267"/>
      <c r="H958" s="267"/>
      <c r="I958" s="339"/>
      <c r="J958" s="267"/>
      <c r="K958" s="137"/>
      <c r="L958" s="137"/>
      <c r="M958" s="137"/>
      <c r="N958" s="138"/>
      <c r="O958" s="167"/>
      <c r="P958" s="111"/>
      <c r="Q958" s="111"/>
      <c r="R958" s="111"/>
      <c r="S958" s="111"/>
      <c r="T958" s="111"/>
      <c r="U958" s="111"/>
      <c r="V958" s="111"/>
      <c r="W958" s="111"/>
      <c r="X958" s="111"/>
      <c r="Y958" s="111"/>
      <c r="Z958" s="111"/>
      <c r="AA958" s="111"/>
    </row>
    <row r="959" spans="1:27" s="118" customFormat="1" x14ac:dyDescent="0.2">
      <c r="A959" s="10"/>
      <c r="B959" s="10"/>
      <c r="C959" s="191"/>
      <c r="D959" s="115"/>
      <c r="E959" s="158"/>
      <c r="F959" s="267"/>
      <c r="G959" s="267"/>
      <c r="H959" s="267"/>
      <c r="I959" s="339"/>
      <c r="J959" s="267"/>
      <c r="K959" s="137"/>
      <c r="L959" s="137"/>
      <c r="M959" s="137"/>
      <c r="N959" s="138"/>
      <c r="O959" s="167"/>
      <c r="P959" s="111"/>
      <c r="Q959" s="111"/>
      <c r="R959" s="111"/>
      <c r="S959" s="111"/>
      <c r="T959" s="111"/>
      <c r="U959" s="111"/>
      <c r="V959" s="111"/>
      <c r="W959" s="111"/>
      <c r="X959" s="111"/>
      <c r="Y959" s="111"/>
      <c r="Z959" s="111"/>
      <c r="AA959" s="111"/>
    </row>
    <row r="960" spans="1:27" s="118" customFormat="1" x14ac:dyDescent="0.2">
      <c r="A960" s="10"/>
      <c r="B960" s="10"/>
      <c r="C960" s="190"/>
      <c r="D960" s="110"/>
      <c r="E960" s="158"/>
      <c r="F960" s="267"/>
      <c r="G960" s="267"/>
      <c r="H960" s="267"/>
      <c r="I960" s="250"/>
      <c r="J960" s="338"/>
      <c r="K960" s="137"/>
      <c r="L960" s="137"/>
      <c r="M960" s="137"/>
      <c r="N960" s="138"/>
      <c r="O960" s="167"/>
      <c r="P960" s="111"/>
      <c r="Q960" s="111"/>
      <c r="R960" s="111"/>
      <c r="S960" s="111"/>
      <c r="T960" s="111"/>
      <c r="U960" s="111"/>
      <c r="V960" s="111"/>
      <c r="W960" s="111"/>
      <c r="X960" s="111"/>
      <c r="Y960" s="111"/>
      <c r="Z960" s="111"/>
      <c r="AA960" s="111"/>
    </row>
    <row r="961" spans="1:27" s="118" customFormat="1" x14ac:dyDescent="0.2">
      <c r="A961" s="10"/>
      <c r="B961" s="10"/>
      <c r="C961" s="157"/>
      <c r="D961" s="110"/>
      <c r="E961" s="158"/>
      <c r="F961" s="267"/>
      <c r="G961" s="267"/>
      <c r="H961" s="267"/>
      <c r="I961" s="250"/>
      <c r="J961" s="266"/>
      <c r="K961" s="137"/>
      <c r="L961" s="137"/>
      <c r="M961" s="137"/>
      <c r="N961" s="138"/>
      <c r="O961" s="167"/>
      <c r="P961" s="111"/>
      <c r="Q961" s="111"/>
      <c r="R961" s="111"/>
      <c r="S961" s="111"/>
      <c r="T961" s="111"/>
      <c r="U961" s="111"/>
      <c r="V961" s="111"/>
      <c r="W961" s="111"/>
      <c r="X961" s="111"/>
      <c r="Y961" s="111"/>
      <c r="Z961" s="111"/>
      <c r="AA961" s="111"/>
    </row>
    <row r="962" spans="1:27" s="241" customFormat="1" ht="13.2" x14ac:dyDescent="0.25">
      <c r="A962" s="331"/>
      <c r="B962" s="331"/>
      <c r="C962" s="332"/>
      <c r="D962" s="333"/>
      <c r="E962" s="331"/>
      <c r="F962" s="334"/>
      <c r="G962" s="334"/>
      <c r="H962" s="334"/>
      <c r="I962" s="335"/>
      <c r="J962" s="334"/>
      <c r="K962" s="238"/>
      <c r="L962" s="238"/>
      <c r="M962" s="238"/>
      <c r="N962" s="239" t="e">
        <f>N964+N1007+N1021+N1039+N1062+N1032</f>
        <v>#VALUE!</v>
      </c>
      <c r="O962" s="284" t="e">
        <f>N962/$N$1660</f>
        <v>#VALUE!</v>
      </c>
      <c r="P962" s="240" t="s">
        <v>533</v>
      </c>
      <c r="Q962" s="240" t="s">
        <v>533</v>
      </c>
      <c r="R962" s="240"/>
      <c r="S962" s="240"/>
      <c r="T962" s="240"/>
      <c r="U962" s="240"/>
      <c r="V962" s="240"/>
      <c r="W962" s="240"/>
      <c r="X962" s="240"/>
      <c r="Y962" s="240"/>
      <c r="Z962" s="240"/>
      <c r="AA962" s="240"/>
    </row>
    <row r="963" spans="1:27" s="118" customFormat="1" x14ac:dyDescent="0.2">
      <c r="A963" s="10"/>
      <c r="B963" s="10"/>
      <c r="C963" s="157"/>
      <c r="D963" s="110"/>
      <c r="E963" s="158"/>
      <c r="F963" s="267"/>
      <c r="G963" s="267"/>
      <c r="H963" s="267"/>
      <c r="I963" s="250"/>
      <c r="J963" s="266"/>
      <c r="K963" s="137"/>
      <c r="L963" s="137"/>
      <c r="M963" s="137"/>
      <c r="N963" s="138"/>
      <c r="O963" s="167"/>
      <c r="P963" s="111"/>
      <c r="Q963" s="111"/>
      <c r="R963" s="111"/>
      <c r="S963" s="111"/>
      <c r="T963" s="111"/>
      <c r="U963" s="111"/>
      <c r="V963" s="111"/>
      <c r="W963" s="111"/>
      <c r="X963" s="111"/>
      <c r="Y963" s="111"/>
      <c r="Z963" s="111"/>
      <c r="AA963" s="111"/>
    </row>
    <row r="964" spans="1:27" s="145" customFormat="1" x14ac:dyDescent="0.2">
      <c r="A964" s="192"/>
      <c r="B964" s="192"/>
      <c r="C964" s="193"/>
      <c r="D964" s="336"/>
      <c r="E964" s="192"/>
      <c r="F964" s="269"/>
      <c r="G964" s="269"/>
      <c r="H964" s="269"/>
      <c r="I964" s="254"/>
      <c r="J964" s="269"/>
      <c r="K964" s="142"/>
      <c r="L964" s="142"/>
      <c r="M964" s="142"/>
      <c r="N964" s="143" t="e">
        <f>SUM(N966:N1005)</f>
        <v>#VALUE!</v>
      </c>
      <c r="O964" s="285"/>
      <c r="P964" s="144"/>
      <c r="Q964" s="144"/>
      <c r="R964" s="144"/>
      <c r="S964" s="144"/>
      <c r="T964" s="144"/>
      <c r="U964" s="144"/>
      <c r="V964" s="144"/>
      <c r="W964" s="144"/>
      <c r="X964" s="144"/>
      <c r="Y964" s="144"/>
      <c r="Z964" s="144"/>
      <c r="AA964" s="144"/>
    </row>
    <row r="965" spans="1:27" s="118" customFormat="1" x14ac:dyDescent="0.2">
      <c r="A965" s="10"/>
      <c r="B965" s="10"/>
      <c r="C965" s="157"/>
      <c r="D965" s="110"/>
      <c r="E965" s="158"/>
      <c r="F965" s="267"/>
      <c r="G965" s="267"/>
      <c r="H965" s="267"/>
      <c r="I965" s="250"/>
      <c r="J965" s="266"/>
      <c r="K965" s="137"/>
      <c r="L965" s="137"/>
      <c r="M965" s="137"/>
      <c r="N965" s="138"/>
      <c r="O965" s="167"/>
      <c r="P965" s="111"/>
      <c r="Q965" s="111"/>
      <c r="R965" s="111"/>
      <c r="S965" s="111"/>
      <c r="T965" s="111"/>
      <c r="U965" s="111"/>
      <c r="V965" s="111"/>
      <c r="W965" s="111"/>
      <c r="X965" s="111"/>
      <c r="Y965" s="111"/>
      <c r="Z965" s="111"/>
      <c r="AA965" s="111"/>
    </row>
    <row r="966" spans="1:27" s="147" customFormat="1" x14ac:dyDescent="0.2">
      <c r="A966" s="184"/>
      <c r="B966" s="184"/>
      <c r="C966" s="185"/>
      <c r="D966" s="337"/>
      <c r="E966" s="184"/>
      <c r="F966" s="338"/>
      <c r="G966" s="338"/>
      <c r="H966" s="338"/>
      <c r="I966" s="257"/>
      <c r="J966" s="338"/>
      <c r="K966" s="131">
        <f>J977</f>
        <v>0</v>
      </c>
      <c r="L966" s="131" t="e">
        <f>'COMPOSICOES - SINAPI COM DESON'!G36</f>
        <v>#VALUE!</v>
      </c>
      <c r="M966" s="131" t="e">
        <f>ROUND(L966*(1+$Q$5),2)</f>
        <v>#VALUE!</v>
      </c>
      <c r="N966" s="133" t="e">
        <f>TRUNC(K966*M966,2)</f>
        <v>#VALUE!</v>
      </c>
      <c r="O966" s="286"/>
      <c r="P966" s="146"/>
      <c r="Q966" s="146"/>
      <c r="R966" s="146"/>
      <c r="S966" s="146"/>
      <c r="T966" s="146"/>
      <c r="U966" s="146"/>
      <c r="V966" s="146"/>
      <c r="W966" s="146"/>
      <c r="X966" s="146"/>
      <c r="Y966" s="146"/>
      <c r="Z966" s="146"/>
      <c r="AA966" s="146"/>
    </row>
    <row r="967" spans="1:27" s="118" customFormat="1" x14ac:dyDescent="0.2">
      <c r="A967" s="10"/>
      <c r="B967" s="10"/>
      <c r="C967" s="191"/>
      <c r="D967" s="115"/>
      <c r="E967" s="158"/>
      <c r="F967" s="267"/>
      <c r="G967" s="267"/>
      <c r="H967" s="267"/>
      <c r="I967" s="250"/>
      <c r="J967" s="267"/>
      <c r="K967" s="137"/>
      <c r="L967" s="137"/>
      <c r="M967" s="137"/>
      <c r="N967" s="138"/>
      <c r="O967" s="167"/>
      <c r="P967" s="111"/>
      <c r="Q967" s="111"/>
      <c r="R967" s="111"/>
      <c r="S967" s="111"/>
      <c r="T967" s="111"/>
      <c r="U967" s="111"/>
      <c r="V967" s="111"/>
      <c r="W967" s="111"/>
      <c r="X967" s="111"/>
      <c r="Y967" s="111"/>
      <c r="Z967" s="111"/>
      <c r="AA967" s="111"/>
    </row>
    <row r="968" spans="1:27" s="118" customFormat="1" x14ac:dyDescent="0.2">
      <c r="A968" s="10"/>
      <c r="B968" s="10"/>
      <c r="C968" s="191"/>
      <c r="D968" s="115"/>
      <c r="E968" s="158"/>
      <c r="F968" s="267"/>
      <c r="G968" s="267"/>
      <c r="H968" s="267"/>
      <c r="I968" s="250"/>
      <c r="J968" s="267"/>
      <c r="K968" s="137"/>
      <c r="L968" s="137"/>
      <c r="M968" s="137"/>
      <c r="N968" s="138"/>
      <c r="O968" s="167"/>
      <c r="P968" s="111"/>
      <c r="Q968" s="111"/>
      <c r="R968" s="111"/>
      <c r="S968" s="111"/>
      <c r="T968" s="111"/>
      <c r="U968" s="111"/>
      <c r="V968" s="111"/>
      <c r="W968" s="111"/>
      <c r="X968" s="111"/>
      <c r="Y968" s="111"/>
      <c r="Z968" s="111"/>
      <c r="AA968" s="111"/>
    </row>
    <row r="969" spans="1:27" s="118" customFormat="1" x14ac:dyDescent="0.2">
      <c r="A969" s="10"/>
      <c r="B969" s="10"/>
      <c r="C969" s="191"/>
      <c r="D969" s="115"/>
      <c r="E969" s="158"/>
      <c r="F969" s="267"/>
      <c r="G969" s="267"/>
      <c r="H969" s="267"/>
      <c r="I969" s="250"/>
      <c r="J969" s="267"/>
      <c r="K969" s="137"/>
      <c r="L969" s="137"/>
      <c r="M969" s="137"/>
      <c r="N969" s="138"/>
      <c r="O969" s="167"/>
      <c r="P969" s="111"/>
      <c r="Q969" s="111"/>
      <c r="R969" s="111"/>
      <c r="S969" s="111"/>
      <c r="T969" s="111"/>
      <c r="U969" s="111"/>
      <c r="V969" s="111"/>
      <c r="W969" s="111"/>
      <c r="X969" s="111"/>
      <c r="Y969" s="111"/>
      <c r="Z969" s="111"/>
      <c r="AA969" s="111"/>
    </row>
    <row r="970" spans="1:27" s="118" customFormat="1" x14ac:dyDescent="0.2">
      <c r="A970" s="10"/>
      <c r="B970" s="10"/>
      <c r="C970" s="191"/>
      <c r="D970" s="115"/>
      <c r="E970" s="158"/>
      <c r="F970" s="267"/>
      <c r="G970" s="267"/>
      <c r="H970" s="267"/>
      <c r="I970" s="250"/>
      <c r="J970" s="267"/>
      <c r="K970" s="137"/>
      <c r="L970" s="137"/>
      <c r="M970" s="137"/>
      <c r="N970" s="138"/>
      <c r="O970" s="167"/>
      <c r="P970" s="111"/>
      <c r="Q970" s="111"/>
      <c r="R970" s="111"/>
      <c r="S970" s="111"/>
      <c r="T970" s="111"/>
      <c r="U970" s="111"/>
      <c r="V970" s="111"/>
      <c r="W970" s="111"/>
      <c r="X970" s="111"/>
      <c r="Y970" s="111"/>
      <c r="Z970" s="111"/>
      <c r="AA970" s="111"/>
    </row>
    <row r="971" spans="1:27" s="118" customFormat="1" x14ac:dyDescent="0.2">
      <c r="A971" s="10"/>
      <c r="B971" s="10"/>
      <c r="C971" s="191"/>
      <c r="D971" s="115"/>
      <c r="E971" s="158"/>
      <c r="F971" s="267"/>
      <c r="G971" s="267"/>
      <c r="H971" s="267"/>
      <c r="I971" s="250"/>
      <c r="J971" s="267"/>
      <c r="K971" s="137"/>
      <c r="L971" s="137"/>
      <c r="M971" s="137"/>
      <c r="N971" s="138"/>
      <c r="O971" s="167"/>
      <c r="P971" s="111"/>
      <c r="Q971" s="111"/>
      <c r="R971" s="111"/>
      <c r="S971" s="111"/>
      <c r="T971" s="111"/>
      <c r="U971" s="111"/>
      <c r="V971" s="111"/>
      <c r="W971" s="111"/>
      <c r="X971" s="111"/>
      <c r="Y971" s="111"/>
      <c r="Z971" s="111"/>
      <c r="AA971" s="111"/>
    </row>
    <row r="972" spans="1:27" s="118" customFormat="1" x14ac:dyDescent="0.2">
      <c r="A972" s="10"/>
      <c r="B972" s="10"/>
      <c r="C972" s="191"/>
      <c r="D972" s="115"/>
      <c r="E972" s="158"/>
      <c r="F972" s="267"/>
      <c r="G972" s="267"/>
      <c r="H972" s="267"/>
      <c r="I972" s="250"/>
      <c r="J972" s="267"/>
      <c r="K972" s="137"/>
      <c r="L972" s="137"/>
      <c r="M972" s="137"/>
      <c r="N972" s="138"/>
      <c r="O972" s="167"/>
      <c r="P972" s="111"/>
      <c r="Q972" s="111"/>
      <c r="R972" s="111"/>
      <c r="S972" s="111"/>
      <c r="T972" s="111"/>
      <c r="U972" s="111"/>
      <c r="V972" s="111"/>
      <c r="W972" s="111"/>
      <c r="X972" s="111"/>
      <c r="Y972" s="111"/>
      <c r="Z972" s="111"/>
      <c r="AA972" s="111"/>
    </row>
    <row r="973" spans="1:27" s="118" customFormat="1" x14ac:dyDescent="0.2">
      <c r="A973" s="10"/>
      <c r="B973" s="10"/>
      <c r="C973" s="191"/>
      <c r="D973" s="115"/>
      <c r="E973" s="158"/>
      <c r="F973" s="267"/>
      <c r="G973" s="267"/>
      <c r="H973" s="267"/>
      <c r="I973" s="250"/>
      <c r="J973" s="267"/>
      <c r="K973" s="137"/>
      <c r="L973" s="137"/>
      <c r="M973" s="137"/>
      <c r="N973" s="138"/>
      <c r="O973" s="167"/>
      <c r="P973" s="111"/>
      <c r="Q973" s="111"/>
      <c r="R973" s="111"/>
      <c r="S973" s="111"/>
      <c r="T973" s="111"/>
      <c r="U973" s="111"/>
      <c r="V973" s="111"/>
      <c r="W973" s="111"/>
      <c r="X973" s="111"/>
      <c r="Y973" s="111"/>
      <c r="Z973" s="111"/>
      <c r="AA973" s="111"/>
    </row>
    <row r="974" spans="1:27" s="118" customFormat="1" x14ac:dyDescent="0.2">
      <c r="A974" s="10"/>
      <c r="B974" s="10"/>
      <c r="C974" s="191"/>
      <c r="D974" s="115"/>
      <c r="E974" s="158"/>
      <c r="F974" s="267"/>
      <c r="G974" s="267"/>
      <c r="H974" s="267"/>
      <c r="I974" s="250"/>
      <c r="J974" s="267"/>
      <c r="K974" s="137"/>
      <c r="L974" s="137"/>
      <c r="M974" s="137"/>
      <c r="N974" s="138"/>
      <c r="O974" s="167"/>
      <c r="P974" s="111"/>
      <c r="Q974" s="111"/>
      <c r="R974" s="111"/>
      <c r="S974" s="111"/>
      <c r="T974" s="111"/>
      <c r="U974" s="111"/>
      <c r="V974" s="111"/>
      <c r="W974" s="111"/>
      <c r="X974" s="111"/>
      <c r="Y974" s="111"/>
      <c r="Z974" s="111"/>
      <c r="AA974" s="111"/>
    </row>
    <row r="975" spans="1:27" s="118" customFormat="1" x14ac:dyDescent="0.2">
      <c r="A975" s="10"/>
      <c r="B975" s="10"/>
      <c r="C975" s="191"/>
      <c r="D975" s="115"/>
      <c r="E975" s="158"/>
      <c r="F975" s="267"/>
      <c r="G975" s="267"/>
      <c r="H975" s="267"/>
      <c r="I975" s="250"/>
      <c r="J975" s="267"/>
      <c r="K975" s="137"/>
      <c r="L975" s="137"/>
      <c r="M975" s="137"/>
      <c r="N975" s="138"/>
      <c r="O975" s="167"/>
      <c r="P975" s="111"/>
      <c r="Q975" s="111"/>
      <c r="R975" s="111"/>
      <c r="S975" s="111"/>
      <c r="T975" s="111"/>
      <c r="U975" s="111"/>
      <c r="V975" s="111"/>
      <c r="W975" s="111"/>
      <c r="X975" s="111"/>
      <c r="Y975" s="111"/>
      <c r="Z975" s="111"/>
      <c r="AA975" s="111"/>
    </row>
    <row r="976" spans="1:27" s="118" customFormat="1" x14ac:dyDescent="0.2">
      <c r="A976" s="10"/>
      <c r="B976" s="10"/>
      <c r="C976" s="191"/>
      <c r="D976" s="115"/>
      <c r="E976" s="158"/>
      <c r="F976" s="267"/>
      <c r="G976" s="267"/>
      <c r="H976" s="267"/>
      <c r="I976" s="250"/>
      <c r="J976" s="267"/>
      <c r="K976" s="137"/>
      <c r="L976" s="137"/>
      <c r="M976" s="137"/>
      <c r="N976" s="138"/>
      <c r="O976" s="167"/>
      <c r="P976" s="111"/>
      <c r="Q976" s="111"/>
      <c r="R976" s="111"/>
      <c r="S976" s="111"/>
      <c r="T976" s="111"/>
      <c r="U976" s="111"/>
      <c r="V976" s="111"/>
      <c r="W976" s="111"/>
      <c r="X976" s="111"/>
      <c r="Y976" s="111"/>
      <c r="Z976" s="111"/>
      <c r="AA976" s="111"/>
    </row>
    <row r="977" spans="1:27" s="118" customFormat="1" x14ac:dyDescent="0.2">
      <c r="A977" s="10"/>
      <c r="B977" s="10"/>
      <c r="C977" s="190"/>
      <c r="D977" s="110"/>
      <c r="E977" s="158"/>
      <c r="F977" s="267"/>
      <c r="G977" s="267"/>
      <c r="H977" s="267"/>
      <c r="I977" s="250"/>
      <c r="J977" s="338"/>
      <c r="K977" s="137"/>
      <c r="L977" s="137"/>
      <c r="M977" s="137"/>
      <c r="N977" s="138"/>
      <c r="O977" s="167"/>
      <c r="P977" s="111"/>
      <c r="Q977" s="111"/>
      <c r="R977" s="111"/>
      <c r="S977" s="111"/>
      <c r="T977" s="111"/>
      <c r="U977" s="111"/>
      <c r="V977" s="111"/>
      <c r="W977" s="111"/>
      <c r="X977" s="111"/>
      <c r="Y977" s="111"/>
      <c r="Z977" s="111"/>
      <c r="AA977" s="111"/>
    </row>
    <row r="978" spans="1:27" s="139" customFormat="1" x14ac:dyDescent="0.2">
      <c r="A978" s="10"/>
      <c r="B978" s="10"/>
      <c r="C978" s="15"/>
      <c r="D978" s="117"/>
      <c r="E978" s="10"/>
      <c r="F978" s="263"/>
      <c r="G978" s="263"/>
      <c r="H978" s="263"/>
      <c r="I978" s="250"/>
      <c r="J978" s="263"/>
      <c r="K978" s="137"/>
      <c r="L978" s="137"/>
      <c r="M978" s="137"/>
      <c r="N978" s="138"/>
      <c r="O978" s="283"/>
      <c r="P978" s="120"/>
      <c r="Q978" s="120"/>
      <c r="R978" s="120"/>
      <c r="S978" s="120"/>
      <c r="T978" s="120"/>
      <c r="U978" s="120"/>
      <c r="V978" s="120"/>
      <c r="W978" s="120"/>
      <c r="X978" s="120"/>
      <c r="Y978" s="120"/>
      <c r="Z978" s="120"/>
      <c r="AA978" s="120"/>
    </row>
    <row r="979" spans="1:27" s="147" customFormat="1" x14ac:dyDescent="0.2">
      <c r="A979" s="184"/>
      <c r="B979" s="184"/>
      <c r="C979" s="185"/>
      <c r="D979" s="337"/>
      <c r="E979" s="184"/>
      <c r="F979" s="338"/>
      <c r="G979" s="338"/>
      <c r="H979" s="338"/>
      <c r="I979" s="257"/>
      <c r="J979" s="338"/>
      <c r="K979" s="131">
        <f>J990</f>
        <v>0</v>
      </c>
      <c r="L979" s="131">
        <v>116.08</v>
      </c>
      <c r="M979" s="131">
        <f>ROUND(L979*(1+$Q$5),2)</f>
        <v>146.88</v>
      </c>
      <c r="N979" s="133">
        <f>TRUNC(K979*M979,2)</f>
        <v>0</v>
      </c>
      <c r="O979" s="286"/>
      <c r="P979" s="146"/>
      <c r="Q979" s="146"/>
      <c r="R979" s="146"/>
      <c r="S979" s="146"/>
      <c r="T979" s="146"/>
      <c r="U979" s="146"/>
      <c r="V979" s="146"/>
      <c r="W979" s="146"/>
      <c r="X979" s="146"/>
      <c r="Y979" s="146"/>
      <c r="Z979" s="146"/>
      <c r="AA979" s="146"/>
    </row>
    <row r="980" spans="1:27" s="118" customFormat="1" x14ac:dyDescent="0.2">
      <c r="A980" s="10"/>
      <c r="B980" s="10"/>
      <c r="C980" s="191"/>
      <c r="D980" s="115"/>
      <c r="E980" s="158"/>
      <c r="F980" s="267"/>
      <c r="G980" s="267"/>
      <c r="H980" s="267"/>
      <c r="I980" s="250"/>
      <c r="J980" s="267"/>
      <c r="K980" s="137"/>
      <c r="L980" s="137"/>
      <c r="M980" s="137"/>
      <c r="N980" s="138"/>
      <c r="O980" s="167"/>
      <c r="P980" s="111"/>
      <c r="Q980" s="111"/>
      <c r="R980" s="111"/>
      <c r="S980" s="111"/>
      <c r="T980" s="111"/>
      <c r="U980" s="111"/>
      <c r="V980" s="111"/>
      <c r="W980" s="111"/>
      <c r="X980" s="111"/>
      <c r="Y980" s="111"/>
      <c r="Z980" s="111"/>
      <c r="AA980" s="111"/>
    </row>
    <row r="981" spans="1:27" s="118" customFormat="1" x14ac:dyDescent="0.2">
      <c r="A981" s="10"/>
      <c r="B981" s="10"/>
      <c r="C981" s="191"/>
      <c r="D981" s="115"/>
      <c r="E981" s="158"/>
      <c r="F981" s="267"/>
      <c r="G981" s="267"/>
      <c r="H981" s="267"/>
      <c r="I981" s="250"/>
      <c r="J981" s="267"/>
      <c r="K981" s="137"/>
      <c r="L981" s="137"/>
      <c r="M981" s="137"/>
      <c r="N981" s="138"/>
      <c r="O981" s="167"/>
      <c r="P981" s="111"/>
      <c r="Q981" s="111"/>
      <c r="R981" s="111"/>
      <c r="S981" s="111"/>
      <c r="T981" s="111"/>
      <c r="U981" s="111"/>
      <c r="V981" s="111"/>
      <c r="W981" s="111"/>
      <c r="X981" s="111"/>
      <c r="Y981" s="111"/>
      <c r="Z981" s="111"/>
      <c r="AA981" s="111"/>
    </row>
    <row r="982" spans="1:27" s="118" customFormat="1" x14ac:dyDescent="0.2">
      <c r="A982" s="10"/>
      <c r="B982" s="10"/>
      <c r="C982" s="191"/>
      <c r="D982" s="115"/>
      <c r="E982" s="158"/>
      <c r="F982" s="267"/>
      <c r="G982" s="267"/>
      <c r="H982" s="267"/>
      <c r="I982" s="250"/>
      <c r="J982" s="267"/>
      <c r="K982" s="137"/>
      <c r="L982" s="137"/>
      <c r="M982" s="137"/>
      <c r="N982" s="138"/>
      <c r="O982" s="167"/>
      <c r="P982" s="111"/>
      <c r="Q982" s="111"/>
      <c r="R982" s="111"/>
      <c r="S982" s="111"/>
      <c r="T982" s="111"/>
      <c r="U982" s="111"/>
      <c r="V982" s="111"/>
      <c r="W982" s="111"/>
      <c r="X982" s="111"/>
      <c r="Y982" s="111"/>
      <c r="Z982" s="111"/>
      <c r="AA982" s="111"/>
    </row>
    <row r="983" spans="1:27" s="118" customFormat="1" x14ac:dyDescent="0.2">
      <c r="A983" s="10"/>
      <c r="B983" s="10"/>
      <c r="C983" s="191"/>
      <c r="D983" s="115"/>
      <c r="E983" s="158"/>
      <c r="F983" s="267"/>
      <c r="G983" s="267"/>
      <c r="H983" s="267"/>
      <c r="I983" s="250"/>
      <c r="J983" s="267"/>
      <c r="K983" s="137"/>
      <c r="L983" s="137"/>
      <c r="M983" s="137"/>
      <c r="N983" s="138"/>
      <c r="O983" s="167"/>
      <c r="P983" s="111"/>
      <c r="Q983" s="111"/>
      <c r="R983" s="111"/>
      <c r="S983" s="111"/>
      <c r="T983" s="111"/>
      <c r="U983" s="111"/>
      <c r="V983" s="111"/>
      <c r="W983" s="111"/>
      <c r="X983" s="111"/>
      <c r="Y983" s="111"/>
      <c r="Z983" s="111"/>
      <c r="AA983" s="111"/>
    </row>
    <row r="984" spans="1:27" s="118" customFormat="1" x14ac:dyDescent="0.2">
      <c r="A984" s="10"/>
      <c r="B984" s="10"/>
      <c r="C984" s="191"/>
      <c r="D984" s="115"/>
      <c r="E984" s="158"/>
      <c r="F984" s="267"/>
      <c r="G984" s="267"/>
      <c r="H984" s="267"/>
      <c r="I984" s="250"/>
      <c r="J984" s="267"/>
      <c r="K984" s="137"/>
      <c r="L984" s="137"/>
      <c r="M984" s="137"/>
      <c r="N984" s="138"/>
      <c r="O984" s="167"/>
      <c r="P984" s="111"/>
      <c r="Q984" s="111"/>
      <c r="R984" s="111"/>
      <c r="S984" s="111"/>
      <c r="T984" s="111"/>
      <c r="U984" s="111"/>
      <c r="V984" s="111"/>
      <c r="W984" s="111"/>
      <c r="X984" s="111"/>
      <c r="Y984" s="111"/>
      <c r="Z984" s="111"/>
      <c r="AA984" s="111"/>
    </row>
    <row r="985" spans="1:27" s="118" customFormat="1" x14ac:dyDescent="0.2">
      <c r="A985" s="10"/>
      <c r="B985" s="10"/>
      <c r="C985" s="191"/>
      <c r="D985" s="115"/>
      <c r="E985" s="158"/>
      <c r="F985" s="267"/>
      <c r="G985" s="267"/>
      <c r="H985" s="267"/>
      <c r="I985" s="250"/>
      <c r="J985" s="267"/>
      <c r="K985" s="137"/>
      <c r="L985" s="137"/>
      <c r="M985" s="137"/>
      <c r="N985" s="138"/>
      <c r="O985" s="167"/>
      <c r="P985" s="111"/>
      <c r="Q985" s="111"/>
      <c r="R985" s="111"/>
      <c r="S985" s="111"/>
      <c r="T985" s="111"/>
      <c r="U985" s="111"/>
      <c r="V985" s="111"/>
      <c r="W985" s="111"/>
      <c r="X985" s="111"/>
      <c r="Y985" s="111"/>
      <c r="Z985" s="111"/>
      <c r="AA985" s="111"/>
    </row>
    <row r="986" spans="1:27" s="118" customFormat="1" x14ac:dyDescent="0.2">
      <c r="A986" s="10"/>
      <c r="B986" s="10"/>
      <c r="C986" s="191"/>
      <c r="D986" s="115"/>
      <c r="E986" s="158"/>
      <c r="F986" s="267"/>
      <c r="G986" s="267"/>
      <c r="H986" s="267"/>
      <c r="I986" s="250"/>
      <c r="J986" s="267"/>
      <c r="K986" s="137"/>
      <c r="L986" s="137"/>
      <c r="M986" s="137"/>
      <c r="N986" s="138"/>
      <c r="O986" s="167"/>
      <c r="P986" s="111"/>
      <c r="Q986" s="111"/>
      <c r="R986" s="111"/>
      <c r="S986" s="111"/>
      <c r="T986" s="111"/>
      <c r="U986" s="111"/>
      <c r="V986" s="111"/>
      <c r="W986" s="111"/>
      <c r="X986" s="111"/>
      <c r="Y986" s="111"/>
      <c r="Z986" s="111"/>
      <c r="AA986" s="111"/>
    </row>
    <row r="987" spans="1:27" s="118" customFormat="1" x14ac:dyDescent="0.2">
      <c r="A987" s="10"/>
      <c r="B987" s="10"/>
      <c r="C987" s="191"/>
      <c r="D987" s="115"/>
      <c r="E987" s="158"/>
      <c r="F987" s="267"/>
      <c r="G987" s="267"/>
      <c r="H987" s="267"/>
      <c r="I987" s="250"/>
      <c r="J987" s="267"/>
      <c r="K987" s="137"/>
      <c r="L987" s="137"/>
      <c r="M987" s="137"/>
      <c r="N987" s="138"/>
      <c r="O987" s="167"/>
      <c r="P987" s="111"/>
      <c r="Q987" s="111"/>
      <c r="R987" s="111"/>
      <c r="S987" s="111"/>
      <c r="T987" s="111"/>
      <c r="U987" s="111"/>
      <c r="V987" s="111"/>
      <c r="W987" s="111"/>
      <c r="X987" s="111"/>
      <c r="Y987" s="111"/>
      <c r="Z987" s="111"/>
      <c r="AA987" s="111"/>
    </row>
    <row r="988" spans="1:27" s="118" customFormat="1" x14ac:dyDescent="0.2">
      <c r="A988" s="10"/>
      <c r="B988" s="10"/>
      <c r="C988" s="191"/>
      <c r="D988" s="115"/>
      <c r="E988" s="158"/>
      <c r="F988" s="267"/>
      <c r="G988" s="267"/>
      <c r="H988" s="267"/>
      <c r="I988" s="250"/>
      <c r="J988" s="267"/>
      <c r="K988" s="137"/>
      <c r="L988" s="137"/>
      <c r="M988" s="137"/>
      <c r="N988" s="138"/>
      <c r="O988" s="167"/>
      <c r="P988" s="111"/>
      <c r="Q988" s="111"/>
      <c r="R988" s="111"/>
      <c r="S988" s="111"/>
      <c r="T988" s="111"/>
      <c r="U988" s="111"/>
      <c r="V988" s="111"/>
      <c r="W988" s="111"/>
      <c r="X988" s="111"/>
      <c r="Y988" s="111"/>
      <c r="Z988" s="111"/>
      <c r="AA988" s="111"/>
    </row>
    <row r="989" spans="1:27" s="118" customFormat="1" x14ac:dyDescent="0.2">
      <c r="A989" s="10"/>
      <c r="B989" s="10"/>
      <c r="C989" s="191"/>
      <c r="D989" s="115"/>
      <c r="E989" s="158"/>
      <c r="F989" s="267"/>
      <c r="G989" s="267"/>
      <c r="H989" s="267"/>
      <c r="I989" s="250"/>
      <c r="J989" s="267"/>
      <c r="K989" s="137"/>
      <c r="L989" s="137"/>
      <c r="M989" s="137"/>
      <c r="N989" s="138"/>
      <c r="O989" s="167"/>
      <c r="P989" s="111"/>
      <c r="Q989" s="111"/>
      <c r="R989" s="111"/>
      <c r="S989" s="111"/>
      <c r="T989" s="111"/>
      <c r="U989" s="111"/>
      <c r="V989" s="111"/>
      <c r="W989" s="111"/>
      <c r="X989" s="111"/>
      <c r="Y989" s="111"/>
      <c r="Z989" s="111"/>
      <c r="AA989" s="111"/>
    </row>
    <row r="990" spans="1:27" s="118" customFormat="1" x14ac:dyDescent="0.2">
      <c r="A990" s="10"/>
      <c r="B990" s="10"/>
      <c r="C990" s="190"/>
      <c r="D990" s="110"/>
      <c r="E990" s="158"/>
      <c r="F990" s="267"/>
      <c r="G990" s="267"/>
      <c r="H990" s="267"/>
      <c r="I990" s="250"/>
      <c r="J990" s="338"/>
      <c r="K990" s="137"/>
      <c r="L990" s="137"/>
      <c r="M990" s="137"/>
      <c r="N990" s="138"/>
      <c r="O990" s="167"/>
      <c r="P990" s="111"/>
      <c r="Q990" s="111"/>
      <c r="R990" s="111"/>
      <c r="S990" s="111"/>
      <c r="T990" s="111"/>
      <c r="U990" s="111"/>
      <c r="V990" s="111"/>
      <c r="W990" s="111"/>
      <c r="X990" s="111"/>
      <c r="Y990" s="111"/>
      <c r="Z990" s="111"/>
      <c r="AA990" s="111"/>
    </row>
    <row r="991" spans="1:27" s="139" customFormat="1" x14ac:dyDescent="0.2">
      <c r="A991" s="10"/>
      <c r="B991" s="10"/>
      <c r="C991" s="15"/>
      <c r="D991" s="117"/>
      <c r="E991" s="10"/>
      <c r="F991" s="263"/>
      <c r="G991" s="263"/>
      <c r="H991" s="263"/>
      <c r="I991" s="250"/>
      <c r="J991" s="263"/>
      <c r="K991" s="137"/>
      <c r="L991" s="137"/>
      <c r="M991" s="137"/>
      <c r="N991" s="138"/>
      <c r="O991" s="283"/>
      <c r="P991" s="120"/>
      <c r="Q991" s="120"/>
      <c r="R991" s="120"/>
      <c r="S991" s="120"/>
      <c r="T991" s="120"/>
      <c r="U991" s="120"/>
      <c r="V991" s="120"/>
      <c r="W991" s="120"/>
      <c r="X991" s="120"/>
      <c r="Y991" s="120"/>
      <c r="Z991" s="120"/>
      <c r="AA991" s="120"/>
    </row>
    <row r="992" spans="1:27" s="147" customFormat="1" x14ac:dyDescent="0.2">
      <c r="A992" s="184"/>
      <c r="B992" s="184"/>
      <c r="C992" s="185"/>
      <c r="D992" s="337"/>
      <c r="E992" s="184"/>
      <c r="F992" s="338"/>
      <c r="G992" s="338"/>
      <c r="H992" s="338"/>
      <c r="I992" s="257"/>
      <c r="J992" s="338"/>
      <c r="K992" s="131">
        <f>J997</f>
        <v>0</v>
      </c>
      <c r="L992" s="131">
        <f>'COMPOSICOES - SINAPI COM DESON'!G50</f>
        <v>104.48</v>
      </c>
      <c r="M992" s="131">
        <f>ROUND(L992*(1+$Q$5),2)</f>
        <v>132.19999999999999</v>
      </c>
      <c r="N992" s="133">
        <f>TRUNC(K992*M992,2)</f>
        <v>0</v>
      </c>
      <c r="O992" s="286"/>
      <c r="P992" s="146"/>
      <c r="Q992" s="146"/>
      <c r="R992" s="146"/>
      <c r="S992" s="146"/>
      <c r="T992" s="146"/>
      <c r="U992" s="146"/>
      <c r="V992" s="146"/>
      <c r="W992" s="146"/>
      <c r="X992" s="146"/>
      <c r="Y992" s="146"/>
      <c r="Z992" s="146"/>
      <c r="AA992" s="146"/>
    </row>
    <row r="993" spans="1:27" s="174" customFormat="1" x14ac:dyDescent="0.2">
      <c r="A993" s="177"/>
      <c r="B993" s="177"/>
      <c r="C993" s="178"/>
      <c r="D993" s="115"/>
      <c r="E993" s="177"/>
      <c r="F993" s="267"/>
      <c r="G993" s="267"/>
      <c r="H993" s="267"/>
      <c r="I993" s="339"/>
      <c r="J993" s="267"/>
      <c r="K993" s="172"/>
      <c r="L993" s="172"/>
      <c r="M993" s="172"/>
      <c r="N993" s="173"/>
      <c r="O993" s="287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</row>
    <row r="994" spans="1:27" s="174" customFormat="1" x14ac:dyDescent="0.2">
      <c r="A994" s="177"/>
      <c r="B994" s="177"/>
      <c r="C994" s="178"/>
      <c r="D994" s="115"/>
      <c r="E994" s="177"/>
      <c r="F994" s="267"/>
      <c r="G994" s="267"/>
      <c r="H994" s="267"/>
      <c r="I994" s="339"/>
      <c r="J994" s="267"/>
      <c r="K994" s="172"/>
      <c r="L994" s="172"/>
      <c r="M994" s="172"/>
      <c r="N994" s="173"/>
      <c r="O994" s="287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</row>
    <row r="995" spans="1:27" s="174" customFormat="1" x14ac:dyDescent="0.2">
      <c r="A995" s="177"/>
      <c r="B995" s="177"/>
      <c r="C995" s="178"/>
      <c r="D995" s="115"/>
      <c r="E995" s="177"/>
      <c r="F995" s="267"/>
      <c r="G995" s="267"/>
      <c r="H995" s="267"/>
      <c r="I995" s="339"/>
      <c r="J995" s="267"/>
      <c r="K995" s="172"/>
      <c r="L995" s="172"/>
      <c r="M995" s="172"/>
      <c r="N995" s="173"/>
      <c r="O995" s="287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</row>
    <row r="996" spans="1:27" s="118" customFormat="1" x14ac:dyDescent="0.2">
      <c r="A996" s="10"/>
      <c r="B996" s="10"/>
      <c r="C996" s="191"/>
      <c r="D996" s="115"/>
      <c r="E996" s="158"/>
      <c r="F996" s="267"/>
      <c r="G996" s="267"/>
      <c r="H996" s="267"/>
      <c r="I996" s="250"/>
      <c r="J996" s="267"/>
      <c r="K996" s="137"/>
      <c r="L996" s="137"/>
      <c r="M996" s="137"/>
      <c r="N996" s="138"/>
      <c r="O996" s="167"/>
      <c r="P996" s="111"/>
      <c r="Q996" s="111"/>
      <c r="R996" s="111"/>
      <c r="S996" s="111"/>
      <c r="T996" s="111"/>
      <c r="U996" s="111"/>
      <c r="V996" s="111"/>
      <c r="W996" s="111"/>
      <c r="X996" s="111"/>
      <c r="Y996" s="111"/>
      <c r="Z996" s="111"/>
      <c r="AA996" s="111"/>
    </row>
    <row r="997" spans="1:27" s="174" customFormat="1" x14ac:dyDescent="0.2">
      <c r="A997" s="177"/>
      <c r="B997" s="177"/>
      <c r="C997" s="178"/>
      <c r="D997" s="179"/>
      <c r="E997" s="180"/>
      <c r="F997" s="265"/>
      <c r="G997" s="265"/>
      <c r="H997" s="265"/>
      <c r="I997" s="252"/>
      <c r="J997" s="338"/>
      <c r="K997" s="172"/>
      <c r="L997" s="172"/>
      <c r="M997" s="172"/>
      <c r="N997" s="173"/>
      <c r="O997" s="287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</row>
    <row r="998" spans="1:27" s="183" customFormat="1" x14ac:dyDescent="0.2">
      <c r="A998" s="177"/>
      <c r="B998" s="177"/>
      <c r="C998" s="178"/>
      <c r="D998" s="179"/>
      <c r="E998" s="180"/>
      <c r="F998" s="265"/>
      <c r="G998" s="265"/>
      <c r="H998" s="265"/>
      <c r="I998" s="252"/>
      <c r="J998" s="266"/>
      <c r="K998" s="181"/>
      <c r="L998" s="181"/>
      <c r="M998" s="181"/>
      <c r="N998" s="182"/>
      <c r="O998" s="287"/>
      <c r="P998" s="121"/>
      <c r="Q998" s="121"/>
      <c r="R998" s="121"/>
      <c r="S998" s="121"/>
      <c r="T998" s="121"/>
      <c r="U998" s="121"/>
      <c r="V998" s="121"/>
      <c r="W998" s="121"/>
      <c r="X998" s="121"/>
      <c r="Y998" s="121"/>
      <c r="Z998" s="121"/>
      <c r="AA998" s="121"/>
    </row>
    <row r="999" spans="1:27" s="147" customFormat="1" x14ac:dyDescent="0.2">
      <c r="A999" s="184"/>
      <c r="B999" s="184"/>
      <c r="C999" s="185"/>
      <c r="D999" s="337"/>
      <c r="E999" s="184"/>
      <c r="F999" s="338"/>
      <c r="G999" s="338"/>
      <c r="H999" s="338"/>
      <c r="I999" s="257"/>
      <c r="J999" s="338"/>
      <c r="K999" s="131">
        <f>J1001</f>
        <v>0</v>
      </c>
      <c r="L999" s="131">
        <v>65.69</v>
      </c>
      <c r="M999" s="131">
        <f>ROUND(L999*(1+$Q$5),2)</f>
        <v>83.12</v>
      </c>
      <c r="N999" s="133">
        <f>TRUNC(K999*M999,2)</f>
        <v>0</v>
      </c>
      <c r="O999" s="286"/>
      <c r="P999" s="146"/>
      <c r="Q999" s="146"/>
      <c r="R999" s="146"/>
      <c r="S999" s="146"/>
      <c r="T999" s="146"/>
      <c r="U999" s="146"/>
      <c r="V999" s="146"/>
      <c r="W999" s="146"/>
      <c r="X999" s="146"/>
      <c r="Y999" s="146"/>
      <c r="Z999" s="146"/>
      <c r="AA999" s="146"/>
    </row>
    <row r="1000" spans="1:27" s="118" customFormat="1" x14ac:dyDescent="0.2">
      <c r="A1000" s="10"/>
      <c r="B1000" s="10"/>
      <c r="C1000" s="10"/>
      <c r="D1000" s="115"/>
      <c r="E1000" s="158"/>
      <c r="F1000" s="267"/>
      <c r="G1000" s="267"/>
      <c r="H1000" s="267"/>
      <c r="I1000" s="250"/>
      <c r="J1000" s="267"/>
      <c r="K1000" s="137"/>
      <c r="L1000" s="137"/>
      <c r="M1000" s="137"/>
      <c r="N1000" s="138"/>
      <c r="O1000" s="167"/>
      <c r="P1000" s="111"/>
      <c r="Q1000" s="111"/>
      <c r="R1000" s="111"/>
      <c r="S1000" s="111"/>
      <c r="T1000" s="111"/>
      <c r="U1000" s="111"/>
      <c r="V1000" s="111"/>
      <c r="W1000" s="111"/>
      <c r="X1000" s="111"/>
      <c r="Y1000" s="111"/>
      <c r="Z1000" s="111"/>
      <c r="AA1000" s="111"/>
    </row>
    <row r="1001" spans="1:27" s="118" customFormat="1" x14ac:dyDescent="0.2">
      <c r="A1001" s="10"/>
      <c r="B1001" s="10"/>
      <c r="C1001" s="190"/>
      <c r="D1001" s="110"/>
      <c r="E1001" s="158"/>
      <c r="F1001" s="267"/>
      <c r="G1001" s="267"/>
      <c r="H1001" s="267"/>
      <c r="I1001" s="250"/>
      <c r="J1001" s="338"/>
      <c r="K1001" s="137"/>
      <c r="L1001" s="137"/>
      <c r="M1001" s="137"/>
      <c r="N1001" s="138"/>
      <c r="O1001" s="167"/>
      <c r="P1001" s="111"/>
      <c r="Q1001" s="111"/>
      <c r="R1001" s="111"/>
      <c r="S1001" s="111"/>
      <c r="T1001" s="111"/>
      <c r="U1001" s="111"/>
      <c r="V1001" s="111"/>
      <c r="W1001" s="111"/>
      <c r="X1001" s="111"/>
      <c r="Y1001" s="111"/>
      <c r="Z1001" s="111"/>
      <c r="AA1001" s="111"/>
    </row>
    <row r="1002" spans="1:27" s="118" customFormat="1" x14ac:dyDescent="0.2">
      <c r="A1002" s="10"/>
      <c r="B1002" s="10"/>
      <c r="C1002" s="191"/>
      <c r="D1002" s="110"/>
      <c r="E1002" s="158"/>
      <c r="F1002" s="267"/>
      <c r="G1002" s="267"/>
      <c r="H1002" s="267"/>
      <c r="I1002" s="250"/>
      <c r="J1002" s="263"/>
      <c r="K1002" s="137"/>
      <c r="L1002" s="137"/>
      <c r="M1002" s="137"/>
      <c r="N1002" s="138"/>
      <c r="O1002" s="167"/>
      <c r="P1002" s="111"/>
      <c r="Q1002" s="111"/>
      <c r="R1002" s="111"/>
      <c r="S1002" s="111"/>
      <c r="T1002" s="111"/>
      <c r="U1002" s="111"/>
      <c r="V1002" s="111"/>
      <c r="W1002" s="111"/>
      <c r="X1002" s="111"/>
      <c r="Y1002" s="111"/>
      <c r="Z1002" s="111"/>
      <c r="AA1002" s="111"/>
    </row>
    <row r="1003" spans="1:27" s="147" customFormat="1" x14ac:dyDescent="0.2">
      <c r="A1003" s="184"/>
      <c r="B1003" s="184"/>
      <c r="C1003" s="185"/>
      <c r="D1003" s="337"/>
      <c r="E1003" s="184"/>
      <c r="F1003" s="338"/>
      <c r="G1003" s="338"/>
      <c r="H1003" s="338"/>
      <c r="I1003" s="257"/>
      <c r="J1003" s="338"/>
      <c r="K1003" s="131">
        <f>J1005</f>
        <v>0</v>
      </c>
      <c r="L1003" s="131">
        <v>14.55</v>
      </c>
      <c r="M1003" s="131">
        <f>ROUND(L1003*(1+$Q$5),2)</f>
        <v>18.41</v>
      </c>
      <c r="N1003" s="133">
        <f>TRUNC(K1003*M1003,2)</f>
        <v>0</v>
      </c>
      <c r="O1003" s="286"/>
      <c r="P1003" s="146"/>
      <c r="Q1003" s="146"/>
      <c r="R1003" s="146"/>
      <c r="S1003" s="146"/>
      <c r="T1003" s="146"/>
      <c r="U1003" s="146"/>
      <c r="V1003" s="146"/>
      <c r="W1003" s="146"/>
      <c r="X1003" s="146"/>
      <c r="Y1003" s="146"/>
      <c r="Z1003" s="146"/>
      <c r="AA1003" s="146"/>
    </row>
    <row r="1004" spans="1:27" s="118" customFormat="1" x14ac:dyDescent="0.2">
      <c r="A1004" s="10"/>
      <c r="B1004" s="10"/>
      <c r="C1004" s="10"/>
      <c r="D1004" s="115"/>
      <c r="E1004" s="158"/>
      <c r="F1004" s="267"/>
      <c r="G1004" s="267"/>
      <c r="H1004" s="267"/>
      <c r="I1004" s="250"/>
      <c r="J1004" s="267"/>
      <c r="K1004" s="137"/>
      <c r="L1004" s="137"/>
      <c r="M1004" s="137"/>
      <c r="N1004" s="138"/>
      <c r="O1004" s="167"/>
      <c r="P1004" s="111"/>
      <c r="Q1004" s="111"/>
      <c r="R1004" s="111"/>
      <c r="S1004" s="111"/>
      <c r="T1004" s="111"/>
      <c r="U1004" s="111"/>
      <c r="V1004" s="111"/>
      <c r="W1004" s="111"/>
      <c r="X1004" s="111"/>
      <c r="Y1004" s="111"/>
      <c r="Z1004" s="111"/>
      <c r="AA1004" s="111"/>
    </row>
    <row r="1005" spans="1:27" s="118" customFormat="1" x14ac:dyDescent="0.2">
      <c r="A1005" s="10"/>
      <c r="B1005" s="10"/>
      <c r="C1005" s="190"/>
      <c r="D1005" s="110"/>
      <c r="E1005" s="158"/>
      <c r="F1005" s="267"/>
      <c r="G1005" s="267"/>
      <c r="H1005" s="267"/>
      <c r="I1005" s="250"/>
      <c r="J1005" s="338"/>
      <c r="K1005" s="137"/>
      <c r="L1005" s="137"/>
      <c r="M1005" s="137"/>
      <c r="N1005" s="138"/>
      <c r="O1005" s="167"/>
      <c r="P1005" s="111"/>
      <c r="Q1005" s="111"/>
      <c r="R1005" s="111"/>
      <c r="S1005" s="111"/>
      <c r="T1005" s="111"/>
      <c r="U1005" s="111"/>
      <c r="V1005" s="111"/>
      <c r="W1005" s="111"/>
      <c r="X1005" s="111"/>
      <c r="Y1005" s="111"/>
      <c r="Z1005" s="111"/>
      <c r="AA1005" s="111"/>
    </row>
    <row r="1006" spans="1:27" s="118" customFormat="1" x14ac:dyDescent="0.2">
      <c r="A1006" s="10"/>
      <c r="B1006" s="10"/>
      <c r="C1006" s="191"/>
      <c r="D1006" s="110"/>
      <c r="E1006" s="158"/>
      <c r="F1006" s="267"/>
      <c r="G1006" s="267"/>
      <c r="H1006" s="267"/>
      <c r="I1006" s="250"/>
      <c r="J1006" s="263"/>
      <c r="K1006" s="137"/>
      <c r="L1006" s="137"/>
      <c r="M1006" s="137"/>
      <c r="N1006" s="138"/>
      <c r="O1006" s="167"/>
      <c r="P1006" s="111"/>
      <c r="Q1006" s="111"/>
      <c r="R1006" s="111"/>
      <c r="S1006" s="111"/>
      <c r="T1006" s="111"/>
      <c r="U1006" s="111"/>
      <c r="V1006" s="111"/>
      <c r="W1006" s="111"/>
      <c r="X1006" s="111"/>
      <c r="Y1006" s="111"/>
      <c r="Z1006" s="111"/>
      <c r="AA1006" s="111"/>
    </row>
    <row r="1007" spans="1:27" s="145" customFormat="1" x14ac:dyDescent="0.2">
      <c r="A1007" s="192"/>
      <c r="B1007" s="192"/>
      <c r="C1007" s="193"/>
      <c r="D1007" s="336"/>
      <c r="E1007" s="192"/>
      <c r="F1007" s="269"/>
      <c r="G1007" s="269"/>
      <c r="H1007" s="269"/>
      <c r="I1007" s="254"/>
      <c r="J1007" s="269"/>
      <c r="K1007" s="142"/>
      <c r="L1007" s="142"/>
      <c r="M1007" s="142"/>
      <c r="N1007" s="143">
        <f>SUM(N1009:N1020)</f>
        <v>0</v>
      </c>
      <c r="O1007" s="285"/>
      <c r="P1007" s="144"/>
      <c r="Q1007" s="144"/>
      <c r="R1007" s="144"/>
      <c r="S1007" s="144"/>
      <c r="T1007" s="144"/>
      <c r="U1007" s="144"/>
      <c r="V1007" s="144"/>
      <c r="W1007" s="144"/>
      <c r="X1007" s="144"/>
      <c r="Y1007" s="144"/>
      <c r="Z1007" s="144"/>
      <c r="AA1007" s="144"/>
    </row>
    <row r="1008" spans="1:27" s="118" customFormat="1" x14ac:dyDescent="0.2">
      <c r="A1008" s="10"/>
      <c r="B1008" s="10"/>
      <c r="C1008" s="191"/>
      <c r="D1008" s="110"/>
      <c r="E1008" s="158"/>
      <c r="F1008" s="267"/>
      <c r="G1008" s="267"/>
      <c r="H1008" s="267"/>
      <c r="I1008" s="250"/>
      <c r="J1008" s="263"/>
      <c r="K1008" s="137"/>
      <c r="L1008" s="137"/>
      <c r="M1008" s="137"/>
      <c r="N1008" s="138"/>
      <c r="O1008" s="167"/>
      <c r="P1008" s="111"/>
      <c r="Q1008" s="111"/>
      <c r="R1008" s="111"/>
      <c r="S1008" s="111"/>
      <c r="T1008" s="111"/>
      <c r="U1008" s="111"/>
      <c r="V1008" s="111"/>
      <c r="W1008" s="111"/>
      <c r="X1008" s="111"/>
      <c r="Y1008" s="111"/>
      <c r="Z1008" s="111"/>
      <c r="AA1008" s="111"/>
    </row>
    <row r="1009" spans="1:27" s="147" customFormat="1" x14ac:dyDescent="0.2">
      <c r="A1009" s="184"/>
      <c r="B1009" s="184"/>
      <c r="C1009" s="185"/>
      <c r="D1009" s="337"/>
      <c r="E1009" s="184"/>
      <c r="F1009" s="338"/>
      <c r="G1009" s="338"/>
      <c r="H1009" s="338"/>
      <c r="I1009" s="257"/>
      <c r="J1009" s="338"/>
      <c r="K1009" s="131">
        <f>J1011</f>
        <v>0</v>
      </c>
      <c r="L1009" s="131">
        <v>116.1</v>
      </c>
      <c r="M1009" s="131">
        <f>ROUND(L1009*(1+$Q$5),2)</f>
        <v>146.9</v>
      </c>
      <c r="N1009" s="133">
        <f>TRUNC(K1009*M1009,2)</f>
        <v>0</v>
      </c>
      <c r="O1009" s="286"/>
      <c r="P1009" s="146"/>
      <c r="Q1009" s="146"/>
      <c r="R1009" s="146"/>
      <c r="S1009" s="146"/>
      <c r="T1009" s="146"/>
      <c r="U1009" s="146"/>
      <c r="V1009" s="146"/>
      <c r="W1009" s="146"/>
      <c r="X1009" s="146"/>
      <c r="Y1009" s="146"/>
      <c r="Z1009" s="146"/>
      <c r="AA1009" s="146"/>
    </row>
    <row r="1010" spans="1:27" s="118" customFormat="1" x14ac:dyDescent="0.2">
      <c r="A1010" s="10"/>
      <c r="B1010" s="10"/>
      <c r="C1010" s="191"/>
      <c r="D1010" s="115"/>
      <c r="E1010" s="158"/>
      <c r="F1010" s="267"/>
      <c r="G1010" s="267"/>
      <c r="H1010" s="267"/>
      <c r="I1010" s="250"/>
      <c r="J1010" s="267"/>
      <c r="K1010" s="137"/>
      <c r="L1010" s="137"/>
      <c r="M1010" s="137"/>
      <c r="N1010" s="138"/>
      <c r="O1010" s="167"/>
      <c r="P1010" s="111"/>
      <c r="Q1010" s="111"/>
      <c r="R1010" s="111"/>
      <c r="S1010" s="111"/>
      <c r="T1010" s="111"/>
      <c r="U1010" s="111"/>
      <c r="V1010" s="111"/>
      <c r="W1010" s="111"/>
      <c r="X1010" s="111"/>
      <c r="Y1010" s="111"/>
      <c r="Z1010" s="111"/>
      <c r="AA1010" s="111"/>
    </row>
    <row r="1011" spans="1:27" s="118" customFormat="1" x14ac:dyDescent="0.2">
      <c r="A1011" s="10"/>
      <c r="B1011" s="10"/>
      <c r="C1011" s="190"/>
      <c r="D1011" s="110"/>
      <c r="E1011" s="158"/>
      <c r="F1011" s="267"/>
      <c r="G1011" s="267"/>
      <c r="H1011" s="267"/>
      <c r="I1011" s="250"/>
      <c r="J1011" s="338"/>
      <c r="K1011" s="137"/>
      <c r="L1011" s="137"/>
      <c r="M1011" s="137"/>
      <c r="N1011" s="138"/>
      <c r="O1011" s="167"/>
      <c r="P1011" s="111"/>
      <c r="Q1011" s="111"/>
      <c r="R1011" s="111"/>
      <c r="S1011" s="111"/>
      <c r="T1011" s="111"/>
      <c r="U1011" s="111"/>
      <c r="V1011" s="111"/>
      <c r="W1011" s="111"/>
      <c r="X1011" s="111"/>
      <c r="Y1011" s="111"/>
      <c r="Z1011" s="111"/>
      <c r="AA1011" s="111"/>
    </row>
    <row r="1012" spans="1:27" s="154" customFormat="1" x14ac:dyDescent="0.2">
      <c r="A1012" s="10"/>
      <c r="B1012" s="10"/>
      <c r="C1012" s="15"/>
      <c r="D1012" s="117"/>
      <c r="E1012" s="10"/>
      <c r="F1012" s="263"/>
      <c r="G1012" s="263"/>
      <c r="H1012" s="263"/>
      <c r="I1012" s="250"/>
      <c r="J1012" s="263"/>
      <c r="K1012" s="151"/>
      <c r="L1012" s="151"/>
      <c r="M1012" s="151"/>
      <c r="N1012" s="152"/>
      <c r="O1012" s="283"/>
      <c r="P1012" s="153"/>
      <c r="Q1012" s="153"/>
      <c r="R1012" s="153"/>
      <c r="S1012" s="153"/>
      <c r="T1012" s="153"/>
      <c r="U1012" s="153"/>
      <c r="V1012" s="153"/>
      <c r="W1012" s="153"/>
      <c r="X1012" s="153"/>
      <c r="Y1012" s="153"/>
      <c r="Z1012" s="153"/>
      <c r="AA1012" s="153"/>
    </row>
    <row r="1013" spans="1:27" s="147" customFormat="1" x14ac:dyDescent="0.2">
      <c r="A1013" s="184"/>
      <c r="B1013" s="184"/>
      <c r="C1013" s="344"/>
      <c r="D1013" s="337"/>
      <c r="E1013" s="184"/>
      <c r="F1013" s="338"/>
      <c r="G1013" s="338"/>
      <c r="H1013" s="338"/>
      <c r="I1013" s="257"/>
      <c r="J1013" s="338"/>
      <c r="K1013" s="131">
        <f>J1015</f>
        <v>0</v>
      </c>
      <c r="L1013" s="131">
        <v>73.67</v>
      </c>
      <c r="M1013" s="131">
        <f>ROUND(L1013*(1+$Q$5),2)</f>
        <v>93.21</v>
      </c>
      <c r="N1013" s="133">
        <f>TRUNC(K1013*M1013,2)</f>
        <v>0</v>
      </c>
      <c r="O1013" s="286"/>
      <c r="P1013" s="146"/>
      <c r="Q1013" s="146"/>
      <c r="R1013" s="146"/>
      <c r="S1013" s="146"/>
      <c r="T1013" s="146"/>
      <c r="U1013" s="146"/>
      <c r="V1013" s="146"/>
      <c r="W1013" s="146"/>
      <c r="X1013" s="146"/>
      <c r="Y1013" s="146"/>
      <c r="Z1013" s="146"/>
      <c r="AA1013" s="146"/>
    </row>
    <row r="1014" spans="1:27" s="118" customFormat="1" x14ac:dyDescent="0.2">
      <c r="A1014" s="10"/>
      <c r="B1014" s="10"/>
      <c r="C1014" s="191"/>
      <c r="D1014" s="115"/>
      <c r="E1014" s="158"/>
      <c r="F1014" s="267"/>
      <c r="G1014" s="267"/>
      <c r="H1014" s="267"/>
      <c r="I1014" s="250"/>
      <c r="J1014" s="267"/>
      <c r="K1014" s="137"/>
      <c r="L1014" s="137"/>
      <c r="M1014" s="137"/>
      <c r="N1014" s="138"/>
      <c r="O1014" s="167"/>
      <c r="P1014" s="111"/>
      <c r="Q1014" s="111"/>
      <c r="R1014" s="111"/>
      <c r="S1014" s="111"/>
      <c r="T1014" s="111"/>
      <c r="U1014" s="111"/>
      <c r="V1014" s="111"/>
      <c r="W1014" s="111"/>
      <c r="X1014" s="111"/>
      <c r="Y1014" s="111"/>
      <c r="Z1014" s="111"/>
      <c r="AA1014" s="111"/>
    </row>
    <row r="1015" spans="1:27" s="118" customFormat="1" x14ac:dyDescent="0.2">
      <c r="A1015" s="10"/>
      <c r="B1015" s="10"/>
      <c r="C1015" s="190"/>
      <c r="D1015" s="110"/>
      <c r="E1015" s="158"/>
      <c r="F1015" s="267"/>
      <c r="G1015" s="267"/>
      <c r="H1015" s="267"/>
      <c r="I1015" s="250"/>
      <c r="J1015" s="338"/>
      <c r="K1015" s="137"/>
      <c r="L1015" s="137"/>
      <c r="M1015" s="137"/>
      <c r="N1015" s="138"/>
      <c r="O1015" s="167"/>
      <c r="P1015" s="111"/>
      <c r="Q1015" s="111"/>
      <c r="R1015" s="111"/>
      <c r="S1015" s="111"/>
      <c r="T1015" s="111"/>
      <c r="U1015" s="111"/>
      <c r="V1015" s="111"/>
      <c r="W1015" s="111"/>
      <c r="X1015" s="111"/>
      <c r="Y1015" s="111"/>
      <c r="Z1015" s="111"/>
      <c r="AA1015" s="111"/>
    </row>
    <row r="1016" spans="1:27" s="161" customFormat="1" x14ac:dyDescent="0.2">
      <c r="A1016" s="10"/>
      <c r="B1016" s="10"/>
      <c r="C1016" s="191"/>
      <c r="D1016" s="110"/>
      <c r="E1016" s="158"/>
      <c r="F1016" s="267"/>
      <c r="G1016" s="267"/>
      <c r="H1016" s="267"/>
      <c r="I1016" s="250"/>
      <c r="J1016" s="263"/>
      <c r="K1016" s="151"/>
      <c r="L1016" s="151"/>
      <c r="M1016" s="151"/>
      <c r="N1016" s="152"/>
      <c r="O1016" s="167"/>
      <c r="P1016" s="114"/>
      <c r="Q1016" s="114"/>
      <c r="R1016" s="114"/>
      <c r="S1016" s="114"/>
      <c r="T1016" s="114"/>
      <c r="U1016" s="114"/>
      <c r="V1016" s="114"/>
      <c r="W1016" s="114"/>
      <c r="X1016" s="114"/>
      <c r="Y1016" s="114"/>
      <c r="Z1016" s="114"/>
      <c r="AA1016" s="114"/>
    </row>
    <row r="1017" spans="1:27" s="147" customFormat="1" x14ac:dyDescent="0.2">
      <c r="A1017" s="184"/>
      <c r="B1017" s="184"/>
      <c r="C1017" s="185"/>
      <c r="D1017" s="337"/>
      <c r="E1017" s="184"/>
      <c r="F1017" s="338"/>
      <c r="G1017" s="338"/>
      <c r="H1017" s="338"/>
      <c r="I1017" s="257"/>
      <c r="J1017" s="338"/>
      <c r="K1017" s="131">
        <f>J1019</f>
        <v>0</v>
      </c>
      <c r="L1017" s="131">
        <v>47.41</v>
      </c>
      <c r="M1017" s="131">
        <f>ROUND(L1017*(1+$Q$5),2)</f>
        <v>59.99</v>
      </c>
      <c r="N1017" s="133">
        <f>TRUNC(K1017*M1017,2)</f>
        <v>0</v>
      </c>
      <c r="O1017" s="286"/>
      <c r="P1017" s="146"/>
      <c r="Q1017" s="146"/>
      <c r="R1017" s="146"/>
      <c r="S1017" s="146"/>
      <c r="T1017" s="146"/>
      <c r="U1017" s="146"/>
      <c r="V1017" s="146"/>
      <c r="W1017" s="146"/>
      <c r="X1017" s="146"/>
      <c r="Y1017" s="146"/>
      <c r="Z1017" s="146"/>
      <c r="AA1017" s="146"/>
    </row>
    <row r="1018" spans="1:27" s="118" customFormat="1" x14ac:dyDescent="0.2">
      <c r="A1018" s="10"/>
      <c r="B1018" s="10"/>
      <c r="C1018" s="191"/>
      <c r="D1018" s="115"/>
      <c r="E1018" s="158"/>
      <c r="F1018" s="267"/>
      <c r="G1018" s="267"/>
      <c r="H1018" s="267"/>
      <c r="I1018" s="250"/>
      <c r="J1018" s="267"/>
      <c r="K1018" s="137"/>
      <c r="L1018" s="137"/>
      <c r="M1018" s="137"/>
      <c r="N1018" s="138"/>
      <c r="O1018" s="167"/>
      <c r="P1018" s="111"/>
      <c r="Q1018" s="111"/>
      <c r="R1018" s="111"/>
      <c r="S1018" s="111"/>
      <c r="T1018" s="111"/>
      <c r="U1018" s="111"/>
      <c r="V1018" s="111"/>
      <c r="W1018" s="111"/>
      <c r="X1018" s="111"/>
      <c r="Y1018" s="111"/>
      <c r="Z1018" s="111"/>
      <c r="AA1018" s="111"/>
    </row>
    <row r="1019" spans="1:27" s="118" customFormat="1" x14ac:dyDescent="0.2">
      <c r="A1019" s="10"/>
      <c r="B1019" s="10"/>
      <c r="C1019" s="190"/>
      <c r="D1019" s="110"/>
      <c r="E1019" s="158"/>
      <c r="F1019" s="267"/>
      <c r="G1019" s="267"/>
      <c r="H1019" s="267"/>
      <c r="I1019" s="250"/>
      <c r="J1019" s="338"/>
      <c r="K1019" s="137"/>
      <c r="L1019" s="137"/>
      <c r="M1019" s="137"/>
      <c r="N1019" s="138"/>
      <c r="O1019" s="167"/>
      <c r="P1019" s="111"/>
      <c r="Q1019" s="111"/>
      <c r="R1019" s="111"/>
      <c r="S1019" s="111"/>
      <c r="T1019" s="111"/>
      <c r="U1019" s="111"/>
      <c r="V1019" s="111"/>
      <c r="W1019" s="111"/>
      <c r="X1019" s="111"/>
      <c r="Y1019" s="111"/>
      <c r="Z1019" s="111"/>
      <c r="AA1019" s="111"/>
    </row>
    <row r="1020" spans="1:27" s="139" customFormat="1" x14ac:dyDescent="0.2">
      <c r="A1020" s="10"/>
      <c r="B1020" s="10"/>
      <c r="C1020" s="15"/>
      <c r="D1020" s="117"/>
      <c r="E1020" s="10"/>
      <c r="F1020" s="263"/>
      <c r="G1020" s="263"/>
      <c r="H1020" s="263"/>
      <c r="I1020" s="250"/>
      <c r="J1020" s="263"/>
      <c r="K1020" s="137"/>
      <c r="L1020" s="137"/>
      <c r="M1020" s="137"/>
      <c r="N1020" s="138"/>
      <c r="O1020" s="283"/>
      <c r="P1020" s="120"/>
      <c r="Q1020" s="120"/>
      <c r="R1020" s="120"/>
      <c r="S1020" s="120"/>
      <c r="T1020" s="120"/>
      <c r="U1020" s="120"/>
      <c r="V1020" s="120"/>
      <c r="W1020" s="120"/>
      <c r="X1020" s="120"/>
      <c r="Y1020" s="120"/>
      <c r="Z1020" s="120"/>
      <c r="AA1020" s="120"/>
    </row>
    <row r="1021" spans="1:27" s="145" customFormat="1" x14ac:dyDescent="0.2">
      <c r="A1021" s="192"/>
      <c r="B1021" s="192"/>
      <c r="C1021" s="193"/>
      <c r="D1021" s="336"/>
      <c r="E1021" s="192"/>
      <c r="F1021" s="269"/>
      <c r="G1021" s="269"/>
      <c r="H1021" s="269"/>
      <c r="I1021" s="254"/>
      <c r="J1021" s="269"/>
      <c r="K1021" s="142"/>
      <c r="L1021" s="142"/>
      <c r="M1021" s="142"/>
      <c r="N1021" s="143">
        <f>SUM(N1023:N1030)</f>
        <v>0</v>
      </c>
      <c r="O1021" s="285"/>
      <c r="P1021" s="144"/>
      <c r="Q1021" s="144"/>
      <c r="R1021" s="144"/>
      <c r="S1021" s="144"/>
      <c r="T1021" s="144"/>
      <c r="U1021" s="144"/>
      <c r="V1021" s="144"/>
      <c r="W1021" s="144"/>
      <c r="X1021" s="144"/>
      <c r="Y1021" s="144"/>
      <c r="Z1021" s="144"/>
      <c r="AA1021" s="144"/>
    </row>
    <row r="1022" spans="1:27" s="139" customFormat="1" x14ac:dyDescent="0.2">
      <c r="A1022" s="10"/>
      <c r="B1022" s="10"/>
      <c r="C1022" s="15"/>
      <c r="D1022" s="117"/>
      <c r="E1022" s="10"/>
      <c r="F1022" s="263"/>
      <c r="G1022" s="263"/>
      <c r="H1022" s="263"/>
      <c r="I1022" s="250"/>
      <c r="J1022" s="263"/>
      <c r="K1022" s="137"/>
      <c r="L1022" s="137"/>
      <c r="M1022" s="137"/>
      <c r="N1022" s="138"/>
      <c r="O1022" s="283"/>
      <c r="P1022" s="120"/>
      <c r="Q1022" s="120"/>
      <c r="R1022" s="120"/>
      <c r="S1022" s="120"/>
      <c r="T1022" s="120"/>
      <c r="U1022" s="120"/>
      <c r="V1022" s="120"/>
      <c r="W1022" s="120"/>
      <c r="X1022" s="120"/>
      <c r="Y1022" s="120"/>
      <c r="Z1022" s="120"/>
      <c r="AA1022" s="120"/>
    </row>
    <row r="1023" spans="1:27" s="147" customFormat="1" x14ac:dyDescent="0.2">
      <c r="A1023" s="184"/>
      <c r="B1023" s="184"/>
      <c r="C1023" s="185"/>
      <c r="D1023" s="337"/>
      <c r="E1023" s="184"/>
      <c r="F1023" s="338"/>
      <c r="G1023" s="338"/>
      <c r="H1023" s="338"/>
      <c r="I1023" s="257"/>
      <c r="J1023" s="338"/>
      <c r="K1023" s="131">
        <f>J1025</f>
        <v>0</v>
      </c>
      <c r="L1023" s="131">
        <v>287.51</v>
      </c>
      <c r="M1023" s="131">
        <f>ROUND(L1023*(1+$Q$5),2)</f>
        <v>363.79</v>
      </c>
      <c r="N1023" s="133">
        <f>TRUNC(K1023*M1023,2)</f>
        <v>0</v>
      </c>
      <c r="O1023" s="286"/>
      <c r="P1023" s="146"/>
      <c r="Q1023" s="146"/>
      <c r="R1023" s="146"/>
      <c r="S1023" s="146"/>
      <c r="T1023" s="146"/>
      <c r="U1023" s="146"/>
      <c r="V1023" s="146"/>
      <c r="W1023" s="146"/>
      <c r="X1023" s="146"/>
      <c r="Y1023" s="146"/>
      <c r="Z1023" s="146"/>
      <c r="AA1023" s="146"/>
    </row>
    <row r="1024" spans="1:27" s="118" customFormat="1" x14ac:dyDescent="0.2">
      <c r="A1024" s="10"/>
      <c r="B1024" s="10"/>
      <c r="C1024" s="191"/>
      <c r="D1024" s="115"/>
      <c r="E1024" s="158"/>
      <c r="F1024" s="267"/>
      <c r="G1024" s="267"/>
      <c r="H1024" s="267"/>
      <c r="I1024" s="339"/>
      <c r="J1024" s="267"/>
      <c r="K1024" s="137"/>
      <c r="L1024" s="137"/>
      <c r="M1024" s="137"/>
      <c r="N1024" s="138"/>
      <c r="O1024" s="167"/>
      <c r="P1024" s="111"/>
      <c r="Q1024" s="111"/>
      <c r="R1024" s="111"/>
      <c r="S1024" s="111"/>
      <c r="T1024" s="111"/>
      <c r="U1024" s="111"/>
      <c r="V1024" s="111"/>
      <c r="W1024" s="111"/>
      <c r="X1024" s="111"/>
      <c r="Y1024" s="111"/>
      <c r="Z1024" s="111"/>
      <c r="AA1024" s="111"/>
    </row>
    <row r="1025" spans="1:27" s="118" customFormat="1" x14ac:dyDescent="0.2">
      <c r="A1025" s="10"/>
      <c r="B1025" s="10"/>
      <c r="C1025" s="190"/>
      <c r="D1025" s="110"/>
      <c r="E1025" s="158"/>
      <c r="F1025" s="267"/>
      <c r="G1025" s="267"/>
      <c r="H1025" s="267"/>
      <c r="I1025" s="250"/>
      <c r="J1025" s="338"/>
      <c r="K1025" s="137"/>
      <c r="L1025" s="137"/>
      <c r="M1025" s="137"/>
      <c r="N1025" s="138"/>
      <c r="O1025" s="167"/>
      <c r="P1025" s="111"/>
      <c r="Q1025" s="111"/>
      <c r="R1025" s="111"/>
      <c r="S1025" s="111"/>
      <c r="T1025" s="111"/>
      <c r="U1025" s="111"/>
      <c r="V1025" s="111"/>
      <c r="W1025" s="111"/>
      <c r="X1025" s="111"/>
      <c r="Y1025" s="111"/>
      <c r="Z1025" s="111"/>
      <c r="AA1025" s="111"/>
    </row>
    <row r="1026" spans="1:27" s="118" customFormat="1" x14ac:dyDescent="0.2">
      <c r="A1026" s="10"/>
      <c r="B1026" s="10"/>
      <c r="C1026" s="190"/>
      <c r="D1026" s="110"/>
      <c r="E1026" s="158"/>
      <c r="F1026" s="267"/>
      <c r="G1026" s="267"/>
      <c r="H1026" s="267"/>
      <c r="I1026" s="250"/>
      <c r="J1026" s="250"/>
      <c r="K1026" s="137"/>
      <c r="L1026" s="137"/>
      <c r="M1026" s="137"/>
      <c r="N1026" s="138"/>
      <c r="O1026" s="167"/>
      <c r="P1026" s="111"/>
      <c r="Q1026" s="111"/>
      <c r="R1026" s="111"/>
      <c r="S1026" s="111"/>
      <c r="T1026" s="111"/>
      <c r="U1026" s="111"/>
      <c r="V1026" s="111"/>
      <c r="W1026" s="111"/>
      <c r="X1026" s="111"/>
      <c r="Y1026" s="111"/>
      <c r="Z1026" s="111"/>
      <c r="AA1026" s="111"/>
    </row>
    <row r="1027" spans="1:27" s="147" customFormat="1" x14ac:dyDescent="0.2">
      <c r="A1027" s="184"/>
      <c r="B1027" s="184"/>
      <c r="C1027" s="185"/>
      <c r="D1027" s="337"/>
      <c r="E1027" s="184"/>
      <c r="F1027" s="338"/>
      <c r="G1027" s="338"/>
      <c r="H1027" s="338"/>
      <c r="I1027" s="257"/>
      <c r="J1027" s="338"/>
      <c r="K1027" s="131">
        <f>J1030</f>
        <v>0</v>
      </c>
      <c r="L1027" s="131">
        <v>60.05</v>
      </c>
      <c r="M1027" s="131">
        <f>ROUND(L1027*(1+$Q$5),2)</f>
        <v>75.98</v>
      </c>
      <c r="N1027" s="133">
        <f>TRUNC(K1027*M1027,2)</f>
        <v>0</v>
      </c>
      <c r="O1027" s="286"/>
      <c r="P1027" s="146"/>
      <c r="Q1027" s="146"/>
      <c r="R1027" s="146"/>
      <c r="S1027" s="146"/>
      <c r="T1027" s="146"/>
      <c r="U1027" s="146"/>
      <c r="V1027" s="146"/>
      <c r="W1027" s="146"/>
      <c r="X1027" s="146"/>
      <c r="Y1027" s="146"/>
      <c r="Z1027" s="146"/>
      <c r="AA1027" s="146"/>
    </row>
    <row r="1028" spans="1:27" s="118" customFormat="1" x14ac:dyDescent="0.2">
      <c r="A1028" s="10"/>
      <c r="B1028" s="10"/>
      <c r="C1028" s="191"/>
      <c r="D1028" s="115"/>
      <c r="E1028" s="158"/>
      <c r="F1028" s="267"/>
      <c r="G1028" s="267"/>
      <c r="H1028" s="267"/>
      <c r="I1028" s="339"/>
      <c r="J1028" s="267"/>
      <c r="K1028" s="137"/>
      <c r="L1028" s="137"/>
      <c r="M1028" s="137"/>
      <c r="N1028" s="138"/>
      <c r="O1028" s="167"/>
      <c r="P1028" s="111"/>
      <c r="Q1028" s="111"/>
      <c r="R1028" s="111"/>
      <c r="S1028" s="111"/>
      <c r="T1028" s="111"/>
      <c r="U1028" s="111"/>
      <c r="V1028" s="111"/>
      <c r="W1028" s="111"/>
      <c r="X1028" s="111"/>
      <c r="Y1028" s="111"/>
      <c r="Z1028" s="111"/>
      <c r="AA1028" s="111"/>
    </row>
    <row r="1029" spans="1:27" s="118" customFormat="1" x14ac:dyDescent="0.2">
      <c r="A1029" s="10"/>
      <c r="B1029" s="10"/>
      <c r="C1029" s="191"/>
      <c r="D1029" s="115"/>
      <c r="E1029" s="158"/>
      <c r="F1029" s="267"/>
      <c r="G1029" s="267"/>
      <c r="H1029" s="267"/>
      <c r="I1029" s="339"/>
      <c r="J1029" s="267"/>
      <c r="K1029" s="137"/>
      <c r="L1029" s="137"/>
      <c r="M1029" s="137"/>
      <c r="N1029" s="138"/>
      <c r="O1029" s="167"/>
      <c r="P1029" s="111"/>
      <c r="Q1029" s="111"/>
      <c r="R1029" s="111"/>
      <c r="S1029" s="111"/>
      <c r="T1029" s="111"/>
      <c r="U1029" s="111"/>
      <c r="V1029" s="111"/>
      <c r="W1029" s="111"/>
      <c r="X1029" s="111"/>
      <c r="Y1029" s="111"/>
      <c r="Z1029" s="111"/>
      <c r="AA1029" s="111"/>
    </row>
    <row r="1030" spans="1:27" s="118" customFormat="1" x14ac:dyDescent="0.2">
      <c r="A1030" s="10"/>
      <c r="B1030" s="10"/>
      <c r="C1030" s="190"/>
      <c r="D1030" s="110"/>
      <c r="E1030" s="158"/>
      <c r="F1030" s="267"/>
      <c r="G1030" s="267"/>
      <c r="H1030" s="267"/>
      <c r="I1030" s="250"/>
      <c r="J1030" s="338"/>
      <c r="K1030" s="137"/>
      <c r="L1030" s="137"/>
      <c r="M1030" s="137"/>
      <c r="N1030" s="138"/>
      <c r="O1030" s="167"/>
      <c r="P1030" s="111"/>
      <c r="Q1030" s="111"/>
      <c r="R1030" s="111"/>
      <c r="S1030" s="111"/>
      <c r="T1030" s="111"/>
      <c r="U1030" s="111"/>
      <c r="V1030" s="111"/>
      <c r="W1030" s="111"/>
      <c r="X1030" s="111"/>
      <c r="Y1030" s="111"/>
      <c r="Z1030" s="111"/>
      <c r="AA1030" s="111"/>
    </row>
    <row r="1031" spans="1:27" s="161" customFormat="1" x14ac:dyDescent="0.2">
      <c r="A1031" s="10"/>
      <c r="B1031" s="10"/>
      <c r="C1031" s="190"/>
      <c r="D1031" s="110"/>
      <c r="E1031" s="158"/>
      <c r="F1031" s="267"/>
      <c r="G1031" s="267"/>
      <c r="H1031" s="267"/>
      <c r="I1031" s="250"/>
      <c r="J1031" s="250"/>
      <c r="K1031" s="151"/>
      <c r="L1031" s="151"/>
      <c r="M1031" s="151"/>
      <c r="N1031" s="152"/>
      <c r="O1031" s="167"/>
      <c r="P1031" s="114"/>
      <c r="Q1031" s="114"/>
      <c r="R1031" s="114"/>
      <c r="S1031" s="114"/>
      <c r="T1031" s="114"/>
      <c r="U1031" s="114"/>
      <c r="V1031" s="114"/>
      <c r="W1031" s="114"/>
      <c r="X1031" s="114"/>
      <c r="Y1031" s="114"/>
      <c r="Z1031" s="114"/>
      <c r="AA1031" s="114"/>
    </row>
    <row r="1032" spans="1:27" s="145" customFormat="1" x14ac:dyDescent="0.2">
      <c r="A1032" s="192"/>
      <c r="B1032" s="192"/>
      <c r="C1032" s="193"/>
      <c r="D1032" s="336"/>
      <c r="E1032" s="192"/>
      <c r="F1032" s="269"/>
      <c r="G1032" s="269"/>
      <c r="H1032" s="269"/>
      <c r="I1032" s="254"/>
      <c r="J1032" s="269"/>
      <c r="K1032" s="142"/>
      <c r="L1032" s="142"/>
      <c r="M1032" s="142"/>
      <c r="N1032" s="143">
        <f>SUM(N1034:N1036)</f>
        <v>0</v>
      </c>
      <c r="O1032" s="285"/>
      <c r="P1032" s="144"/>
      <c r="Q1032" s="144"/>
      <c r="R1032" s="144"/>
      <c r="S1032" s="144"/>
      <c r="T1032" s="144"/>
      <c r="U1032" s="144"/>
      <c r="V1032" s="144"/>
      <c r="W1032" s="144"/>
      <c r="X1032" s="144"/>
      <c r="Y1032" s="144"/>
      <c r="Z1032" s="144"/>
      <c r="AA1032" s="144"/>
    </row>
    <row r="1033" spans="1:27" s="161" customFormat="1" x14ac:dyDescent="0.2">
      <c r="A1033" s="10"/>
      <c r="B1033" s="10"/>
      <c r="C1033" s="190"/>
      <c r="D1033" s="110"/>
      <c r="E1033" s="158"/>
      <c r="F1033" s="267"/>
      <c r="G1033" s="267"/>
      <c r="H1033" s="267"/>
      <c r="I1033" s="250"/>
      <c r="J1033" s="250"/>
      <c r="K1033" s="151"/>
      <c r="L1033" s="151"/>
      <c r="M1033" s="151"/>
      <c r="N1033" s="152"/>
      <c r="O1033" s="167"/>
      <c r="P1033" s="114"/>
      <c r="Q1033" s="114"/>
      <c r="R1033" s="114"/>
      <c r="S1033" s="114"/>
      <c r="T1033" s="114"/>
      <c r="U1033" s="114"/>
      <c r="V1033" s="114"/>
      <c r="W1033" s="114"/>
      <c r="X1033" s="114"/>
      <c r="Y1033" s="114"/>
      <c r="Z1033" s="114"/>
      <c r="AA1033" s="114"/>
    </row>
    <row r="1034" spans="1:27" s="147" customFormat="1" x14ac:dyDescent="0.2">
      <c r="A1034" s="184"/>
      <c r="B1034" s="347"/>
      <c r="C1034" s="347"/>
      <c r="D1034" s="337"/>
      <c r="E1034" s="346"/>
      <c r="F1034" s="338"/>
      <c r="G1034" s="338"/>
      <c r="H1034" s="338"/>
      <c r="I1034" s="257"/>
      <c r="J1034" s="338"/>
      <c r="K1034" s="131">
        <f>J1037</f>
        <v>0</v>
      </c>
      <c r="L1034" s="131">
        <v>13.42</v>
      </c>
      <c r="M1034" s="131">
        <f>ROUND(L1034*(1+$Q$5),2)</f>
        <v>16.98</v>
      </c>
      <c r="N1034" s="133">
        <f>TRUNC(K1034*M1034,2)</f>
        <v>0</v>
      </c>
      <c r="O1034" s="286"/>
      <c r="P1034" s="146"/>
      <c r="Q1034" s="146"/>
      <c r="R1034" s="146"/>
      <c r="S1034" s="146"/>
      <c r="T1034" s="146"/>
      <c r="U1034" s="146"/>
      <c r="V1034" s="146"/>
      <c r="W1034" s="146"/>
      <c r="X1034" s="146"/>
      <c r="Y1034" s="146"/>
      <c r="Z1034" s="146"/>
      <c r="AA1034" s="146"/>
    </row>
    <row r="1035" spans="1:27" s="118" customFormat="1" x14ac:dyDescent="0.2">
      <c r="A1035" s="10"/>
      <c r="B1035" s="10"/>
      <c r="C1035" s="191"/>
      <c r="D1035" s="343"/>
      <c r="E1035" s="158"/>
      <c r="F1035" s="267"/>
      <c r="G1035" s="267"/>
      <c r="H1035" s="267"/>
      <c r="I1035" s="339"/>
      <c r="J1035" s="267"/>
      <c r="K1035" s="137"/>
      <c r="L1035" s="137"/>
      <c r="M1035" s="137"/>
      <c r="N1035" s="138"/>
      <c r="O1035" s="167"/>
      <c r="P1035" s="111"/>
      <c r="Q1035" s="111"/>
      <c r="R1035" s="111"/>
      <c r="S1035" s="111"/>
      <c r="T1035" s="111"/>
      <c r="U1035" s="111"/>
      <c r="V1035" s="111"/>
      <c r="W1035" s="111"/>
      <c r="X1035" s="111"/>
      <c r="Y1035" s="111"/>
      <c r="Z1035" s="111"/>
      <c r="AA1035" s="111"/>
    </row>
    <row r="1036" spans="1:27" s="118" customFormat="1" x14ac:dyDescent="0.2">
      <c r="A1036" s="10"/>
      <c r="B1036" s="10"/>
      <c r="C1036" s="191"/>
      <c r="D1036" s="115"/>
      <c r="E1036" s="158"/>
      <c r="F1036" s="267"/>
      <c r="G1036" s="267"/>
      <c r="H1036" s="267"/>
      <c r="I1036" s="339"/>
      <c r="J1036" s="267"/>
      <c r="K1036" s="137"/>
      <c r="L1036" s="137"/>
      <c r="M1036" s="137"/>
      <c r="N1036" s="138"/>
      <c r="O1036" s="167"/>
      <c r="P1036" s="111"/>
      <c r="Q1036" s="111"/>
      <c r="R1036" s="111"/>
      <c r="S1036" s="111"/>
      <c r="T1036" s="111"/>
      <c r="U1036" s="111"/>
      <c r="V1036" s="111"/>
      <c r="W1036" s="111"/>
      <c r="X1036" s="111"/>
      <c r="Y1036" s="111"/>
      <c r="Z1036" s="111"/>
      <c r="AA1036" s="111"/>
    </row>
    <row r="1037" spans="1:27" s="118" customFormat="1" x14ac:dyDescent="0.2">
      <c r="A1037" s="10"/>
      <c r="B1037" s="10"/>
      <c r="C1037" s="190"/>
      <c r="D1037" s="110"/>
      <c r="E1037" s="158"/>
      <c r="F1037" s="267"/>
      <c r="G1037" s="267"/>
      <c r="H1037" s="267"/>
      <c r="I1037" s="250"/>
      <c r="J1037" s="338"/>
      <c r="K1037" s="137"/>
      <c r="L1037" s="137"/>
      <c r="M1037" s="137"/>
      <c r="N1037" s="138"/>
      <c r="O1037" s="167"/>
      <c r="P1037" s="111"/>
      <c r="Q1037" s="111"/>
      <c r="R1037" s="111"/>
      <c r="S1037" s="111"/>
      <c r="T1037" s="111"/>
      <c r="U1037" s="111"/>
      <c r="V1037" s="111"/>
      <c r="W1037" s="111"/>
      <c r="X1037" s="111"/>
      <c r="Y1037" s="111"/>
      <c r="Z1037" s="111"/>
      <c r="AA1037" s="111"/>
    </row>
    <row r="1038" spans="1:27" s="118" customFormat="1" x14ac:dyDescent="0.2">
      <c r="A1038" s="10"/>
      <c r="B1038" s="10"/>
      <c r="C1038" s="191"/>
      <c r="D1038" s="110"/>
      <c r="E1038" s="158"/>
      <c r="F1038" s="267"/>
      <c r="G1038" s="267"/>
      <c r="H1038" s="267"/>
      <c r="I1038" s="250"/>
      <c r="J1038" s="263"/>
      <c r="K1038" s="137"/>
      <c r="L1038" s="137"/>
      <c r="M1038" s="137"/>
      <c r="N1038" s="138"/>
      <c r="O1038" s="167"/>
      <c r="P1038" s="111"/>
      <c r="Q1038" s="111"/>
      <c r="R1038" s="111"/>
      <c r="S1038" s="111"/>
      <c r="T1038" s="111"/>
      <c r="U1038" s="111"/>
      <c r="V1038" s="111"/>
      <c r="W1038" s="111"/>
      <c r="X1038" s="111"/>
      <c r="Y1038" s="111"/>
      <c r="Z1038" s="111"/>
      <c r="AA1038" s="111"/>
    </row>
    <row r="1039" spans="1:27" s="145" customFormat="1" x14ac:dyDescent="0.2">
      <c r="A1039" s="192"/>
      <c r="B1039" s="192"/>
      <c r="C1039" s="193"/>
      <c r="D1039" s="336"/>
      <c r="E1039" s="192"/>
      <c r="F1039" s="269"/>
      <c r="G1039" s="269"/>
      <c r="H1039" s="269"/>
      <c r="I1039" s="254"/>
      <c r="J1039" s="269"/>
      <c r="K1039" s="142"/>
      <c r="L1039" s="142"/>
      <c r="M1039" s="142"/>
      <c r="N1039" s="143">
        <f>SUM(N1041:N1060)</f>
        <v>0</v>
      </c>
      <c r="O1039" s="285"/>
      <c r="P1039" s="144"/>
      <c r="Q1039" s="144"/>
      <c r="R1039" s="144"/>
      <c r="S1039" s="144"/>
      <c r="T1039" s="144"/>
      <c r="U1039" s="144"/>
      <c r="V1039" s="144"/>
      <c r="W1039" s="144"/>
      <c r="X1039" s="144"/>
      <c r="Y1039" s="144"/>
      <c r="Z1039" s="144"/>
      <c r="AA1039" s="144"/>
    </row>
    <row r="1040" spans="1:27" s="161" customFormat="1" x14ac:dyDescent="0.2">
      <c r="A1040" s="10"/>
      <c r="B1040" s="10"/>
      <c r="C1040" s="190"/>
      <c r="D1040" s="110"/>
      <c r="E1040" s="158"/>
      <c r="F1040" s="267"/>
      <c r="G1040" s="267"/>
      <c r="H1040" s="267"/>
      <c r="I1040" s="250"/>
      <c r="J1040" s="250"/>
      <c r="K1040" s="151"/>
      <c r="L1040" s="151"/>
      <c r="M1040" s="151"/>
      <c r="N1040" s="152"/>
      <c r="O1040" s="167"/>
      <c r="P1040" s="114"/>
      <c r="Q1040" s="114"/>
      <c r="R1040" s="114"/>
      <c r="S1040" s="114"/>
      <c r="T1040" s="114"/>
      <c r="U1040" s="114"/>
      <c r="V1040" s="114"/>
      <c r="W1040" s="114"/>
      <c r="X1040" s="114"/>
      <c r="Y1040" s="114"/>
      <c r="Z1040" s="114"/>
      <c r="AA1040" s="114"/>
    </row>
    <row r="1041" spans="1:27" s="147" customFormat="1" x14ac:dyDescent="0.2">
      <c r="A1041" s="184"/>
      <c r="B1041" s="184"/>
      <c r="C1041" s="344"/>
      <c r="D1041" s="337"/>
      <c r="E1041" s="184"/>
      <c r="F1041" s="338"/>
      <c r="G1041" s="338"/>
      <c r="H1041" s="338"/>
      <c r="I1041" s="257"/>
      <c r="J1041" s="338"/>
      <c r="K1041" s="131">
        <f>J1053</f>
        <v>0</v>
      </c>
      <c r="L1041" s="131">
        <v>59.97</v>
      </c>
      <c r="M1041" s="131">
        <f>ROUND(L1041*(1+$Q$5),2)</f>
        <v>75.88</v>
      </c>
      <c r="N1041" s="133">
        <f>TRUNC(K1041*M1041,2)</f>
        <v>0</v>
      </c>
      <c r="O1041" s="286"/>
      <c r="P1041" s="146"/>
      <c r="Q1041" s="146"/>
      <c r="R1041" s="146"/>
      <c r="S1041" s="146"/>
      <c r="T1041" s="146"/>
      <c r="U1041" s="146"/>
      <c r="V1041" s="146"/>
      <c r="W1041" s="146"/>
      <c r="X1041" s="146"/>
      <c r="Y1041" s="146"/>
      <c r="Z1041" s="146"/>
      <c r="AA1041" s="146"/>
    </row>
    <row r="1042" spans="1:27" s="118" customFormat="1" x14ac:dyDescent="0.2">
      <c r="A1042" s="10"/>
      <c r="B1042" s="10"/>
      <c r="C1042" s="191"/>
      <c r="D1042" s="115"/>
      <c r="E1042" s="158"/>
      <c r="F1042" s="267"/>
      <c r="G1042" s="267"/>
      <c r="H1042" s="267"/>
      <c r="I1042" s="339"/>
      <c r="J1042" s="267"/>
      <c r="K1042" s="137"/>
      <c r="L1042" s="137"/>
      <c r="M1042" s="137"/>
      <c r="N1042" s="138"/>
      <c r="O1042" s="167"/>
      <c r="P1042" s="111"/>
      <c r="Q1042" s="111"/>
      <c r="R1042" s="111"/>
      <c r="S1042" s="111"/>
      <c r="T1042" s="111"/>
      <c r="U1042" s="111"/>
      <c r="V1042" s="111"/>
      <c r="W1042" s="111"/>
      <c r="X1042" s="111"/>
      <c r="Y1042" s="111"/>
      <c r="Z1042" s="111"/>
      <c r="AA1042" s="111"/>
    </row>
    <row r="1043" spans="1:27" s="118" customFormat="1" x14ac:dyDescent="0.2">
      <c r="A1043" s="10"/>
      <c r="B1043" s="10"/>
      <c r="C1043" s="191"/>
      <c r="D1043" s="115"/>
      <c r="E1043" s="158"/>
      <c r="F1043" s="267"/>
      <c r="G1043" s="267"/>
      <c r="H1043" s="267"/>
      <c r="I1043" s="339"/>
      <c r="J1043" s="267"/>
      <c r="K1043" s="137"/>
      <c r="L1043" s="137"/>
      <c r="M1043" s="137"/>
      <c r="N1043" s="138"/>
      <c r="O1043" s="167"/>
      <c r="P1043" s="111"/>
      <c r="Q1043" s="111"/>
      <c r="R1043" s="111"/>
      <c r="S1043" s="111"/>
      <c r="T1043" s="111"/>
      <c r="U1043" s="111"/>
      <c r="V1043" s="111"/>
      <c r="W1043" s="111"/>
      <c r="X1043" s="111"/>
      <c r="Y1043" s="111"/>
      <c r="Z1043" s="111"/>
      <c r="AA1043" s="111"/>
    </row>
    <row r="1044" spans="1:27" s="118" customFormat="1" x14ac:dyDescent="0.2">
      <c r="A1044" s="10"/>
      <c r="B1044" s="10"/>
      <c r="C1044" s="191"/>
      <c r="D1044" s="115"/>
      <c r="E1044" s="158"/>
      <c r="F1044" s="267"/>
      <c r="G1044" s="267"/>
      <c r="H1044" s="267"/>
      <c r="I1044" s="339"/>
      <c r="J1044" s="267"/>
      <c r="K1044" s="137"/>
      <c r="L1044" s="137"/>
      <c r="M1044" s="137"/>
      <c r="N1044" s="138"/>
      <c r="O1044" s="167"/>
      <c r="P1044" s="111"/>
      <c r="Q1044" s="111"/>
      <c r="R1044" s="111"/>
      <c r="S1044" s="111"/>
      <c r="T1044" s="111"/>
      <c r="U1044" s="111"/>
      <c r="V1044" s="111"/>
      <c r="W1044" s="111"/>
      <c r="X1044" s="111"/>
      <c r="Y1044" s="111"/>
      <c r="Z1044" s="111"/>
      <c r="AA1044" s="111"/>
    </row>
    <row r="1045" spans="1:27" s="118" customFormat="1" x14ac:dyDescent="0.2">
      <c r="A1045" s="10"/>
      <c r="B1045" s="10"/>
      <c r="C1045" s="191"/>
      <c r="D1045" s="115"/>
      <c r="E1045" s="158"/>
      <c r="F1045" s="267"/>
      <c r="G1045" s="267"/>
      <c r="H1045" s="267"/>
      <c r="I1045" s="339"/>
      <c r="J1045" s="267"/>
      <c r="K1045" s="137"/>
      <c r="L1045" s="137"/>
      <c r="M1045" s="137"/>
      <c r="N1045" s="138"/>
      <c r="O1045" s="167"/>
      <c r="P1045" s="111"/>
      <c r="Q1045" s="111"/>
      <c r="R1045" s="111"/>
      <c r="S1045" s="111"/>
      <c r="T1045" s="111"/>
      <c r="U1045" s="111"/>
      <c r="V1045" s="111"/>
      <c r="W1045" s="111"/>
      <c r="X1045" s="111"/>
      <c r="Y1045" s="111"/>
      <c r="Z1045" s="111"/>
      <c r="AA1045" s="111"/>
    </row>
    <row r="1046" spans="1:27" s="118" customFormat="1" x14ac:dyDescent="0.2">
      <c r="A1046" s="10"/>
      <c r="B1046" s="10"/>
      <c r="C1046" s="191"/>
      <c r="D1046" s="115"/>
      <c r="E1046" s="158"/>
      <c r="F1046" s="267"/>
      <c r="G1046" s="267"/>
      <c r="H1046" s="267"/>
      <c r="I1046" s="339"/>
      <c r="J1046" s="267"/>
      <c r="K1046" s="137"/>
      <c r="L1046" s="137"/>
      <c r="M1046" s="137"/>
      <c r="N1046" s="138"/>
      <c r="O1046" s="167"/>
      <c r="P1046" s="111"/>
      <c r="Q1046" s="111"/>
      <c r="R1046" s="111"/>
      <c r="S1046" s="111"/>
      <c r="T1046" s="111"/>
      <c r="U1046" s="111"/>
      <c r="V1046" s="111"/>
      <c r="W1046" s="111"/>
      <c r="X1046" s="111"/>
      <c r="Y1046" s="111"/>
      <c r="Z1046" s="111"/>
      <c r="AA1046" s="111"/>
    </row>
    <row r="1047" spans="1:27" s="118" customFormat="1" x14ac:dyDescent="0.2">
      <c r="A1047" s="10"/>
      <c r="B1047" s="10"/>
      <c r="C1047" s="191"/>
      <c r="D1047" s="115"/>
      <c r="E1047" s="158"/>
      <c r="F1047" s="267"/>
      <c r="G1047" s="267"/>
      <c r="H1047" s="267"/>
      <c r="I1047" s="339"/>
      <c r="J1047" s="267"/>
      <c r="K1047" s="137"/>
      <c r="L1047" s="137"/>
      <c r="M1047" s="137"/>
      <c r="N1047" s="138"/>
      <c r="O1047" s="167"/>
      <c r="P1047" s="111"/>
      <c r="Q1047" s="111"/>
      <c r="R1047" s="111"/>
      <c r="S1047" s="111"/>
      <c r="T1047" s="111"/>
      <c r="U1047" s="111"/>
      <c r="V1047" s="111"/>
      <c r="W1047" s="111"/>
      <c r="X1047" s="111"/>
      <c r="Y1047" s="111"/>
      <c r="Z1047" s="111"/>
      <c r="AA1047" s="111"/>
    </row>
    <row r="1048" spans="1:27" s="118" customFormat="1" x14ac:dyDescent="0.2">
      <c r="A1048" s="10"/>
      <c r="B1048" s="10"/>
      <c r="C1048" s="191"/>
      <c r="D1048" s="115"/>
      <c r="E1048" s="158"/>
      <c r="F1048" s="267"/>
      <c r="G1048" s="267"/>
      <c r="H1048" s="267"/>
      <c r="I1048" s="339"/>
      <c r="J1048" s="267"/>
      <c r="K1048" s="137"/>
      <c r="L1048" s="137"/>
      <c r="M1048" s="137"/>
      <c r="N1048" s="138"/>
      <c r="O1048" s="167"/>
      <c r="P1048" s="111"/>
      <c r="Q1048" s="111"/>
      <c r="R1048" s="111"/>
      <c r="S1048" s="111"/>
      <c r="T1048" s="111"/>
      <c r="U1048" s="111"/>
      <c r="V1048" s="111"/>
      <c r="W1048" s="111"/>
      <c r="X1048" s="111"/>
      <c r="Y1048" s="111"/>
      <c r="Z1048" s="111"/>
      <c r="AA1048" s="111"/>
    </row>
    <row r="1049" spans="1:27" s="118" customFormat="1" x14ac:dyDescent="0.2">
      <c r="A1049" s="10"/>
      <c r="B1049" s="10"/>
      <c r="C1049" s="191"/>
      <c r="D1049" s="115"/>
      <c r="E1049" s="158"/>
      <c r="F1049" s="267"/>
      <c r="G1049" s="267"/>
      <c r="H1049" s="267"/>
      <c r="I1049" s="339"/>
      <c r="J1049" s="267"/>
      <c r="K1049" s="137"/>
      <c r="L1049" s="137"/>
      <c r="M1049" s="137"/>
      <c r="N1049" s="138"/>
      <c r="O1049" s="167"/>
      <c r="P1049" s="111"/>
      <c r="Q1049" s="111"/>
      <c r="R1049" s="111"/>
      <c r="S1049" s="111"/>
      <c r="T1049" s="111"/>
      <c r="U1049" s="111"/>
      <c r="V1049" s="111"/>
      <c r="W1049" s="111"/>
      <c r="X1049" s="111"/>
      <c r="Y1049" s="111"/>
      <c r="Z1049" s="111"/>
      <c r="AA1049" s="111"/>
    </row>
    <row r="1050" spans="1:27" s="118" customFormat="1" x14ac:dyDescent="0.2">
      <c r="A1050" s="10"/>
      <c r="B1050" s="10"/>
      <c r="C1050" s="191"/>
      <c r="D1050" s="115"/>
      <c r="E1050" s="158"/>
      <c r="F1050" s="267"/>
      <c r="G1050" s="267"/>
      <c r="H1050" s="267"/>
      <c r="I1050" s="339"/>
      <c r="J1050" s="267"/>
      <c r="K1050" s="137"/>
      <c r="L1050" s="137"/>
      <c r="M1050" s="137"/>
      <c r="N1050" s="138"/>
      <c r="O1050" s="167"/>
      <c r="P1050" s="111"/>
      <c r="Q1050" s="111"/>
      <c r="R1050" s="111"/>
      <c r="S1050" s="111"/>
      <c r="T1050" s="111"/>
      <c r="U1050" s="111"/>
      <c r="V1050" s="111"/>
      <c r="W1050" s="111"/>
      <c r="X1050" s="111"/>
      <c r="Y1050" s="111"/>
      <c r="Z1050" s="111"/>
      <c r="AA1050" s="111"/>
    </row>
    <row r="1051" spans="1:27" s="118" customFormat="1" x14ac:dyDescent="0.2">
      <c r="A1051" s="10"/>
      <c r="B1051" s="10"/>
      <c r="C1051" s="191"/>
      <c r="D1051" s="115"/>
      <c r="E1051" s="158"/>
      <c r="F1051" s="267"/>
      <c r="G1051" s="267"/>
      <c r="H1051" s="267"/>
      <c r="I1051" s="339"/>
      <c r="J1051" s="267"/>
      <c r="K1051" s="137"/>
      <c r="L1051" s="137"/>
      <c r="M1051" s="137"/>
      <c r="N1051" s="138"/>
      <c r="O1051" s="167"/>
      <c r="P1051" s="111"/>
      <c r="Q1051" s="111"/>
      <c r="R1051" s="111"/>
      <c r="S1051" s="111"/>
      <c r="T1051" s="111"/>
      <c r="U1051" s="111"/>
      <c r="V1051" s="111"/>
      <c r="W1051" s="111"/>
      <c r="X1051" s="111"/>
      <c r="Y1051" s="111"/>
      <c r="Z1051" s="111"/>
      <c r="AA1051" s="111"/>
    </row>
    <row r="1052" spans="1:27" s="118" customFormat="1" x14ac:dyDescent="0.2">
      <c r="A1052" s="10"/>
      <c r="B1052" s="10"/>
      <c r="C1052" s="191"/>
      <c r="D1052" s="115"/>
      <c r="E1052" s="158"/>
      <c r="F1052" s="267"/>
      <c r="G1052" s="267"/>
      <c r="H1052" s="267"/>
      <c r="I1052" s="339"/>
      <c r="J1052" s="267"/>
      <c r="K1052" s="137"/>
      <c r="L1052" s="137"/>
      <c r="M1052" s="137"/>
      <c r="N1052" s="138"/>
      <c r="O1052" s="167"/>
      <c r="P1052" s="111"/>
      <c r="Q1052" s="111"/>
      <c r="R1052" s="111"/>
      <c r="S1052" s="111"/>
      <c r="T1052" s="111"/>
      <c r="U1052" s="111"/>
      <c r="V1052" s="111"/>
      <c r="W1052" s="111"/>
      <c r="X1052" s="111"/>
      <c r="Y1052" s="111"/>
      <c r="Z1052" s="111"/>
      <c r="AA1052" s="111"/>
    </row>
    <row r="1053" spans="1:27" s="118" customFormat="1" x14ac:dyDescent="0.2">
      <c r="A1053" s="10"/>
      <c r="B1053" s="10"/>
      <c r="C1053" s="190"/>
      <c r="D1053" s="110"/>
      <c r="E1053" s="158"/>
      <c r="F1053" s="267"/>
      <c r="G1053" s="267"/>
      <c r="H1053" s="267"/>
      <c r="I1053" s="250"/>
      <c r="J1053" s="338"/>
      <c r="K1053" s="137"/>
      <c r="L1053" s="137"/>
      <c r="M1053" s="137"/>
      <c r="N1053" s="138"/>
      <c r="O1053" s="167"/>
      <c r="P1053" s="111"/>
      <c r="Q1053" s="111"/>
      <c r="R1053" s="111"/>
      <c r="S1053" s="111"/>
      <c r="T1053" s="111"/>
      <c r="U1053" s="111"/>
      <c r="V1053" s="111"/>
      <c r="W1053" s="111"/>
      <c r="X1053" s="111"/>
      <c r="Y1053" s="111"/>
      <c r="Z1053" s="111"/>
      <c r="AA1053" s="111"/>
    </row>
    <row r="1054" spans="1:27" s="118" customFormat="1" x14ac:dyDescent="0.2">
      <c r="A1054" s="10"/>
      <c r="B1054" s="10"/>
      <c r="C1054" s="191"/>
      <c r="D1054" s="110"/>
      <c r="E1054" s="158"/>
      <c r="F1054" s="267"/>
      <c r="G1054" s="267"/>
      <c r="H1054" s="267"/>
      <c r="I1054" s="250"/>
      <c r="J1054" s="263"/>
      <c r="K1054" s="137"/>
      <c r="L1054" s="137"/>
      <c r="M1054" s="137"/>
      <c r="N1054" s="138"/>
      <c r="O1054" s="167"/>
      <c r="P1054" s="111"/>
      <c r="Q1054" s="111"/>
      <c r="R1054" s="111"/>
      <c r="S1054" s="111"/>
      <c r="T1054" s="111"/>
      <c r="U1054" s="111"/>
      <c r="V1054" s="111"/>
      <c r="W1054" s="111"/>
      <c r="X1054" s="111"/>
      <c r="Y1054" s="111"/>
      <c r="Z1054" s="111"/>
      <c r="AA1054" s="111"/>
    </row>
    <row r="1055" spans="1:27" s="147" customFormat="1" x14ac:dyDescent="0.2">
      <c r="A1055" s="184"/>
      <c r="B1055" s="184"/>
      <c r="C1055" s="185"/>
      <c r="D1055" s="337"/>
      <c r="E1055" s="184"/>
      <c r="F1055" s="338"/>
      <c r="G1055" s="338"/>
      <c r="H1055" s="338"/>
      <c r="I1055" s="257"/>
      <c r="J1055" s="338"/>
      <c r="K1055" s="131">
        <f>J1060</f>
        <v>0</v>
      </c>
      <c r="L1055" s="131">
        <f>'COMPOSICOES - SINAPI COM DESON'!G18</f>
        <v>5.79</v>
      </c>
      <c r="M1055" s="131">
        <f>ROUND(L1055*(1+$Q$5),2)</f>
        <v>7.33</v>
      </c>
      <c r="N1055" s="133">
        <f>TRUNC(K1055*M1055,2)</f>
        <v>0</v>
      </c>
      <c r="O1055" s="286"/>
      <c r="P1055" s="146"/>
      <c r="Q1055" s="146"/>
      <c r="R1055" s="146"/>
      <c r="S1055" s="146"/>
      <c r="T1055" s="146"/>
      <c r="U1055" s="146"/>
      <c r="V1055" s="146"/>
      <c r="W1055" s="146"/>
      <c r="X1055" s="146"/>
      <c r="Y1055" s="146"/>
      <c r="Z1055" s="146"/>
      <c r="AA1055" s="146"/>
    </row>
    <row r="1056" spans="1:27" s="118" customFormat="1" x14ac:dyDescent="0.2">
      <c r="A1056" s="10"/>
      <c r="B1056" s="10"/>
      <c r="C1056" s="191"/>
      <c r="D1056" s="115"/>
      <c r="E1056" s="158"/>
      <c r="F1056" s="267"/>
      <c r="G1056" s="267"/>
      <c r="H1056" s="267"/>
      <c r="I1056" s="339"/>
      <c r="J1056" s="267"/>
      <c r="K1056" s="137"/>
      <c r="L1056" s="137"/>
      <c r="M1056" s="137"/>
      <c r="N1056" s="138"/>
      <c r="O1056" s="167"/>
      <c r="P1056" s="111"/>
      <c r="Q1056" s="111"/>
      <c r="R1056" s="111"/>
      <c r="S1056" s="111"/>
      <c r="T1056" s="111"/>
      <c r="U1056" s="111"/>
      <c r="V1056" s="111"/>
      <c r="W1056" s="111"/>
      <c r="X1056" s="111"/>
      <c r="Y1056" s="111"/>
      <c r="Z1056" s="111"/>
      <c r="AA1056" s="111"/>
    </row>
    <row r="1057" spans="1:27" s="118" customFormat="1" x14ac:dyDescent="0.2">
      <c r="A1057" s="10"/>
      <c r="B1057" s="10"/>
      <c r="C1057" s="191"/>
      <c r="D1057" s="115"/>
      <c r="E1057" s="158"/>
      <c r="F1057" s="267"/>
      <c r="G1057" s="267"/>
      <c r="H1057" s="267"/>
      <c r="I1057" s="339"/>
      <c r="J1057" s="267"/>
      <c r="K1057" s="137"/>
      <c r="L1057" s="137"/>
      <c r="M1057" s="137"/>
      <c r="N1057" s="138"/>
      <c r="O1057" s="167"/>
      <c r="P1057" s="111"/>
      <c r="Q1057" s="111"/>
      <c r="R1057" s="111"/>
      <c r="S1057" s="111"/>
      <c r="T1057" s="111"/>
      <c r="U1057" s="111"/>
      <c r="V1057" s="111"/>
      <c r="W1057" s="111"/>
      <c r="X1057" s="111"/>
      <c r="Y1057" s="111"/>
      <c r="Z1057" s="111"/>
      <c r="AA1057" s="111"/>
    </row>
    <row r="1058" spans="1:27" s="118" customFormat="1" x14ac:dyDescent="0.2">
      <c r="A1058" s="10"/>
      <c r="B1058" s="10"/>
      <c r="C1058" s="191"/>
      <c r="D1058" s="115"/>
      <c r="E1058" s="158"/>
      <c r="F1058" s="267"/>
      <c r="G1058" s="267"/>
      <c r="H1058" s="267"/>
      <c r="I1058" s="339"/>
      <c r="J1058" s="267"/>
      <c r="K1058" s="137"/>
      <c r="L1058" s="137"/>
      <c r="M1058" s="137"/>
      <c r="N1058" s="138"/>
      <c r="O1058" s="167"/>
      <c r="P1058" s="111"/>
      <c r="Q1058" s="111"/>
      <c r="R1058" s="111"/>
      <c r="S1058" s="111"/>
      <c r="T1058" s="111"/>
      <c r="U1058" s="111"/>
      <c r="V1058" s="111"/>
      <c r="W1058" s="111"/>
      <c r="X1058" s="111"/>
      <c r="Y1058" s="111"/>
      <c r="Z1058" s="111"/>
      <c r="AA1058" s="111"/>
    </row>
    <row r="1059" spans="1:27" s="118" customFormat="1" x14ac:dyDescent="0.2">
      <c r="A1059" s="10"/>
      <c r="B1059" s="10"/>
      <c r="C1059" s="191"/>
      <c r="D1059" s="115"/>
      <c r="E1059" s="158"/>
      <c r="F1059" s="267"/>
      <c r="G1059" s="267"/>
      <c r="H1059" s="267"/>
      <c r="I1059" s="339"/>
      <c r="J1059" s="267"/>
      <c r="K1059" s="137"/>
      <c r="L1059" s="137"/>
      <c r="M1059" s="137"/>
      <c r="N1059" s="138"/>
      <c r="O1059" s="167"/>
      <c r="P1059" s="111"/>
      <c r="Q1059" s="111"/>
      <c r="R1059" s="111"/>
      <c r="S1059" s="111"/>
      <c r="T1059" s="111"/>
      <c r="U1059" s="111"/>
      <c r="V1059" s="111"/>
      <c r="W1059" s="111"/>
      <c r="X1059" s="111"/>
      <c r="Y1059" s="111"/>
      <c r="Z1059" s="111"/>
      <c r="AA1059" s="111"/>
    </row>
    <row r="1060" spans="1:27" s="118" customFormat="1" x14ac:dyDescent="0.2">
      <c r="A1060" s="10"/>
      <c r="B1060" s="10"/>
      <c r="C1060" s="190"/>
      <c r="D1060" s="110"/>
      <c r="E1060" s="158"/>
      <c r="F1060" s="267"/>
      <c r="G1060" s="267"/>
      <c r="H1060" s="267"/>
      <c r="I1060" s="250"/>
      <c r="J1060" s="338"/>
      <c r="K1060" s="137"/>
      <c r="L1060" s="137"/>
      <c r="M1060" s="137"/>
      <c r="N1060" s="138"/>
      <c r="O1060" s="167"/>
      <c r="P1060" s="111"/>
      <c r="Q1060" s="111"/>
      <c r="R1060" s="111"/>
      <c r="S1060" s="111"/>
      <c r="T1060" s="111"/>
      <c r="U1060" s="111"/>
      <c r="V1060" s="111"/>
      <c r="W1060" s="111"/>
      <c r="X1060" s="111"/>
      <c r="Y1060" s="111"/>
      <c r="Z1060" s="111"/>
      <c r="AA1060" s="111"/>
    </row>
    <row r="1061" spans="1:27" s="118" customFormat="1" x14ac:dyDescent="0.2">
      <c r="A1061" s="10"/>
      <c r="B1061" s="10"/>
      <c r="C1061" s="191"/>
      <c r="D1061" s="110"/>
      <c r="E1061" s="158"/>
      <c r="F1061" s="267"/>
      <c r="G1061" s="267"/>
      <c r="H1061" s="267"/>
      <c r="I1061" s="250"/>
      <c r="J1061" s="263"/>
      <c r="K1061" s="137"/>
      <c r="L1061" s="137"/>
      <c r="M1061" s="137"/>
      <c r="N1061" s="138"/>
      <c r="O1061" s="167"/>
      <c r="P1061" s="111"/>
      <c r="Q1061" s="111"/>
      <c r="R1061" s="111"/>
      <c r="S1061" s="111"/>
      <c r="T1061" s="111"/>
      <c r="U1061" s="111"/>
      <c r="V1061" s="111"/>
      <c r="W1061" s="111"/>
      <c r="X1061" s="111"/>
      <c r="Y1061" s="111"/>
      <c r="Z1061" s="111"/>
      <c r="AA1061" s="111"/>
    </row>
    <row r="1062" spans="1:27" s="145" customFormat="1" x14ac:dyDescent="0.2">
      <c r="A1062" s="192"/>
      <c r="B1062" s="192"/>
      <c r="C1062" s="193"/>
      <c r="D1062" s="336"/>
      <c r="E1062" s="192"/>
      <c r="F1062" s="269"/>
      <c r="G1062" s="269"/>
      <c r="H1062" s="269"/>
      <c r="I1062" s="254"/>
      <c r="J1062" s="269"/>
      <c r="K1062" s="142"/>
      <c r="L1062" s="142"/>
      <c r="M1062" s="142"/>
      <c r="N1062" s="143">
        <f>SUM(N1064:N1068)</f>
        <v>0</v>
      </c>
      <c r="O1062" s="285"/>
      <c r="P1062" s="144"/>
      <c r="Q1062" s="144"/>
      <c r="R1062" s="144"/>
      <c r="S1062" s="144"/>
      <c r="T1062" s="144"/>
      <c r="U1062" s="144"/>
      <c r="V1062" s="144"/>
      <c r="W1062" s="144"/>
      <c r="X1062" s="144"/>
      <c r="Y1062" s="144"/>
      <c r="Z1062" s="144"/>
      <c r="AA1062" s="144"/>
    </row>
    <row r="1063" spans="1:27" s="118" customFormat="1" x14ac:dyDescent="0.2">
      <c r="A1063" s="10"/>
      <c r="B1063" s="10"/>
      <c r="C1063" s="191"/>
      <c r="D1063" s="110"/>
      <c r="E1063" s="158"/>
      <c r="F1063" s="267"/>
      <c r="G1063" s="267"/>
      <c r="H1063" s="267"/>
      <c r="I1063" s="250"/>
      <c r="J1063" s="263"/>
      <c r="K1063" s="137"/>
      <c r="L1063" s="137"/>
      <c r="M1063" s="137"/>
      <c r="N1063" s="138"/>
      <c r="O1063" s="167"/>
      <c r="P1063" s="111"/>
      <c r="Q1063" s="111"/>
      <c r="R1063" s="111"/>
      <c r="S1063" s="111"/>
      <c r="T1063" s="111"/>
      <c r="U1063" s="111"/>
      <c r="V1063" s="111"/>
      <c r="W1063" s="111"/>
      <c r="X1063" s="111"/>
      <c r="Y1063" s="111"/>
      <c r="Z1063" s="111"/>
      <c r="AA1063" s="111"/>
    </row>
    <row r="1064" spans="1:27" s="147" customFormat="1" x14ac:dyDescent="0.2">
      <c r="A1064" s="184"/>
      <c r="B1064" s="184"/>
      <c r="C1064" s="185"/>
      <c r="D1064" s="337"/>
      <c r="E1064" s="184"/>
      <c r="F1064" s="338"/>
      <c r="G1064" s="338"/>
      <c r="H1064" s="338"/>
      <c r="I1064" s="257"/>
      <c r="J1064" s="338"/>
      <c r="K1064" s="131">
        <f>J1067</f>
        <v>0</v>
      </c>
      <c r="L1064" s="131">
        <v>21.86</v>
      </c>
      <c r="M1064" s="131">
        <f>ROUND(L1064*(1+$Q$5),2)</f>
        <v>27.66</v>
      </c>
      <c r="N1064" s="133">
        <f>TRUNC(K1064*M1064,2)</f>
        <v>0</v>
      </c>
      <c r="O1064" s="286"/>
      <c r="P1064" s="146"/>
      <c r="Q1064" s="146"/>
      <c r="R1064" s="146"/>
      <c r="S1064" s="146"/>
      <c r="T1064" s="146"/>
      <c r="U1064" s="146"/>
      <c r="V1064" s="146"/>
      <c r="W1064" s="146"/>
      <c r="X1064" s="146"/>
      <c r="Y1064" s="146"/>
      <c r="Z1064" s="146"/>
      <c r="AA1064" s="146"/>
    </row>
    <row r="1065" spans="1:27" s="118" customFormat="1" x14ac:dyDescent="0.2">
      <c r="A1065" s="10"/>
      <c r="B1065" s="10"/>
      <c r="C1065" s="191"/>
      <c r="D1065" s="115"/>
      <c r="E1065" s="158"/>
      <c r="F1065" s="267"/>
      <c r="G1065" s="267"/>
      <c r="H1065" s="267"/>
      <c r="I1065" s="339"/>
      <c r="J1065" s="267"/>
      <c r="K1065" s="137"/>
      <c r="L1065" s="137"/>
      <c r="M1065" s="137"/>
      <c r="N1065" s="138"/>
      <c r="O1065" s="167"/>
      <c r="P1065" s="111"/>
      <c r="Q1065" s="111"/>
      <c r="R1065" s="111"/>
      <c r="S1065" s="111"/>
      <c r="T1065" s="111"/>
      <c r="U1065" s="111"/>
      <c r="V1065" s="111"/>
      <c r="W1065" s="111"/>
      <c r="X1065" s="111"/>
      <c r="Y1065" s="111"/>
      <c r="Z1065" s="111"/>
      <c r="AA1065" s="111"/>
    </row>
    <row r="1066" spans="1:27" s="118" customFormat="1" x14ac:dyDescent="0.2">
      <c r="A1066" s="10"/>
      <c r="B1066" s="10"/>
      <c r="C1066" s="191"/>
      <c r="D1066" s="115"/>
      <c r="E1066" s="158"/>
      <c r="F1066" s="267"/>
      <c r="G1066" s="267"/>
      <c r="H1066" s="267"/>
      <c r="I1066" s="339"/>
      <c r="J1066" s="267"/>
      <c r="K1066" s="137"/>
      <c r="L1066" s="137"/>
      <c r="M1066" s="137"/>
      <c r="N1066" s="138"/>
      <c r="O1066" s="167"/>
      <c r="P1066" s="111"/>
      <c r="Q1066" s="111"/>
      <c r="R1066" s="111"/>
      <c r="S1066" s="111"/>
      <c r="T1066" s="111"/>
      <c r="U1066" s="111"/>
      <c r="V1066" s="111"/>
      <c r="W1066" s="111"/>
      <c r="X1066" s="111"/>
      <c r="Y1066" s="111"/>
      <c r="Z1066" s="111"/>
      <c r="AA1066" s="111"/>
    </row>
    <row r="1067" spans="1:27" s="118" customFormat="1" x14ac:dyDescent="0.2">
      <c r="A1067" s="10"/>
      <c r="B1067" s="10"/>
      <c r="C1067" s="190"/>
      <c r="D1067" s="110"/>
      <c r="E1067" s="158"/>
      <c r="F1067" s="267"/>
      <c r="G1067" s="267"/>
      <c r="H1067" s="267"/>
      <c r="I1067" s="250"/>
      <c r="J1067" s="338"/>
      <c r="K1067" s="137"/>
      <c r="L1067" s="137"/>
      <c r="M1067" s="137"/>
      <c r="N1067" s="138"/>
      <c r="O1067" s="167"/>
      <c r="P1067" s="111"/>
      <c r="Q1067" s="111"/>
      <c r="R1067" s="111"/>
      <c r="S1067" s="111"/>
      <c r="T1067" s="111"/>
      <c r="U1067" s="111"/>
      <c r="V1067" s="111"/>
      <c r="W1067" s="111"/>
      <c r="X1067" s="111"/>
      <c r="Y1067" s="111"/>
      <c r="Z1067" s="111"/>
      <c r="AA1067" s="111"/>
    </row>
    <row r="1068" spans="1:27" s="118" customFormat="1" x14ac:dyDescent="0.2">
      <c r="A1068" s="10"/>
      <c r="B1068" s="10"/>
      <c r="C1068" s="191"/>
      <c r="D1068" s="110"/>
      <c r="E1068" s="158"/>
      <c r="F1068" s="267"/>
      <c r="G1068" s="267"/>
      <c r="H1068" s="267"/>
      <c r="I1068" s="250"/>
      <c r="J1068" s="263"/>
      <c r="K1068" s="137"/>
      <c r="L1068" s="137"/>
      <c r="M1068" s="137"/>
      <c r="N1068" s="138"/>
      <c r="O1068" s="167"/>
      <c r="P1068" s="111"/>
      <c r="Q1068" s="111"/>
      <c r="R1068" s="111"/>
      <c r="S1068" s="111"/>
      <c r="T1068" s="111"/>
      <c r="U1068" s="111"/>
      <c r="V1068" s="111"/>
      <c r="W1068" s="111"/>
      <c r="X1068" s="111"/>
      <c r="Y1068" s="111"/>
      <c r="Z1068" s="111"/>
      <c r="AA1068" s="111"/>
    </row>
    <row r="1069" spans="1:27" s="154" customFormat="1" x14ac:dyDescent="0.2">
      <c r="A1069" s="10"/>
      <c r="B1069" s="10"/>
      <c r="C1069" s="15"/>
      <c r="D1069" s="117"/>
      <c r="E1069" s="10"/>
      <c r="F1069" s="263"/>
      <c r="G1069" s="263"/>
      <c r="H1069" s="263"/>
      <c r="I1069" s="250"/>
      <c r="J1069" s="263"/>
      <c r="K1069" s="151"/>
      <c r="L1069" s="151"/>
      <c r="M1069" s="151"/>
      <c r="N1069" s="152"/>
      <c r="O1069" s="283"/>
      <c r="P1069" s="153"/>
      <c r="Q1069" s="153"/>
      <c r="R1069" s="153"/>
      <c r="S1069" s="153"/>
      <c r="T1069" s="153"/>
      <c r="U1069" s="153"/>
      <c r="V1069" s="153"/>
      <c r="W1069" s="153"/>
      <c r="X1069" s="153"/>
      <c r="Y1069" s="153"/>
      <c r="Z1069" s="153"/>
      <c r="AA1069" s="153"/>
    </row>
    <row r="1070" spans="1:27" s="241" customFormat="1" ht="13.2" x14ac:dyDescent="0.25">
      <c r="A1070" s="331"/>
      <c r="B1070" s="331"/>
      <c r="C1070" s="332"/>
      <c r="D1070" s="333"/>
      <c r="E1070" s="331"/>
      <c r="F1070" s="334"/>
      <c r="G1070" s="334"/>
      <c r="H1070" s="334"/>
      <c r="I1070" s="335"/>
      <c r="J1070" s="334"/>
      <c r="K1070" s="238"/>
      <c r="L1070" s="238"/>
      <c r="M1070" s="238"/>
      <c r="N1070" s="239" t="e">
        <f>SUM(N1072,N1110,N1128,N1143)</f>
        <v>#VALUE!</v>
      </c>
      <c r="O1070" s="284" t="e">
        <f>N1070/$N$1660</f>
        <v>#VALUE!</v>
      </c>
      <c r="P1070" s="240" t="s">
        <v>533</v>
      </c>
      <c r="Q1070" s="240" t="s">
        <v>533</v>
      </c>
      <c r="R1070" s="240"/>
      <c r="S1070" s="240"/>
      <c r="T1070" s="240"/>
      <c r="U1070" s="240"/>
      <c r="V1070" s="240"/>
      <c r="W1070" s="240"/>
      <c r="X1070" s="240"/>
      <c r="Y1070" s="240"/>
      <c r="Z1070" s="240"/>
      <c r="AA1070" s="240"/>
    </row>
    <row r="1071" spans="1:27" s="154" customFormat="1" x14ac:dyDescent="0.2">
      <c r="A1071" s="10"/>
      <c r="B1071" s="10"/>
      <c r="C1071" s="15"/>
      <c r="D1071" s="117"/>
      <c r="E1071" s="10"/>
      <c r="F1071" s="263"/>
      <c r="G1071" s="263"/>
      <c r="H1071" s="263"/>
      <c r="I1071" s="250"/>
      <c r="J1071" s="263"/>
      <c r="K1071" s="151"/>
      <c r="L1071" s="151"/>
      <c r="M1071" s="151"/>
      <c r="N1071" s="152"/>
      <c r="O1071" s="283"/>
      <c r="P1071" s="153"/>
      <c r="Q1071" s="153"/>
      <c r="R1071" s="153"/>
      <c r="S1071" s="153"/>
      <c r="T1071" s="153"/>
      <c r="U1071" s="153"/>
      <c r="V1071" s="153"/>
      <c r="W1071" s="153"/>
      <c r="X1071" s="153"/>
      <c r="Y1071" s="153"/>
      <c r="Z1071" s="153"/>
      <c r="AA1071" s="153"/>
    </row>
    <row r="1072" spans="1:27" s="145" customFormat="1" x14ac:dyDescent="0.2">
      <c r="A1072" s="192"/>
      <c r="B1072" s="192"/>
      <c r="C1072" s="193"/>
      <c r="D1072" s="336"/>
      <c r="E1072" s="192"/>
      <c r="F1072" s="269"/>
      <c r="G1072" s="269"/>
      <c r="H1072" s="269"/>
      <c r="I1072" s="254"/>
      <c r="J1072" s="269"/>
      <c r="K1072" s="142"/>
      <c r="L1072" s="142"/>
      <c r="M1072" s="142"/>
      <c r="N1072" s="143" t="e">
        <f>SUM(N1074:N1109)</f>
        <v>#VALUE!</v>
      </c>
      <c r="O1072" s="285"/>
      <c r="P1072" s="144"/>
      <c r="Q1072" s="144"/>
      <c r="R1072" s="144"/>
      <c r="S1072" s="144"/>
      <c r="T1072" s="144"/>
      <c r="U1072" s="144"/>
      <c r="V1072" s="144"/>
      <c r="W1072" s="144"/>
      <c r="X1072" s="144"/>
      <c r="Y1072" s="144"/>
      <c r="Z1072" s="144"/>
      <c r="AA1072" s="144"/>
    </row>
    <row r="1073" spans="1:27" s="154" customFormat="1" x14ac:dyDescent="0.2">
      <c r="A1073" s="10"/>
      <c r="B1073" s="10"/>
      <c r="C1073" s="15"/>
      <c r="D1073" s="117"/>
      <c r="E1073" s="10"/>
      <c r="F1073" s="263"/>
      <c r="G1073" s="263"/>
      <c r="H1073" s="263"/>
      <c r="I1073" s="250"/>
      <c r="J1073" s="263"/>
      <c r="K1073" s="151"/>
      <c r="L1073" s="151"/>
      <c r="M1073" s="151"/>
      <c r="N1073" s="152"/>
      <c r="O1073" s="283"/>
      <c r="P1073" s="153"/>
      <c r="Q1073" s="153"/>
      <c r="R1073" s="153"/>
      <c r="S1073" s="153"/>
      <c r="T1073" s="153"/>
      <c r="U1073" s="153"/>
      <c r="V1073" s="153"/>
      <c r="W1073" s="153"/>
      <c r="X1073" s="153"/>
      <c r="Y1073" s="153"/>
      <c r="Z1073" s="153"/>
      <c r="AA1073" s="153"/>
    </row>
    <row r="1074" spans="1:27" s="147" customFormat="1" x14ac:dyDescent="0.2">
      <c r="A1074" s="184"/>
      <c r="B1074" s="184"/>
      <c r="C1074" s="185"/>
      <c r="D1074" s="337"/>
      <c r="E1074" s="184"/>
      <c r="F1074" s="338"/>
      <c r="G1074" s="338"/>
      <c r="H1074" s="338"/>
      <c r="I1074" s="257"/>
      <c r="J1074" s="338"/>
      <c r="K1074" s="131">
        <f>J1077</f>
        <v>0</v>
      </c>
      <c r="L1074" s="131">
        <v>73.44</v>
      </c>
      <c r="M1074" s="131">
        <f>ROUND(L1074*(1+$Q$5),2)</f>
        <v>92.92</v>
      </c>
      <c r="N1074" s="133">
        <f>TRUNC(K1074*M1074,2)</f>
        <v>0</v>
      </c>
      <c r="O1074" s="286"/>
      <c r="P1074" s="146"/>
      <c r="Q1074" s="146"/>
      <c r="R1074" s="146"/>
      <c r="S1074" s="146"/>
      <c r="T1074" s="146"/>
      <c r="U1074" s="146"/>
      <c r="V1074" s="146"/>
      <c r="W1074" s="146"/>
      <c r="X1074" s="146"/>
      <c r="Y1074" s="146"/>
      <c r="Z1074" s="146"/>
      <c r="AA1074" s="146"/>
    </row>
    <row r="1075" spans="1:27" s="118" customFormat="1" x14ac:dyDescent="0.2">
      <c r="A1075" s="10"/>
      <c r="B1075" s="10"/>
      <c r="C1075" s="191"/>
      <c r="D1075" s="115"/>
      <c r="E1075" s="158"/>
      <c r="F1075" s="267"/>
      <c r="G1075" s="267"/>
      <c r="H1075" s="267"/>
      <c r="I1075" s="250"/>
      <c r="J1075" s="267"/>
      <c r="K1075" s="137"/>
      <c r="L1075" s="137"/>
      <c r="M1075" s="137"/>
      <c r="N1075" s="138"/>
      <c r="O1075" s="167"/>
      <c r="P1075" s="111"/>
      <c r="Q1075" s="111"/>
      <c r="R1075" s="111"/>
      <c r="S1075" s="111"/>
      <c r="T1075" s="111"/>
      <c r="U1075" s="111"/>
      <c r="V1075" s="111"/>
      <c r="W1075" s="111"/>
      <c r="X1075" s="111"/>
      <c r="Y1075" s="111"/>
      <c r="Z1075" s="111"/>
      <c r="AA1075" s="111"/>
    </row>
    <row r="1076" spans="1:27" s="118" customFormat="1" x14ac:dyDescent="0.2">
      <c r="A1076" s="10"/>
      <c r="B1076" s="10"/>
      <c r="C1076" s="191"/>
      <c r="D1076" s="115"/>
      <c r="E1076" s="158"/>
      <c r="F1076" s="267"/>
      <c r="G1076" s="267"/>
      <c r="H1076" s="267"/>
      <c r="I1076" s="250"/>
      <c r="J1076" s="267"/>
      <c r="K1076" s="137"/>
      <c r="L1076" s="137"/>
      <c r="M1076" s="137"/>
      <c r="N1076" s="138"/>
      <c r="O1076" s="167"/>
      <c r="P1076" s="111"/>
      <c r="Q1076" s="111"/>
      <c r="R1076" s="111"/>
      <c r="S1076" s="111"/>
      <c r="T1076" s="111"/>
      <c r="U1076" s="111"/>
      <c r="V1076" s="111"/>
      <c r="W1076" s="111"/>
      <c r="X1076" s="111"/>
      <c r="Y1076" s="111"/>
      <c r="Z1076" s="111"/>
      <c r="AA1076" s="111"/>
    </row>
    <row r="1077" spans="1:27" s="118" customFormat="1" x14ac:dyDescent="0.2">
      <c r="A1077" s="10"/>
      <c r="B1077" s="10"/>
      <c r="C1077" s="190"/>
      <c r="D1077" s="110"/>
      <c r="E1077" s="158"/>
      <c r="F1077" s="267"/>
      <c r="G1077" s="267"/>
      <c r="H1077" s="267"/>
      <c r="I1077" s="250"/>
      <c r="J1077" s="338"/>
      <c r="K1077" s="137"/>
      <c r="L1077" s="137"/>
      <c r="M1077" s="137"/>
      <c r="N1077" s="138"/>
      <c r="O1077" s="167"/>
      <c r="P1077" s="111"/>
      <c r="Q1077" s="111"/>
      <c r="R1077" s="111"/>
      <c r="S1077" s="111"/>
      <c r="T1077" s="111"/>
      <c r="U1077" s="111"/>
      <c r="V1077" s="111"/>
      <c r="W1077" s="111"/>
      <c r="X1077" s="111"/>
      <c r="Y1077" s="111"/>
      <c r="Z1077" s="111"/>
      <c r="AA1077" s="111"/>
    </row>
    <row r="1078" spans="1:27" s="139" customFormat="1" x14ac:dyDescent="0.2">
      <c r="A1078" s="10"/>
      <c r="B1078" s="10"/>
      <c r="C1078" s="15"/>
      <c r="D1078" s="117"/>
      <c r="E1078" s="10"/>
      <c r="F1078" s="263"/>
      <c r="G1078" s="263"/>
      <c r="H1078" s="263"/>
      <c r="I1078" s="250"/>
      <c r="J1078" s="263"/>
      <c r="K1078" s="137"/>
      <c r="L1078" s="137"/>
      <c r="M1078" s="137"/>
      <c r="N1078" s="138"/>
      <c r="O1078" s="283"/>
      <c r="P1078" s="120"/>
      <c r="Q1078" s="120"/>
      <c r="R1078" s="120"/>
      <c r="S1078" s="120"/>
      <c r="T1078" s="120"/>
      <c r="U1078" s="120"/>
      <c r="V1078" s="120"/>
      <c r="W1078" s="120"/>
      <c r="X1078" s="120"/>
      <c r="Y1078" s="120"/>
      <c r="Z1078" s="120"/>
      <c r="AA1078" s="120"/>
    </row>
    <row r="1079" spans="1:27" s="147" customFormat="1" x14ac:dyDescent="0.2">
      <c r="A1079" s="184"/>
      <c r="B1079" s="184"/>
      <c r="C1079" s="185"/>
      <c r="D1079" s="337"/>
      <c r="E1079" s="184"/>
      <c r="F1079" s="338"/>
      <c r="G1079" s="338"/>
      <c r="H1079" s="338"/>
      <c r="I1079" s="257"/>
      <c r="J1079" s="338"/>
      <c r="K1079" s="131">
        <f>J1084</f>
        <v>0</v>
      </c>
      <c r="L1079" s="131">
        <f>'COMPOSICOES - SINAPI COM DESON'!G50</f>
        <v>104.48</v>
      </c>
      <c r="M1079" s="131">
        <f>ROUND(L1079*(1+$Q$5),2)</f>
        <v>132.19999999999999</v>
      </c>
      <c r="N1079" s="133">
        <f>TRUNC(K1079*M1079,2)</f>
        <v>0</v>
      </c>
      <c r="O1079" s="286"/>
      <c r="P1079" s="146"/>
      <c r="Q1079" s="146"/>
      <c r="R1079" s="146"/>
      <c r="S1079" s="146"/>
      <c r="T1079" s="146"/>
      <c r="U1079" s="146"/>
      <c r="V1079" s="146"/>
      <c r="W1079" s="146"/>
      <c r="X1079" s="146"/>
      <c r="Y1079" s="146"/>
      <c r="Z1079" s="146"/>
      <c r="AA1079" s="146"/>
    </row>
    <row r="1080" spans="1:27" s="118" customFormat="1" x14ac:dyDescent="0.2">
      <c r="A1080" s="10"/>
      <c r="B1080" s="10"/>
      <c r="C1080" s="191"/>
      <c r="D1080" s="115"/>
      <c r="E1080" s="158"/>
      <c r="F1080" s="267"/>
      <c r="G1080" s="267"/>
      <c r="H1080" s="267"/>
      <c r="I1080" s="250"/>
      <c r="J1080" s="267"/>
      <c r="K1080" s="137"/>
      <c r="L1080" s="137"/>
      <c r="M1080" s="137"/>
      <c r="N1080" s="138"/>
      <c r="O1080" s="167"/>
      <c r="P1080" s="111"/>
      <c r="Q1080" s="111"/>
      <c r="R1080" s="111"/>
      <c r="S1080" s="111"/>
      <c r="T1080" s="111"/>
      <c r="U1080" s="111"/>
      <c r="V1080" s="111"/>
      <c r="W1080" s="111"/>
      <c r="X1080" s="111"/>
      <c r="Y1080" s="111"/>
      <c r="Z1080" s="111"/>
      <c r="AA1080" s="111"/>
    </row>
    <row r="1081" spans="1:27" s="118" customFormat="1" x14ac:dyDescent="0.2">
      <c r="A1081" s="10"/>
      <c r="B1081" s="10"/>
      <c r="C1081" s="191"/>
      <c r="D1081" s="115"/>
      <c r="E1081" s="158"/>
      <c r="F1081" s="267"/>
      <c r="G1081" s="267"/>
      <c r="H1081" s="267"/>
      <c r="I1081" s="250"/>
      <c r="J1081" s="267"/>
      <c r="K1081" s="137"/>
      <c r="L1081" s="137"/>
      <c r="M1081" s="137"/>
      <c r="N1081" s="138"/>
      <c r="O1081" s="167"/>
      <c r="P1081" s="111"/>
      <c r="Q1081" s="111"/>
      <c r="R1081" s="111"/>
      <c r="S1081" s="111"/>
      <c r="T1081" s="111"/>
      <c r="U1081" s="111"/>
      <c r="V1081" s="111"/>
      <c r="W1081" s="111"/>
      <c r="X1081" s="111"/>
      <c r="Y1081" s="111"/>
      <c r="Z1081" s="111"/>
      <c r="AA1081" s="111"/>
    </row>
    <row r="1082" spans="1:27" s="118" customFormat="1" x14ac:dyDescent="0.2">
      <c r="A1082" s="10"/>
      <c r="B1082" s="10"/>
      <c r="C1082" s="191"/>
      <c r="D1082" s="115"/>
      <c r="E1082" s="158"/>
      <c r="F1082" s="267"/>
      <c r="G1082" s="267"/>
      <c r="H1082" s="267"/>
      <c r="I1082" s="250"/>
      <c r="J1082" s="267"/>
      <c r="K1082" s="137"/>
      <c r="L1082" s="137"/>
      <c r="M1082" s="137"/>
      <c r="N1082" s="138"/>
      <c r="O1082" s="167"/>
      <c r="P1082" s="111"/>
      <c r="Q1082" s="111"/>
      <c r="R1082" s="111"/>
      <c r="S1082" s="111"/>
      <c r="T1082" s="111"/>
      <c r="U1082" s="111"/>
      <c r="V1082" s="111"/>
      <c r="W1082" s="111"/>
      <c r="X1082" s="111"/>
      <c r="Y1082" s="111"/>
      <c r="Z1082" s="111"/>
      <c r="AA1082" s="111"/>
    </row>
    <row r="1083" spans="1:27" s="118" customFormat="1" x14ac:dyDescent="0.2">
      <c r="A1083" s="10"/>
      <c r="B1083" s="10"/>
      <c r="C1083" s="191"/>
      <c r="D1083" s="115"/>
      <c r="E1083" s="158"/>
      <c r="F1083" s="267"/>
      <c r="G1083" s="267"/>
      <c r="H1083" s="267"/>
      <c r="I1083" s="250"/>
      <c r="J1083" s="267"/>
      <c r="K1083" s="137"/>
      <c r="L1083" s="137"/>
      <c r="M1083" s="137"/>
      <c r="N1083" s="138"/>
      <c r="O1083" s="167"/>
      <c r="P1083" s="111"/>
      <c r="Q1083" s="111"/>
      <c r="R1083" s="111"/>
      <c r="S1083" s="111"/>
      <c r="T1083" s="111"/>
      <c r="U1083" s="111"/>
      <c r="V1083" s="111"/>
      <c r="W1083" s="111"/>
      <c r="X1083" s="111"/>
      <c r="Y1083" s="111"/>
      <c r="Z1083" s="111"/>
      <c r="AA1083" s="111"/>
    </row>
    <row r="1084" spans="1:27" s="118" customFormat="1" x14ac:dyDescent="0.2">
      <c r="A1084" s="10"/>
      <c r="B1084" s="10"/>
      <c r="C1084" s="190"/>
      <c r="D1084" s="110"/>
      <c r="E1084" s="158"/>
      <c r="F1084" s="267"/>
      <c r="G1084" s="267"/>
      <c r="H1084" s="267"/>
      <c r="I1084" s="250"/>
      <c r="J1084" s="338"/>
      <c r="K1084" s="137"/>
      <c r="L1084" s="137"/>
      <c r="M1084" s="137"/>
      <c r="N1084" s="138"/>
      <c r="O1084" s="167"/>
      <c r="P1084" s="111"/>
      <c r="Q1084" s="111"/>
      <c r="R1084" s="111"/>
      <c r="S1084" s="111"/>
      <c r="T1084" s="111"/>
      <c r="U1084" s="111"/>
      <c r="V1084" s="111"/>
      <c r="W1084" s="111"/>
      <c r="X1084" s="111"/>
      <c r="Y1084" s="111"/>
      <c r="Z1084" s="111"/>
      <c r="AA1084" s="111"/>
    </row>
    <row r="1085" spans="1:27" s="139" customFormat="1" x14ac:dyDescent="0.2">
      <c r="A1085" s="10"/>
      <c r="B1085" s="10"/>
      <c r="C1085" s="15"/>
      <c r="D1085" s="117"/>
      <c r="E1085" s="10"/>
      <c r="F1085" s="263"/>
      <c r="G1085" s="263"/>
      <c r="H1085" s="263"/>
      <c r="I1085" s="250"/>
      <c r="J1085" s="263"/>
      <c r="K1085" s="137"/>
      <c r="L1085" s="137"/>
      <c r="M1085" s="137"/>
      <c r="N1085" s="138"/>
      <c r="O1085" s="283"/>
      <c r="P1085" s="120"/>
      <c r="Q1085" s="120"/>
      <c r="R1085" s="120"/>
      <c r="S1085" s="120"/>
      <c r="T1085" s="120"/>
      <c r="U1085" s="120"/>
      <c r="V1085" s="120"/>
      <c r="W1085" s="120"/>
      <c r="X1085" s="120"/>
      <c r="Y1085" s="120"/>
      <c r="Z1085" s="120"/>
      <c r="AA1085" s="120"/>
    </row>
    <row r="1086" spans="1:27" s="147" customFormat="1" x14ac:dyDescent="0.2">
      <c r="A1086" s="184"/>
      <c r="B1086" s="184"/>
      <c r="C1086" s="185"/>
      <c r="D1086" s="337"/>
      <c r="E1086" s="184"/>
      <c r="F1086" s="338"/>
      <c r="G1086" s="338"/>
      <c r="H1086" s="338"/>
      <c r="I1086" s="257"/>
      <c r="J1086" s="338"/>
      <c r="K1086" s="131">
        <f>J1092</f>
        <v>0</v>
      </c>
      <c r="L1086" s="131" t="e">
        <f>'COMPOSICOES - SINAPI COM DESON'!G36</f>
        <v>#VALUE!</v>
      </c>
      <c r="M1086" s="131" t="e">
        <f>ROUND(L1086*(1+$Q$5),2)</f>
        <v>#VALUE!</v>
      </c>
      <c r="N1086" s="133" t="e">
        <f>TRUNC(K1086*M1086,2)</f>
        <v>#VALUE!</v>
      </c>
      <c r="O1086" s="286"/>
      <c r="P1086" s="146"/>
      <c r="Q1086" s="146"/>
      <c r="R1086" s="146"/>
      <c r="S1086" s="146"/>
      <c r="T1086" s="146"/>
      <c r="U1086" s="146"/>
      <c r="V1086" s="146"/>
      <c r="W1086" s="146"/>
      <c r="X1086" s="146"/>
      <c r="Y1086" s="146"/>
      <c r="Z1086" s="146"/>
      <c r="AA1086" s="146"/>
    </row>
    <row r="1087" spans="1:27" s="118" customFormat="1" x14ac:dyDescent="0.2">
      <c r="A1087" s="10"/>
      <c r="B1087" s="10"/>
      <c r="C1087" s="191"/>
      <c r="D1087" s="115"/>
      <c r="E1087" s="158"/>
      <c r="F1087" s="267"/>
      <c r="G1087" s="267"/>
      <c r="H1087" s="267"/>
      <c r="I1087" s="250"/>
      <c r="J1087" s="267"/>
      <c r="K1087" s="137"/>
      <c r="L1087" s="137"/>
      <c r="M1087" s="137"/>
      <c r="N1087" s="138"/>
      <c r="O1087" s="167"/>
      <c r="P1087" s="111"/>
      <c r="Q1087" s="111"/>
      <c r="R1087" s="111"/>
      <c r="S1087" s="111"/>
      <c r="T1087" s="111"/>
      <c r="U1087" s="111"/>
      <c r="V1087" s="111"/>
      <c r="W1087" s="111"/>
      <c r="X1087" s="111"/>
      <c r="Y1087" s="111"/>
      <c r="Z1087" s="111"/>
      <c r="AA1087" s="111"/>
    </row>
    <row r="1088" spans="1:27" s="118" customFormat="1" x14ac:dyDescent="0.2">
      <c r="A1088" s="10"/>
      <c r="B1088" s="10"/>
      <c r="C1088" s="191"/>
      <c r="D1088" s="115"/>
      <c r="E1088" s="158"/>
      <c r="F1088" s="267"/>
      <c r="G1088" s="267"/>
      <c r="H1088" s="267"/>
      <c r="I1088" s="250"/>
      <c r="J1088" s="267"/>
      <c r="K1088" s="137"/>
      <c r="L1088" s="137"/>
      <c r="M1088" s="137"/>
      <c r="N1088" s="138"/>
      <c r="O1088" s="167"/>
      <c r="P1088" s="111"/>
      <c r="Q1088" s="111"/>
      <c r="R1088" s="111"/>
      <c r="S1088" s="111"/>
      <c r="T1088" s="111"/>
      <c r="U1088" s="111"/>
      <c r="V1088" s="111"/>
      <c r="W1088" s="111"/>
      <c r="X1088" s="111"/>
      <c r="Y1088" s="111"/>
      <c r="Z1088" s="111"/>
      <c r="AA1088" s="111"/>
    </row>
    <row r="1089" spans="1:27" s="118" customFormat="1" x14ac:dyDescent="0.2">
      <c r="A1089" s="10"/>
      <c r="B1089" s="10"/>
      <c r="C1089" s="191"/>
      <c r="D1089" s="115"/>
      <c r="E1089" s="158"/>
      <c r="F1089" s="267"/>
      <c r="G1089" s="267"/>
      <c r="H1089" s="267"/>
      <c r="I1089" s="250"/>
      <c r="J1089" s="267"/>
      <c r="K1089" s="137"/>
      <c r="L1089" s="137"/>
      <c r="M1089" s="137"/>
      <c r="N1089" s="138"/>
      <c r="O1089" s="167"/>
      <c r="P1089" s="111"/>
      <c r="Q1089" s="111"/>
      <c r="R1089" s="111"/>
      <c r="S1089" s="111"/>
      <c r="T1089" s="111"/>
      <c r="U1089" s="111"/>
      <c r="V1089" s="111"/>
      <c r="W1089" s="111"/>
      <c r="X1089" s="111"/>
      <c r="Y1089" s="111"/>
      <c r="Z1089" s="111"/>
      <c r="AA1089" s="111"/>
    </row>
    <row r="1090" spans="1:27" s="118" customFormat="1" x14ac:dyDescent="0.2">
      <c r="A1090" s="10"/>
      <c r="B1090" s="10"/>
      <c r="C1090" s="191"/>
      <c r="D1090" s="115"/>
      <c r="E1090" s="158"/>
      <c r="F1090" s="267"/>
      <c r="G1090" s="267"/>
      <c r="H1090" s="267"/>
      <c r="I1090" s="250"/>
      <c r="J1090" s="267"/>
      <c r="K1090" s="137"/>
      <c r="L1090" s="137"/>
      <c r="M1090" s="137"/>
      <c r="N1090" s="138"/>
      <c r="O1090" s="167"/>
      <c r="P1090" s="111"/>
      <c r="Q1090" s="111"/>
      <c r="R1090" s="111"/>
      <c r="S1090" s="111"/>
      <c r="T1090" s="111"/>
      <c r="U1090" s="111"/>
      <c r="V1090" s="111"/>
      <c r="W1090" s="111"/>
      <c r="X1090" s="111"/>
      <c r="Y1090" s="111"/>
      <c r="Z1090" s="111"/>
      <c r="AA1090" s="111"/>
    </row>
    <row r="1091" spans="1:27" s="118" customFormat="1" x14ac:dyDescent="0.2">
      <c r="A1091" s="10"/>
      <c r="B1091" s="10"/>
      <c r="C1091" s="191"/>
      <c r="D1091" s="115"/>
      <c r="E1091" s="158"/>
      <c r="F1091" s="267"/>
      <c r="G1091" s="267"/>
      <c r="H1091" s="267"/>
      <c r="I1091" s="250"/>
      <c r="J1091" s="267"/>
      <c r="K1091" s="137"/>
      <c r="L1091" s="137"/>
      <c r="M1091" s="137"/>
      <c r="N1091" s="138"/>
      <c r="O1091" s="167"/>
      <c r="P1091" s="111"/>
      <c r="Q1091" s="111"/>
      <c r="R1091" s="111"/>
      <c r="S1091" s="111"/>
      <c r="T1091" s="111"/>
      <c r="U1091" s="111"/>
      <c r="V1091" s="111"/>
      <c r="W1091" s="111"/>
      <c r="X1091" s="111"/>
      <c r="Y1091" s="111"/>
      <c r="Z1091" s="111"/>
      <c r="AA1091" s="111"/>
    </row>
    <row r="1092" spans="1:27" s="118" customFormat="1" x14ac:dyDescent="0.2">
      <c r="A1092" s="10"/>
      <c r="B1092" s="10"/>
      <c r="C1092" s="190"/>
      <c r="D1092" s="110"/>
      <c r="E1092" s="158"/>
      <c r="F1092" s="267"/>
      <c r="G1092" s="267"/>
      <c r="H1092" s="267"/>
      <c r="I1092" s="250"/>
      <c r="J1092" s="338"/>
      <c r="K1092" s="137"/>
      <c r="L1092" s="137"/>
      <c r="M1092" s="137"/>
      <c r="N1092" s="138"/>
      <c r="O1092" s="167"/>
      <c r="P1092" s="111"/>
      <c r="Q1092" s="111"/>
      <c r="R1092" s="111"/>
      <c r="S1092" s="111"/>
      <c r="T1092" s="111"/>
      <c r="U1092" s="111"/>
      <c r="V1092" s="111"/>
      <c r="W1092" s="111"/>
      <c r="X1092" s="111"/>
      <c r="Y1092" s="111"/>
      <c r="Z1092" s="111"/>
      <c r="AA1092" s="111"/>
    </row>
    <row r="1093" spans="1:27" s="139" customFormat="1" x14ac:dyDescent="0.2">
      <c r="A1093" s="10"/>
      <c r="B1093" s="10"/>
      <c r="C1093" s="15"/>
      <c r="D1093" s="117"/>
      <c r="E1093" s="10"/>
      <c r="F1093" s="263"/>
      <c r="G1093" s="263"/>
      <c r="H1093" s="263"/>
      <c r="I1093" s="250"/>
      <c r="J1093" s="263"/>
      <c r="K1093" s="137"/>
      <c r="L1093" s="137"/>
      <c r="M1093" s="137"/>
      <c r="N1093" s="138"/>
      <c r="O1093" s="283"/>
      <c r="P1093" s="120"/>
      <c r="Q1093" s="120"/>
      <c r="R1093" s="120"/>
      <c r="S1093" s="120"/>
      <c r="T1093" s="120"/>
      <c r="U1093" s="120"/>
      <c r="V1093" s="120"/>
      <c r="W1093" s="120"/>
      <c r="X1093" s="120"/>
      <c r="Y1093" s="120"/>
      <c r="Z1093" s="120"/>
      <c r="AA1093" s="120"/>
    </row>
    <row r="1094" spans="1:27" s="147" customFormat="1" x14ac:dyDescent="0.2">
      <c r="A1094" s="184"/>
      <c r="B1094" s="184"/>
      <c r="C1094" s="185"/>
      <c r="D1094" s="337"/>
      <c r="E1094" s="184"/>
      <c r="F1094" s="338"/>
      <c r="G1094" s="338"/>
      <c r="H1094" s="338"/>
      <c r="I1094" s="257"/>
      <c r="J1094" s="338"/>
      <c r="K1094" s="131">
        <f>J1096</f>
        <v>0</v>
      </c>
      <c r="L1094" s="131">
        <v>54</v>
      </c>
      <c r="M1094" s="131">
        <f>ROUND(L1094*(1+$Q$5),2)</f>
        <v>68.33</v>
      </c>
      <c r="N1094" s="133">
        <f>TRUNC(K1094*M1094,2)</f>
        <v>0</v>
      </c>
      <c r="O1094" s="286"/>
      <c r="P1094" s="146"/>
      <c r="Q1094" s="146"/>
      <c r="R1094" s="146"/>
      <c r="S1094" s="146"/>
      <c r="T1094" s="146"/>
      <c r="U1094" s="146"/>
      <c r="V1094" s="146"/>
      <c r="W1094" s="146"/>
      <c r="X1094" s="146"/>
      <c r="Y1094" s="146"/>
      <c r="Z1094" s="146"/>
      <c r="AA1094" s="146"/>
    </row>
    <row r="1095" spans="1:27" s="118" customFormat="1" x14ac:dyDescent="0.2">
      <c r="A1095" s="10"/>
      <c r="B1095" s="10"/>
      <c r="C1095" s="191"/>
      <c r="D1095" s="115"/>
      <c r="E1095" s="158"/>
      <c r="F1095" s="267"/>
      <c r="G1095" s="267"/>
      <c r="H1095" s="267"/>
      <c r="I1095" s="250"/>
      <c r="J1095" s="267"/>
      <c r="K1095" s="137"/>
      <c r="L1095" s="137"/>
      <c r="M1095" s="137"/>
      <c r="N1095" s="138"/>
      <c r="O1095" s="167"/>
      <c r="P1095" s="111"/>
      <c r="Q1095" s="111"/>
      <c r="R1095" s="111"/>
      <c r="S1095" s="111"/>
      <c r="T1095" s="111"/>
      <c r="U1095" s="111"/>
      <c r="V1095" s="111"/>
      <c r="W1095" s="111"/>
      <c r="X1095" s="111"/>
      <c r="Y1095" s="111"/>
      <c r="Z1095" s="111"/>
      <c r="AA1095" s="111"/>
    </row>
    <row r="1096" spans="1:27" s="118" customFormat="1" x14ac:dyDescent="0.2">
      <c r="A1096" s="10"/>
      <c r="B1096" s="10"/>
      <c r="C1096" s="190"/>
      <c r="D1096" s="110"/>
      <c r="E1096" s="158"/>
      <c r="F1096" s="267"/>
      <c r="G1096" s="267"/>
      <c r="H1096" s="267"/>
      <c r="I1096" s="250"/>
      <c r="J1096" s="338"/>
      <c r="K1096" s="137"/>
      <c r="L1096" s="137"/>
      <c r="M1096" s="137"/>
      <c r="N1096" s="138"/>
      <c r="O1096" s="167"/>
      <c r="P1096" s="111"/>
      <c r="Q1096" s="111"/>
      <c r="R1096" s="111"/>
      <c r="S1096" s="111"/>
      <c r="T1096" s="111"/>
      <c r="U1096" s="111"/>
      <c r="V1096" s="111"/>
      <c r="W1096" s="111"/>
      <c r="X1096" s="111"/>
      <c r="Y1096" s="111"/>
      <c r="Z1096" s="111"/>
      <c r="AA1096" s="111"/>
    </row>
    <row r="1097" spans="1:27" s="118" customFormat="1" x14ac:dyDescent="0.2">
      <c r="A1097" s="10"/>
      <c r="B1097" s="10"/>
      <c r="C1097" s="191"/>
      <c r="D1097" s="110"/>
      <c r="E1097" s="158"/>
      <c r="F1097" s="267"/>
      <c r="G1097" s="267"/>
      <c r="H1097" s="267"/>
      <c r="I1097" s="250"/>
      <c r="J1097" s="263"/>
      <c r="K1097" s="137"/>
      <c r="L1097" s="137"/>
      <c r="M1097" s="137"/>
      <c r="N1097" s="138"/>
      <c r="O1097" s="167"/>
      <c r="P1097" s="111"/>
      <c r="Q1097" s="111"/>
      <c r="R1097" s="111"/>
      <c r="S1097" s="111"/>
      <c r="T1097" s="111"/>
      <c r="U1097" s="111"/>
      <c r="V1097" s="111"/>
      <c r="W1097" s="111"/>
      <c r="X1097" s="111"/>
      <c r="Y1097" s="111"/>
      <c r="Z1097" s="111"/>
      <c r="AA1097" s="111"/>
    </row>
    <row r="1098" spans="1:27" s="147" customFormat="1" x14ac:dyDescent="0.2">
      <c r="A1098" s="184"/>
      <c r="B1098" s="184"/>
      <c r="C1098" s="185"/>
      <c r="D1098" s="337"/>
      <c r="E1098" s="184"/>
      <c r="F1098" s="338"/>
      <c r="G1098" s="338"/>
      <c r="H1098" s="338"/>
      <c r="I1098" s="257"/>
      <c r="J1098" s="338"/>
      <c r="K1098" s="131">
        <f>J1100</f>
        <v>0</v>
      </c>
      <c r="L1098" s="131">
        <v>14.55</v>
      </c>
      <c r="M1098" s="131">
        <f>ROUND(L1098*(1+$Q$5),2)</f>
        <v>18.41</v>
      </c>
      <c r="N1098" s="133">
        <f>TRUNC(K1098*M1098,2)</f>
        <v>0</v>
      </c>
      <c r="O1098" s="286"/>
      <c r="P1098" s="146"/>
      <c r="Q1098" s="146"/>
      <c r="R1098" s="146"/>
      <c r="S1098" s="146"/>
      <c r="T1098" s="146"/>
      <c r="U1098" s="146"/>
      <c r="V1098" s="146"/>
      <c r="W1098" s="146"/>
      <c r="X1098" s="146"/>
      <c r="Y1098" s="146"/>
      <c r="Z1098" s="146"/>
      <c r="AA1098" s="146"/>
    </row>
    <row r="1099" spans="1:27" s="118" customFormat="1" x14ac:dyDescent="0.2">
      <c r="A1099" s="10"/>
      <c r="B1099" s="10"/>
      <c r="C1099" s="191"/>
      <c r="D1099" s="115"/>
      <c r="E1099" s="158"/>
      <c r="F1099" s="267"/>
      <c r="G1099" s="267"/>
      <c r="H1099" s="267"/>
      <c r="I1099" s="250"/>
      <c r="J1099" s="267"/>
      <c r="K1099" s="137"/>
      <c r="L1099" s="137"/>
      <c r="M1099" s="137"/>
      <c r="N1099" s="138"/>
      <c r="O1099" s="167"/>
      <c r="P1099" s="111"/>
      <c r="Q1099" s="111"/>
      <c r="R1099" s="111"/>
      <c r="S1099" s="111"/>
      <c r="T1099" s="111"/>
      <c r="U1099" s="111"/>
      <c r="V1099" s="111"/>
      <c r="W1099" s="111"/>
      <c r="X1099" s="111"/>
      <c r="Y1099" s="111"/>
      <c r="Z1099" s="111"/>
      <c r="AA1099" s="111"/>
    </row>
    <row r="1100" spans="1:27" s="118" customFormat="1" x14ac:dyDescent="0.2">
      <c r="A1100" s="10"/>
      <c r="B1100" s="10"/>
      <c r="C1100" s="190"/>
      <c r="D1100" s="110"/>
      <c r="E1100" s="158"/>
      <c r="F1100" s="267"/>
      <c r="G1100" s="267"/>
      <c r="H1100" s="267"/>
      <c r="I1100" s="250"/>
      <c r="J1100" s="338"/>
      <c r="K1100" s="137"/>
      <c r="L1100" s="137"/>
      <c r="M1100" s="137"/>
      <c r="N1100" s="138"/>
      <c r="O1100" s="167"/>
      <c r="P1100" s="111"/>
      <c r="Q1100" s="111"/>
      <c r="R1100" s="111"/>
      <c r="S1100" s="111"/>
      <c r="T1100" s="111"/>
      <c r="U1100" s="111"/>
      <c r="V1100" s="111"/>
      <c r="W1100" s="111"/>
      <c r="X1100" s="111"/>
      <c r="Y1100" s="111"/>
      <c r="Z1100" s="111"/>
      <c r="AA1100" s="111"/>
    </row>
    <row r="1101" spans="1:27" s="118" customFormat="1" x14ac:dyDescent="0.2">
      <c r="A1101" s="10"/>
      <c r="B1101" s="10"/>
      <c r="C1101" s="191"/>
      <c r="D1101" s="110"/>
      <c r="E1101" s="158"/>
      <c r="F1101" s="267"/>
      <c r="G1101" s="267"/>
      <c r="H1101" s="267"/>
      <c r="I1101" s="250"/>
      <c r="J1101" s="263"/>
      <c r="K1101" s="137"/>
      <c r="L1101" s="137"/>
      <c r="M1101" s="137"/>
      <c r="N1101" s="138"/>
      <c r="O1101" s="167"/>
      <c r="P1101" s="111"/>
      <c r="Q1101" s="111"/>
      <c r="R1101" s="111"/>
      <c r="S1101" s="111"/>
      <c r="T1101" s="111"/>
      <c r="U1101" s="111"/>
      <c r="V1101" s="111"/>
      <c r="W1101" s="111"/>
      <c r="X1101" s="111"/>
      <c r="Y1101" s="111"/>
      <c r="Z1101" s="111"/>
      <c r="AA1101" s="111"/>
    </row>
    <row r="1102" spans="1:27" s="147" customFormat="1" x14ac:dyDescent="0.2">
      <c r="A1102" s="184"/>
      <c r="B1102" s="184"/>
      <c r="C1102" s="185"/>
      <c r="D1102" s="337"/>
      <c r="E1102" s="184"/>
      <c r="F1102" s="338"/>
      <c r="G1102" s="338"/>
      <c r="H1102" s="338"/>
      <c r="I1102" s="257"/>
      <c r="J1102" s="338"/>
      <c r="K1102" s="131">
        <f>J1104</f>
        <v>0</v>
      </c>
      <c r="L1102" s="131">
        <v>166.81</v>
      </c>
      <c r="M1102" s="131">
        <f>ROUND(L1102*(1+$Q$5),2)</f>
        <v>211.06</v>
      </c>
      <c r="N1102" s="133">
        <f>TRUNC(K1102*M1102,2)</f>
        <v>0</v>
      </c>
      <c r="O1102" s="286"/>
      <c r="P1102" s="146"/>
      <c r="Q1102" s="146"/>
      <c r="R1102" s="146"/>
      <c r="S1102" s="146"/>
      <c r="T1102" s="146"/>
      <c r="U1102" s="146"/>
      <c r="V1102" s="146"/>
      <c r="W1102" s="146"/>
      <c r="X1102" s="146"/>
      <c r="Y1102" s="146"/>
      <c r="Z1102" s="146"/>
      <c r="AA1102" s="146"/>
    </row>
    <row r="1103" spans="1:27" s="118" customFormat="1" x14ac:dyDescent="0.2">
      <c r="A1103" s="10"/>
      <c r="B1103" s="10"/>
      <c r="C1103" s="191"/>
      <c r="D1103" s="115"/>
      <c r="E1103" s="158"/>
      <c r="F1103" s="267"/>
      <c r="G1103" s="267"/>
      <c r="H1103" s="267"/>
      <c r="I1103" s="250"/>
      <c r="J1103" s="267"/>
      <c r="K1103" s="137"/>
      <c r="L1103" s="137"/>
      <c r="M1103" s="137"/>
      <c r="N1103" s="138"/>
      <c r="O1103" s="167"/>
      <c r="P1103" s="111"/>
      <c r="Q1103" s="111"/>
      <c r="R1103" s="111"/>
      <c r="S1103" s="111"/>
      <c r="T1103" s="111"/>
      <c r="U1103" s="111"/>
      <c r="V1103" s="111"/>
      <c r="W1103" s="111"/>
      <c r="X1103" s="111"/>
      <c r="Y1103" s="111"/>
      <c r="Z1103" s="111"/>
      <c r="AA1103" s="111"/>
    </row>
    <row r="1104" spans="1:27" s="118" customFormat="1" x14ac:dyDescent="0.2">
      <c r="A1104" s="10"/>
      <c r="B1104" s="10"/>
      <c r="C1104" s="190"/>
      <c r="D1104" s="110"/>
      <c r="E1104" s="158"/>
      <c r="F1104" s="267"/>
      <c r="G1104" s="267"/>
      <c r="H1104" s="267"/>
      <c r="I1104" s="250"/>
      <c r="J1104" s="338"/>
      <c r="K1104" s="137"/>
      <c r="L1104" s="137"/>
      <c r="M1104" s="137"/>
      <c r="N1104" s="138"/>
      <c r="O1104" s="167"/>
      <c r="P1104" s="111"/>
      <c r="Q1104" s="111"/>
      <c r="R1104" s="111"/>
      <c r="S1104" s="111"/>
      <c r="T1104" s="111"/>
      <c r="U1104" s="111"/>
      <c r="V1104" s="111"/>
      <c r="W1104" s="111"/>
      <c r="X1104" s="111"/>
      <c r="Y1104" s="111"/>
      <c r="Z1104" s="111"/>
      <c r="AA1104" s="111"/>
    </row>
    <row r="1105" spans="1:27" s="161" customFormat="1" x14ac:dyDescent="0.2">
      <c r="A1105" s="10"/>
      <c r="B1105" s="10"/>
      <c r="C1105" s="191"/>
      <c r="D1105" s="110"/>
      <c r="E1105" s="158"/>
      <c r="F1105" s="267"/>
      <c r="G1105" s="267"/>
      <c r="H1105" s="267"/>
      <c r="I1105" s="250"/>
      <c r="J1105" s="263"/>
      <c r="K1105" s="151"/>
      <c r="L1105" s="151"/>
      <c r="M1105" s="151"/>
      <c r="N1105" s="152"/>
      <c r="O1105" s="167"/>
      <c r="P1105" s="114"/>
      <c r="Q1105" s="114"/>
      <c r="R1105" s="114"/>
      <c r="S1105" s="114"/>
      <c r="T1105" s="114"/>
      <c r="U1105" s="114"/>
      <c r="V1105" s="114"/>
      <c r="W1105" s="114"/>
      <c r="X1105" s="114"/>
      <c r="Y1105" s="114"/>
      <c r="Z1105" s="114"/>
      <c r="AA1105" s="114"/>
    </row>
    <row r="1106" spans="1:27" s="147" customFormat="1" x14ac:dyDescent="0.2">
      <c r="A1106" s="184"/>
      <c r="B1106" s="184"/>
      <c r="C1106" s="344"/>
      <c r="D1106" s="337"/>
      <c r="E1106" s="184"/>
      <c r="F1106" s="338"/>
      <c r="G1106" s="338"/>
      <c r="H1106" s="338"/>
      <c r="I1106" s="257"/>
      <c r="J1106" s="338"/>
      <c r="K1106" s="131">
        <f>J1108</f>
        <v>0</v>
      </c>
      <c r="L1106" s="131">
        <v>46.44</v>
      </c>
      <c r="M1106" s="131">
        <f>ROUND(L1106*(1+$Q$5),2)</f>
        <v>58.76</v>
      </c>
      <c r="N1106" s="133">
        <f>TRUNC(K1106*M1106,2)</f>
        <v>0</v>
      </c>
      <c r="O1106" s="286"/>
      <c r="P1106" s="146"/>
      <c r="Q1106" s="146"/>
      <c r="R1106" s="146"/>
      <c r="S1106" s="146"/>
      <c r="T1106" s="146"/>
      <c r="U1106" s="146"/>
      <c r="V1106" s="146"/>
      <c r="W1106" s="146"/>
      <c r="X1106" s="146"/>
      <c r="Y1106" s="146"/>
      <c r="Z1106" s="146"/>
      <c r="AA1106" s="146"/>
    </row>
    <row r="1107" spans="1:27" s="118" customFormat="1" x14ac:dyDescent="0.2">
      <c r="A1107" s="10"/>
      <c r="B1107" s="10"/>
      <c r="C1107" s="191"/>
      <c r="D1107" s="115"/>
      <c r="E1107" s="158"/>
      <c r="F1107" s="267"/>
      <c r="G1107" s="267"/>
      <c r="H1107" s="267"/>
      <c r="I1107" s="250"/>
      <c r="J1107" s="267"/>
      <c r="K1107" s="137"/>
      <c r="L1107" s="137"/>
      <c r="M1107" s="137"/>
      <c r="N1107" s="138"/>
      <c r="O1107" s="167"/>
      <c r="P1107" s="111"/>
      <c r="Q1107" s="111"/>
      <c r="R1107" s="111"/>
      <c r="S1107" s="111"/>
      <c r="T1107" s="111"/>
      <c r="U1107" s="111"/>
      <c r="V1107" s="111"/>
      <c r="W1107" s="111"/>
      <c r="X1107" s="111"/>
      <c r="Y1107" s="111"/>
      <c r="Z1107" s="111"/>
      <c r="AA1107" s="111"/>
    </row>
    <row r="1108" spans="1:27" s="118" customFormat="1" x14ac:dyDescent="0.2">
      <c r="A1108" s="10"/>
      <c r="B1108" s="10"/>
      <c r="C1108" s="190"/>
      <c r="D1108" s="110"/>
      <c r="E1108" s="158"/>
      <c r="F1108" s="267"/>
      <c r="G1108" s="267"/>
      <c r="H1108" s="267"/>
      <c r="I1108" s="250"/>
      <c r="J1108" s="338"/>
      <c r="K1108" s="137"/>
      <c r="L1108" s="137"/>
      <c r="M1108" s="137"/>
      <c r="N1108" s="138"/>
      <c r="O1108" s="167"/>
      <c r="P1108" s="111"/>
      <c r="Q1108" s="111"/>
      <c r="R1108" s="111"/>
      <c r="S1108" s="111"/>
      <c r="T1108" s="111"/>
      <c r="U1108" s="111"/>
      <c r="V1108" s="111"/>
      <c r="W1108" s="111"/>
      <c r="X1108" s="111"/>
      <c r="Y1108" s="111"/>
      <c r="Z1108" s="111"/>
      <c r="AA1108" s="111"/>
    </row>
    <row r="1109" spans="1:27" s="118" customFormat="1" x14ac:dyDescent="0.2">
      <c r="A1109" s="10"/>
      <c r="B1109" s="10"/>
      <c r="C1109" s="191"/>
      <c r="D1109" s="110"/>
      <c r="E1109" s="158"/>
      <c r="F1109" s="267"/>
      <c r="G1109" s="267"/>
      <c r="H1109" s="267"/>
      <c r="I1109" s="250"/>
      <c r="J1109" s="263"/>
      <c r="K1109" s="137"/>
      <c r="L1109" s="137"/>
      <c r="M1109" s="137"/>
      <c r="N1109" s="138"/>
      <c r="O1109" s="167"/>
      <c r="P1109" s="111"/>
      <c r="Q1109" s="111"/>
      <c r="R1109" s="111"/>
      <c r="S1109" s="111"/>
      <c r="T1109" s="111"/>
      <c r="U1109" s="111"/>
      <c r="V1109" s="111"/>
      <c r="W1109" s="111"/>
      <c r="X1109" s="111"/>
      <c r="Y1109" s="111"/>
      <c r="Z1109" s="111"/>
      <c r="AA1109" s="111"/>
    </row>
    <row r="1110" spans="1:27" s="145" customFormat="1" x14ac:dyDescent="0.2">
      <c r="A1110" s="192"/>
      <c r="B1110" s="192"/>
      <c r="C1110" s="193"/>
      <c r="D1110" s="336"/>
      <c r="E1110" s="192"/>
      <c r="F1110" s="269"/>
      <c r="G1110" s="269"/>
      <c r="H1110" s="269"/>
      <c r="I1110" s="254"/>
      <c r="J1110" s="269"/>
      <c r="K1110" s="142"/>
      <c r="L1110" s="142"/>
      <c r="M1110" s="142"/>
      <c r="N1110" s="143">
        <f>SUM(N1112:N1127)</f>
        <v>0</v>
      </c>
      <c r="O1110" s="285"/>
      <c r="P1110" s="144"/>
      <c r="Q1110" s="144"/>
      <c r="R1110" s="144"/>
      <c r="S1110" s="144"/>
      <c r="T1110" s="144"/>
      <c r="U1110" s="144"/>
      <c r="V1110" s="144"/>
      <c r="W1110" s="144"/>
      <c r="X1110" s="144"/>
      <c r="Y1110" s="144"/>
      <c r="Z1110" s="144"/>
      <c r="AA1110" s="144"/>
    </row>
    <row r="1111" spans="1:27" s="118" customFormat="1" x14ac:dyDescent="0.2">
      <c r="A1111" s="10"/>
      <c r="B1111" s="10"/>
      <c r="C1111" s="191"/>
      <c r="D1111" s="110"/>
      <c r="E1111" s="158"/>
      <c r="F1111" s="267"/>
      <c r="G1111" s="267"/>
      <c r="H1111" s="267"/>
      <c r="I1111" s="250"/>
      <c r="J1111" s="263"/>
      <c r="K1111" s="137"/>
      <c r="L1111" s="137"/>
      <c r="M1111" s="137"/>
      <c r="N1111" s="138"/>
      <c r="O1111" s="167"/>
      <c r="P1111" s="111"/>
      <c r="Q1111" s="111"/>
      <c r="R1111" s="111"/>
      <c r="S1111" s="111"/>
      <c r="T1111" s="111"/>
      <c r="U1111" s="111"/>
      <c r="V1111" s="111"/>
      <c r="W1111" s="111"/>
      <c r="X1111" s="111"/>
      <c r="Y1111" s="111"/>
      <c r="Z1111" s="111"/>
      <c r="AA1111" s="111"/>
    </row>
    <row r="1112" spans="1:27" s="147" customFormat="1" x14ac:dyDescent="0.2">
      <c r="A1112" s="184"/>
      <c r="B1112" s="184"/>
      <c r="C1112" s="185"/>
      <c r="D1112" s="337"/>
      <c r="E1112" s="184"/>
      <c r="F1112" s="338"/>
      <c r="G1112" s="338"/>
      <c r="H1112" s="338"/>
      <c r="I1112" s="257"/>
      <c r="J1112" s="338"/>
      <c r="K1112" s="131">
        <f>J1114</f>
        <v>0</v>
      </c>
      <c r="L1112" s="131">
        <v>8.1199999999999992</v>
      </c>
      <c r="M1112" s="131">
        <f>ROUND(L1112*(1+$Q$5),2)</f>
        <v>10.27</v>
      </c>
      <c r="N1112" s="133">
        <f>TRUNC(K1112*M1112,2)</f>
        <v>0</v>
      </c>
      <c r="O1112" s="286"/>
      <c r="P1112" s="146"/>
      <c r="Q1112" s="146"/>
      <c r="R1112" s="146"/>
      <c r="S1112" s="146"/>
      <c r="T1112" s="146"/>
      <c r="U1112" s="146"/>
      <c r="V1112" s="146"/>
      <c r="W1112" s="146"/>
      <c r="X1112" s="146"/>
      <c r="Y1112" s="146"/>
      <c r="Z1112" s="146"/>
      <c r="AA1112" s="146"/>
    </row>
    <row r="1113" spans="1:27" s="118" customFormat="1" x14ac:dyDescent="0.2">
      <c r="A1113" s="10"/>
      <c r="B1113" s="10"/>
      <c r="C1113" s="191"/>
      <c r="D1113" s="115"/>
      <c r="E1113" s="158"/>
      <c r="F1113" s="267"/>
      <c r="G1113" s="267"/>
      <c r="H1113" s="267"/>
      <c r="I1113" s="250"/>
      <c r="J1113" s="267"/>
      <c r="K1113" s="137"/>
      <c r="L1113" s="137"/>
      <c r="M1113" s="137"/>
      <c r="N1113" s="138"/>
      <c r="O1113" s="167"/>
      <c r="P1113" s="111"/>
      <c r="Q1113" s="111"/>
      <c r="R1113" s="111"/>
      <c r="S1113" s="111"/>
      <c r="T1113" s="111"/>
      <c r="U1113" s="111"/>
      <c r="V1113" s="111"/>
      <c r="W1113" s="111"/>
      <c r="X1113" s="111"/>
      <c r="Y1113" s="111"/>
      <c r="Z1113" s="111"/>
      <c r="AA1113" s="111"/>
    </row>
    <row r="1114" spans="1:27" s="118" customFormat="1" x14ac:dyDescent="0.2">
      <c r="A1114" s="10"/>
      <c r="B1114" s="10"/>
      <c r="C1114" s="190"/>
      <c r="D1114" s="110"/>
      <c r="E1114" s="158"/>
      <c r="F1114" s="267"/>
      <c r="G1114" s="267"/>
      <c r="H1114" s="267"/>
      <c r="I1114" s="250"/>
      <c r="J1114" s="338"/>
      <c r="K1114" s="137"/>
      <c r="L1114" s="137"/>
      <c r="M1114" s="137"/>
      <c r="N1114" s="138"/>
      <c r="O1114" s="167"/>
      <c r="P1114" s="111"/>
      <c r="Q1114" s="111"/>
      <c r="R1114" s="111"/>
      <c r="S1114" s="111"/>
      <c r="T1114" s="111"/>
      <c r="U1114" s="111"/>
      <c r="V1114" s="111"/>
      <c r="W1114" s="111"/>
      <c r="X1114" s="111"/>
      <c r="Y1114" s="111"/>
      <c r="Z1114" s="111"/>
      <c r="AA1114" s="111"/>
    </row>
    <row r="1115" spans="1:27" s="139" customFormat="1" x14ac:dyDescent="0.2">
      <c r="A1115" s="10"/>
      <c r="B1115" s="10"/>
      <c r="C1115" s="15"/>
      <c r="D1115" s="117"/>
      <c r="E1115" s="10"/>
      <c r="F1115" s="263"/>
      <c r="G1115" s="263"/>
      <c r="H1115" s="263"/>
      <c r="I1115" s="250"/>
      <c r="J1115" s="263"/>
      <c r="K1115" s="137"/>
      <c r="L1115" s="137"/>
      <c r="M1115" s="137"/>
      <c r="N1115" s="138"/>
      <c r="O1115" s="283"/>
      <c r="P1115" s="120"/>
      <c r="Q1115" s="120"/>
      <c r="R1115" s="120"/>
      <c r="S1115" s="120"/>
      <c r="T1115" s="120"/>
      <c r="U1115" s="120"/>
      <c r="V1115" s="120"/>
      <c r="W1115" s="120"/>
      <c r="X1115" s="120"/>
      <c r="Y1115" s="120"/>
      <c r="Z1115" s="120"/>
      <c r="AA1115" s="120"/>
    </row>
    <row r="1116" spans="1:27" s="147" customFormat="1" x14ac:dyDescent="0.2">
      <c r="A1116" s="184"/>
      <c r="B1116" s="184"/>
      <c r="C1116" s="185"/>
      <c r="D1116" s="337"/>
      <c r="E1116" s="184"/>
      <c r="F1116" s="338"/>
      <c r="G1116" s="338"/>
      <c r="H1116" s="338"/>
      <c r="I1116" s="257"/>
      <c r="J1116" s="338"/>
      <c r="K1116" s="131">
        <f>J1118</f>
        <v>0</v>
      </c>
      <c r="L1116" s="131">
        <v>47.41</v>
      </c>
      <c r="M1116" s="131">
        <f>ROUND(L1116*(1+$Q$5),2)</f>
        <v>59.99</v>
      </c>
      <c r="N1116" s="133">
        <f>TRUNC(K1116*M1116,2)</f>
        <v>0</v>
      </c>
      <c r="O1116" s="286"/>
      <c r="P1116" s="146"/>
      <c r="Q1116" s="146"/>
      <c r="R1116" s="146"/>
      <c r="S1116" s="146"/>
      <c r="T1116" s="146"/>
      <c r="U1116" s="146"/>
      <c r="V1116" s="146"/>
      <c r="W1116" s="146"/>
      <c r="X1116" s="146"/>
      <c r="Y1116" s="146"/>
      <c r="Z1116" s="146"/>
      <c r="AA1116" s="146"/>
    </row>
    <row r="1117" spans="1:27" s="118" customFormat="1" x14ac:dyDescent="0.2">
      <c r="A1117" s="10"/>
      <c r="B1117" s="10"/>
      <c r="C1117" s="191"/>
      <c r="D1117" s="115"/>
      <c r="E1117" s="158"/>
      <c r="F1117" s="267"/>
      <c r="G1117" s="267"/>
      <c r="H1117" s="267"/>
      <c r="I1117" s="250"/>
      <c r="J1117" s="267"/>
      <c r="K1117" s="137"/>
      <c r="L1117" s="137"/>
      <c r="M1117" s="137"/>
      <c r="N1117" s="138"/>
      <c r="O1117" s="167"/>
      <c r="P1117" s="111"/>
      <c r="Q1117" s="111"/>
      <c r="R1117" s="111"/>
      <c r="S1117" s="111"/>
      <c r="T1117" s="111"/>
      <c r="U1117" s="111"/>
      <c r="V1117" s="111"/>
      <c r="W1117" s="111"/>
      <c r="X1117" s="111"/>
      <c r="Y1117" s="111"/>
      <c r="Z1117" s="111"/>
      <c r="AA1117" s="111"/>
    </row>
    <row r="1118" spans="1:27" s="118" customFormat="1" x14ac:dyDescent="0.2">
      <c r="A1118" s="10"/>
      <c r="B1118" s="10"/>
      <c r="C1118" s="190"/>
      <c r="D1118" s="110"/>
      <c r="E1118" s="158"/>
      <c r="F1118" s="267"/>
      <c r="G1118" s="267"/>
      <c r="H1118" s="267"/>
      <c r="I1118" s="250"/>
      <c r="J1118" s="338"/>
      <c r="K1118" s="137"/>
      <c r="L1118" s="137"/>
      <c r="M1118" s="137"/>
      <c r="N1118" s="138"/>
      <c r="O1118" s="167"/>
      <c r="P1118" s="111"/>
      <c r="Q1118" s="111"/>
      <c r="R1118" s="111"/>
      <c r="S1118" s="111"/>
      <c r="T1118" s="111"/>
      <c r="U1118" s="111"/>
      <c r="V1118" s="111"/>
      <c r="W1118" s="111"/>
      <c r="X1118" s="111"/>
      <c r="Y1118" s="111"/>
      <c r="Z1118" s="111"/>
      <c r="AA1118" s="111"/>
    </row>
    <row r="1119" spans="1:27" s="139" customFormat="1" x14ac:dyDescent="0.2">
      <c r="A1119" s="10"/>
      <c r="B1119" s="10"/>
      <c r="C1119" s="15"/>
      <c r="D1119" s="117"/>
      <c r="E1119" s="10"/>
      <c r="F1119" s="263"/>
      <c r="G1119" s="263"/>
      <c r="H1119" s="263"/>
      <c r="I1119" s="250"/>
      <c r="J1119" s="263"/>
      <c r="K1119" s="137"/>
      <c r="L1119" s="137"/>
      <c r="M1119" s="137"/>
      <c r="N1119" s="138"/>
      <c r="O1119" s="283"/>
      <c r="P1119" s="120"/>
      <c r="Q1119" s="120"/>
      <c r="R1119" s="120"/>
      <c r="S1119" s="120"/>
      <c r="T1119" s="120"/>
      <c r="U1119" s="120"/>
      <c r="V1119" s="120"/>
      <c r="W1119" s="120"/>
      <c r="X1119" s="120"/>
      <c r="Y1119" s="120"/>
      <c r="Z1119" s="120"/>
      <c r="AA1119" s="120"/>
    </row>
    <row r="1120" spans="1:27" s="147" customFormat="1" x14ac:dyDescent="0.2">
      <c r="A1120" s="184"/>
      <c r="B1120" s="184"/>
      <c r="C1120" s="185"/>
      <c r="D1120" s="337"/>
      <c r="E1120" s="184"/>
      <c r="F1120" s="338"/>
      <c r="G1120" s="338"/>
      <c r="H1120" s="338"/>
      <c r="I1120" s="257"/>
      <c r="J1120" s="338"/>
      <c r="K1120" s="131">
        <f>J1122</f>
        <v>0</v>
      </c>
      <c r="L1120" s="131">
        <v>168.74</v>
      </c>
      <c r="M1120" s="131">
        <f>ROUND(L1120*(1+$Q$5),2)</f>
        <v>213.51</v>
      </c>
      <c r="N1120" s="133">
        <f>TRUNC(K1120*M1120,2)</f>
        <v>0</v>
      </c>
      <c r="O1120" s="286"/>
      <c r="P1120" s="146"/>
      <c r="Q1120" s="146"/>
      <c r="R1120" s="146"/>
      <c r="S1120" s="146"/>
      <c r="T1120" s="146"/>
      <c r="U1120" s="146"/>
      <c r="V1120" s="146"/>
      <c r="W1120" s="146"/>
      <c r="X1120" s="146"/>
      <c r="Y1120" s="146"/>
      <c r="Z1120" s="146"/>
      <c r="AA1120" s="146"/>
    </row>
    <row r="1121" spans="1:27" s="118" customFormat="1" x14ac:dyDescent="0.2">
      <c r="A1121" s="10"/>
      <c r="B1121" s="10"/>
      <c r="C1121" s="191"/>
      <c r="D1121" s="115"/>
      <c r="E1121" s="158"/>
      <c r="F1121" s="267"/>
      <c r="G1121" s="267"/>
      <c r="H1121" s="267"/>
      <c r="I1121" s="250"/>
      <c r="J1121" s="267"/>
      <c r="K1121" s="137"/>
      <c r="L1121" s="137"/>
      <c r="M1121" s="137"/>
      <c r="N1121" s="138"/>
      <c r="O1121" s="167"/>
      <c r="P1121" s="111"/>
      <c r="Q1121" s="111"/>
      <c r="R1121" s="111"/>
      <c r="S1121" s="111"/>
      <c r="T1121" s="111"/>
      <c r="U1121" s="111"/>
      <c r="V1121" s="111"/>
      <c r="W1121" s="111"/>
      <c r="X1121" s="111"/>
      <c r="Y1121" s="111"/>
      <c r="Z1121" s="111"/>
      <c r="AA1121" s="111"/>
    </row>
    <row r="1122" spans="1:27" s="118" customFormat="1" x14ac:dyDescent="0.2">
      <c r="A1122" s="10"/>
      <c r="B1122" s="10"/>
      <c r="C1122" s="190"/>
      <c r="D1122" s="110"/>
      <c r="E1122" s="158"/>
      <c r="F1122" s="267"/>
      <c r="G1122" s="267"/>
      <c r="H1122" s="267"/>
      <c r="I1122" s="250"/>
      <c r="J1122" s="338"/>
      <c r="K1122" s="137"/>
      <c r="L1122" s="137"/>
      <c r="M1122" s="137"/>
      <c r="N1122" s="138"/>
      <c r="O1122" s="167"/>
      <c r="P1122" s="111"/>
      <c r="Q1122" s="111"/>
      <c r="R1122" s="111"/>
      <c r="S1122" s="111"/>
      <c r="T1122" s="111"/>
      <c r="U1122" s="111"/>
      <c r="V1122" s="111"/>
      <c r="W1122" s="111"/>
      <c r="X1122" s="111"/>
      <c r="Y1122" s="111"/>
      <c r="Z1122" s="111"/>
      <c r="AA1122" s="111"/>
    </row>
    <row r="1123" spans="1:27" s="139" customFormat="1" x14ac:dyDescent="0.2">
      <c r="A1123" s="10"/>
      <c r="B1123" s="10"/>
      <c r="C1123" s="15"/>
      <c r="D1123" s="117"/>
      <c r="E1123" s="10"/>
      <c r="F1123" s="263"/>
      <c r="G1123" s="263"/>
      <c r="H1123" s="263"/>
      <c r="I1123" s="250"/>
      <c r="J1123" s="263"/>
      <c r="K1123" s="137"/>
      <c r="L1123" s="137"/>
      <c r="M1123" s="137"/>
      <c r="N1123" s="138"/>
      <c r="O1123" s="283"/>
      <c r="P1123" s="120"/>
      <c r="Q1123" s="120"/>
      <c r="R1123" s="120"/>
      <c r="S1123" s="120"/>
      <c r="T1123" s="120"/>
      <c r="U1123" s="120"/>
      <c r="V1123" s="120"/>
      <c r="W1123" s="120"/>
      <c r="X1123" s="120"/>
      <c r="Y1123" s="120"/>
      <c r="Z1123" s="120"/>
      <c r="AA1123" s="120"/>
    </row>
    <row r="1124" spans="1:27" s="147" customFormat="1" x14ac:dyDescent="0.2">
      <c r="A1124" s="184"/>
      <c r="B1124" s="184"/>
      <c r="C1124" s="185"/>
      <c r="D1124" s="337"/>
      <c r="E1124" s="184"/>
      <c r="F1124" s="338"/>
      <c r="G1124" s="338"/>
      <c r="H1124" s="338"/>
      <c r="I1124" s="257"/>
      <c r="J1124" s="338"/>
      <c r="K1124" s="131">
        <f>J1126</f>
        <v>0</v>
      </c>
      <c r="L1124" s="131">
        <v>116.1</v>
      </c>
      <c r="M1124" s="131">
        <f>ROUND(L1124*(1+$Q$5),2)</f>
        <v>146.9</v>
      </c>
      <c r="N1124" s="133">
        <f>TRUNC(K1124*M1124,2)</f>
        <v>0</v>
      </c>
      <c r="O1124" s="286"/>
      <c r="P1124" s="146"/>
      <c r="Q1124" s="146"/>
      <c r="R1124" s="146"/>
      <c r="S1124" s="146"/>
      <c r="T1124" s="146"/>
      <c r="U1124" s="146"/>
      <c r="V1124" s="146"/>
      <c r="W1124" s="146"/>
      <c r="X1124" s="146"/>
      <c r="Y1124" s="146"/>
      <c r="Z1124" s="146"/>
      <c r="AA1124" s="146"/>
    </row>
    <row r="1125" spans="1:27" s="118" customFormat="1" x14ac:dyDescent="0.2">
      <c r="A1125" s="10"/>
      <c r="B1125" s="10"/>
      <c r="C1125" s="191"/>
      <c r="D1125" s="115"/>
      <c r="E1125" s="158"/>
      <c r="F1125" s="267"/>
      <c r="G1125" s="267"/>
      <c r="H1125" s="267"/>
      <c r="I1125" s="250"/>
      <c r="J1125" s="267"/>
      <c r="K1125" s="137"/>
      <c r="L1125" s="137"/>
      <c r="M1125" s="137"/>
      <c r="N1125" s="138"/>
      <c r="O1125" s="167"/>
      <c r="P1125" s="111"/>
      <c r="Q1125" s="111"/>
      <c r="R1125" s="111"/>
      <c r="S1125" s="111"/>
      <c r="T1125" s="111"/>
      <c r="U1125" s="111"/>
      <c r="V1125" s="111"/>
      <c r="W1125" s="111"/>
      <c r="X1125" s="111"/>
      <c r="Y1125" s="111"/>
      <c r="Z1125" s="111"/>
      <c r="AA1125" s="111"/>
    </row>
    <row r="1126" spans="1:27" s="118" customFormat="1" x14ac:dyDescent="0.2">
      <c r="A1126" s="10"/>
      <c r="B1126" s="10"/>
      <c r="C1126" s="190"/>
      <c r="D1126" s="110"/>
      <c r="E1126" s="158"/>
      <c r="F1126" s="267"/>
      <c r="G1126" s="267"/>
      <c r="H1126" s="267"/>
      <c r="I1126" s="250"/>
      <c r="J1126" s="338"/>
      <c r="K1126" s="137"/>
      <c r="L1126" s="137"/>
      <c r="M1126" s="137"/>
      <c r="N1126" s="138"/>
      <c r="O1126" s="167"/>
      <c r="P1126" s="111"/>
      <c r="Q1126" s="111"/>
      <c r="R1126" s="111"/>
      <c r="S1126" s="111"/>
      <c r="T1126" s="111"/>
      <c r="U1126" s="111"/>
      <c r="V1126" s="111"/>
      <c r="W1126" s="111"/>
      <c r="X1126" s="111"/>
      <c r="Y1126" s="111"/>
      <c r="Z1126" s="111"/>
      <c r="AA1126" s="111"/>
    </row>
    <row r="1127" spans="1:27" s="139" customFormat="1" x14ac:dyDescent="0.2">
      <c r="A1127" s="10"/>
      <c r="B1127" s="10"/>
      <c r="C1127" s="15"/>
      <c r="D1127" s="117"/>
      <c r="E1127" s="10"/>
      <c r="F1127" s="263"/>
      <c r="G1127" s="263"/>
      <c r="H1127" s="263"/>
      <c r="I1127" s="250"/>
      <c r="J1127" s="263"/>
      <c r="K1127" s="137"/>
      <c r="L1127" s="137"/>
      <c r="M1127" s="137"/>
      <c r="N1127" s="138"/>
      <c r="O1127" s="283"/>
      <c r="P1127" s="120"/>
      <c r="Q1127" s="120"/>
      <c r="R1127" s="120"/>
      <c r="S1127" s="120"/>
      <c r="T1127" s="120"/>
      <c r="U1127" s="120"/>
      <c r="V1127" s="120"/>
      <c r="W1127" s="120"/>
      <c r="X1127" s="120"/>
      <c r="Y1127" s="120"/>
      <c r="Z1127" s="120"/>
      <c r="AA1127" s="120"/>
    </row>
    <row r="1128" spans="1:27" s="145" customFormat="1" x14ac:dyDescent="0.2">
      <c r="A1128" s="192"/>
      <c r="B1128" s="192"/>
      <c r="C1128" s="193"/>
      <c r="D1128" s="336"/>
      <c r="E1128" s="192"/>
      <c r="F1128" s="269"/>
      <c r="G1128" s="269"/>
      <c r="H1128" s="269"/>
      <c r="I1128" s="254"/>
      <c r="J1128" s="269"/>
      <c r="K1128" s="142"/>
      <c r="L1128" s="142"/>
      <c r="M1128" s="142"/>
      <c r="N1128" s="143">
        <f>SUM(N1130:N1142)</f>
        <v>0</v>
      </c>
      <c r="O1128" s="285"/>
      <c r="P1128" s="144"/>
      <c r="Q1128" s="144"/>
      <c r="R1128" s="144"/>
      <c r="S1128" s="144"/>
      <c r="T1128" s="144"/>
      <c r="U1128" s="144"/>
      <c r="V1128" s="144"/>
      <c r="W1128" s="144"/>
      <c r="X1128" s="144"/>
      <c r="Y1128" s="144"/>
      <c r="Z1128" s="144"/>
      <c r="AA1128" s="144"/>
    </row>
    <row r="1129" spans="1:27" s="139" customFormat="1" x14ac:dyDescent="0.2">
      <c r="A1129" s="10"/>
      <c r="B1129" s="10"/>
      <c r="C1129" s="15"/>
      <c r="D1129" s="117"/>
      <c r="E1129" s="10"/>
      <c r="F1129" s="263"/>
      <c r="G1129" s="263"/>
      <c r="H1129" s="263"/>
      <c r="I1129" s="250"/>
      <c r="J1129" s="263"/>
      <c r="K1129" s="137"/>
      <c r="L1129" s="137"/>
      <c r="M1129" s="137"/>
      <c r="N1129" s="138"/>
      <c r="O1129" s="283"/>
      <c r="P1129" s="120"/>
      <c r="Q1129" s="120"/>
      <c r="R1129" s="120"/>
      <c r="S1129" s="120"/>
      <c r="T1129" s="120"/>
      <c r="U1129" s="120"/>
      <c r="V1129" s="120"/>
      <c r="W1129" s="120"/>
      <c r="X1129" s="120"/>
      <c r="Y1129" s="120"/>
      <c r="Z1129" s="120"/>
      <c r="AA1129" s="120"/>
    </row>
    <row r="1130" spans="1:27" s="147" customFormat="1" x14ac:dyDescent="0.2">
      <c r="A1130" s="184"/>
      <c r="B1130" s="184"/>
      <c r="C1130" s="344"/>
      <c r="D1130" s="337"/>
      <c r="E1130" s="184"/>
      <c r="F1130" s="338"/>
      <c r="G1130" s="338"/>
      <c r="H1130" s="338"/>
      <c r="I1130" s="257"/>
      <c r="J1130" s="338"/>
      <c r="K1130" s="131">
        <f>J1135</f>
        <v>0</v>
      </c>
      <c r="L1130" s="131">
        <v>59.97</v>
      </c>
      <c r="M1130" s="131">
        <f>ROUND(L1130*(1+$Q$5),2)</f>
        <v>75.88</v>
      </c>
      <c r="N1130" s="133">
        <f>TRUNC(K1130*M1130,2)</f>
        <v>0</v>
      </c>
      <c r="O1130" s="286"/>
      <c r="P1130" s="146"/>
      <c r="Q1130" s="146"/>
      <c r="R1130" s="146"/>
      <c r="S1130" s="146"/>
      <c r="T1130" s="146"/>
      <c r="U1130" s="146"/>
      <c r="V1130" s="146"/>
      <c r="W1130" s="146"/>
      <c r="X1130" s="146"/>
      <c r="Y1130" s="146"/>
      <c r="Z1130" s="146"/>
      <c r="AA1130" s="146"/>
    </row>
    <row r="1131" spans="1:27" s="118" customFormat="1" x14ac:dyDescent="0.2">
      <c r="A1131" s="10"/>
      <c r="B1131" s="10"/>
      <c r="C1131" s="191"/>
      <c r="D1131" s="115"/>
      <c r="E1131" s="158"/>
      <c r="F1131" s="267"/>
      <c r="G1131" s="267"/>
      <c r="H1131" s="267"/>
      <c r="I1131" s="339"/>
      <c r="J1131" s="267"/>
      <c r="K1131" s="137"/>
      <c r="L1131" s="137"/>
      <c r="M1131" s="137"/>
      <c r="N1131" s="138"/>
      <c r="O1131" s="167"/>
      <c r="P1131" s="111"/>
      <c r="Q1131" s="111"/>
      <c r="R1131" s="111"/>
      <c r="S1131" s="111"/>
      <c r="T1131" s="111"/>
      <c r="U1131" s="111"/>
      <c r="V1131" s="111"/>
      <c r="W1131" s="111"/>
      <c r="X1131" s="111"/>
      <c r="Y1131" s="111"/>
      <c r="Z1131" s="111"/>
      <c r="AA1131" s="111"/>
    </row>
    <row r="1132" spans="1:27" s="118" customFormat="1" x14ac:dyDescent="0.2">
      <c r="A1132" s="10"/>
      <c r="B1132" s="10"/>
      <c r="C1132" s="191"/>
      <c r="D1132" s="115"/>
      <c r="E1132" s="158"/>
      <c r="F1132" s="267"/>
      <c r="G1132" s="267"/>
      <c r="H1132" s="267"/>
      <c r="I1132" s="339"/>
      <c r="J1132" s="267"/>
      <c r="K1132" s="137"/>
      <c r="L1132" s="137"/>
      <c r="M1132" s="137"/>
      <c r="N1132" s="138"/>
      <c r="O1132" s="167"/>
      <c r="P1132" s="111"/>
      <c r="Q1132" s="111"/>
      <c r="R1132" s="111"/>
      <c r="S1132" s="111"/>
      <c r="T1132" s="111"/>
      <c r="U1132" s="111"/>
      <c r="V1132" s="111"/>
      <c r="W1132" s="111"/>
      <c r="X1132" s="111"/>
      <c r="Y1132" s="111"/>
      <c r="Z1132" s="111"/>
      <c r="AA1132" s="111"/>
    </row>
    <row r="1133" spans="1:27" s="118" customFormat="1" x14ac:dyDescent="0.2">
      <c r="A1133" s="10"/>
      <c r="B1133" s="10"/>
      <c r="C1133" s="191"/>
      <c r="D1133" s="115"/>
      <c r="E1133" s="158"/>
      <c r="F1133" s="267"/>
      <c r="G1133" s="267"/>
      <c r="H1133" s="267"/>
      <c r="I1133" s="339"/>
      <c r="J1133" s="267"/>
      <c r="K1133" s="137"/>
      <c r="L1133" s="137"/>
      <c r="M1133" s="137"/>
      <c r="N1133" s="138"/>
      <c r="O1133" s="167"/>
      <c r="P1133" s="111"/>
      <c r="Q1133" s="111"/>
      <c r="R1133" s="111"/>
      <c r="S1133" s="111"/>
      <c r="T1133" s="111"/>
      <c r="U1133" s="111"/>
      <c r="V1133" s="111"/>
      <c r="W1133" s="111"/>
      <c r="X1133" s="111"/>
      <c r="Y1133" s="111"/>
      <c r="Z1133" s="111"/>
      <c r="AA1133" s="111"/>
    </row>
    <row r="1134" spans="1:27" s="118" customFormat="1" x14ac:dyDescent="0.2">
      <c r="A1134" s="10"/>
      <c r="B1134" s="10"/>
      <c r="C1134" s="191"/>
      <c r="D1134" s="115"/>
      <c r="E1134" s="158"/>
      <c r="F1134" s="267"/>
      <c r="G1134" s="267"/>
      <c r="H1134" s="267"/>
      <c r="I1134" s="339"/>
      <c r="J1134" s="267"/>
      <c r="K1134" s="137"/>
      <c r="L1134" s="137"/>
      <c r="M1134" s="137"/>
      <c r="N1134" s="138"/>
      <c r="O1134" s="167"/>
      <c r="P1134" s="111"/>
      <c r="Q1134" s="111"/>
      <c r="R1134" s="111"/>
      <c r="S1134" s="111"/>
      <c r="T1134" s="111"/>
      <c r="U1134" s="111"/>
      <c r="V1134" s="111"/>
      <c r="W1134" s="111"/>
      <c r="X1134" s="111"/>
      <c r="Y1134" s="111"/>
      <c r="Z1134" s="111"/>
      <c r="AA1134" s="111"/>
    </row>
    <row r="1135" spans="1:27" s="118" customFormat="1" x14ac:dyDescent="0.2">
      <c r="A1135" s="10"/>
      <c r="B1135" s="10"/>
      <c r="C1135" s="190"/>
      <c r="D1135" s="110"/>
      <c r="E1135" s="158"/>
      <c r="F1135" s="267"/>
      <c r="G1135" s="267"/>
      <c r="H1135" s="267"/>
      <c r="I1135" s="250"/>
      <c r="J1135" s="338"/>
      <c r="K1135" s="137"/>
      <c r="L1135" s="137"/>
      <c r="M1135" s="137"/>
      <c r="N1135" s="138"/>
      <c r="O1135" s="167"/>
      <c r="P1135" s="111"/>
      <c r="Q1135" s="111"/>
      <c r="R1135" s="111"/>
      <c r="S1135" s="111"/>
      <c r="T1135" s="111"/>
      <c r="U1135" s="111"/>
      <c r="V1135" s="111"/>
      <c r="W1135" s="111"/>
      <c r="X1135" s="111"/>
      <c r="Y1135" s="111"/>
      <c r="Z1135" s="111"/>
      <c r="AA1135" s="111"/>
    </row>
    <row r="1136" spans="1:27" s="118" customFormat="1" x14ac:dyDescent="0.2">
      <c r="A1136" s="10"/>
      <c r="B1136" s="10"/>
      <c r="C1136" s="191"/>
      <c r="D1136" s="110"/>
      <c r="E1136" s="158"/>
      <c r="F1136" s="267"/>
      <c r="G1136" s="267"/>
      <c r="H1136" s="267"/>
      <c r="I1136" s="250"/>
      <c r="J1136" s="263"/>
      <c r="K1136" s="137"/>
      <c r="L1136" s="137"/>
      <c r="M1136" s="137"/>
      <c r="N1136" s="138"/>
      <c r="O1136" s="167"/>
      <c r="P1136" s="111"/>
      <c r="Q1136" s="111"/>
      <c r="R1136" s="111"/>
      <c r="S1136" s="111"/>
      <c r="T1136" s="111"/>
      <c r="U1136" s="111"/>
      <c r="V1136" s="111"/>
      <c r="W1136" s="111"/>
      <c r="X1136" s="111"/>
      <c r="Y1136" s="111"/>
      <c r="Z1136" s="111"/>
      <c r="AA1136" s="111"/>
    </row>
    <row r="1137" spans="1:27" s="147" customFormat="1" x14ac:dyDescent="0.2">
      <c r="A1137" s="184"/>
      <c r="B1137" s="184"/>
      <c r="C1137" s="185"/>
      <c r="D1137" s="337"/>
      <c r="E1137" s="184"/>
      <c r="F1137" s="338"/>
      <c r="G1137" s="338"/>
      <c r="H1137" s="338"/>
      <c r="I1137" s="257"/>
      <c r="J1137" s="338"/>
      <c r="K1137" s="131">
        <f>J1141</f>
        <v>0</v>
      </c>
      <c r="L1137" s="131">
        <f>'COMPOSICOES - SINAPI COM DESON'!G18</f>
        <v>5.79</v>
      </c>
      <c r="M1137" s="131">
        <f>ROUND(L1137*(1+$Q$5),2)</f>
        <v>7.33</v>
      </c>
      <c r="N1137" s="133">
        <f>TRUNC(K1137*M1137,2)</f>
        <v>0</v>
      </c>
      <c r="O1137" s="286"/>
      <c r="P1137" s="146"/>
      <c r="Q1137" s="146"/>
      <c r="R1137" s="146"/>
      <c r="S1137" s="146"/>
      <c r="T1137" s="146"/>
      <c r="U1137" s="146"/>
      <c r="V1137" s="146"/>
      <c r="W1137" s="146"/>
      <c r="X1137" s="146"/>
      <c r="Y1137" s="146"/>
      <c r="Z1137" s="146"/>
      <c r="AA1137" s="146"/>
    </row>
    <row r="1138" spans="1:27" s="118" customFormat="1" x14ac:dyDescent="0.2">
      <c r="A1138" s="10"/>
      <c r="B1138" s="10"/>
      <c r="C1138" s="191"/>
      <c r="D1138" s="115"/>
      <c r="E1138" s="158"/>
      <c r="F1138" s="267"/>
      <c r="G1138" s="267"/>
      <c r="H1138" s="267"/>
      <c r="I1138" s="339"/>
      <c r="J1138" s="267"/>
      <c r="K1138" s="137"/>
      <c r="L1138" s="137"/>
      <c r="M1138" s="137"/>
      <c r="N1138" s="138"/>
      <c r="O1138" s="167"/>
      <c r="P1138" s="111"/>
      <c r="Q1138" s="111"/>
      <c r="R1138" s="111"/>
      <c r="S1138" s="111"/>
      <c r="T1138" s="111"/>
      <c r="U1138" s="111"/>
      <c r="V1138" s="111"/>
      <c r="W1138" s="111"/>
      <c r="X1138" s="111"/>
      <c r="Y1138" s="111"/>
      <c r="Z1138" s="111"/>
      <c r="AA1138" s="111"/>
    </row>
    <row r="1139" spans="1:27" s="118" customFormat="1" x14ac:dyDescent="0.2">
      <c r="A1139" s="10"/>
      <c r="B1139" s="10"/>
      <c r="C1139" s="191"/>
      <c r="D1139" s="115"/>
      <c r="E1139" s="158"/>
      <c r="F1139" s="267"/>
      <c r="G1139" s="267"/>
      <c r="H1139" s="267"/>
      <c r="I1139" s="339"/>
      <c r="J1139" s="267"/>
      <c r="K1139" s="137"/>
      <c r="L1139" s="137"/>
      <c r="M1139" s="137"/>
      <c r="N1139" s="138"/>
      <c r="O1139" s="167"/>
      <c r="P1139" s="111"/>
      <c r="Q1139" s="111"/>
      <c r="R1139" s="111"/>
      <c r="S1139" s="111"/>
      <c r="T1139" s="111"/>
      <c r="U1139" s="111"/>
      <c r="V1139" s="111"/>
      <c r="W1139" s="111"/>
      <c r="X1139" s="111"/>
      <c r="Y1139" s="111"/>
      <c r="Z1139" s="111"/>
      <c r="AA1139" s="111"/>
    </row>
    <row r="1140" spans="1:27" s="118" customFormat="1" x14ac:dyDescent="0.2">
      <c r="A1140" s="10"/>
      <c r="B1140" s="10"/>
      <c r="C1140" s="191"/>
      <c r="D1140" s="115"/>
      <c r="E1140" s="158"/>
      <c r="F1140" s="267"/>
      <c r="G1140" s="267"/>
      <c r="H1140" s="267"/>
      <c r="I1140" s="339"/>
      <c r="J1140" s="267"/>
      <c r="K1140" s="137"/>
      <c r="L1140" s="137"/>
      <c r="M1140" s="137"/>
      <c r="N1140" s="138"/>
      <c r="O1140" s="167"/>
      <c r="P1140" s="111"/>
      <c r="Q1140" s="111"/>
      <c r="R1140" s="111"/>
      <c r="S1140" s="111"/>
      <c r="T1140" s="111"/>
      <c r="U1140" s="111"/>
      <c r="V1140" s="111"/>
      <c r="W1140" s="111"/>
      <c r="X1140" s="111"/>
      <c r="Y1140" s="111"/>
      <c r="Z1140" s="111"/>
      <c r="AA1140" s="111"/>
    </row>
    <row r="1141" spans="1:27" s="118" customFormat="1" x14ac:dyDescent="0.2">
      <c r="A1141" s="10"/>
      <c r="B1141" s="10"/>
      <c r="C1141" s="190"/>
      <c r="D1141" s="110"/>
      <c r="E1141" s="158"/>
      <c r="F1141" s="267"/>
      <c r="G1141" s="267"/>
      <c r="H1141" s="267"/>
      <c r="I1141" s="250"/>
      <c r="J1141" s="338"/>
      <c r="K1141" s="137"/>
      <c r="L1141" s="137"/>
      <c r="M1141" s="137"/>
      <c r="N1141" s="138"/>
      <c r="O1141" s="167"/>
      <c r="P1141" s="111"/>
      <c r="Q1141" s="111"/>
      <c r="R1141" s="111"/>
      <c r="S1141" s="111"/>
      <c r="T1141" s="111"/>
      <c r="U1141" s="111"/>
      <c r="V1141" s="111"/>
      <c r="W1141" s="111"/>
      <c r="X1141" s="111"/>
      <c r="Y1141" s="111"/>
      <c r="Z1141" s="111"/>
      <c r="AA1141" s="111"/>
    </row>
    <row r="1142" spans="1:27" s="118" customFormat="1" x14ac:dyDescent="0.2">
      <c r="A1142" s="10"/>
      <c r="B1142" s="10"/>
      <c r="C1142" s="191"/>
      <c r="D1142" s="110"/>
      <c r="E1142" s="158"/>
      <c r="F1142" s="267"/>
      <c r="G1142" s="267"/>
      <c r="H1142" s="267"/>
      <c r="I1142" s="250"/>
      <c r="J1142" s="263"/>
      <c r="K1142" s="137"/>
      <c r="L1142" s="137"/>
      <c r="M1142" s="137"/>
      <c r="N1142" s="138"/>
      <c r="O1142" s="167"/>
      <c r="P1142" s="111"/>
      <c r="Q1142" s="111"/>
      <c r="R1142" s="111"/>
      <c r="S1142" s="111"/>
      <c r="T1142" s="111"/>
      <c r="U1142" s="111"/>
      <c r="V1142" s="111"/>
      <c r="W1142" s="111"/>
      <c r="X1142" s="111"/>
      <c r="Y1142" s="111"/>
      <c r="Z1142" s="111"/>
      <c r="AA1142" s="111"/>
    </row>
    <row r="1143" spans="1:27" s="145" customFormat="1" x14ac:dyDescent="0.2">
      <c r="A1143" s="192"/>
      <c r="B1143" s="192"/>
      <c r="C1143" s="193"/>
      <c r="D1143" s="336"/>
      <c r="E1143" s="192"/>
      <c r="F1143" s="269"/>
      <c r="G1143" s="269"/>
      <c r="H1143" s="269"/>
      <c r="I1143" s="254"/>
      <c r="J1143" s="269"/>
      <c r="K1143" s="142"/>
      <c r="L1143" s="142"/>
      <c r="M1143" s="142"/>
      <c r="N1143" s="143">
        <f>SUM(N1145:N1149)</f>
        <v>0</v>
      </c>
      <c r="O1143" s="285"/>
      <c r="P1143" s="144"/>
      <c r="Q1143" s="144"/>
      <c r="R1143" s="144"/>
      <c r="S1143" s="144"/>
      <c r="T1143" s="144"/>
      <c r="U1143" s="144"/>
      <c r="V1143" s="144"/>
      <c r="W1143" s="144"/>
      <c r="X1143" s="144"/>
      <c r="Y1143" s="144"/>
      <c r="Z1143" s="144"/>
      <c r="AA1143" s="144"/>
    </row>
    <row r="1144" spans="1:27" s="118" customFormat="1" x14ac:dyDescent="0.2">
      <c r="A1144" s="10"/>
      <c r="B1144" s="10"/>
      <c r="C1144" s="191"/>
      <c r="D1144" s="110"/>
      <c r="E1144" s="158"/>
      <c r="F1144" s="267"/>
      <c r="G1144" s="267"/>
      <c r="H1144" s="267"/>
      <c r="I1144" s="250"/>
      <c r="J1144" s="263"/>
      <c r="K1144" s="137"/>
      <c r="L1144" s="137"/>
      <c r="M1144" s="137"/>
      <c r="N1144" s="138"/>
      <c r="O1144" s="167"/>
      <c r="P1144" s="111"/>
      <c r="Q1144" s="111"/>
      <c r="R1144" s="111"/>
      <c r="S1144" s="111"/>
      <c r="T1144" s="111"/>
      <c r="U1144" s="111"/>
      <c r="V1144" s="111"/>
      <c r="W1144" s="111"/>
      <c r="X1144" s="111"/>
      <c r="Y1144" s="111"/>
      <c r="Z1144" s="111"/>
      <c r="AA1144" s="111"/>
    </row>
    <row r="1145" spans="1:27" s="147" customFormat="1" x14ac:dyDescent="0.2">
      <c r="A1145" s="184"/>
      <c r="B1145" s="184"/>
      <c r="C1145" s="185"/>
      <c r="D1145" s="337"/>
      <c r="E1145" s="184"/>
      <c r="F1145" s="338"/>
      <c r="G1145" s="338"/>
      <c r="H1145" s="338"/>
      <c r="I1145" s="257"/>
      <c r="J1145" s="338"/>
      <c r="K1145" s="131">
        <f>J1148</f>
        <v>0</v>
      </c>
      <c r="L1145" s="131">
        <v>44.54</v>
      </c>
      <c r="M1145" s="131">
        <f>ROUND(L1145*(1+$Q$5),2)</f>
        <v>56.36</v>
      </c>
      <c r="N1145" s="133">
        <f>TRUNC(K1145*M1145,2)</f>
        <v>0</v>
      </c>
      <c r="O1145" s="286"/>
      <c r="P1145" s="146"/>
      <c r="Q1145" s="146"/>
      <c r="R1145" s="146"/>
      <c r="S1145" s="146"/>
      <c r="T1145" s="146"/>
      <c r="U1145" s="146"/>
      <c r="V1145" s="146"/>
      <c r="W1145" s="146"/>
      <c r="X1145" s="146"/>
      <c r="Y1145" s="146"/>
      <c r="Z1145" s="146"/>
      <c r="AA1145" s="146"/>
    </row>
    <row r="1146" spans="1:27" s="118" customFormat="1" x14ac:dyDescent="0.2">
      <c r="A1146" s="10"/>
      <c r="B1146" s="10"/>
      <c r="C1146" s="191"/>
      <c r="D1146" s="115"/>
      <c r="E1146" s="158"/>
      <c r="F1146" s="267"/>
      <c r="G1146" s="267"/>
      <c r="H1146" s="267"/>
      <c r="I1146" s="339"/>
      <c r="J1146" s="267"/>
      <c r="K1146" s="137"/>
      <c r="L1146" s="137"/>
      <c r="M1146" s="137"/>
      <c r="N1146" s="138"/>
      <c r="O1146" s="167"/>
      <c r="P1146" s="111"/>
      <c r="Q1146" s="111"/>
      <c r="R1146" s="111"/>
      <c r="S1146" s="111"/>
      <c r="T1146" s="111"/>
      <c r="U1146" s="111"/>
      <c r="V1146" s="111"/>
      <c r="W1146" s="111"/>
      <c r="X1146" s="111"/>
      <c r="Y1146" s="111"/>
      <c r="Z1146" s="111"/>
      <c r="AA1146" s="111"/>
    </row>
    <row r="1147" spans="1:27" s="118" customFormat="1" x14ac:dyDescent="0.2">
      <c r="A1147" s="10"/>
      <c r="B1147" s="10"/>
      <c r="C1147" s="191"/>
      <c r="D1147" s="115"/>
      <c r="E1147" s="158"/>
      <c r="F1147" s="267"/>
      <c r="G1147" s="267"/>
      <c r="H1147" s="267"/>
      <c r="I1147" s="339"/>
      <c r="J1147" s="267"/>
      <c r="K1147" s="137"/>
      <c r="L1147" s="137"/>
      <c r="M1147" s="137"/>
      <c r="N1147" s="138"/>
      <c r="O1147" s="167"/>
      <c r="P1147" s="111"/>
      <c r="Q1147" s="111"/>
      <c r="R1147" s="111"/>
      <c r="S1147" s="111"/>
      <c r="T1147" s="111"/>
      <c r="U1147" s="111"/>
      <c r="V1147" s="111"/>
      <c r="W1147" s="111"/>
      <c r="X1147" s="111"/>
      <c r="Y1147" s="111"/>
      <c r="Z1147" s="111"/>
      <c r="AA1147" s="111"/>
    </row>
    <row r="1148" spans="1:27" s="118" customFormat="1" x14ac:dyDescent="0.2">
      <c r="A1148" s="10"/>
      <c r="B1148" s="10"/>
      <c r="C1148" s="190"/>
      <c r="D1148" s="110"/>
      <c r="E1148" s="158"/>
      <c r="F1148" s="267"/>
      <c r="G1148" s="267"/>
      <c r="H1148" s="267"/>
      <c r="I1148" s="250"/>
      <c r="J1148" s="338"/>
      <c r="K1148" s="137"/>
      <c r="L1148" s="137"/>
      <c r="M1148" s="137"/>
      <c r="N1148" s="138"/>
      <c r="O1148" s="167"/>
      <c r="P1148" s="111"/>
      <c r="Q1148" s="111"/>
      <c r="R1148" s="111"/>
      <c r="S1148" s="111"/>
      <c r="T1148" s="111"/>
      <c r="U1148" s="111"/>
      <c r="V1148" s="111"/>
      <c r="W1148" s="111"/>
      <c r="X1148" s="111"/>
      <c r="Y1148" s="111"/>
      <c r="Z1148" s="111"/>
      <c r="AA1148" s="111"/>
    </row>
    <row r="1149" spans="1:27" s="118" customFormat="1" x14ac:dyDescent="0.2">
      <c r="A1149" s="10"/>
      <c r="B1149" s="10"/>
      <c r="C1149" s="191"/>
      <c r="D1149" s="110"/>
      <c r="E1149" s="158"/>
      <c r="F1149" s="267"/>
      <c r="G1149" s="267"/>
      <c r="H1149" s="267"/>
      <c r="I1149" s="250"/>
      <c r="J1149" s="263"/>
      <c r="K1149" s="137"/>
      <c r="L1149" s="137"/>
      <c r="M1149" s="137"/>
      <c r="N1149" s="138"/>
      <c r="O1149" s="167"/>
      <c r="P1149" s="111"/>
      <c r="Q1149" s="111"/>
      <c r="R1149" s="111"/>
      <c r="S1149" s="111"/>
      <c r="T1149" s="111"/>
      <c r="U1149" s="111"/>
      <c r="V1149" s="111"/>
      <c r="W1149" s="111"/>
      <c r="X1149" s="111"/>
      <c r="Y1149" s="111"/>
      <c r="Z1149" s="111"/>
      <c r="AA1149" s="111"/>
    </row>
    <row r="1150" spans="1:27" s="241" customFormat="1" ht="13.2" x14ac:dyDescent="0.25">
      <c r="A1150" s="331"/>
      <c r="B1150" s="331"/>
      <c r="C1150" s="332"/>
      <c r="D1150" s="333"/>
      <c r="E1150" s="331"/>
      <c r="F1150" s="334"/>
      <c r="G1150" s="334"/>
      <c r="H1150" s="334"/>
      <c r="I1150" s="335"/>
      <c r="J1150" s="334"/>
      <c r="K1150" s="238"/>
      <c r="L1150" s="238"/>
      <c r="M1150" s="238"/>
      <c r="N1150" s="239" t="e">
        <f>N1152+N1200+N1207</f>
        <v>#VALUE!</v>
      </c>
      <c r="O1150" s="284" t="e">
        <f>N1150/$N$1660</f>
        <v>#VALUE!</v>
      </c>
      <c r="P1150" s="240" t="s">
        <v>533</v>
      </c>
      <c r="Q1150" s="240" t="s">
        <v>533</v>
      </c>
      <c r="R1150" s="240"/>
      <c r="S1150" s="240"/>
      <c r="T1150" s="240"/>
      <c r="U1150" s="240"/>
      <c r="V1150" s="240"/>
      <c r="W1150" s="240"/>
      <c r="X1150" s="240"/>
      <c r="Y1150" s="240"/>
      <c r="Z1150" s="240"/>
      <c r="AA1150" s="240"/>
    </row>
    <row r="1151" spans="1:27" s="118" customFormat="1" x14ac:dyDescent="0.2">
      <c r="A1151" s="10"/>
      <c r="B1151" s="10"/>
      <c r="C1151" s="191"/>
      <c r="D1151" s="110"/>
      <c r="E1151" s="158"/>
      <c r="F1151" s="267"/>
      <c r="G1151" s="267"/>
      <c r="H1151" s="267"/>
      <c r="I1151" s="250"/>
      <c r="J1151" s="263"/>
      <c r="K1151" s="137"/>
      <c r="L1151" s="137"/>
      <c r="M1151" s="137"/>
      <c r="N1151" s="138"/>
      <c r="O1151" s="167"/>
      <c r="P1151" s="111"/>
      <c r="Q1151" s="111"/>
      <c r="R1151" s="111"/>
      <c r="S1151" s="111"/>
      <c r="T1151" s="111"/>
      <c r="U1151" s="111"/>
      <c r="V1151" s="111"/>
      <c r="W1151" s="111"/>
      <c r="X1151" s="111"/>
      <c r="Y1151" s="111"/>
      <c r="Z1151" s="111"/>
      <c r="AA1151" s="111"/>
    </row>
    <row r="1152" spans="1:27" s="145" customFormat="1" x14ac:dyDescent="0.2">
      <c r="A1152" s="192"/>
      <c r="B1152" s="192"/>
      <c r="C1152" s="193"/>
      <c r="D1152" s="336"/>
      <c r="E1152" s="192"/>
      <c r="F1152" s="269"/>
      <c r="G1152" s="269"/>
      <c r="H1152" s="269"/>
      <c r="I1152" s="254"/>
      <c r="J1152" s="269"/>
      <c r="K1152" s="142"/>
      <c r="L1152" s="142"/>
      <c r="M1152" s="142"/>
      <c r="N1152" s="143" t="e">
        <f>SUM(N1154:N1198)</f>
        <v>#VALUE!</v>
      </c>
      <c r="O1152" s="285"/>
      <c r="P1152" s="144"/>
      <c r="Q1152" s="144"/>
      <c r="R1152" s="144"/>
      <c r="S1152" s="144"/>
      <c r="T1152" s="144"/>
      <c r="U1152" s="144"/>
      <c r="V1152" s="144"/>
      <c r="W1152" s="144"/>
      <c r="X1152" s="144"/>
      <c r="Y1152" s="144"/>
      <c r="Z1152" s="144"/>
      <c r="AA1152" s="144"/>
    </row>
    <row r="1153" spans="1:27" s="118" customFormat="1" x14ac:dyDescent="0.2">
      <c r="A1153" s="10"/>
      <c r="B1153" s="10"/>
      <c r="C1153" s="191"/>
      <c r="D1153" s="110"/>
      <c r="E1153" s="158"/>
      <c r="F1153" s="267"/>
      <c r="G1153" s="267"/>
      <c r="H1153" s="267"/>
      <c r="I1153" s="250"/>
      <c r="J1153" s="263"/>
      <c r="K1153" s="137"/>
      <c r="L1153" s="137"/>
      <c r="M1153" s="137"/>
      <c r="N1153" s="138"/>
      <c r="O1153" s="167"/>
      <c r="P1153" s="111"/>
      <c r="Q1153" s="111"/>
      <c r="R1153" s="111"/>
      <c r="S1153" s="111"/>
      <c r="T1153" s="111"/>
      <c r="U1153" s="111"/>
      <c r="V1153" s="111"/>
      <c r="W1153" s="111"/>
      <c r="X1153" s="111"/>
      <c r="Y1153" s="111"/>
      <c r="Z1153" s="111"/>
      <c r="AA1153" s="111"/>
    </row>
    <row r="1154" spans="1:27" s="147" customFormat="1" x14ac:dyDescent="0.2">
      <c r="A1154" s="184"/>
      <c r="B1154" s="184"/>
      <c r="C1154" s="185"/>
      <c r="D1154" s="337"/>
      <c r="E1154" s="184"/>
      <c r="F1154" s="338"/>
      <c r="G1154" s="338"/>
      <c r="H1154" s="338"/>
      <c r="I1154" s="257"/>
      <c r="J1154" s="338"/>
      <c r="K1154" s="131">
        <f>J1161</f>
        <v>0</v>
      </c>
      <c r="L1154" s="131" t="e">
        <f>'COMPOSICOES - SINAPI COM DESON'!G36</f>
        <v>#VALUE!</v>
      </c>
      <c r="M1154" s="131" t="e">
        <f>ROUND(L1154*(1+$Q$5),2)</f>
        <v>#VALUE!</v>
      </c>
      <c r="N1154" s="133" t="e">
        <f>TRUNC(K1154*M1154,2)</f>
        <v>#VALUE!</v>
      </c>
      <c r="O1154" s="286"/>
      <c r="P1154" s="146"/>
      <c r="Q1154" s="146"/>
      <c r="R1154" s="146"/>
      <c r="S1154" s="146"/>
      <c r="T1154" s="146"/>
      <c r="U1154" s="146"/>
      <c r="V1154" s="146"/>
      <c r="W1154" s="146"/>
      <c r="X1154" s="146"/>
      <c r="Y1154" s="146"/>
      <c r="Z1154" s="146"/>
      <c r="AA1154" s="146"/>
    </row>
    <row r="1155" spans="1:27" s="118" customFormat="1" x14ac:dyDescent="0.2">
      <c r="A1155" s="10"/>
      <c r="B1155" s="10"/>
      <c r="C1155" s="191"/>
      <c r="D1155" s="115"/>
      <c r="E1155" s="158"/>
      <c r="F1155" s="267"/>
      <c r="G1155" s="267"/>
      <c r="H1155" s="267"/>
      <c r="I1155" s="250"/>
      <c r="J1155" s="267"/>
      <c r="K1155" s="137"/>
      <c r="L1155" s="137"/>
      <c r="M1155" s="137"/>
      <c r="N1155" s="138"/>
      <c r="O1155" s="167"/>
      <c r="P1155" s="111"/>
      <c r="Q1155" s="111"/>
      <c r="R1155" s="111"/>
      <c r="S1155" s="111"/>
      <c r="T1155" s="111"/>
      <c r="U1155" s="111"/>
      <c r="V1155" s="111"/>
      <c r="W1155" s="111"/>
      <c r="X1155" s="111"/>
      <c r="Y1155" s="111"/>
      <c r="Z1155" s="111"/>
      <c r="AA1155" s="111"/>
    </row>
    <row r="1156" spans="1:27" s="118" customFormat="1" x14ac:dyDescent="0.2">
      <c r="A1156" s="10"/>
      <c r="B1156" s="10"/>
      <c r="C1156" s="191"/>
      <c r="D1156" s="115"/>
      <c r="E1156" s="158"/>
      <c r="F1156" s="267"/>
      <c r="G1156" s="267"/>
      <c r="H1156" s="267"/>
      <c r="I1156" s="250"/>
      <c r="J1156" s="267"/>
      <c r="K1156" s="137"/>
      <c r="L1156" s="137"/>
      <c r="M1156" s="137"/>
      <c r="N1156" s="138"/>
      <c r="O1156" s="167"/>
      <c r="P1156" s="111"/>
      <c r="Q1156" s="111"/>
      <c r="R1156" s="111"/>
      <c r="S1156" s="111"/>
      <c r="T1156" s="111"/>
      <c r="U1156" s="111"/>
      <c r="V1156" s="111"/>
      <c r="W1156" s="111"/>
      <c r="X1156" s="111"/>
      <c r="Y1156" s="111"/>
      <c r="Z1156" s="111"/>
      <c r="AA1156" s="111"/>
    </row>
    <row r="1157" spans="1:27" s="118" customFormat="1" x14ac:dyDescent="0.2">
      <c r="A1157" s="10"/>
      <c r="B1157" s="10"/>
      <c r="C1157" s="191"/>
      <c r="D1157" s="115"/>
      <c r="E1157" s="158"/>
      <c r="F1157" s="267"/>
      <c r="G1157" s="267"/>
      <c r="H1157" s="267"/>
      <c r="I1157" s="250"/>
      <c r="J1157" s="267"/>
      <c r="K1157" s="137"/>
      <c r="L1157" s="137"/>
      <c r="M1157" s="137"/>
      <c r="N1157" s="138"/>
      <c r="O1157" s="167"/>
      <c r="P1157" s="111"/>
      <c r="Q1157" s="111"/>
      <c r="R1157" s="111"/>
      <c r="S1157" s="111"/>
      <c r="T1157" s="111"/>
      <c r="U1157" s="111"/>
      <c r="V1157" s="111"/>
      <c r="W1157" s="111"/>
      <c r="X1157" s="111"/>
      <c r="Y1157" s="111"/>
      <c r="Z1157" s="111"/>
      <c r="AA1157" s="111"/>
    </row>
    <row r="1158" spans="1:27" s="118" customFormat="1" x14ac:dyDescent="0.2">
      <c r="A1158" s="10"/>
      <c r="B1158" s="10"/>
      <c r="C1158" s="191"/>
      <c r="D1158" s="115"/>
      <c r="E1158" s="158"/>
      <c r="F1158" s="267"/>
      <c r="G1158" s="267"/>
      <c r="H1158" s="267"/>
      <c r="I1158" s="250"/>
      <c r="J1158" s="267"/>
      <c r="K1158" s="137"/>
      <c r="L1158" s="137"/>
      <c r="M1158" s="137"/>
      <c r="N1158" s="138"/>
      <c r="O1158" s="167"/>
      <c r="P1158" s="111"/>
      <c r="Q1158" s="111"/>
      <c r="R1158" s="111"/>
      <c r="S1158" s="111"/>
      <c r="T1158" s="111"/>
      <c r="U1158" s="111"/>
      <c r="V1158" s="111"/>
      <c r="W1158" s="111"/>
      <c r="X1158" s="111"/>
      <c r="Y1158" s="111"/>
      <c r="Z1158" s="111"/>
      <c r="AA1158" s="111"/>
    </row>
    <row r="1159" spans="1:27" s="118" customFormat="1" x14ac:dyDescent="0.2">
      <c r="A1159" s="10"/>
      <c r="B1159" s="10"/>
      <c r="C1159" s="191"/>
      <c r="D1159" s="115"/>
      <c r="E1159" s="158"/>
      <c r="F1159" s="267"/>
      <c r="G1159" s="267"/>
      <c r="H1159" s="267"/>
      <c r="I1159" s="250"/>
      <c r="J1159" s="267"/>
      <c r="K1159" s="137"/>
      <c r="L1159" s="137"/>
      <c r="M1159" s="137"/>
      <c r="N1159" s="138"/>
      <c r="O1159" s="167"/>
      <c r="P1159" s="111"/>
      <c r="Q1159" s="111"/>
      <c r="R1159" s="111"/>
      <c r="S1159" s="111"/>
      <c r="T1159" s="111"/>
      <c r="U1159" s="111"/>
      <c r="V1159" s="111"/>
      <c r="W1159" s="111"/>
      <c r="X1159" s="111"/>
      <c r="Y1159" s="111"/>
      <c r="Z1159" s="111"/>
      <c r="AA1159" s="111"/>
    </row>
    <row r="1160" spans="1:27" s="118" customFormat="1" x14ac:dyDescent="0.2">
      <c r="A1160" s="10"/>
      <c r="B1160" s="10"/>
      <c r="C1160" s="191"/>
      <c r="D1160" s="115"/>
      <c r="E1160" s="158"/>
      <c r="F1160" s="267"/>
      <c r="G1160" s="267"/>
      <c r="H1160" s="267"/>
      <c r="I1160" s="250"/>
      <c r="J1160" s="267"/>
      <c r="K1160" s="137"/>
      <c r="L1160" s="137"/>
      <c r="M1160" s="137"/>
      <c r="N1160" s="138"/>
      <c r="O1160" s="167"/>
      <c r="P1160" s="111"/>
      <c r="Q1160" s="111"/>
      <c r="R1160" s="111"/>
      <c r="S1160" s="111"/>
      <c r="T1160" s="111"/>
      <c r="U1160" s="111"/>
      <c r="V1160" s="111"/>
      <c r="W1160" s="111"/>
      <c r="X1160" s="111"/>
      <c r="Y1160" s="111"/>
      <c r="Z1160" s="111"/>
      <c r="AA1160" s="111"/>
    </row>
    <row r="1161" spans="1:27" s="118" customFormat="1" x14ac:dyDescent="0.2">
      <c r="A1161" s="10"/>
      <c r="B1161" s="10"/>
      <c r="C1161" s="190"/>
      <c r="D1161" s="110"/>
      <c r="E1161" s="158"/>
      <c r="F1161" s="267"/>
      <c r="G1161" s="267"/>
      <c r="H1161" s="267"/>
      <c r="I1161" s="250"/>
      <c r="J1161" s="338"/>
      <c r="K1161" s="137"/>
      <c r="L1161" s="137"/>
      <c r="M1161" s="137"/>
      <c r="N1161" s="138"/>
      <c r="O1161" s="167"/>
      <c r="P1161" s="111"/>
      <c r="Q1161" s="111"/>
      <c r="R1161" s="111"/>
      <c r="S1161" s="111"/>
      <c r="T1161" s="111"/>
      <c r="U1161" s="111"/>
      <c r="V1161" s="111"/>
      <c r="W1161" s="111"/>
      <c r="X1161" s="111"/>
      <c r="Y1161" s="111"/>
      <c r="Z1161" s="111"/>
      <c r="AA1161" s="111"/>
    </row>
    <row r="1162" spans="1:27" s="139" customFormat="1" x14ac:dyDescent="0.2">
      <c r="A1162" s="10"/>
      <c r="B1162" s="10"/>
      <c r="C1162" s="15"/>
      <c r="D1162" s="117"/>
      <c r="E1162" s="10"/>
      <c r="F1162" s="263"/>
      <c r="G1162" s="263"/>
      <c r="H1162" s="263"/>
      <c r="I1162" s="250"/>
      <c r="J1162" s="263"/>
      <c r="K1162" s="137"/>
      <c r="L1162" s="137"/>
      <c r="M1162" s="137"/>
      <c r="N1162" s="138"/>
      <c r="O1162" s="283"/>
      <c r="P1162" s="120"/>
      <c r="Q1162" s="120"/>
      <c r="R1162" s="120"/>
      <c r="S1162" s="120"/>
      <c r="T1162" s="120"/>
      <c r="U1162" s="120"/>
      <c r="V1162" s="120"/>
      <c r="W1162" s="120"/>
      <c r="X1162" s="120"/>
      <c r="Y1162" s="120"/>
      <c r="Z1162" s="120"/>
      <c r="AA1162" s="120"/>
    </row>
    <row r="1163" spans="1:27" s="147" customFormat="1" x14ac:dyDescent="0.2">
      <c r="A1163" s="184"/>
      <c r="B1163" s="184"/>
      <c r="C1163" s="185"/>
      <c r="D1163" s="337"/>
      <c r="E1163" s="184"/>
      <c r="F1163" s="338"/>
      <c r="G1163" s="338"/>
      <c r="H1163" s="338"/>
      <c r="I1163" s="257"/>
      <c r="J1163" s="338"/>
      <c r="K1163" s="131">
        <f>J1171</f>
        <v>0</v>
      </c>
      <c r="L1163" s="131">
        <v>166.81</v>
      </c>
      <c r="M1163" s="131">
        <f>ROUND(L1163*(1+$Q$5),2)</f>
        <v>211.06</v>
      </c>
      <c r="N1163" s="133">
        <f>TRUNC(K1163*M1163,2)</f>
        <v>0</v>
      </c>
      <c r="O1163" s="286"/>
      <c r="P1163" s="146"/>
      <c r="Q1163" s="146"/>
      <c r="R1163" s="146"/>
      <c r="S1163" s="146"/>
      <c r="T1163" s="146"/>
      <c r="U1163" s="146"/>
      <c r="V1163" s="146"/>
      <c r="W1163" s="146"/>
      <c r="X1163" s="146"/>
      <c r="Y1163" s="146"/>
      <c r="Z1163" s="146"/>
      <c r="AA1163" s="146"/>
    </row>
    <row r="1164" spans="1:27" s="118" customFormat="1" x14ac:dyDescent="0.2">
      <c r="A1164" s="10"/>
      <c r="B1164" s="10"/>
      <c r="C1164" s="191"/>
      <c r="D1164" s="343"/>
      <c r="E1164" s="158"/>
      <c r="F1164" s="267"/>
      <c r="G1164" s="267"/>
      <c r="H1164" s="267"/>
      <c r="I1164" s="250"/>
      <c r="J1164" s="267"/>
      <c r="K1164" s="137"/>
      <c r="L1164" s="137"/>
      <c r="M1164" s="137"/>
      <c r="N1164" s="138"/>
      <c r="O1164" s="167"/>
      <c r="P1164" s="111"/>
      <c r="Q1164" s="111"/>
      <c r="R1164" s="111"/>
      <c r="S1164" s="111"/>
      <c r="T1164" s="111"/>
      <c r="U1164" s="111"/>
      <c r="V1164" s="111"/>
      <c r="W1164" s="111"/>
      <c r="X1164" s="111"/>
      <c r="Y1164" s="111"/>
      <c r="Z1164" s="111"/>
      <c r="AA1164" s="111"/>
    </row>
    <row r="1165" spans="1:27" s="118" customFormat="1" x14ac:dyDescent="0.2">
      <c r="A1165" s="10"/>
      <c r="B1165" s="10"/>
      <c r="C1165" s="191"/>
      <c r="D1165" s="115"/>
      <c r="E1165" s="158"/>
      <c r="F1165" s="267"/>
      <c r="G1165" s="267"/>
      <c r="H1165" s="267"/>
      <c r="I1165" s="250"/>
      <c r="J1165" s="267"/>
      <c r="K1165" s="137"/>
      <c r="L1165" s="137"/>
      <c r="M1165" s="137"/>
      <c r="N1165" s="138"/>
      <c r="O1165" s="167"/>
      <c r="P1165" s="111"/>
      <c r="Q1165" s="111"/>
      <c r="R1165" s="111"/>
      <c r="S1165" s="111"/>
      <c r="T1165" s="111"/>
      <c r="U1165" s="111"/>
      <c r="V1165" s="111"/>
      <c r="W1165" s="111"/>
      <c r="X1165" s="111"/>
      <c r="Y1165" s="111"/>
      <c r="Z1165" s="111"/>
      <c r="AA1165" s="111"/>
    </row>
    <row r="1166" spans="1:27" s="118" customFormat="1" x14ac:dyDescent="0.2">
      <c r="A1166" s="10"/>
      <c r="B1166" s="10"/>
      <c r="C1166" s="191"/>
      <c r="D1166" s="115"/>
      <c r="E1166" s="158"/>
      <c r="F1166" s="267"/>
      <c r="G1166" s="267"/>
      <c r="H1166" s="267"/>
      <c r="I1166" s="250"/>
      <c r="J1166" s="267"/>
      <c r="K1166" s="137"/>
      <c r="L1166" s="137"/>
      <c r="M1166" s="137"/>
      <c r="N1166" s="138"/>
      <c r="O1166" s="167"/>
      <c r="P1166" s="111"/>
      <c r="Q1166" s="111"/>
      <c r="R1166" s="111"/>
      <c r="S1166" s="111"/>
      <c r="T1166" s="111"/>
      <c r="U1166" s="111"/>
      <c r="V1166" s="111"/>
      <c r="W1166" s="111"/>
      <c r="X1166" s="111"/>
      <c r="Y1166" s="111"/>
      <c r="Z1166" s="111"/>
      <c r="AA1166" s="111"/>
    </row>
    <row r="1167" spans="1:27" s="118" customFormat="1" x14ac:dyDescent="0.2">
      <c r="A1167" s="10"/>
      <c r="B1167" s="10"/>
      <c r="C1167" s="191"/>
      <c r="D1167" s="115"/>
      <c r="E1167" s="158"/>
      <c r="F1167" s="267"/>
      <c r="G1167" s="267"/>
      <c r="H1167" s="267"/>
      <c r="I1167" s="250"/>
      <c r="J1167" s="267"/>
      <c r="K1167" s="137"/>
      <c r="L1167" s="137"/>
      <c r="M1167" s="137"/>
      <c r="N1167" s="138"/>
      <c r="O1167" s="167"/>
      <c r="P1167" s="111"/>
      <c r="Q1167" s="111"/>
      <c r="R1167" s="111"/>
      <c r="S1167" s="111"/>
      <c r="T1167" s="111"/>
      <c r="U1167" s="111"/>
      <c r="V1167" s="111"/>
      <c r="W1167" s="111"/>
      <c r="X1167" s="111"/>
      <c r="Y1167" s="111"/>
      <c r="Z1167" s="111"/>
      <c r="AA1167" s="111"/>
    </row>
    <row r="1168" spans="1:27" s="118" customFormat="1" x14ac:dyDescent="0.2">
      <c r="A1168" s="10"/>
      <c r="B1168" s="10"/>
      <c r="C1168" s="191"/>
      <c r="D1168" s="115"/>
      <c r="E1168" s="158"/>
      <c r="F1168" s="267"/>
      <c r="G1168" s="267"/>
      <c r="H1168" s="267"/>
      <c r="I1168" s="250"/>
      <c r="J1168" s="267"/>
      <c r="K1168" s="137"/>
      <c r="L1168" s="137"/>
      <c r="M1168" s="137"/>
      <c r="N1168" s="138"/>
      <c r="O1168" s="167"/>
      <c r="P1168" s="111"/>
      <c r="Q1168" s="111"/>
      <c r="R1168" s="111"/>
      <c r="S1168" s="111"/>
      <c r="T1168" s="111"/>
      <c r="U1168" s="111"/>
      <c r="V1168" s="111"/>
      <c r="W1168" s="111"/>
      <c r="X1168" s="111"/>
      <c r="Y1168" s="111"/>
      <c r="Z1168" s="111"/>
      <c r="AA1168" s="111"/>
    </row>
    <row r="1169" spans="1:27" s="118" customFormat="1" x14ac:dyDescent="0.2">
      <c r="A1169" s="10"/>
      <c r="B1169" s="10"/>
      <c r="C1169" s="191"/>
      <c r="D1169" s="115"/>
      <c r="E1169" s="158"/>
      <c r="F1169" s="267"/>
      <c r="G1169" s="267"/>
      <c r="H1169" s="267"/>
      <c r="I1169" s="250"/>
      <c r="J1169" s="267"/>
      <c r="K1169" s="137"/>
      <c r="L1169" s="137"/>
      <c r="M1169" s="137"/>
      <c r="N1169" s="138"/>
      <c r="O1169" s="167"/>
      <c r="P1169" s="111"/>
      <c r="Q1169" s="111"/>
      <c r="R1169" s="111"/>
      <c r="S1169" s="111"/>
      <c r="T1169" s="111"/>
      <c r="U1169" s="111"/>
      <c r="V1169" s="111"/>
      <c r="W1169" s="111"/>
      <c r="X1169" s="111"/>
      <c r="Y1169" s="111"/>
      <c r="Z1169" s="111"/>
      <c r="AA1169" s="111"/>
    </row>
    <row r="1170" spans="1:27" s="118" customFormat="1" x14ac:dyDescent="0.2">
      <c r="A1170" s="10"/>
      <c r="B1170" s="10"/>
      <c r="C1170" s="191"/>
      <c r="D1170" s="115"/>
      <c r="E1170" s="158"/>
      <c r="F1170" s="267"/>
      <c r="G1170" s="267"/>
      <c r="H1170" s="267"/>
      <c r="I1170" s="250"/>
      <c r="J1170" s="267"/>
      <c r="K1170" s="137"/>
      <c r="L1170" s="137"/>
      <c r="M1170" s="137"/>
      <c r="N1170" s="138"/>
      <c r="O1170" s="167"/>
      <c r="P1170" s="111"/>
      <c r="Q1170" s="111"/>
      <c r="R1170" s="111"/>
      <c r="S1170" s="111"/>
      <c r="T1170" s="111"/>
      <c r="U1170" s="111"/>
      <c r="V1170" s="111"/>
      <c r="W1170" s="111"/>
      <c r="X1170" s="111"/>
      <c r="Y1170" s="111"/>
      <c r="Z1170" s="111"/>
      <c r="AA1170" s="111"/>
    </row>
    <row r="1171" spans="1:27" s="118" customFormat="1" x14ac:dyDescent="0.2">
      <c r="A1171" s="10"/>
      <c r="B1171" s="10"/>
      <c r="C1171" s="190"/>
      <c r="D1171" s="110"/>
      <c r="E1171" s="158"/>
      <c r="F1171" s="267"/>
      <c r="G1171" s="267"/>
      <c r="H1171" s="267"/>
      <c r="I1171" s="250"/>
      <c r="J1171" s="338"/>
      <c r="K1171" s="137"/>
      <c r="L1171" s="137"/>
      <c r="M1171" s="137"/>
      <c r="N1171" s="138"/>
      <c r="O1171" s="167"/>
      <c r="P1171" s="111"/>
      <c r="Q1171" s="111"/>
      <c r="R1171" s="111"/>
      <c r="S1171" s="111"/>
      <c r="T1171" s="111"/>
      <c r="U1171" s="111"/>
      <c r="V1171" s="111"/>
      <c r="W1171" s="111"/>
      <c r="X1171" s="111"/>
      <c r="Y1171" s="111"/>
      <c r="Z1171" s="111"/>
      <c r="AA1171" s="111"/>
    </row>
    <row r="1172" spans="1:27" s="161" customFormat="1" x14ac:dyDescent="0.2">
      <c r="A1172" s="10"/>
      <c r="B1172" s="10"/>
      <c r="C1172" s="191"/>
      <c r="D1172" s="110"/>
      <c r="E1172" s="158"/>
      <c r="F1172" s="267"/>
      <c r="G1172" s="267"/>
      <c r="H1172" s="267"/>
      <c r="I1172" s="250"/>
      <c r="J1172" s="263"/>
      <c r="K1172" s="151"/>
      <c r="L1172" s="151"/>
      <c r="M1172" s="151"/>
      <c r="N1172" s="152"/>
      <c r="O1172" s="167"/>
      <c r="P1172" s="114"/>
      <c r="Q1172" s="114"/>
      <c r="R1172" s="114"/>
      <c r="S1172" s="114"/>
      <c r="T1172" s="114"/>
      <c r="U1172" s="114"/>
      <c r="V1172" s="114"/>
      <c r="W1172" s="114"/>
      <c r="X1172" s="114"/>
      <c r="Y1172" s="114"/>
      <c r="Z1172" s="114"/>
      <c r="AA1172" s="114"/>
    </row>
    <row r="1173" spans="1:27" s="147" customFormat="1" x14ac:dyDescent="0.2">
      <c r="A1173" s="184"/>
      <c r="B1173" s="184"/>
      <c r="C1173" s="344"/>
      <c r="D1173" s="337"/>
      <c r="E1173" s="184"/>
      <c r="F1173" s="338"/>
      <c r="G1173" s="338"/>
      <c r="H1173" s="338"/>
      <c r="I1173" s="257"/>
      <c r="J1173" s="338"/>
      <c r="K1173" s="131">
        <f>J1181</f>
        <v>0</v>
      </c>
      <c r="L1173" s="131">
        <v>46.44</v>
      </c>
      <c r="M1173" s="131">
        <f>ROUND(L1173*(1+$Q$5),2)</f>
        <v>58.76</v>
      </c>
      <c r="N1173" s="133">
        <f>TRUNC(K1173*M1173,2)</f>
        <v>0</v>
      </c>
      <c r="O1173" s="286"/>
      <c r="P1173" s="146"/>
      <c r="Q1173" s="146"/>
      <c r="R1173" s="146"/>
      <c r="S1173" s="146"/>
      <c r="T1173" s="146"/>
      <c r="U1173" s="146"/>
      <c r="V1173" s="146"/>
      <c r="W1173" s="146"/>
      <c r="X1173" s="146"/>
      <c r="Y1173" s="146"/>
      <c r="Z1173" s="146"/>
      <c r="AA1173" s="146"/>
    </row>
    <row r="1174" spans="1:27" s="118" customFormat="1" x14ac:dyDescent="0.2">
      <c r="A1174" s="10"/>
      <c r="B1174" s="10"/>
      <c r="C1174" s="191"/>
      <c r="D1174" s="343"/>
      <c r="E1174" s="158"/>
      <c r="F1174" s="267"/>
      <c r="G1174" s="267"/>
      <c r="H1174" s="267"/>
      <c r="I1174" s="250"/>
      <c r="J1174" s="267"/>
      <c r="K1174" s="137"/>
      <c r="L1174" s="137"/>
      <c r="M1174" s="137"/>
      <c r="N1174" s="138"/>
      <c r="O1174" s="167"/>
      <c r="P1174" s="111"/>
      <c r="Q1174" s="111"/>
      <c r="R1174" s="111"/>
      <c r="S1174" s="111"/>
      <c r="T1174" s="111"/>
      <c r="U1174" s="111"/>
      <c r="V1174" s="111"/>
      <c r="W1174" s="111"/>
      <c r="X1174" s="111"/>
      <c r="Y1174" s="111"/>
      <c r="Z1174" s="111"/>
      <c r="AA1174" s="111"/>
    </row>
    <row r="1175" spans="1:27" s="118" customFormat="1" x14ac:dyDescent="0.2">
      <c r="A1175" s="10"/>
      <c r="B1175" s="10"/>
      <c r="C1175" s="191"/>
      <c r="D1175" s="115"/>
      <c r="E1175" s="158"/>
      <c r="F1175" s="267"/>
      <c r="G1175" s="267"/>
      <c r="H1175" s="267"/>
      <c r="I1175" s="250"/>
      <c r="J1175" s="267"/>
      <c r="K1175" s="137"/>
      <c r="L1175" s="137"/>
      <c r="M1175" s="137"/>
      <c r="N1175" s="138"/>
      <c r="O1175" s="167"/>
      <c r="P1175" s="111"/>
      <c r="Q1175" s="111"/>
      <c r="R1175" s="111"/>
      <c r="S1175" s="111"/>
      <c r="T1175" s="111"/>
      <c r="U1175" s="111"/>
      <c r="V1175" s="111"/>
      <c r="W1175" s="111"/>
      <c r="X1175" s="111"/>
      <c r="Y1175" s="111"/>
      <c r="Z1175" s="111"/>
      <c r="AA1175" s="111"/>
    </row>
    <row r="1176" spans="1:27" s="118" customFormat="1" x14ac:dyDescent="0.2">
      <c r="A1176" s="10"/>
      <c r="B1176" s="10"/>
      <c r="C1176" s="191"/>
      <c r="D1176" s="115"/>
      <c r="E1176" s="158"/>
      <c r="F1176" s="267"/>
      <c r="G1176" s="267"/>
      <c r="H1176" s="267"/>
      <c r="I1176" s="250"/>
      <c r="J1176" s="267"/>
      <c r="K1176" s="137"/>
      <c r="L1176" s="137"/>
      <c r="M1176" s="137"/>
      <c r="N1176" s="138"/>
      <c r="O1176" s="167"/>
      <c r="P1176" s="111"/>
      <c r="Q1176" s="111"/>
      <c r="R1176" s="111"/>
      <c r="S1176" s="111"/>
      <c r="T1176" s="111"/>
      <c r="U1176" s="111"/>
      <c r="V1176" s="111"/>
      <c r="W1176" s="111"/>
      <c r="X1176" s="111"/>
      <c r="Y1176" s="111"/>
      <c r="Z1176" s="111"/>
      <c r="AA1176" s="111"/>
    </row>
    <row r="1177" spans="1:27" s="118" customFormat="1" x14ac:dyDescent="0.2">
      <c r="A1177" s="10"/>
      <c r="B1177" s="10"/>
      <c r="C1177" s="191"/>
      <c r="D1177" s="115"/>
      <c r="E1177" s="158"/>
      <c r="F1177" s="267"/>
      <c r="G1177" s="267"/>
      <c r="H1177" s="267"/>
      <c r="I1177" s="250"/>
      <c r="J1177" s="267"/>
      <c r="K1177" s="137"/>
      <c r="L1177" s="137"/>
      <c r="M1177" s="137"/>
      <c r="N1177" s="138"/>
      <c r="O1177" s="167"/>
      <c r="P1177" s="111"/>
      <c r="Q1177" s="111"/>
      <c r="R1177" s="111"/>
      <c r="S1177" s="111"/>
      <c r="T1177" s="111"/>
      <c r="U1177" s="111"/>
      <c r="V1177" s="111"/>
      <c r="W1177" s="111"/>
      <c r="X1177" s="111"/>
      <c r="Y1177" s="111"/>
      <c r="Z1177" s="111"/>
      <c r="AA1177" s="111"/>
    </row>
    <row r="1178" spans="1:27" s="118" customFormat="1" x14ac:dyDescent="0.2">
      <c r="A1178" s="10"/>
      <c r="B1178" s="10"/>
      <c r="C1178" s="191"/>
      <c r="D1178" s="115"/>
      <c r="E1178" s="158"/>
      <c r="F1178" s="267"/>
      <c r="G1178" s="267"/>
      <c r="H1178" s="267"/>
      <c r="I1178" s="250"/>
      <c r="J1178" s="267"/>
      <c r="K1178" s="137"/>
      <c r="L1178" s="137"/>
      <c r="M1178" s="137"/>
      <c r="N1178" s="138"/>
      <c r="O1178" s="167"/>
      <c r="P1178" s="111"/>
      <c r="Q1178" s="111"/>
      <c r="R1178" s="111"/>
      <c r="S1178" s="111"/>
      <c r="T1178" s="111"/>
      <c r="U1178" s="111"/>
      <c r="V1178" s="111"/>
      <c r="W1178" s="111"/>
      <c r="X1178" s="111"/>
      <c r="Y1178" s="111"/>
      <c r="Z1178" s="111"/>
      <c r="AA1178" s="111"/>
    </row>
    <row r="1179" spans="1:27" s="118" customFormat="1" x14ac:dyDescent="0.2">
      <c r="A1179" s="10"/>
      <c r="B1179" s="10"/>
      <c r="C1179" s="191"/>
      <c r="D1179" s="115"/>
      <c r="E1179" s="158"/>
      <c r="F1179" s="267"/>
      <c r="G1179" s="267"/>
      <c r="H1179" s="267"/>
      <c r="I1179" s="250"/>
      <c r="J1179" s="267"/>
      <c r="K1179" s="137"/>
      <c r="L1179" s="137"/>
      <c r="M1179" s="137"/>
      <c r="N1179" s="138"/>
      <c r="O1179" s="167"/>
      <c r="P1179" s="111"/>
      <c r="Q1179" s="111"/>
      <c r="R1179" s="111"/>
      <c r="S1179" s="111"/>
      <c r="T1179" s="111"/>
      <c r="U1179" s="111"/>
      <c r="V1179" s="111"/>
      <c r="W1179" s="111"/>
      <c r="X1179" s="111"/>
      <c r="Y1179" s="111"/>
      <c r="Z1179" s="111"/>
      <c r="AA1179" s="111"/>
    </row>
    <row r="1180" spans="1:27" s="118" customFormat="1" x14ac:dyDescent="0.2">
      <c r="A1180" s="10"/>
      <c r="B1180" s="10"/>
      <c r="C1180" s="191"/>
      <c r="D1180" s="115"/>
      <c r="E1180" s="158"/>
      <c r="F1180" s="267"/>
      <c r="G1180" s="267"/>
      <c r="H1180" s="267"/>
      <c r="I1180" s="250"/>
      <c r="J1180" s="267"/>
      <c r="K1180" s="137"/>
      <c r="L1180" s="137"/>
      <c r="M1180" s="137"/>
      <c r="N1180" s="138"/>
      <c r="O1180" s="167"/>
      <c r="P1180" s="111"/>
      <c r="Q1180" s="111"/>
      <c r="R1180" s="111"/>
      <c r="S1180" s="111"/>
      <c r="T1180" s="111"/>
      <c r="U1180" s="111"/>
      <c r="V1180" s="111"/>
      <c r="W1180" s="111"/>
      <c r="X1180" s="111"/>
      <c r="Y1180" s="111"/>
      <c r="Z1180" s="111"/>
      <c r="AA1180" s="111"/>
    </row>
    <row r="1181" spans="1:27" s="118" customFormat="1" x14ac:dyDescent="0.2">
      <c r="A1181" s="10"/>
      <c r="B1181" s="10"/>
      <c r="C1181" s="190"/>
      <c r="D1181" s="110"/>
      <c r="E1181" s="158"/>
      <c r="F1181" s="267"/>
      <c r="G1181" s="267"/>
      <c r="H1181" s="267"/>
      <c r="I1181" s="250"/>
      <c r="J1181" s="338"/>
      <c r="K1181" s="137"/>
      <c r="L1181" s="137"/>
      <c r="M1181" s="137"/>
      <c r="N1181" s="138"/>
      <c r="O1181" s="167"/>
      <c r="P1181" s="111"/>
      <c r="Q1181" s="111"/>
      <c r="R1181" s="111"/>
      <c r="S1181" s="111"/>
      <c r="T1181" s="111"/>
      <c r="U1181" s="111"/>
      <c r="V1181" s="111"/>
      <c r="W1181" s="111"/>
      <c r="X1181" s="111"/>
      <c r="Y1181" s="111"/>
      <c r="Z1181" s="111"/>
      <c r="AA1181" s="111"/>
    </row>
    <row r="1182" spans="1:27" s="139" customFormat="1" x14ac:dyDescent="0.2">
      <c r="A1182" s="10"/>
      <c r="B1182" s="10"/>
      <c r="C1182" s="15"/>
      <c r="D1182" s="117"/>
      <c r="E1182" s="10"/>
      <c r="F1182" s="263"/>
      <c r="G1182" s="263"/>
      <c r="H1182" s="263"/>
      <c r="I1182" s="250"/>
      <c r="J1182" s="263"/>
      <c r="K1182" s="137"/>
      <c r="L1182" s="137"/>
      <c r="M1182" s="137"/>
      <c r="N1182" s="138"/>
      <c r="O1182" s="283"/>
      <c r="P1182" s="120"/>
      <c r="Q1182" s="120"/>
      <c r="R1182" s="120"/>
      <c r="S1182" s="120"/>
      <c r="T1182" s="120"/>
      <c r="U1182" s="120"/>
      <c r="V1182" s="120"/>
      <c r="W1182" s="120"/>
      <c r="X1182" s="120"/>
      <c r="Y1182" s="120"/>
      <c r="Z1182" s="120"/>
      <c r="AA1182" s="120"/>
    </row>
    <row r="1183" spans="1:27" s="147" customFormat="1" x14ac:dyDescent="0.2">
      <c r="A1183" s="184"/>
      <c r="B1183" s="184"/>
      <c r="C1183" s="185"/>
      <c r="D1183" s="337"/>
      <c r="E1183" s="184"/>
      <c r="F1183" s="338"/>
      <c r="G1183" s="338"/>
      <c r="H1183" s="338"/>
      <c r="I1183" s="257"/>
      <c r="J1183" s="338"/>
      <c r="K1183" s="131">
        <f>J1186</f>
        <v>0</v>
      </c>
      <c r="L1183" s="131">
        <f>'COMPOSICOES - SINAPI COM DESON'!G50</f>
        <v>104.48</v>
      </c>
      <c r="M1183" s="131">
        <f>ROUND(L1183*(1+$Q$5),2)</f>
        <v>132.19999999999999</v>
      </c>
      <c r="N1183" s="133">
        <f>TRUNC(K1183*M1183,2)</f>
        <v>0</v>
      </c>
      <c r="O1183" s="286"/>
      <c r="P1183" s="146"/>
      <c r="Q1183" s="146"/>
      <c r="R1183" s="146"/>
      <c r="S1183" s="146"/>
      <c r="T1183" s="146"/>
      <c r="U1183" s="146"/>
      <c r="V1183" s="146"/>
      <c r="W1183" s="146"/>
      <c r="X1183" s="146"/>
      <c r="Y1183" s="146"/>
      <c r="Z1183" s="146"/>
      <c r="AA1183" s="146"/>
    </row>
    <row r="1184" spans="1:27" s="174" customFormat="1" x14ac:dyDescent="0.2">
      <c r="A1184" s="177"/>
      <c r="B1184" s="177"/>
      <c r="C1184" s="178"/>
      <c r="D1184" s="115"/>
      <c r="E1184" s="177"/>
      <c r="F1184" s="267"/>
      <c r="G1184" s="267"/>
      <c r="H1184" s="267"/>
      <c r="I1184" s="339"/>
      <c r="J1184" s="267"/>
      <c r="K1184" s="172"/>
      <c r="L1184" s="172"/>
      <c r="M1184" s="172"/>
      <c r="N1184" s="173"/>
      <c r="O1184" s="287"/>
      <c r="P1184" s="23"/>
      <c r="Q1184" s="23"/>
      <c r="R1184" s="23"/>
      <c r="S1184" s="23"/>
      <c r="T1184" s="23"/>
      <c r="U1184" s="23"/>
      <c r="V1184" s="23"/>
      <c r="W1184" s="23"/>
      <c r="X1184" s="23"/>
      <c r="Y1184" s="23"/>
      <c r="Z1184" s="23"/>
      <c r="AA1184" s="23"/>
    </row>
    <row r="1185" spans="1:27" s="174" customFormat="1" x14ac:dyDescent="0.2">
      <c r="A1185" s="177"/>
      <c r="B1185" s="177"/>
      <c r="C1185" s="178"/>
      <c r="D1185" s="115"/>
      <c r="E1185" s="177"/>
      <c r="F1185" s="267"/>
      <c r="G1185" s="267"/>
      <c r="H1185" s="267"/>
      <c r="I1185" s="339"/>
      <c r="J1185" s="267"/>
      <c r="K1185" s="172"/>
      <c r="L1185" s="172"/>
      <c r="M1185" s="172"/>
      <c r="N1185" s="173"/>
      <c r="O1185" s="287"/>
      <c r="P1185" s="23"/>
      <c r="Q1185" s="23"/>
      <c r="R1185" s="23"/>
      <c r="S1185" s="23"/>
      <c r="T1185" s="23"/>
      <c r="U1185" s="23"/>
      <c r="V1185" s="23"/>
      <c r="W1185" s="23"/>
      <c r="X1185" s="23"/>
      <c r="Y1185" s="23"/>
      <c r="Z1185" s="23"/>
      <c r="AA1185" s="23"/>
    </row>
    <row r="1186" spans="1:27" s="174" customFormat="1" x14ac:dyDescent="0.2">
      <c r="A1186" s="177"/>
      <c r="B1186" s="177"/>
      <c r="C1186" s="178"/>
      <c r="D1186" s="179"/>
      <c r="E1186" s="180"/>
      <c r="F1186" s="265"/>
      <c r="G1186" s="265"/>
      <c r="H1186" s="265"/>
      <c r="I1186" s="252"/>
      <c r="J1186" s="338"/>
      <c r="K1186" s="172"/>
      <c r="L1186" s="172"/>
      <c r="M1186" s="172"/>
      <c r="N1186" s="173"/>
      <c r="O1186" s="287"/>
      <c r="P1186" s="23"/>
      <c r="Q1186" s="23"/>
      <c r="R1186" s="23"/>
      <c r="S1186" s="23"/>
      <c r="T1186" s="23"/>
      <c r="U1186" s="23"/>
      <c r="V1186" s="23"/>
      <c r="W1186" s="23"/>
      <c r="X1186" s="23"/>
      <c r="Y1186" s="23"/>
      <c r="Z1186" s="23"/>
      <c r="AA1186" s="23"/>
    </row>
    <row r="1187" spans="1:27" s="174" customFormat="1" x14ac:dyDescent="0.2">
      <c r="A1187" s="177"/>
      <c r="B1187" s="177"/>
      <c r="C1187" s="178"/>
      <c r="D1187" s="179"/>
      <c r="E1187" s="180"/>
      <c r="F1187" s="265"/>
      <c r="G1187" s="265"/>
      <c r="H1187" s="265"/>
      <c r="I1187" s="252"/>
      <c r="J1187" s="266"/>
      <c r="K1187" s="172"/>
      <c r="L1187" s="172"/>
      <c r="M1187" s="172"/>
      <c r="N1187" s="173"/>
      <c r="O1187" s="287"/>
      <c r="P1187" s="23"/>
      <c r="Q1187" s="23"/>
      <c r="R1187" s="23"/>
      <c r="S1187" s="23"/>
      <c r="T1187" s="23"/>
      <c r="U1187" s="23"/>
      <c r="V1187" s="23"/>
      <c r="W1187" s="23"/>
      <c r="X1187" s="23"/>
      <c r="Y1187" s="23"/>
      <c r="Z1187" s="23"/>
      <c r="AA1187" s="23"/>
    </row>
    <row r="1188" spans="1:27" s="147" customFormat="1" x14ac:dyDescent="0.2">
      <c r="A1188" s="184"/>
      <c r="B1188" s="184"/>
      <c r="C1188" s="185"/>
      <c r="D1188" s="337"/>
      <c r="E1188" s="184"/>
      <c r="F1188" s="338"/>
      <c r="G1188" s="338"/>
      <c r="H1188" s="338"/>
      <c r="I1188" s="257"/>
      <c r="J1188" s="338"/>
      <c r="K1188" s="131">
        <f>J1190</f>
        <v>0</v>
      </c>
      <c r="L1188" s="131">
        <v>8.1300000000000008</v>
      </c>
      <c r="M1188" s="131">
        <f>ROUND(L1188*(1+$Q$5),2)</f>
        <v>10.29</v>
      </c>
      <c r="N1188" s="133">
        <f>TRUNC(K1188*M1188,2)</f>
        <v>0</v>
      </c>
      <c r="O1188" s="286"/>
      <c r="P1188" s="146"/>
      <c r="Q1188" s="146"/>
      <c r="R1188" s="146"/>
      <c r="S1188" s="146"/>
      <c r="T1188" s="146"/>
      <c r="U1188" s="146"/>
      <c r="V1188" s="146"/>
      <c r="W1188" s="146"/>
      <c r="X1188" s="146"/>
      <c r="Y1188" s="146"/>
      <c r="Z1188" s="146"/>
      <c r="AA1188" s="146"/>
    </row>
    <row r="1189" spans="1:27" s="118" customFormat="1" x14ac:dyDescent="0.2">
      <c r="A1189" s="10"/>
      <c r="B1189" s="10"/>
      <c r="C1189" s="191"/>
      <c r="D1189" s="115"/>
      <c r="E1189" s="158"/>
      <c r="F1189" s="267"/>
      <c r="G1189" s="267"/>
      <c r="H1189" s="267"/>
      <c r="I1189" s="250"/>
      <c r="J1189" s="267"/>
      <c r="K1189" s="137"/>
      <c r="L1189" s="137"/>
      <c r="M1189" s="137"/>
      <c r="N1189" s="138"/>
      <c r="O1189" s="167"/>
      <c r="P1189" s="111"/>
      <c r="Q1189" s="111"/>
      <c r="R1189" s="111"/>
      <c r="S1189" s="111"/>
      <c r="T1189" s="111"/>
      <c r="U1189" s="111"/>
      <c r="V1189" s="111"/>
      <c r="W1189" s="111"/>
      <c r="X1189" s="111"/>
      <c r="Y1189" s="111"/>
      <c r="Z1189" s="111"/>
      <c r="AA1189" s="111"/>
    </row>
    <row r="1190" spans="1:27" s="118" customFormat="1" x14ac:dyDescent="0.2">
      <c r="A1190" s="10"/>
      <c r="B1190" s="10"/>
      <c r="C1190" s="190"/>
      <c r="D1190" s="110"/>
      <c r="E1190" s="158"/>
      <c r="F1190" s="267"/>
      <c r="G1190" s="267"/>
      <c r="H1190" s="267"/>
      <c r="I1190" s="250"/>
      <c r="J1190" s="338"/>
      <c r="K1190" s="137"/>
      <c r="L1190" s="137"/>
      <c r="M1190" s="137"/>
      <c r="N1190" s="138"/>
      <c r="O1190" s="167"/>
      <c r="P1190" s="111"/>
      <c r="Q1190" s="111"/>
      <c r="R1190" s="111"/>
      <c r="S1190" s="111"/>
      <c r="T1190" s="111"/>
      <c r="U1190" s="111"/>
      <c r="V1190" s="111"/>
      <c r="W1190" s="111"/>
      <c r="X1190" s="111"/>
      <c r="Y1190" s="111"/>
      <c r="Z1190" s="111"/>
      <c r="AA1190" s="111"/>
    </row>
    <row r="1191" spans="1:27" s="139" customFormat="1" x14ac:dyDescent="0.2">
      <c r="A1191" s="10"/>
      <c r="B1191" s="10"/>
      <c r="C1191" s="15"/>
      <c r="D1191" s="117"/>
      <c r="E1191" s="10"/>
      <c r="F1191" s="263"/>
      <c r="G1191" s="263"/>
      <c r="H1191" s="263"/>
      <c r="I1191" s="250"/>
      <c r="J1191" s="263"/>
      <c r="K1191" s="137"/>
      <c r="L1191" s="137"/>
      <c r="M1191" s="137"/>
      <c r="N1191" s="138"/>
      <c r="O1191" s="283"/>
      <c r="P1191" s="120"/>
      <c r="Q1191" s="120"/>
      <c r="R1191" s="120"/>
      <c r="S1191" s="120"/>
      <c r="T1191" s="120"/>
      <c r="U1191" s="120"/>
      <c r="V1191" s="120"/>
      <c r="W1191" s="120"/>
      <c r="X1191" s="120"/>
      <c r="Y1191" s="120"/>
      <c r="Z1191" s="120"/>
      <c r="AA1191" s="120"/>
    </row>
    <row r="1192" spans="1:27" s="147" customFormat="1" x14ac:dyDescent="0.2">
      <c r="A1192" s="184"/>
      <c r="B1192" s="184"/>
      <c r="C1192" s="185"/>
      <c r="D1192" s="337"/>
      <c r="E1192" s="184"/>
      <c r="F1192" s="338"/>
      <c r="G1192" s="338"/>
      <c r="H1192" s="338"/>
      <c r="I1192" s="257"/>
      <c r="J1192" s="338"/>
      <c r="K1192" s="131">
        <f>J1194</f>
        <v>0</v>
      </c>
      <c r="L1192" s="131">
        <v>65.69</v>
      </c>
      <c r="M1192" s="131">
        <f>ROUND(L1192*(1+$Q$5),2)</f>
        <v>83.12</v>
      </c>
      <c r="N1192" s="133">
        <f>TRUNC(K1192*M1192,2)</f>
        <v>0</v>
      </c>
      <c r="O1192" s="286"/>
      <c r="P1192" s="146"/>
      <c r="Q1192" s="146"/>
      <c r="R1192" s="146"/>
      <c r="S1192" s="146"/>
      <c r="T1192" s="146"/>
      <c r="U1192" s="146"/>
      <c r="V1192" s="146"/>
      <c r="W1192" s="146"/>
      <c r="X1192" s="146"/>
      <c r="Y1192" s="146"/>
      <c r="Z1192" s="146"/>
      <c r="AA1192" s="146"/>
    </row>
    <row r="1193" spans="1:27" s="118" customFormat="1" x14ac:dyDescent="0.2">
      <c r="A1193" s="10"/>
      <c r="B1193" s="10"/>
      <c r="C1193" s="10"/>
      <c r="D1193" s="115"/>
      <c r="E1193" s="158"/>
      <c r="F1193" s="267"/>
      <c r="G1193" s="267"/>
      <c r="H1193" s="267"/>
      <c r="I1193" s="250"/>
      <c r="J1193" s="267"/>
      <c r="K1193" s="137"/>
      <c r="L1193" s="137"/>
      <c r="M1193" s="137"/>
      <c r="N1193" s="138"/>
      <c r="O1193" s="167"/>
      <c r="P1193" s="111"/>
      <c r="Q1193" s="111"/>
      <c r="R1193" s="111"/>
      <c r="S1193" s="111"/>
      <c r="T1193" s="111"/>
      <c r="U1193" s="111"/>
      <c r="V1193" s="111"/>
      <c r="W1193" s="111"/>
      <c r="X1193" s="111"/>
      <c r="Y1193" s="111"/>
      <c r="Z1193" s="111"/>
      <c r="AA1193" s="111"/>
    </row>
    <row r="1194" spans="1:27" s="118" customFormat="1" x14ac:dyDescent="0.2">
      <c r="A1194" s="10"/>
      <c r="B1194" s="10"/>
      <c r="C1194" s="190"/>
      <c r="D1194" s="110"/>
      <c r="E1194" s="158"/>
      <c r="F1194" s="267"/>
      <c r="G1194" s="267"/>
      <c r="H1194" s="267"/>
      <c r="I1194" s="250"/>
      <c r="J1194" s="338"/>
      <c r="K1194" s="137"/>
      <c r="L1194" s="137"/>
      <c r="M1194" s="137"/>
      <c r="N1194" s="138"/>
      <c r="O1194" s="167"/>
      <c r="P1194" s="111"/>
      <c r="Q1194" s="111"/>
      <c r="R1194" s="111"/>
      <c r="S1194" s="111"/>
      <c r="T1194" s="111"/>
      <c r="U1194" s="111"/>
      <c r="V1194" s="111"/>
      <c r="W1194" s="111"/>
      <c r="X1194" s="111"/>
      <c r="Y1194" s="111"/>
      <c r="Z1194" s="111"/>
      <c r="AA1194" s="111"/>
    </row>
    <row r="1195" spans="1:27" s="118" customFormat="1" x14ac:dyDescent="0.2">
      <c r="A1195" s="10"/>
      <c r="B1195" s="10"/>
      <c r="C1195" s="191"/>
      <c r="D1195" s="110"/>
      <c r="E1195" s="158"/>
      <c r="F1195" s="267"/>
      <c r="G1195" s="267"/>
      <c r="H1195" s="267"/>
      <c r="I1195" s="250"/>
      <c r="J1195" s="263"/>
      <c r="K1195" s="137"/>
      <c r="L1195" s="137"/>
      <c r="M1195" s="137"/>
      <c r="N1195" s="138"/>
      <c r="O1195" s="167"/>
      <c r="P1195" s="111"/>
      <c r="Q1195" s="111"/>
      <c r="R1195" s="111"/>
      <c r="S1195" s="111"/>
      <c r="T1195" s="111"/>
      <c r="U1195" s="111"/>
      <c r="V1195" s="111"/>
      <c r="W1195" s="111"/>
      <c r="X1195" s="111"/>
      <c r="Y1195" s="111"/>
      <c r="Z1195" s="111"/>
      <c r="AA1195" s="111"/>
    </row>
    <row r="1196" spans="1:27" s="147" customFormat="1" x14ac:dyDescent="0.2">
      <c r="A1196" s="184"/>
      <c r="B1196" s="184"/>
      <c r="C1196" s="185"/>
      <c r="D1196" s="337"/>
      <c r="E1196" s="184"/>
      <c r="F1196" s="338"/>
      <c r="G1196" s="338"/>
      <c r="H1196" s="338"/>
      <c r="I1196" s="257"/>
      <c r="J1196" s="338"/>
      <c r="K1196" s="131">
        <f>J1198</f>
        <v>0</v>
      </c>
      <c r="L1196" s="131">
        <v>14.55</v>
      </c>
      <c r="M1196" s="131">
        <f>ROUND(L1196*(1+$Q$5),2)</f>
        <v>18.41</v>
      </c>
      <c r="N1196" s="133">
        <f>TRUNC(K1196*M1196,2)</f>
        <v>0</v>
      </c>
      <c r="O1196" s="286"/>
      <c r="P1196" s="146"/>
      <c r="Q1196" s="146"/>
      <c r="R1196" s="146"/>
      <c r="S1196" s="146"/>
      <c r="T1196" s="146"/>
      <c r="U1196" s="146"/>
      <c r="V1196" s="146"/>
      <c r="W1196" s="146"/>
      <c r="X1196" s="146"/>
      <c r="Y1196" s="146"/>
      <c r="Z1196" s="146"/>
      <c r="AA1196" s="146"/>
    </row>
    <row r="1197" spans="1:27" s="118" customFormat="1" x14ac:dyDescent="0.2">
      <c r="A1197" s="10"/>
      <c r="B1197" s="10"/>
      <c r="C1197" s="10"/>
      <c r="D1197" s="115"/>
      <c r="E1197" s="158"/>
      <c r="F1197" s="267"/>
      <c r="G1197" s="267"/>
      <c r="H1197" s="267"/>
      <c r="I1197" s="250"/>
      <c r="J1197" s="267"/>
      <c r="K1197" s="137"/>
      <c r="L1197" s="137"/>
      <c r="M1197" s="137"/>
      <c r="N1197" s="138"/>
      <c r="O1197" s="167"/>
      <c r="P1197" s="111"/>
      <c r="Q1197" s="111"/>
      <c r="R1197" s="111"/>
      <c r="S1197" s="111"/>
      <c r="T1197" s="111"/>
      <c r="U1197" s="111"/>
      <c r="V1197" s="111"/>
      <c r="W1197" s="111"/>
      <c r="X1197" s="111"/>
      <c r="Y1197" s="111"/>
      <c r="Z1197" s="111"/>
      <c r="AA1197" s="111"/>
    </row>
    <row r="1198" spans="1:27" s="118" customFormat="1" x14ac:dyDescent="0.2">
      <c r="A1198" s="10"/>
      <c r="B1198" s="10"/>
      <c r="C1198" s="190"/>
      <c r="D1198" s="110"/>
      <c r="E1198" s="158"/>
      <c r="F1198" s="267"/>
      <c r="G1198" s="267"/>
      <c r="H1198" s="267"/>
      <c r="I1198" s="250"/>
      <c r="J1198" s="338"/>
      <c r="K1198" s="137"/>
      <c r="L1198" s="137"/>
      <c r="M1198" s="137"/>
      <c r="N1198" s="138"/>
      <c r="O1198" s="167"/>
      <c r="P1198" s="111"/>
      <c r="Q1198" s="111"/>
      <c r="R1198" s="111"/>
      <c r="S1198" s="111"/>
      <c r="T1198" s="111"/>
      <c r="U1198" s="111"/>
      <c r="V1198" s="111"/>
      <c r="W1198" s="111"/>
      <c r="X1198" s="111"/>
      <c r="Y1198" s="111"/>
      <c r="Z1198" s="111"/>
      <c r="AA1198" s="111"/>
    </row>
    <row r="1199" spans="1:27" s="118" customFormat="1" x14ac:dyDescent="0.2">
      <c r="A1199" s="10"/>
      <c r="B1199" s="10"/>
      <c r="C1199" s="191"/>
      <c r="D1199" s="110"/>
      <c r="E1199" s="158"/>
      <c r="F1199" s="267"/>
      <c r="G1199" s="267"/>
      <c r="H1199" s="267"/>
      <c r="I1199" s="250"/>
      <c r="J1199" s="263"/>
      <c r="K1199" s="137"/>
      <c r="L1199" s="137"/>
      <c r="M1199" s="137"/>
      <c r="N1199" s="138"/>
      <c r="O1199" s="167"/>
      <c r="P1199" s="111"/>
      <c r="Q1199" s="111"/>
      <c r="R1199" s="111"/>
      <c r="S1199" s="111"/>
      <c r="T1199" s="111"/>
      <c r="U1199" s="111"/>
      <c r="V1199" s="111"/>
      <c r="W1199" s="111"/>
      <c r="X1199" s="111"/>
      <c r="Y1199" s="111"/>
      <c r="Z1199" s="111"/>
      <c r="AA1199" s="111"/>
    </row>
    <row r="1200" spans="1:27" s="145" customFormat="1" x14ac:dyDescent="0.2">
      <c r="A1200" s="192"/>
      <c r="B1200" s="192"/>
      <c r="C1200" s="193"/>
      <c r="D1200" s="336"/>
      <c r="E1200" s="192"/>
      <c r="F1200" s="269"/>
      <c r="G1200" s="269"/>
      <c r="H1200" s="269"/>
      <c r="I1200" s="254"/>
      <c r="J1200" s="269"/>
      <c r="K1200" s="142"/>
      <c r="L1200" s="142"/>
      <c r="M1200" s="142"/>
      <c r="N1200" s="143">
        <f>SUM(N1202:N1206)</f>
        <v>0</v>
      </c>
      <c r="O1200" s="285"/>
      <c r="P1200" s="144"/>
      <c r="Q1200" s="144"/>
      <c r="R1200" s="144"/>
      <c r="S1200" s="144"/>
      <c r="T1200" s="144"/>
      <c r="U1200" s="144"/>
      <c r="V1200" s="144"/>
      <c r="W1200" s="144"/>
      <c r="X1200" s="144"/>
      <c r="Y1200" s="144"/>
      <c r="Z1200" s="144"/>
      <c r="AA1200" s="144"/>
    </row>
    <row r="1201" spans="1:27" s="118" customFormat="1" x14ac:dyDescent="0.2">
      <c r="A1201" s="10"/>
      <c r="B1201" s="10"/>
      <c r="C1201" s="191"/>
      <c r="D1201" s="110"/>
      <c r="E1201" s="158"/>
      <c r="F1201" s="267"/>
      <c r="G1201" s="267"/>
      <c r="H1201" s="267"/>
      <c r="I1201" s="250"/>
      <c r="J1201" s="263"/>
      <c r="K1201" s="137"/>
      <c r="L1201" s="137"/>
      <c r="M1201" s="137"/>
      <c r="N1201" s="138"/>
      <c r="O1201" s="167"/>
      <c r="P1201" s="111"/>
      <c r="Q1201" s="111"/>
      <c r="R1201" s="111"/>
      <c r="S1201" s="111"/>
      <c r="T1201" s="111"/>
      <c r="U1201" s="111"/>
      <c r="V1201" s="111"/>
      <c r="W1201" s="111"/>
      <c r="X1201" s="111"/>
      <c r="Y1201" s="111"/>
      <c r="Z1201" s="111"/>
      <c r="AA1201" s="111"/>
    </row>
    <row r="1202" spans="1:27" s="147" customFormat="1" x14ac:dyDescent="0.2">
      <c r="A1202" s="184"/>
      <c r="B1202" s="184"/>
      <c r="C1202" s="185"/>
      <c r="D1202" s="337"/>
      <c r="E1202" s="184"/>
      <c r="F1202" s="338"/>
      <c r="G1202" s="338"/>
      <c r="H1202" s="338"/>
      <c r="I1202" s="257"/>
      <c r="J1202" s="338"/>
      <c r="K1202" s="131">
        <f>J1205</f>
        <v>0</v>
      </c>
      <c r="L1202" s="106">
        <v>168.74</v>
      </c>
      <c r="M1202" s="131">
        <f>ROUND(L1202*(1+$Q$5),2)</f>
        <v>213.51</v>
      </c>
      <c r="N1202" s="133">
        <f>TRUNC(K1202*M1202,2)</f>
        <v>0</v>
      </c>
      <c r="O1202" s="286"/>
      <c r="P1202" s="146"/>
      <c r="Q1202" s="146"/>
      <c r="R1202" s="146"/>
      <c r="S1202" s="146"/>
      <c r="T1202" s="146"/>
      <c r="U1202" s="146"/>
      <c r="V1202" s="146"/>
      <c r="W1202" s="146"/>
      <c r="X1202" s="146"/>
      <c r="Y1202" s="146"/>
      <c r="Z1202" s="146"/>
      <c r="AA1202" s="146"/>
    </row>
    <row r="1203" spans="1:27" s="118" customFormat="1" x14ac:dyDescent="0.2">
      <c r="A1203" s="10"/>
      <c r="B1203" s="10"/>
      <c r="C1203" s="191"/>
      <c r="D1203" s="115"/>
      <c r="E1203" s="158"/>
      <c r="F1203" s="267"/>
      <c r="G1203" s="267"/>
      <c r="H1203" s="267"/>
      <c r="I1203" s="250"/>
      <c r="J1203" s="267"/>
      <c r="K1203" s="137"/>
      <c r="L1203" s="137"/>
      <c r="M1203" s="137"/>
      <c r="N1203" s="138"/>
      <c r="O1203" s="167"/>
      <c r="P1203" s="111"/>
      <c r="Q1203" s="111"/>
      <c r="R1203" s="111"/>
      <c r="S1203" s="111"/>
      <c r="T1203" s="111"/>
      <c r="U1203" s="111"/>
      <c r="V1203" s="111"/>
      <c r="W1203" s="111"/>
      <c r="X1203" s="111"/>
      <c r="Y1203" s="111"/>
      <c r="Z1203" s="111"/>
      <c r="AA1203" s="111"/>
    </row>
    <row r="1204" spans="1:27" s="118" customFormat="1" x14ac:dyDescent="0.2">
      <c r="A1204" s="10"/>
      <c r="B1204" s="10"/>
      <c r="C1204" s="191"/>
      <c r="D1204" s="115"/>
      <c r="E1204" s="158"/>
      <c r="F1204" s="267"/>
      <c r="G1204" s="267"/>
      <c r="H1204" s="267"/>
      <c r="I1204" s="250"/>
      <c r="J1204" s="267"/>
      <c r="K1204" s="137"/>
      <c r="L1204" s="137"/>
      <c r="M1204" s="137"/>
      <c r="N1204" s="138"/>
      <c r="O1204" s="167"/>
      <c r="P1204" s="111"/>
      <c r="Q1204" s="111"/>
      <c r="R1204" s="111"/>
      <c r="S1204" s="111"/>
      <c r="T1204" s="111"/>
      <c r="U1204" s="111"/>
      <c r="V1204" s="111"/>
      <c r="W1204" s="111"/>
      <c r="X1204" s="111"/>
      <c r="Y1204" s="111"/>
      <c r="Z1204" s="111"/>
      <c r="AA1204" s="111"/>
    </row>
    <row r="1205" spans="1:27" s="118" customFormat="1" x14ac:dyDescent="0.2">
      <c r="A1205" s="10"/>
      <c r="B1205" s="10"/>
      <c r="C1205" s="190"/>
      <c r="D1205" s="110"/>
      <c r="E1205" s="158"/>
      <c r="F1205" s="267"/>
      <c r="G1205" s="267"/>
      <c r="H1205" s="267"/>
      <c r="I1205" s="250"/>
      <c r="J1205" s="338"/>
      <c r="K1205" s="137"/>
      <c r="L1205" s="137"/>
      <c r="M1205" s="137"/>
      <c r="N1205" s="138"/>
      <c r="O1205" s="167"/>
      <c r="P1205" s="111"/>
      <c r="Q1205" s="111"/>
      <c r="R1205" s="111"/>
      <c r="S1205" s="111"/>
      <c r="T1205" s="111"/>
      <c r="U1205" s="111"/>
      <c r="V1205" s="111"/>
      <c r="W1205" s="111"/>
      <c r="X1205" s="111"/>
      <c r="Y1205" s="111"/>
      <c r="Z1205" s="111"/>
      <c r="AA1205" s="111"/>
    </row>
    <row r="1206" spans="1:27" s="139" customFormat="1" x14ac:dyDescent="0.2">
      <c r="A1206" s="10"/>
      <c r="B1206" s="10"/>
      <c r="C1206" s="15"/>
      <c r="D1206" s="117"/>
      <c r="E1206" s="10"/>
      <c r="F1206" s="263"/>
      <c r="G1206" s="263"/>
      <c r="H1206" s="263"/>
      <c r="I1206" s="250"/>
      <c r="J1206" s="263"/>
      <c r="K1206" s="137"/>
      <c r="L1206" s="137"/>
      <c r="M1206" s="137"/>
      <c r="N1206" s="138"/>
      <c r="O1206" s="283"/>
      <c r="P1206" s="120"/>
      <c r="Q1206" s="120"/>
      <c r="R1206" s="120"/>
      <c r="S1206" s="120"/>
      <c r="T1206" s="120"/>
      <c r="U1206" s="120"/>
      <c r="V1206" s="120"/>
      <c r="W1206" s="120"/>
      <c r="X1206" s="120"/>
      <c r="Y1206" s="120"/>
      <c r="Z1206" s="120"/>
      <c r="AA1206" s="120"/>
    </row>
    <row r="1207" spans="1:27" s="145" customFormat="1" x14ac:dyDescent="0.2">
      <c r="A1207" s="192"/>
      <c r="B1207" s="192"/>
      <c r="C1207" s="193"/>
      <c r="D1207" s="336"/>
      <c r="E1207" s="192"/>
      <c r="F1207" s="269"/>
      <c r="G1207" s="269"/>
      <c r="H1207" s="269"/>
      <c r="I1207" s="254"/>
      <c r="J1207" s="269"/>
      <c r="K1207" s="142"/>
      <c r="L1207" s="142"/>
      <c r="M1207" s="142"/>
      <c r="N1207" s="143">
        <f>SUM(N1209:N1212)</f>
        <v>0</v>
      </c>
      <c r="O1207" s="285"/>
      <c r="P1207" s="144"/>
      <c r="Q1207" s="144"/>
      <c r="R1207" s="144"/>
      <c r="S1207" s="144"/>
      <c r="T1207" s="144"/>
      <c r="U1207" s="144"/>
      <c r="V1207" s="144"/>
      <c r="W1207" s="144"/>
      <c r="X1207" s="144"/>
      <c r="Y1207" s="144"/>
      <c r="Z1207" s="144"/>
      <c r="AA1207" s="144"/>
    </row>
    <row r="1208" spans="1:27" s="118" customFormat="1" x14ac:dyDescent="0.2">
      <c r="A1208" s="10"/>
      <c r="B1208" s="10"/>
      <c r="C1208" s="191"/>
      <c r="D1208" s="110"/>
      <c r="E1208" s="158"/>
      <c r="F1208" s="267"/>
      <c r="G1208" s="267"/>
      <c r="H1208" s="267"/>
      <c r="I1208" s="250"/>
      <c r="J1208" s="263"/>
      <c r="K1208" s="137"/>
      <c r="L1208" s="137"/>
      <c r="M1208" s="137"/>
      <c r="N1208" s="138"/>
      <c r="O1208" s="167"/>
      <c r="P1208" s="111"/>
      <c r="Q1208" s="111"/>
      <c r="R1208" s="111"/>
      <c r="S1208" s="111"/>
      <c r="T1208" s="111"/>
      <c r="U1208" s="111"/>
      <c r="V1208" s="111"/>
      <c r="W1208" s="111"/>
      <c r="X1208" s="111"/>
      <c r="Y1208" s="111"/>
      <c r="Z1208" s="111"/>
      <c r="AA1208" s="111"/>
    </row>
    <row r="1209" spans="1:27" s="147" customFormat="1" x14ac:dyDescent="0.2">
      <c r="A1209" s="184"/>
      <c r="B1209" s="184"/>
      <c r="C1209" s="185"/>
      <c r="D1209" s="337"/>
      <c r="E1209" s="184"/>
      <c r="F1209" s="338"/>
      <c r="G1209" s="338"/>
      <c r="H1209" s="338"/>
      <c r="I1209" s="257"/>
      <c r="J1209" s="338"/>
      <c r="K1209" s="131">
        <f>J1211</f>
        <v>0</v>
      </c>
      <c r="L1209" s="131">
        <f>'COMPOSICOES - SINAPI COM DESON'!G18</f>
        <v>5.79</v>
      </c>
      <c r="M1209" s="131">
        <f>ROUND(L1209*(1+$Q$5),2)</f>
        <v>7.33</v>
      </c>
      <c r="N1209" s="133">
        <f>TRUNC(K1209*M1209,2)</f>
        <v>0</v>
      </c>
      <c r="O1209" s="286"/>
      <c r="P1209" s="146"/>
      <c r="Q1209" s="146"/>
      <c r="R1209" s="146"/>
      <c r="S1209" s="146"/>
      <c r="T1209" s="146"/>
      <c r="U1209" s="146"/>
      <c r="V1209" s="146"/>
      <c r="W1209" s="146"/>
      <c r="X1209" s="146"/>
      <c r="Y1209" s="146"/>
      <c r="Z1209" s="146"/>
      <c r="AA1209" s="146"/>
    </row>
    <row r="1210" spans="1:27" s="118" customFormat="1" x14ac:dyDescent="0.2">
      <c r="A1210" s="10"/>
      <c r="B1210" s="10"/>
      <c r="C1210" s="191"/>
      <c r="D1210" s="115"/>
      <c r="E1210" s="158"/>
      <c r="F1210" s="267"/>
      <c r="G1210" s="267"/>
      <c r="H1210" s="267"/>
      <c r="I1210" s="339"/>
      <c r="J1210" s="267"/>
      <c r="K1210" s="137"/>
      <c r="L1210" s="137"/>
      <c r="M1210" s="137"/>
      <c r="N1210" s="138"/>
      <c r="O1210" s="167"/>
      <c r="P1210" s="111"/>
      <c r="Q1210" s="111"/>
      <c r="R1210" s="111"/>
      <c r="S1210" s="111"/>
      <c r="T1210" s="111"/>
      <c r="U1210" s="111"/>
      <c r="V1210" s="111"/>
      <c r="W1210" s="111"/>
      <c r="X1210" s="111"/>
      <c r="Y1210" s="111"/>
      <c r="Z1210" s="111"/>
      <c r="AA1210" s="111"/>
    </row>
    <row r="1211" spans="1:27" s="118" customFormat="1" x14ac:dyDescent="0.2">
      <c r="A1211" s="10"/>
      <c r="B1211" s="10"/>
      <c r="C1211" s="190"/>
      <c r="D1211" s="110"/>
      <c r="E1211" s="158"/>
      <c r="F1211" s="267"/>
      <c r="G1211" s="267"/>
      <c r="H1211" s="267"/>
      <c r="I1211" s="250"/>
      <c r="J1211" s="338"/>
      <c r="K1211" s="137"/>
      <c r="L1211" s="137"/>
      <c r="M1211" s="137"/>
      <c r="N1211" s="138"/>
      <c r="O1211" s="167"/>
      <c r="P1211" s="111"/>
      <c r="Q1211" s="111"/>
      <c r="R1211" s="111"/>
      <c r="S1211" s="111"/>
      <c r="T1211" s="111"/>
      <c r="U1211" s="111"/>
      <c r="V1211" s="111"/>
      <c r="W1211" s="111"/>
      <c r="X1211" s="111"/>
      <c r="Y1211" s="111"/>
      <c r="Z1211" s="111"/>
      <c r="AA1211" s="111"/>
    </row>
    <row r="1212" spans="1:27" s="118" customFormat="1" x14ac:dyDescent="0.2">
      <c r="A1212" s="10"/>
      <c r="B1212" s="10"/>
      <c r="C1212" s="191"/>
      <c r="D1212" s="110"/>
      <c r="E1212" s="158"/>
      <c r="F1212" s="267"/>
      <c r="G1212" s="267"/>
      <c r="H1212" s="267"/>
      <c r="I1212" s="250"/>
      <c r="J1212" s="263"/>
      <c r="K1212" s="137"/>
      <c r="L1212" s="137"/>
      <c r="M1212" s="137"/>
      <c r="N1212" s="138"/>
      <c r="O1212" s="167"/>
      <c r="P1212" s="111"/>
      <c r="Q1212" s="111"/>
      <c r="R1212" s="111"/>
      <c r="S1212" s="111"/>
      <c r="T1212" s="111"/>
      <c r="U1212" s="111"/>
      <c r="V1212" s="111"/>
      <c r="W1212" s="111"/>
      <c r="X1212" s="111"/>
      <c r="Y1212" s="111"/>
      <c r="Z1212" s="111"/>
      <c r="AA1212" s="111"/>
    </row>
    <row r="1213" spans="1:27" s="241" customFormat="1" ht="13.2" x14ac:dyDescent="0.25">
      <c r="A1213" s="331"/>
      <c r="B1213" s="331"/>
      <c r="C1213" s="332"/>
      <c r="D1213" s="333"/>
      <c r="E1213" s="331"/>
      <c r="F1213" s="334"/>
      <c r="G1213" s="334"/>
      <c r="H1213" s="334"/>
      <c r="I1213" s="335"/>
      <c r="J1213" s="334"/>
      <c r="K1213" s="238"/>
      <c r="L1213" s="238"/>
      <c r="M1213" s="238"/>
      <c r="N1213" s="239" t="e">
        <f>SUM(N1215,N1259,N1273,N1282,N1292,N1309)</f>
        <v>#VALUE!</v>
      </c>
      <c r="O1213" s="284" t="e">
        <f>N1213/$N$1660</f>
        <v>#VALUE!</v>
      </c>
      <c r="P1213" s="240" t="s">
        <v>533</v>
      </c>
      <c r="Q1213" s="240" t="s">
        <v>533</v>
      </c>
      <c r="R1213" s="240"/>
      <c r="S1213" s="240"/>
      <c r="T1213" s="240"/>
      <c r="U1213" s="240"/>
      <c r="V1213" s="240"/>
      <c r="W1213" s="240"/>
      <c r="X1213" s="240"/>
      <c r="Y1213" s="240"/>
      <c r="Z1213" s="240"/>
      <c r="AA1213" s="240"/>
    </row>
    <row r="1214" spans="1:27" s="118" customFormat="1" x14ac:dyDescent="0.2">
      <c r="A1214" s="10"/>
      <c r="B1214" s="10"/>
      <c r="C1214" s="191"/>
      <c r="D1214" s="110"/>
      <c r="E1214" s="158"/>
      <c r="F1214" s="267"/>
      <c r="G1214" s="267"/>
      <c r="H1214" s="267"/>
      <c r="I1214" s="250"/>
      <c r="J1214" s="263"/>
      <c r="K1214" s="137"/>
      <c r="L1214" s="137"/>
      <c r="M1214" s="137"/>
      <c r="N1214" s="138"/>
      <c r="O1214" s="167"/>
      <c r="P1214" s="111"/>
      <c r="Q1214" s="111"/>
      <c r="R1214" s="111"/>
      <c r="S1214" s="111"/>
      <c r="T1214" s="111"/>
      <c r="U1214" s="111"/>
      <c r="V1214" s="111"/>
      <c r="W1214" s="111"/>
      <c r="X1214" s="111"/>
      <c r="Y1214" s="111"/>
      <c r="Z1214" s="111"/>
      <c r="AA1214" s="111"/>
    </row>
    <row r="1215" spans="1:27" s="145" customFormat="1" x14ac:dyDescent="0.2">
      <c r="A1215" s="192"/>
      <c r="B1215" s="192"/>
      <c r="C1215" s="193"/>
      <c r="D1215" s="336"/>
      <c r="E1215" s="192"/>
      <c r="F1215" s="269"/>
      <c r="G1215" s="269"/>
      <c r="H1215" s="269"/>
      <c r="I1215" s="254"/>
      <c r="J1215" s="269"/>
      <c r="K1215" s="142"/>
      <c r="L1215" s="142"/>
      <c r="M1215" s="142"/>
      <c r="N1215" s="143" t="e">
        <f>SUM(N1217:N1258)</f>
        <v>#VALUE!</v>
      </c>
      <c r="O1215" s="285"/>
      <c r="P1215" s="144"/>
      <c r="Q1215" s="144"/>
      <c r="R1215" s="144"/>
      <c r="S1215" s="144"/>
      <c r="T1215" s="144"/>
      <c r="U1215" s="144"/>
      <c r="V1215" s="144"/>
      <c r="W1215" s="144"/>
      <c r="X1215" s="144"/>
      <c r="Y1215" s="144"/>
      <c r="Z1215" s="144"/>
      <c r="AA1215" s="144"/>
    </row>
    <row r="1216" spans="1:27" s="118" customFormat="1" x14ac:dyDescent="0.2">
      <c r="A1216" s="10"/>
      <c r="B1216" s="10"/>
      <c r="C1216" s="191"/>
      <c r="D1216" s="110"/>
      <c r="E1216" s="158"/>
      <c r="F1216" s="267"/>
      <c r="G1216" s="267"/>
      <c r="H1216" s="267"/>
      <c r="I1216" s="250"/>
      <c r="J1216" s="263"/>
      <c r="K1216" s="137"/>
      <c r="L1216" s="137"/>
      <c r="M1216" s="137"/>
      <c r="N1216" s="138"/>
      <c r="O1216" s="167"/>
      <c r="P1216" s="111"/>
      <c r="Q1216" s="111"/>
      <c r="R1216" s="111"/>
      <c r="S1216" s="111"/>
      <c r="T1216" s="111"/>
      <c r="U1216" s="111"/>
      <c r="V1216" s="111"/>
      <c r="W1216" s="111"/>
      <c r="X1216" s="111"/>
      <c r="Y1216" s="111"/>
      <c r="Z1216" s="111"/>
      <c r="AA1216" s="111"/>
    </row>
    <row r="1217" spans="1:27" s="147" customFormat="1" x14ac:dyDescent="0.2">
      <c r="A1217" s="184"/>
      <c r="B1217" s="184"/>
      <c r="C1217" s="185"/>
      <c r="D1217" s="337"/>
      <c r="E1217" s="184"/>
      <c r="F1217" s="338"/>
      <c r="G1217" s="338"/>
      <c r="H1217" s="338"/>
      <c r="I1217" s="257"/>
      <c r="J1217" s="338"/>
      <c r="K1217" s="131">
        <f>J1226</f>
        <v>0</v>
      </c>
      <c r="L1217" s="131" t="e">
        <f>'COMPOSICOES - SINAPI COM DESON'!G36</f>
        <v>#VALUE!</v>
      </c>
      <c r="M1217" s="131" t="e">
        <f>ROUND(L1217*(1+$Q$5),2)</f>
        <v>#VALUE!</v>
      </c>
      <c r="N1217" s="133" t="e">
        <f>TRUNC(K1217*M1217,2)</f>
        <v>#VALUE!</v>
      </c>
      <c r="O1217" s="286"/>
      <c r="P1217" s="146"/>
      <c r="Q1217" s="146"/>
      <c r="R1217" s="146"/>
      <c r="S1217" s="146"/>
      <c r="T1217" s="146"/>
      <c r="U1217" s="146"/>
      <c r="V1217" s="146"/>
      <c r="W1217" s="146"/>
      <c r="X1217" s="146"/>
      <c r="Y1217" s="146"/>
      <c r="Z1217" s="146"/>
      <c r="AA1217" s="146"/>
    </row>
    <row r="1218" spans="1:27" s="118" customFormat="1" x14ac:dyDescent="0.2">
      <c r="A1218" s="10"/>
      <c r="B1218" s="10"/>
      <c r="C1218" s="191"/>
      <c r="D1218" s="115"/>
      <c r="E1218" s="158"/>
      <c r="F1218" s="267"/>
      <c r="G1218" s="267"/>
      <c r="H1218" s="267"/>
      <c r="I1218" s="250"/>
      <c r="J1218" s="267"/>
      <c r="K1218" s="137"/>
      <c r="L1218" s="137"/>
      <c r="M1218" s="137"/>
      <c r="N1218" s="138"/>
      <c r="O1218" s="167"/>
      <c r="P1218" s="111"/>
      <c r="Q1218" s="111"/>
      <c r="R1218" s="111"/>
      <c r="S1218" s="111"/>
      <c r="T1218" s="111"/>
      <c r="U1218" s="111"/>
      <c r="V1218" s="111"/>
      <c r="W1218" s="111"/>
      <c r="X1218" s="111"/>
      <c r="Y1218" s="111"/>
      <c r="Z1218" s="111"/>
      <c r="AA1218" s="111"/>
    </row>
    <row r="1219" spans="1:27" s="118" customFormat="1" x14ac:dyDescent="0.2">
      <c r="A1219" s="10"/>
      <c r="B1219" s="10"/>
      <c r="C1219" s="191"/>
      <c r="D1219" s="115"/>
      <c r="E1219" s="158"/>
      <c r="F1219" s="267"/>
      <c r="G1219" s="267"/>
      <c r="H1219" s="267"/>
      <c r="I1219" s="250"/>
      <c r="J1219" s="267"/>
      <c r="K1219" s="137"/>
      <c r="L1219" s="137"/>
      <c r="M1219" s="137"/>
      <c r="N1219" s="138"/>
      <c r="O1219" s="167"/>
      <c r="P1219" s="111"/>
      <c r="Q1219" s="111"/>
      <c r="R1219" s="111"/>
      <c r="S1219" s="111"/>
      <c r="T1219" s="111"/>
      <c r="U1219" s="111"/>
      <c r="V1219" s="111"/>
      <c r="W1219" s="111"/>
      <c r="X1219" s="111"/>
      <c r="Y1219" s="111"/>
      <c r="Z1219" s="111"/>
      <c r="AA1219" s="111"/>
    </row>
    <row r="1220" spans="1:27" s="118" customFormat="1" x14ac:dyDescent="0.2">
      <c r="A1220" s="10"/>
      <c r="B1220" s="10"/>
      <c r="C1220" s="191"/>
      <c r="D1220" s="115"/>
      <c r="E1220" s="158"/>
      <c r="F1220" s="267"/>
      <c r="G1220" s="267"/>
      <c r="H1220" s="267"/>
      <c r="I1220" s="250"/>
      <c r="J1220" s="267"/>
      <c r="K1220" s="137"/>
      <c r="L1220" s="137"/>
      <c r="M1220" s="137"/>
      <c r="N1220" s="138"/>
      <c r="O1220" s="167"/>
      <c r="P1220" s="111"/>
      <c r="Q1220" s="111"/>
      <c r="R1220" s="111"/>
      <c r="S1220" s="111"/>
      <c r="T1220" s="111"/>
      <c r="U1220" s="111"/>
      <c r="V1220" s="111"/>
      <c r="W1220" s="111"/>
      <c r="X1220" s="111"/>
      <c r="Y1220" s="111"/>
      <c r="Z1220" s="111"/>
      <c r="AA1220" s="111"/>
    </row>
    <row r="1221" spans="1:27" s="118" customFormat="1" x14ac:dyDescent="0.2">
      <c r="A1221" s="10"/>
      <c r="B1221" s="10"/>
      <c r="C1221" s="191"/>
      <c r="D1221" s="115"/>
      <c r="E1221" s="158"/>
      <c r="F1221" s="267"/>
      <c r="G1221" s="267"/>
      <c r="H1221" s="267"/>
      <c r="I1221" s="250"/>
      <c r="J1221" s="267"/>
      <c r="K1221" s="137"/>
      <c r="L1221" s="137"/>
      <c r="M1221" s="137"/>
      <c r="N1221" s="138"/>
      <c r="O1221" s="167"/>
      <c r="P1221" s="111"/>
      <c r="Q1221" s="111"/>
      <c r="R1221" s="111"/>
      <c r="S1221" s="111"/>
      <c r="T1221" s="111"/>
      <c r="U1221" s="111"/>
      <c r="V1221" s="111"/>
      <c r="W1221" s="111"/>
      <c r="X1221" s="111"/>
      <c r="Y1221" s="111"/>
      <c r="Z1221" s="111"/>
      <c r="AA1221" s="111"/>
    </row>
    <row r="1222" spans="1:27" s="118" customFormat="1" x14ac:dyDescent="0.2">
      <c r="A1222" s="10"/>
      <c r="B1222" s="10"/>
      <c r="C1222" s="191"/>
      <c r="D1222" s="115"/>
      <c r="E1222" s="158"/>
      <c r="F1222" s="267"/>
      <c r="G1222" s="267"/>
      <c r="H1222" s="267"/>
      <c r="I1222" s="250"/>
      <c r="J1222" s="267"/>
      <c r="K1222" s="137"/>
      <c r="L1222" s="137"/>
      <c r="M1222" s="137"/>
      <c r="N1222" s="138"/>
      <c r="O1222" s="167"/>
      <c r="P1222" s="111"/>
      <c r="Q1222" s="111"/>
      <c r="R1222" s="111"/>
      <c r="S1222" s="111"/>
      <c r="T1222" s="111"/>
      <c r="U1222" s="111"/>
      <c r="V1222" s="111"/>
      <c r="W1222" s="111"/>
      <c r="X1222" s="111"/>
      <c r="Y1222" s="111"/>
      <c r="Z1222" s="111"/>
      <c r="AA1222" s="111"/>
    </row>
    <row r="1223" spans="1:27" s="118" customFormat="1" x14ac:dyDescent="0.2">
      <c r="A1223" s="10"/>
      <c r="B1223" s="10"/>
      <c r="C1223" s="191"/>
      <c r="D1223" s="115"/>
      <c r="E1223" s="158"/>
      <c r="F1223" s="267"/>
      <c r="G1223" s="267"/>
      <c r="H1223" s="267"/>
      <c r="I1223" s="250"/>
      <c r="J1223" s="267"/>
      <c r="K1223" s="137"/>
      <c r="L1223" s="137"/>
      <c r="M1223" s="137"/>
      <c r="N1223" s="138"/>
      <c r="O1223" s="167"/>
      <c r="P1223" s="111"/>
      <c r="Q1223" s="111"/>
      <c r="R1223" s="111"/>
      <c r="S1223" s="111"/>
      <c r="T1223" s="111"/>
      <c r="U1223" s="111"/>
      <c r="V1223" s="111"/>
      <c r="W1223" s="111"/>
      <c r="X1223" s="111"/>
      <c r="Y1223" s="111"/>
      <c r="Z1223" s="111"/>
      <c r="AA1223" s="111"/>
    </row>
    <row r="1224" spans="1:27" s="118" customFormat="1" x14ac:dyDescent="0.2">
      <c r="A1224" s="10"/>
      <c r="B1224" s="10"/>
      <c r="C1224" s="191"/>
      <c r="D1224" s="115"/>
      <c r="E1224" s="158"/>
      <c r="F1224" s="267"/>
      <c r="G1224" s="267"/>
      <c r="H1224" s="267"/>
      <c r="I1224" s="250"/>
      <c r="J1224" s="267"/>
      <c r="K1224" s="137"/>
      <c r="L1224" s="137"/>
      <c r="M1224" s="137"/>
      <c r="N1224" s="138"/>
      <c r="O1224" s="167"/>
      <c r="P1224" s="111"/>
      <c r="Q1224" s="111"/>
      <c r="R1224" s="111"/>
      <c r="S1224" s="111"/>
      <c r="T1224" s="111"/>
      <c r="U1224" s="111"/>
      <c r="V1224" s="111"/>
      <c r="W1224" s="111"/>
      <c r="X1224" s="111"/>
      <c r="Y1224" s="111"/>
      <c r="Z1224" s="111"/>
      <c r="AA1224" s="111"/>
    </row>
    <row r="1225" spans="1:27" s="118" customFormat="1" x14ac:dyDescent="0.2">
      <c r="A1225" s="10"/>
      <c r="B1225" s="10"/>
      <c r="C1225" s="191"/>
      <c r="D1225" s="115"/>
      <c r="E1225" s="158"/>
      <c r="F1225" s="267"/>
      <c r="G1225" s="267"/>
      <c r="H1225" s="267"/>
      <c r="I1225" s="250"/>
      <c r="J1225" s="267"/>
      <c r="K1225" s="137"/>
      <c r="L1225" s="137"/>
      <c r="M1225" s="137"/>
      <c r="N1225" s="138"/>
      <c r="O1225" s="167"/>
      <c r="P1225" s="111"/>
      <c r="Q1225" s="111"/>
      <c r="R1225" s="111"/>
      <c r="S1225" s="111"/>
      <c r="T1225" s="111"/>
      <c r="U1225" s="111"/>
      <c r="V1225" s="111"/>
      <c r="W1225" s="111"/>
      <c r="X1225" s="111"/>
      <c r="Y1225" s="111"/>
      <c r="Z1225" s="111"/>
      <c r="AA1225" s="111"/>
    </row>
    <row r="1226" spans="1:27" s="118" customFormat="1" x14ac:dyDescent="0.2">
      <c r="A1226" s="10"/>
      <c r="B1226" s="10"/>
      <c r="C1226" s="190"/>
      <c r="D1226" s="110"/>
      <c r="E1226" s="158"/>
      <c r="F1226" s="267"/>
      <c r="G1226" s="267"/>
      <c r="H1226" s="267"/>
      <c r="I1226" s="250"/>
      <c r="J1226" s="338"/>
      <c r="K1226" s="137"/>
      <c r="L1226" s="137"/>
      <c r="M1226" s="137"/>
      <c r="N1226" s="138"/>
      <c r="O1226" s="167"/>
      <c r="P1226" s="111"/>
      <c r="Q1226" s="111"/>
      <c r="R1226" s="111"/>
      <c r="S1226" s="111"/>
      <c r="T1226" s="111"/>
      <c r="U1226" s="111"/>
      <c r="V1226" s="111"/>
      <c r="W1226" s="111"/>
      <c r="X1226" s="111"/>
      <c r="Y1226" s="111"/>
      <c r="Z1226" s="111"/>
      <c r="AA1226" s="111"/>
    </row>
    <row r="1227" spans="1:27" s="139" customFormat="1" x14ac:dyDescent="0.2">
      <c r="A1227" s="10"/>
      <c r="B1227" s="10"/>
      <c r="C1227" s="15"/>
      <c r="D1227" s="117"/>
      <c r="E1227" s="10"/>
      <c r="F1227" s="263"/>
      <c r="G1227" s="263"/>
      <c r="H1227" s="263"/>
      <c r="I1227" s="250"/>
      <c r="J1227" s="263"/>
      <c r="K1227" s="137"/>
      <c r="L1227" s="137"/>
      <c r="M1227" s="137"/>
      <c r="N1227" s="138"/>
      <c r="O1227" s="283"/>
      <c r="P1227" s="120"/>
      <c r="Q1227" s="120"/>
      <c r="R1227" s="120"/>
      <c r="S1227" s="120"/>
      <c r="T1227" s="120"/>
      <c r="U1227" s="120"/>
      <c r="V1227" s="120"/>
      <c r="W1227" s="120"/>
      <c r="X1227" s="120"/>
      <c r="Y1227" s="120"/>
      <c r="Z1227" s="120"/>
      <c r="AA1227" s="120"/>
    </row>
    <row r="1228" spans="1:27" s="147" customFormat="1" x14ac:dyDescent="0.2">
      <c r="A1228" s="184"/>
      <c r="B1228" s="184"/>
      <c r="C1228" s="185"/>
      <c r="D1228" s="337"/>
      <c r="E1228" s="184"/>
      <c r="F1228" s="338"/>
      <c r="G1228" s="338"/>
      <c r="H1228" s="338"/>
      <c r="I1228" s="257"/>
      <c r="J1228" s="338"/>
      <c r="K1228" s="131">
        <f>J1237</f>
        <v>0</v>
      </c>
      <c r="L1228" s="131">
        <v>116.08</v>
      </c>
      <c r="M1228" s="131">
        <f>ROUND(L1228*(1+$Q$5),2)</f>
        <v>146.88</v>
      </c>
      <c r="N1228" s="133">
        <f>TRUNC(K1228*M1228,2)</f>
        <v>0</v>
      </c>
      <c r="O1228" s="286"/>
      <c r="P1228" s="146"/>
      <c r="Q1228" s="146"/>
      <c r="R1228" s="146"/>
      <c r="S1228" s="146"/>
      <c r="T1228" s="146"/>
      <c r="U1228" s="146"/>
      <c r="V1228" s="146"/>
      <c r="W1228" s="146"/>
      <c r="X1228" s="146"/>
      <c r="Y1228" s="146"/>
      <c r="Z1228" s="146"/>
      <c r="AA1228" s="146"/>
    </row>
    <row r="1229" spans="1:27" s="118" customFormat="1" x14ac:dyDescent="0.2">
      <c r="A1229" s="10"/>
      <c r="B1229" s="10"/>
      <c r="C1229" s="191"/>
      <c r="D1229" s="115"/>
      <c r="E1229" s="158"/>
      <c r="F1229" s="267"/>
      <c r="G1229" s="267"/>
      <c r="H1229" s="267"/>
      <c r="I1229" s="250"/>
      <c r="J1229" s="267"/>
      <c r="K1229" s="137"/>
      <c r="L1229" s="137"/>
      <c r="M1229" s="137"/>
      <c r="N1229" s="138"/>
      <c r="O1229" s="167"/>
      <c r="P1229" s="111"/>
      <c r="Q1229" s="111"/>
      <c r="R1229" s="111"/>
      <c r="S1229" s="111"/>
      <c r="T1229" s="111"/>
      <c r="U1229" s="111"/>
      <c r="V1229" s="111"/>
      <c r="W1229" s="111"/>
      <c r="X1229" s="111"/>
      <c r="Y1229" s="111"/>
      <c r="Z1229" s="111"/>
      <c r="AA1229" s="111"/>
    </row>
    <row r="1230" spans="1:27" s="118" customFormat="1" x14ac:dyDescent="0.2">
      <c r="A1230" s="10"/>
      <c r="B1230" s="10"/>
      <c r="C1230" s="191"/>
      <c r="D1230" s="115"/>
      <c r="E1230" s="158"/>
      <c r="F1230" s="267"/>
      <c r="G1230" s="267"/>
      <c r="H1230" s="267"/>
      <c r="I1230" s="250"/>
      <c r="J1230" s="267"/>
      <c r="K1230" s="137"/>
      <c r="L1230" s="137"/>
      <c r="M1230" s="137"/>
      <c r="N1230" s="138"/>
      <c r="O1230" s="167"/>
      <c r="P1230" s="111"/>
      <c r="Q1230" s="111"/>
      <c r="R1230" s="111"/>
      <c r="S1230" s="111"/>
      <c r="T1230" s="111"/>
      <c r="U1230" s="111"/>
      <c r="V1230" s="111"/>
      <c r="W1230" s="111"/>
      <c r="X1230" s="111"/>
      <c r="Y1230" s="111"/>
      <c r="Z1230" s="111"/>
      <c r="AA1230" s="111"/>
    </row>
    <row r="1231" spans="1:27" s="118" customFormat="1" x14ac:dyDescent="0.2">
      <c r="A1231" s="10"/>
      <c r="B1231" s="10"/>
      <c r="C1231" s="191"/>
      <c r="D1231" s="115"/>
      <c r="E1231" s="158"/>
      <c r="F1231" s="267"/>
      <c r="G1231" s="267"/>
      <c r="H1231" s="267"/>
      <c r="I1231" s="250"/>
      <c r="J1231" s="267"/>
      <c r="K1231" s="137"/>
      <c r="L1231" s="137"/>
      <c r="M1231" s="137"/>
      <c r="N1231" s="138"/>
      <c r="O1231" s="167"/>
      <c r="P1231" s="111"/>
      <c r="Q1231" s="111"/>
      <c r="R1231" s="111"/>
      <c r="S1231" s="111"/>
      <c r="T1231" s="111"/>
      <c r="U1231" s="111"/>
      <c r="V1231" s="111"/>
      <c r="W1231" s="111"/>
      <c r="X1231" s="111"/>
      <c r="Y1231" s="111"/>
      <c r="Z1231" s="111"/>
      <c r="AA1231" s="111"/>
    </row>
    <row r="1232" spans="1:27" s="118" customFormat="1" x14ac:dyDescent="0.2">
      <c r="A1232" s="10"/>
      <c r="B1232" s="10"/>
      <c r="C1232" s="191"/>
      <c r="D1232" s="115"/>
      <c r="E1232" s="158"/>
      <c r="F1232" s="267"/>
      <c r="G1232" s="267"/>
      <c r="H1232" s="267"/>
      <c r="I1232" s="250"/>
      <c r="J1232" s="267"/>
      <c r="K1232" s="137"/>
      <c r="L1232" s="137"/>
      <c r="M1232" s="137"/>
      <c r="N1232" s="138"/>
      <c r="O1232" s="167"/>
      <c r="P1232" s="111"/>
      <c r="Q1232" s="111"/>
      <c r="R1232" s="111"/>
      <c r="S1232" s="111"/>
      <c r="T1232" s="111"/>
      <c r="U1232" s="111"/>
      <c r="V1232" s="111"/>
      <c r="W1232" s="111"/>
      <c r="X1232" s="111"/>
      <c r="Y1232" s="111"/>
      <c r="Z1232" s="111"/>
      <c r="AA1232" s="111"/>
    </row>
    <row r="1233" spans="1:27" s="118" customFormat="1" x14ac:dyDescent="0.2">
      <c r="A1233" s="10"/>
      <c r="B1233" s="10"/>
      <c r="C1233" s="191"/>
      <c r="D1233" s="115"/>
      <c r="E1233" s="158"/>
      <c r="F1233" s="267"/>
      <c r="G1233" s="267"/>
      <c r="H1233" s="267"/>
      <c r="I1233" s="250"/>
      <c r="J1233" s="267"/>
      <c r="K1233" s="137"/>
      <c r="L1233" s="137"/>
      <c r="M1233" s="137"/>
      <c r="N1233" s="138"/>
      <c r="O1233" s="167"/>
      <c r="P1233" s="111"/>
      <c r="Q1233" s="111"/>
      <c r="R1233" s="111"/>
      <c r="S1233" s="111"/>
      <c r="T1233" s="111"/>
      <c r="U1233" s="111"/>
      <c r="V1233" s="111"/>
      <c r="W1233" s="111"/>
      <c r="X1233" s="111"/>
      <c r="Y1233" s="111"/>
      <c r="Z1233" s="111"/>
      <c r="AA1233" s="111"/>
    </row>
    <row r="1234" spans="1:27" s="118" customFormat="1" x14ac:dyDescent="0.2">
      <c r="A1234" s="10"/>
      <c r="B1234" s="10"/>
      <c r="C1234" s="191"/>
      <c r="D1234" s="115"/>
      <c r="E1234" s="158"/>
      <c r="F1234" s="267"/>
      <c r="G1234" s="267"/>
      <c r="H1234" s="267"/>
      <c r="I1234" s="250"/>
      <c r="J1234" s="267"/>
      <c r="K1234" s="137"/>
      <c r="L1234" s="137"/>
      <c r="M1234" s="137"/>
      <c r="N1234" s="138"/>
      <c r="O1234" s="167"/>
      <c r="P1234" s="111"/>
      <c r="Q1234" s="111"/>
      <c r="R1234" s="111"/>
      <c r="S1234" s="111"/>
      <c r="T1234" s="111"/>
      <c r="U1234" s="111"/>
      <c r="V1234" s="111"/>
      <c r="W1234" s="111"/>
      <c r="X1234" s="111"/>
      <c r="Y1234" s="111"/>
      <c r="Z1234" s="111"/>
      <c r="AA1234" s="111"/>
    </row>
    <row r="1235" spans="1:27" s="118" customFormat="1" x14ac:dyDescent="0.2">
      <c r="A1235" s="10"/>
      <c r="B1235" s="10"/>
      <c r="C1235" s="191"/>
      <c r="D1235" s="115"/>
      <c r="E1235" s="158"/>
      <c r="F1235" s="267"/>
      <c r="G1235" s="267"/>
      <c r="H1235" s="267"/>
      <c r="I1235" s="250"/>
      <c r="J1235" s="267"/>
      <c r="K1235" s="137"/>
      <c r="L1235" s="137"/>
      <c r="M1235" s="137"/>
      <c r="N1235" s="138"/>
      <c r="O1235" s="167"/>
      <c r="P1235" s="111"/>
      <c r="Q1235" s="111"/>
      <c r="R1235" s="111"/>
      <c r="S1235" s="111"/>
      <c r="T1235" s="111"/>
      <c r="U1235" s="111"/>
      <c r="V1235" s="111"/>
      <c r="W1235" s="111"/>
      <c r="X1235" s="111"/>
      <c r="Y1235" s="111"/>
      <c r="Z1235" s="111"/>
      <c r="AA1235" s="111"/>
    </row>
    <row r="1236" spans="1:27" s="118" customFormat="1" x14ac:dyDescent="0.2">
      <c r="A1236" s="10"/>
      <c r="B1236" s="10"/>
      <c r="C1236" s="191"/>
      <c r="D1236" s="115"/>
      <c r="E1236" s="158"/>
      <c r="F1236" s="267"/>
      <c r="G1236" s="267"/>
      <c r="H1236" s="267"/>
      <c r="I1236" s="250"/>
      <c r="J1236" s="267"/>
      <c r="K1236" s="137"/>
      <c r="L1236" s="137"/>
      <c r="M1236" s="137"/>
      <c r="N1236" s="138"/>
      <c r="O1236" s="167"/>
      <c r="P1236" s="111"/>
      <c r="Q1236" s="111"/>
      <c r="R1236" s="111"/>
      <c r="S1236" s="111"/>
      <c r="T1236" s="111"/>
      <c r="U1236" s="111"/>
      <c r="V1236" s="111"/>
      <c r="W1236" s="111"/>
      <c r="X1236" s="111"/>
      <c r="Y1236" s="111"/>
      <c r="Z1236" s="111"/>
      <c r="AA1236" s="111"/>
    </row>
    <row r="1237" spans="1:27" s="118" customFormat="1" x14ac:dyDescent="0.2">
      <c r="A1237" s="10"/>
      <c r="B1237" s="10"/>
      <c r="C1237" s="190"/>
      <c r="D1237" s="110"/>
      <c r="E1237" s="158"/>
      <c r="F1237" s="267"/>
      <c r="G1237" s="267"/>
      <c r="H1237" s="267"/>
      <c r="I1237" s="250"/>
      <c r="J1237" s="338"/>
      <c r="K1237" s="137"/>
      <c r="L1237" s="137"/>
      <c r="M1237" s="137"/>
      <c r="N1237" s="138"/>
      <c r="O1237" s="167"/>
      <c r="P1237" s="111"/>
      <c r="Q1237" s="111"/>
      <c r="R1237" s="111"/>
      <c r="S1237" s="111"/>
      <c r="T1237" s="111"/>
      <c r="U1237" s="111"/>
      <c r="V1237" s="111"/>
      <c r="W1237" s="111"/>
      <c r="X1237" s="111"/>
      <c r="Y1237" s="111"/>
      <c r="Z1237" s="111"/>
      <c r="AA1237" s="111"/>
    </row>
    <row r="1238" spans="1:27" s="139" customFormat="1" x14ac:dyDescent="0.2">
      <c r="A1238" s="10"/>
      <c r="B1238" s="10"/>
      <c r="C1238" s="15"/>
      <c r="D1238" s="117"/>
      <c r="E1238" s="10"/>
      <c r="F1238" s="263"/>
      <c r="G1238" s="263"/>
      <c r="H1238" s="263"/>
      <c r="I1238" s="250"/>
      <c r="J1238" s="263"/>
      <c r="K1238" s="137"/>
      <c r="L1238" s="137"/>
      <c r="M1238" s="137"/>
      <c r="N1238" s="138"/>
      <c r="O1238" s="283"/>
      <c r="P1238" s="120"/>
      <c r="Q1238" s="120"/>
      <c r="R1238" s="120"/>
      <c r="S1238" s="120"/>
      <c r="T1238" s="120"/>
      <c r="U1238" s="120"/>
      <c r="V1238" s="120"/>
      <c r="W1238" s="120"/>
      <c r="X1238" s="120"/>
      <c r="Y1238" s="120"/>
      <c r="Z1238" s="120"/>
      <c r="AA1238" s="120"/>
    </row>
    <row r="1239" spans="1:27" s="147" customFormat="1" x14ac:dyDescent="0.2">
      <c r="A1239" s="184"/>
      <c r="B1239" s="184"/>
      <c r="C1239" s="185"/>
      <c r="D1239" s="337"/>
      <c r="E1239" s="184"/>
      <c r="F1239" s="338"/>
      <c r="G1239" s="338"/>
      <c r="H1239" s="338"/>
      <c r="I1239" s="257"/>
      <c r="J1239" s="338"/>
      <c r="K1239" s="131">
        <f>J1241</f>
        <v>0</v>
      </c>
      <c r="L1239" s="131">
        <f>'COMPOSICOES - SINAPI COM DESON'!G50</f>
        <v>104.48</v>
      </c>
      <c r="M1239" s="131">
        <f>ROUND(L1239*(1+$Q$5),2)</f>
        <v>132.19999999999999</v>
      </c>
      <c r="N1239" s="133">
        <f>TRUNC(K1239*M1239,2)</f>
        <v>0</v>
      </c>
      <c r="O1239" s="286"/>
      <c r="P1239" s="146"/>
      <c r="Q1239" s="146"/>
      <c r="R1239" s="146"/>
      <c r="S1239" s="146"/>
      <c r="T1239" s="146"/>
      <c r="U1239" s="146"/>
      <c r="V1239" s="146"/>
      <c r="W1239" s="146"/>
      <c r="X1239" s="146"/>
      <c r="Y1239" s="146"/>
      <c r="Z1239" s="146"/>
      <c r="AA1239" s="146"/>
    </row>
    <row r="1240" spans="1:27" s="118" customFormat="1" x14ac:dyDescent="0.2">
      <c r="A1240" s="10"/>
      <c r="B1240" s="10"/>
      <c r="C1240" s="191"/>
      <c r="D1240" s="115"/>
      <c r="E1240" s="158"/>
      <c r="F1240" s="267"/>
      <c r="G1240" s="267"/>
      <c r="H1240" s="267"/>
      <c r="I1240" s="250"/>
      <c r="J1240" s="267"/>
      <c r="K1240" s="137"/>
      <c r="L1240" s="137"/>
      <c r="M1240" s="137"/>
      <c r="N1240" s="138"/>
      <c r="O1240" s="167"/>
      <c r="P1240" s="111"/>
      <c r="Q1240" s="111"/>
      <c r="R1240" s="111"/>
      <c r="S1240" s="111"/>
      <c r="T1240" s="111"/>
      <c r="U1240" s="111"/>
      <c r="V1240" s="111"/>
      <c r="W1240" s="111"/>
      <c r="X1240" s="111"/>
      <c r="Y1240" s="111"/>
      <c r="Z1240" s="111"/>
      <c r="AA1240" s="111"/>
    </row>
    <row r="1241" spans="1:27" s="118" customFormat="1" x14ac:dyDescent="0.2">
      <c r="A1241" s="10"/>
      <c r="B1241" s="10"/>
      <c r="C1241" s="190"/>
      <c r="D1241" s="110"/>
      <c r="E1241" s="158"/>
      <c r="F1241" s="267"/>
      <c r="G1241" s="267"/>
      <c r="H1241" s="267"/>
      <c r="I1241" s="250"/>
      <c r="J1241" s="338"/>
      <c r="K1241" s="137"/>
      <c r="L1241" s="137"/>
      <c r="M1241" s="137"/>
      <c r="N1241" s="138"/>
      <c r="O1241" s="167"/>
      <c r="P1241" s="111"/>
      <c r="Q1241" s="111"/>
      <c r="R1241" s="111"/>
      <c r="S1241" s="111"/>
      <c r="T1241" s="111"/>
      <c r="U1241" s="111"/>
      <c r="V1241" s="111"/>
      <c r="W1241" s="111"/>
      <c r="X1241" s="111"/>
      <c r="Y1241" s="111"/>
      <c r="Z1241" s="111"/>
      <c r="AA1241" s="111"/>
    </row>
    <row r="1242" spans="1:27" s="118" customFormat="1" x14ac:dyDescent="0.2">
      <c r="A1242" s="10"/>
      <c r="B1242" s="10"/>
      <c r="C1242" s="191"/>
      <c r="D1242" s="110"/>
      <c r="E1242" s="158"/>
      <c r="F1242" s="267"/>
      <c r="G1242" s="267"/>
      <c r="H1242" s="267"/>
      <c r="I1242" s="250"/>
      <c r="J1242" s="263"/>
      <c r="K1242" s="137"/>
      <c r="L1242" s="137"/>
      <c r="M1242" s="137"/>
      <c r="N1242" s="138"/>
      <c r="O1242" s="167"/>
      <c r="P1242" s="111"/>
      <c r="Q1242" s="111"/>
      <c r="R1242" s="111"/>
      <c r="S1242" s="111"/>
      <c r="T1242" s="111"/>
      <c r="U1242" s="111"/>
      <c r="V1242" s="111"/>
      <c r="W1242" s="111"/>
      <c r="X1242" s="111"/>
      <c r="Y1242" s="111"/>
      <c r="Z1242" s="111"/>
      <c r="AA1242" s="111"/>
    </row>
    <row r="1243" spans="1:27" s="147" customFormat="1" x14ac:dyDescent="0.2">
      <c r="A1243" s="184"/>
      <c r="B1243" s="184"/>
      <c r="C1243" s="185"/>
      <c r="D1243" s="337"/>
      <c r="E1243" s="184"/>
      <c r="F1243" s="338"/>
      <c r="G1243" s="338"/>
      <c r="H1243" s="338"/>
      <c r="I1243" s="257"/>
      <c r="J1243" s="338"/>
      <c r="K1243" s="131">
        <f>J1245</f>
        <v>0</v>
      </c>
      <c r="L1243" s="131">
        <v>166.81</v>
      </c>
      <c r="M1243" s="131">
        <f>ROUND(L1243*(1+$Q$5),2)</f>
        <v>211.06</v>
      </c>
      <c r="N1243" s="133">
        <f>TRUNC(K1243*M1243,2)</f>
        <v>0</v>
      </c>
      <c r="O1243" s="286"/>
      <c r="P1243" s="146"/>
      <c r="Q1243" s="146"/>
      <c r="R1243" s="146"/>
      <c r="S1243" s="146"/>
      <c r="T1243" s="146"/>
      <c r="U1243" s="146"/>
      <c r="V1243" s="146"/>
      <c r="W1243" s="146"/>
      <c r="X1243" s="146"/>
      <c r="Y1243" s="146"/>
      <c r="Z1243" s="146"/>
      <c r="AA1243" s="146"/>
    </row>
    <row r="1244" spans="1:27" s="118" customFormat="1" x14ac:dyDescent="0.2">
      <c r="A1244" s="10"/>
      <c r="B1244" s="10"/>
      <c r="C1244" s="191"/>
      <c r="D1244" s="115"/>
      <c r="E1244" s="158"/>
      <c r="F1244" s="267"/>
      <c r="G1244" s="267"/>
      <c r="H1244" s="267"/>
      <c r="I1244" s="250"/>
      <c r="J1244" s="267"/>
      <c r="K1244" s="137"/>
      <c r="L1244" s="137"/>
      <c r="M1244" s="137"/>
      <c r="N1244" s="138"/>
      <c r="O1244" s="167"/>
      <c r="P1244" s="111"/>
      <c r="Q1244" s="111"/>
      <c r="R1244" s="111"/>
      <c r="S1244" s="111"/>
      <c r="T1244" s="111"/>
      <c r="U1244" s="111"/>
      <c r="V1244" s="111"/>
      <c r="W1244" s="111"/>
      <c r="X1244" s="111"/>
      <c r="Y1244" s="111"/>
      <c r="Z1244" s="111"/>
      <c r="AA1244" s="111"/>
    </row>
    <row r="1245" spans="1:27" s="118" customFormat="1" x14ac:dyDescent="0.2">
      <c r="A1245" s="10"/>
      <c r="B1245" s="10"/>
      <c r="C1245" s="190"/>
      <c r="D1245" s="110"/>
      <c r="E1245" s="158"/>
      <c r="F1245" s="267"/>
      <c r="G1245" s="267"/>
      <c r="H1245" s="267"/>
      <c r="I1245" s="250"/>
      <c r="J1245" s="338"/>
      <c r="K1245" s="137"/>
      <c r="L1245" s="137"/>
      <c r="M1245" s="137"/>
      <c r="N1245" s="138"/>
      <c r="O1245" s="167"/>
      <c r="P1245" s="111"/>
      <c r="Q1245" s="111"/>
      <c r="R1245" s="111"/>
      <c r="S1245" s="111"/>
      <c r="T1245" s="111"/>
      <c r="U1245" s="111"/>
      <c r="V1245" s="111"/>
      <c r="W1245" s="111"/>
      <c r="X1245" s="111"/>
      <c r="Y1245" s="111"/>
      <c r="Z1245" s="111"/>
      <c r="AA1245" s="111"/>
    </row>
    <row r="1246" spans="1:27" s="161" customFormat="1" x14ac:dyDescent="0.2">
      <c r="A1246" s="10"/>
      <c r="B1246" s="10"/>
      <c r="C1246" s="191"/>
      <c r="D1246" s="110"/>
      <c r="E1246" s="158"/>
      <c r="F1246" s="267"/>
      <c r="G1246" s="267"/>
      <c r="H1246" s="267"/>
      <c r="I1246" s="250"/>
      <c r="J1246" s="263"/>
      <c r="K1246" s="151"/>
      <c r="L1246" s="151"/>
      <c r="M1246" s="151"/>
      <c r="N1246" s="152"/>
      <c r="O1246" s="167"/>
      <c r="P1246" s="114"/>
      <c r="Q1246" s="114"/>
      <c r="R1246" s="114"/>
      <c r="S1246" s="114"/>
      <c r="T1246" s="114"/>
      <c r="U1246" s="114"/>
      <c r="V1246" s="114"/>
      <c r="W1246" s="114"/>
      <c r="X1246" s="114"/>
      <c r="Y1246" s="114"/>
      <c r="Z1246" s="114"/>
      <c r="AA1246" s="114"/>
    </row>
    <row r="1247" spans="1:27" s="147" customFormat="1" x14ac:dyDescent="0.2">
      <c r="A1247" s="184"/>
      <c r="B1247" s="184"/>
      <c r="C1247" s="344"/>
      <c r="D1247" s="337"/>
      <c r="E1247" s="184"/>
      <c r="F1247" s="338"/>
      <c r="G1247" s="338"/>
      <c r="H1247" s="338"/>
      <c r="I1247" s="257"/>
      <c r="J1247" s="338"/>
      <c r="K1247" s="131">
        <f>J1249</f>
        <v>0</v>
      </c>
      <c r="L1247" s="131">
        <v>46.44</v>
      </c>
      <c r="M1247" s="131">
        <f>ROUND(L1247*(1+$Q$5),2)</f>
        <v>58.76</v>
      </c>
      <c r="N1247" s="133">
        <f>TRUNC(K1247*M1247,2)</f>
        <v>0</v>
      </c>
      <c r="O1247" s="286"/>
      <c r="P1247" s="146"/>
      <c r="Q1247" s="146"/>
      <c r="R1247" s="146"/>
      <c r="S1247" s="146"/>
      <c r="T1247" s="146"/>
      <c r="U1247" s="146"/>
      <c r="V1247" s="146"/>
      <c r="W1247" s="146"/>
      <c r="X1247" s="146"/>
      <c r="Y1247" s="146"/>
      <c r="Z1247" s="146"/>
      <c r="AA1247" s="146"/>
    </row>
    <row r="1248" spans="1:27" s="118" customFormat="1" x14ac:dyDescent="0.2">
      <c r="A1248" s="10"/>
      <c r="B1248" s="10"/>
      <c r="C1248" s="191"/>
      <c r="D1248" s="115"/>
      <c r="E1248" s="158"/>
      <c r="F1248" s="267"/>
      <c r="G1248" s="267"/>
      <c r="H1248" s="267"/>
      <c r="I1248" s="250"/>
      <c r="J1248" s="267"/>
      <c r="K1248" s="137"/>
      <c r="L1248" s="137"/>
      <c r="M1248" s="137"/>
      <c r="N1248" s="138"/>
      <c r="O1248" s="167"/>
      <c r="P1248" s="111"/>
      <c r="Q1248" s="111"/>
      <c r="R1248" s="111"/>
      <c r="S1248" s="111"/>
      <c r="T1248" s="111"/>
      <c r="U1248" s="111"/>
      <c r="V1248" s="111"/>
      <c r="W1248" s="111"/>
      <c r="X1248" s="111"/>
      <c r="Y1248" s="111"/>
      <c r="Z1248" s="111"/>
      <c r="AA1248" s="111"/>
    </row>
    <row r="1249" spans="1:27" s="118" customFormat="1" x14ac:dyDescent="0.2">
      <c r="A1249" s="10"/>
      <c r="B1249" s="10"/>
      <c r="C1249" s="190"/>
      <c r="D1249" s="110"/>
      <c r="E1249" s="158"/>
      <c r="F1249" s="267"/>
      <c r="G1249" s="267"/>
      <c r="H1249" s="267"/>
      <c r="I1249" s="250"/>
      <c r="J1249" s="338"/>
      <c r="K1249" s="137"/>
      <c r="L1249" s="137"/>
      <c r="M1249" s="137"/>
      <c r="N1249" s="138"/>
      <c r="O1249" s="167"/>
      <c r="P1249" s="111"/>
      <c r="Q1249" s="111"/>
      <c r="R1249" s="111"/>
      <c r="S1249" s="111"/>
      <c r="T1249" s="111"/>
      <c r="U1249" s="111"/>
      <c r="V1249" s="111"/>
      <c r="W1249" s="111"/>
      <c r="X1249" s="111"/>
      <c r="Y1249" s="111"/>
      <c r="Z1249" s="111"/>
      <c r="AA1249" s="111"/>
    </row>
    <row r="1250" spans="1:27" s="118" customFormat="1" x14ac:dyDescent="0.2">
      <c r="A1250" s="10"/>
      <c r="B1250" s="10"/>
      <c r="C1250" s="191"/>
      <c r="D1250" s="110"/>
      <c r="E1250" s="158"/>
      <c r="F1250" s="267"/>
      <c r="G1250" s="267"/>
      <c r="H1250" s="267"/>
      <c r="I1250" s="250"/>
      <c r="J1250" s="263"/>
      <c r="K1250" s="137"/>
      <c r="L1250" s="137"/>
      <c r="M1250" s="137"/>
      <c r="N1250" s="138"/>
      <c r="O1250" s="167"/>
      <c r="P1250" s="111"/>
      <c r="Q1250" s="111"/>
      <c r="R1250" s="111"/>
      <c r="S1250" s="111"/>
      <c r="T1250" s="111"/>
      <c r="U1250" s="111"/>
      <c r="V1250" s="111"/>
      <c r="W1250" s="111"/>
      <c r="X1250" s="111"/>
      <c r="Y1250" s="111"/>
      <c r="Z1250" s="111"/>
      <c r="AA1250" s="111"/>
    </row>
    <row r="1251" spans="1:27" s="147" customFormat="1" x14ac:dyDescent="0.2">
      <c r="A1251" s="184"/>
      <c r="B1251" s="184"/>
      <c r="C1251" s="185"/>
      <c r="D1251" s="337"/>
      <c r="E1251" s="184"/>
      <c r="F1251" s="338"/>
      <c r="G1251" s="338"/>
      <c r="H1251" s="338"/>
      <c r="I1251" s="257"/>
      <c r="J1251" s="338"/>
      <c r="K1251" s="131">
        <f>J1253</f>
        <v>0</v>
      </c>
      <c r="L1251" s="131">
        <v>65.69</v>
      </c>
      <c r="M1251" s="131">
        <f>ROUND(L1251*(1+$Q$5),2)</f>
        <v>83.12</v>
      </c>
      <c r="N1251" s="133">
        <f>TRUNC(K1251*M1251,2)</f>
        <v>0</v>
      </c>
      <c r="O1251" s="286"/>
      <c r="P1251" s="146"/>
      <c r="Q1251" s="146"/>
      <c r="R1251" s="146"/>
      <c r="S1251" s="146"/>
      <c r="T1251" s="146"/>
      <c r="U1251" s="146"/>
      <c r="V1251" s="146"/>
      <c r="W1251" s="146"/>
      <c r="X1251" s="146"/>
      <c r="Y1251" s="146"/>
      <c r="Z1251" s="146"/>
      <c r="AA1251" s="146"/>
    </row>
    <row r="1252" spans="1:27" s="118" customFormat="1" x14ac:dyDescent="0.2">
      <c r="A1252" s="10"/>
      <c r="B1252" s="10"/>
      <c r="C1252" s="10"/>
      <c r="D1252" s="115"/>
      <c r="E1252" s="158"/>
      <c r="F1252" s="267"/>
      <c r="G1252" s="267"/>
      <c r="H1252" s="267"/>
      <c r="I1252" s="250"/>
      <c r="J1252" s="267"/>
      <c r="K1252" s="137"/>
      <c r="L1252" s="137"/>
      <c r="M1252" s="137"/>
      <c r="N1252" s="138"/>
      <c r="O1252" s="167"/>
      <c r="P1252" s="111"/>
      <c r="Q1252" s="111"/>
      <c r="R1252" s="111"/>
      <c r="S1252" s="111"/>
      <c r="T1252" s="111"/>
      <c r="U1252" s="111"/>
      <c r="V1252" s="111"/>
      <c r="W1252" s="111"/>
      <c r="X1252" s="111"/>
      <c r="Y1252" s="111"/>
      <c r="Z1252" s="111"/>
      <c r="AA1252" s="111"/>
    </row>
    <row r="1253" spans="1:27" s="118" customFormat="1" x14ac:dyDescent="0.2">
      <c r="A1253" s="10"/>
      <c r="B1253" s="10"/>
      <c r="C1253" s="190"/>
      <c r="D1253" s="110"/>
      <c r="E1253" s="158"/>
      <c r="F1253" s="267"/>
      <c r="G1253" s="267"/>
      <c r="H1253" s="267"/>
      <c r="I1253" s="250"/>
      <c r="J1253" s="338"/>
      <c r="K1253" s="137"/>
      <c r="L1253" s="137"/>
      <c r="M1253" s="137"/>
      <c r="N1253" s="138"/>
      <c r="O1253" s="167"/>
      <c r="P1253" s="111"/>
      <c r="Q1253" s="111"/>
      <c r="R1253" s="111"/>
      <c r="S1253" s="111"/>
      <c r="T1253" s="111"/>
      <c r="U1253" s="111"/>
      <c r="V1253" s="111"/>
      <c r="W1253" s="111"/>
      <c r="X1253" s="111"/>
      <c r="Y1253" s="111"/>
      <c r="Z1253" s="111"/>
      <c r="AA1253" s="111"/>
    </row>
    <row r="1254" spans="1:27" s="118" customFormat="1" x14ac:dyDescent="0.2">
      <c r="A1254" s="10"/>
      <c r="B1254" s="10"/>
      <c r="C1254" s="191"/>
      <c r="D1254" s="110"/>
      <c r="E1254" s="158"/>
      <c r="F1254" s="267"/>
      <c r="G1254" s="267"/>
      <c r="H1254" s="267"/>
      <c r="I1254" s="250"/>
      <c r="J1254" s="263"/>
      <c r="K1254" s="137"/>
      <c r="L1254" s="137"/>
      <c r="M1254" s="137"/>
      <c r="N1254" s="138"/>
      <c r="O1254" s="167"/>
      <c r="P1254" s="111"/>
      <c r="Q1254" s="111"/>
      <c r="R1254" s="111"/>
      <c r="S1254" s="111"/>
      <c r="T1254" s="111"/>
      <c r="U1254" s="111"/>
      <c r="V1254" s="111"/>
      <c r="W1254" s="111"/>
      <c r="X1254" s="111"/>
      <c r="Y1254" s="111"/>
      <c r="Z1254" s="111"/>
      <c r="AA1254" s="111"/>
    </row>
    <row r="1255" spans="1:27" s="147" customFormat="1" x14ac:dyDescent="0.2">
      <c r="A1255" s="184"/>
      <c r="B1255" s="184"/>
      <c r="C1255" s="185"/>
      <c r="D1255" s="337"/>
      <c r="E1255" s="184"/>
      <c r="F1255" s="338"/>
      <c r="G1255" s="338"/>
      <c r="H1255" s="338"/>
      <c r="I1255" s="257"/>
      <c r="J1255" s="338"/>
      <c r="K1255" s="131">
        <f>J1257</f>
        <v>0</v>
      </c>
      <c r="L1255" s="131">
        <v>14.55</v>
      </c>
      <c r="M1255" s="131">
        <f>ROUND(L1255*(1+$Q$5),2)</f>
        <v>18.41</v>
      </c>
      <c r="N1255" s="133">
        <f>TRUNC(K1255*M1255,2)</f>
        <v>0</v>
      </c>
      <c r="O1255" s="286"/>
      <c r="P1255" s="146"/>
      <c r="Q1255" s="146"/>
      <c r="R1255" s="146"/>
      <c r="S1255" s="146"/>
      <c r="T1255" s="146"/>
      <c r="U1255" s="146"/>
      <c r="V1255" s="146"/>
      <c r="W1255" s="146"/>
      <c r="X1255" s="146"/>
      <c r="Y1255" s="146"/>
      <c r="Z1255" s="146"/>
      <c r="AA1255" s="146"/>
    </row>
    <row r="1256" spans="1:27" s="118" customFormat="1" x14ac:dyDescent="0.2">
      <c r="A1256" s="10"/>
      <c r="B1256" s="10"/>
      <c r="C1256" s="10"/>
      <c r="D1256" s="115"/>
      <c r="E1256" s="158"/>
      <c r="F1256" s="267"/>
      <c r="G1256" s="267"/>
      <c r="H1256" s="267"/>
      <c r="I1256" s="250"/>
      <c r="J1256" s="267"/>
      <c r="K1256" s="137"/>
      <c r="L1256" s="137"/>
      <c r="M1256" s="137"/>
      <c r="N1256" s="138"/>
      <c r="O1256" s="167"/>
      <c r="P1256" s="111"/>
      <c r="Q1256" s="111"/>
      <c r="R1256" s="111"/>
      <c r="S1256" s="111"/>
      <c r="T1256" s="111"/>
      <c r="U1256" s="111"/>
      <c r="V1256" s="111"/>
      <c r="W1256" s="111"/>
      <c r="X1256" s="111"/>
      <c r="Y1256" s="111"/>
      <c r="Z1256" s="111"/>
      <c r="AA1256" s="111"/>
    </row>
    <row r="1257" spans="1:27" s="118" customFormat="1" x14ac:dyDescent="0.2">
      <c r="A1257" s="10"/>
      <c r="B1257" s="10"/>
      <c r="C1257" s="190"/>
      <c r="D1257" s="110"/>
      <c r="E1257" s="158"/>
      <c r="F1257" s="267"/>
      <c r="G1257" s="267"/>
      <c r="H1257" s="267"/>
      <c r="I1257" s="250"/>
      <c r="J1257" s="338"/>
      <c r="K1257" s="137"/>
      <c r="L1257" s="137"/>
      <c r="M1257" s="137"/>
      <c r="N1257" s="138"/>
      <c r="O1257" s="167"/>
      <c r="P1257" s="111"/>
      <c r="Q1257" s="111"/>
      <c r="R1257" s="111"/>
      <c r="S1257" s="111"/>
      <c r="T1257" s="111"/>
      <c r="U1257" s="111"/>
      <c r="V1257" s="111"/>
      <c r="W1257" s="111"/>
      <c r="X1257" s="111"/>
      <c r="Y1257" s="111"/>
      <c r="Z1257" s="111"/>
      <c r="AA1257" s="111"/>
    </row>
    <row r="1258" spans="1:27" s="118" customFormat="1" x14ac:dyDescent="0.2">
      <c r="A1258" s="10"/>
      <c r="B1258" s="10"/>
      <c r="C1258" s="191"/>
      <c r="D1258" s="110"/>
      <c r="E1258" s="158"/>
      <c r="F1258" s="267"/>
      <c r="G1258" s="267"/>
      <c r="H1258" s="267"/>
      <c r="I1258" s="250"/>
      <c r="J1258" s="263"/>
      <c r="K1258" s="137"/>
      <c r="L1258" s="137"/>
      <c r="M1258" s="137"/>
      <c r="N1258" s="138"/>
      <c r="O1258" s="167"/>
      <c r="P1258" s="111"/>
      <c r="Q1258" s="111"/>
      <c r="R1258" s="111"/>
      <c r="S1258" s="111"/>
      <c r="T1258" s="111"/>
      <c r="U1258" s="111"/>
      <c r="V1258" s="111"/>
      <c r="W1258" s="111"/>
      <c r="X1258" s="111"/>
      <c r="Y1258" s="111"/>
      <c r="Z1258" s="111"/>
      <c r="AA1258" s="111"/>
    </row>
    <row r="1259" spans="1:27" s="145" customFormat="1" x14ac:dyDescent="0.2">
      <c r="A1259" s="192"/>
      <c r="B1259" s="192"/>
      <c r="C1259" s="193"/>
      <c r="D1259" s="336"/>
      <c r="E1259" s="192"/>
      <c r="F1259" s="269"/>
      <c r="G1259" s="269"/>
      <c r="H1259" s="269"/>
      <c r="I1259" s="254"/>
      <c r="J1259" s="269"/>
      <c r="K1259" s="142"/>
      <c r="L1259" s="142"/>
      <c r="M1259" s="142"/>
      <c r="N1259" s="143">
        <f>SUM(N1261:N1272)</f>
        <v>0</v>
      </c>
      <c r="O1259" s="285"/>
      <c r="P1259" s="144"/>
      <c r="Q1259" s="144"/>
      <c r="R1259" s="144"/>
      <c r="S1259" s="144"/>
      <c r="T1259" s="144"/>
      <c r="U1259" s="144"/>
      <c r="V1259" s="144"/>
      <c r="W1259" s="144"/>
      <c r="X1259" s="144"/>
      <c r="Y1259" s="144"/>
      <c r="Z1259" s="144"/>
      <c r="AA1259" s="144"/>
    </row>
    <row r="1260" spans="1:27" s="118" customFormat="1" x14ac:dyDescent="0.2">
      <c r="A1260" s="10"/>
      <c r="B1260" s="10"/>
      <c r="C1260" s="191"/>
      <c r="D1260" s="110"/>
      <c r="E1260" s="158"/>
      <c r="F1260" s="267"/>
      <c r="G1260" s="267"/>
      <c r="H1260" s="267"/>
      <c r="I1260" s="250"/>
      <c r="J1260" s="263"/>
      <c r="K1260" s="137"/>
      <c r="L1260" s="137"/>
      <c r="M1260" s="137"/>
      <c r="N1260" s="138"/>
      <c r="O1260" s="167"/>
      <c r="P1260" s="111"/>
      <c r="Q1260" s="111"/>
      <c r="R1260" s="111"/>
      <c r="S1260" s="111"/>
      <c r="T1260" s="111"/>
      <c r="U1260" s="111"/>
      <c r="V1260" s="111"/>
      <c r="W1260" s="111"/>
      <c r="X1260" s="111"/>
      <c r="Y1260" s="111"/>
      <c r="Z1260" s="111"/>
      <c r="AA1260" s="111"/>
    </row>
    <row r="1261" spans="1:27" s="147" customFormat="1" x14ac:dyDescent="0.2">
      <c r="A1261" s="184"/>
      <c r="B1261" s="184"/>
      <c r="C1261" s="185"/>
      <c r="D1261" s="337"/>
      <c r="E1261" s="184"/>
      <c r="F1261" s="338"/>
      <c r="G1261" s="338"/>
      <c r="H1261" s="338"/>
      <c r="I1261" s="257"/>
      <c r="J1261" s="338"/>
      <c r="K1261" s="131">
        <f>J1263</f>
        <v>0</v>
      </c>
      <c r="L1261" s="131">
        <v>8.1199999999999992</v>
      </c>
      <c r="M1261" s="131">
        <f>ROUND(L1261*(1+$Q$5),2)</f>
        <v>10.27</v>
      </c>
      <c r="N1261" s="133">
        <f>TRUNC(K1261*M1261,2)</f>
        <v>0</v>
      </c>
      <c r="O1261" s="286"/>
      <c r="P1261" s="146"/>
      <c r="Q1261" s="146"/>
      <c r="R1261" s="146"/>
      <c r="S1261" s="146"/>
      <c r="T1261" s="146"/>
      <c r="U1261" s="146"/>
      <c r="V1261" s="146"/>
      <c r="W1261" s="146"/>
      <c r="X1261" s="146"/>
      <c r="Y1261" s="146"/>
      <c r="Z1261" s="146"/>
      <c r="AA1261" s="146"/>
    </row>
    <row r="1262" spans="1:27" s="118" customFormat="1" x14ac:dyDescent="0.2">
      <c r="A1262" s="10"/>
      <c r="B1262" s="10"/>
      <c r="C1262" s="191"/>
      <c r="D1262" s="115"/>
      <c r="E1262" s="158"/>
      <c r="F1262" s="267"/>
      <c r="G1262" s="267"/>
      <c r="H1262" s="267"/>
      <c r="I1262" s="250"/>
      <c r="J1262" s="267"/>
      <c r="K1262" s="137"/>
      <c r="L1262" s="137"/>
      <c r="M1262" s="137"/>
      <c r="N1262" s="138"/>
      <c r="O1262" s="167"/>
      <c r="P1262" s="111"/>
      <c r="Q1262" s="111"/>
      <c r="R1262" s="111"/>
      <c r="S1262" s="111"/>
      <c r="T1262" s="111"/>
      <c r="U1262" s="111"/>
      <c r="V1262" s="111"/>
      <c r="W1262" s="111"/>
      <c r="X1262" s="111"/>
      <c r="Y1262" s="111"/>
      <c r="Z1262" s="111"/>
      <c r="AA1262" s="111"/>
    </row>
    <row r="1263" spans="1:27" s="118" customFormat="1" x14ac:dyDescent="0.2">
      <c r="A1263" s="10"/>
      <c r="B1263" s="10"/>
      <c r="C1263" s="190"/>
      <c r="D1263" s="110"/>
      <c r="E1263" s="158"/>
      <c r="F1263" s="267"/>
      <c r="G1263" s="267"/>
      <c r="H1263" s="267"/>
      <c r="I1263" s="250"/>
      <c r="J1263" s="338"/>
      <c r="K1263" s="137"/>
      <c r="L1263" s="137"/>
      <c r="M1263" s="137"/>
      <c r="N1263" s="138"/>
      <c r="O1263" s="167"/>
      <c r="P1263" s="111"/>
      <c r="Q1263" s="111"/>
      <c r="R1263" s="111"/>
      <c r="S1263" s="111"/>
      <c r="T1263" s="111"/>
      <c r="U1263" s="111"/>
      <c r="V1263" s="111"/>
      <c r="W1263" s="111"/>
      <c r="X1263" s="111"/>
      <c r="Y1263" s="111"/>
      <c r="Z1263" s="111"/>
      <c r="AA1263" s="111"/>
    </row>
    <row r="1264" spans="1:27" s="139" customFormat="1" x14ac:dyDescent="0.2">
      <c r="A1264" s="10"/>
      <c r="B1264" s="10"/>
      <c r="C1264" s="15"/>
      <c r="D1264" s="117"/>
      <c r="E1264" s="10"/>
      <c r="F1264" s="263"/>
      <c r="G1264" s="263"/>
      <c r="H1264" s="263"/>
      <c r="I1264" s="250"/>
      <c r="J1264" s="263"/>
      <c r="K1264" s="137"/>
      <c r="L1264" s="137"/>
      <c r="M1264" s="137"/>
      <c r="N1264" s="138"/>
      <c r="O1264" s="283"/>
      <c r="P1264" s="120"/>
      <c r="Q1264" s="120"/>
      <c r="R1264" s="120"/>
      <c r="S1264" s="120"/>
      <c r="T1264" s="120"/>
      <c r="U1264" s="120"/>
      <c r="V1264" s="120"/>
      <c r="W1264" s="120"/>
      <c r="X1264" s="120"/>
      <c r="Y1264" s="120"/>
      <c r="Z1264" s="120"/>
      <c r="AA1264" s="120"/>
    </row>
    <row r="1265" spans="1:27" s="147" customFormat="1" x14ac:dyDescent="0.2">
      <c r="A1265" s="184"/>
      <c r="B1265" s="184"/>
      <c r="C1265" s="185"/>
      <c r="D1265" s="337"/>
      <c r="E1265" s="184"/>
      <c r="F1265" s="338"/>
      <c r="G1265" s="338"/>
      <c r="H1265" s="338"/>
      <c r="I1265" s="257"/>
      <c r="J1265" s="338"/>
      <c r="K1265" s="131">
        <f>J1267</f>
        <v>0</v>
      </c>
      <c r="L1265" s="131">
        <v>47.41</v>
      </c>
      <c r="M1265" s="131">
        <f>ROUND(L1265*(1+$Q$5),2)</f>
        <v>59.99</v>
      </c>
      <c r="N1265" s="133">
        <f>TRUNC(K1265*M1265,2)</f>
        <v>0</v>
      </c>
      <c r="O1265" s="286"/>
      <c r="P1265" s="146"/>
      <c r="Q1265" s="146"/>
      <c r="R1265" s="146"/>
      <c r="S1265" s="146"/>
      <c r="T1265" s="146"/>
      <c r="U1265" s="146"/>
      <c r="V1265" s="146"/>
      <c r="W1265" s="146"/>
      <c r="X1265" s="146"/>
      <c r="Y1265" s="146"/>
      <c r="Z1265" s="146"/>
      <c r="AA1265" s="146"/>
    </row>
    <row r="1266" spans="1:27" s="118" customFormat="1" x14ac:dyDescent="0.2">
      <c r="A1266" s="10"/>
      <c r="B1266" s="10"/>
      <c r="C1266" s="191"/>
      <c r="D1266" s="115"/>
      <c r="E1266" s="158"/>
      <c r="F1266" s="267"/>
      <c r="G1266" s="267"/>
      <c r="H1266" s="267"/>
      <c r="I1266" s="250"/>
      <c r="J1266" s="267"/>
      <c r="K1266" s="137"/>
      <c r="L1266" s="137"/>
      <c r="M1266" s="137"/>
      <c r="N1266" s="138"/>
      <c r="O1266" s="167"/>
      <c r="P1266" s="111"/>
      <c r="Q1266" s="111"/>
      <c r="R1266" s="111"/>
      <c r="S1266" s="111"/>
      <c r="T1266" s="111"/>
      <c r="U1266" s="111"/>
      <c r="V1266" s="111"/>
      <c r="W1266" s="111"/>
      <c r="X1266" s="111"/>
      <c r="Y1266" s="111"/>
      <c r="Z1266" s="111"/>
      <c r="AA1266" s="111"/>
    </row>
    <row r="1267" spans="1:27" s="118" customFormat="1" x14ac:dyDescent="0.2">
      <c r="A1267" s="10"/>
      <c r="B1267" s="10"/>
      <c r="C1267" s="190"/>
      <c r="D1267" s="110"/>
      <c r="E1267" s="158"/>
      <c r="F1267" s="267"/>
      <c r="G1267" s="267"/>
      <c r="H1267" s="267"/>
      <c r="I1267" s="250"/>
      <c r="J1267" s="338"/>
      <c r="K1267" s="137"/>
      <c r="L1267" s="137"/>
      <c r="M1267" s="137"/>
      <c r="N1267" s="138"/>
      <c r="O1267" s="167"/>
      <c r="P1267" s="111"/>
      <c r="Q1267" s="111"/>
      <c r="R1267" s="111"/>
      <c r="S1267" s="111"/>
      <c r="T1267" s="111"/>
      <c r="U1267" s="111"/>
      <c r="V1267" s="111"/>
      <c r="W1267" s="111"/>
      <c r="X1267" s="111"/>
      <c r="Y1267" s="111"/>
      <c r="Z1267" s="111"/>
      <c r="AA1267" s="111"/>
    </row>
    <row r="1268" spans="1:27" s="139" customFormat="1" x14ac:dyDescent="0.2">
      <c r="A1268" s="10"/>
      <c r="B1268" s="10"/>
      <c r="C1268" s="15"/>
      <c r="D1268" s="117"/>
      <c r="E1268" s="10"/>
      <c r="F1268" s="263"/>
      <c r="G1268" s="263"/>
      <c r="H1268" s="263"/>
      <c r="I1268" s="250"/>
      <c r="J1268" s="263"/>
      <c r="K1268" s="137"/>
      <c r="L1268" s="137"/>
      <c r="M1268" s="137"/>
      <c r="N1268" s="138"/>
      <c r="O1268" s="283"/>
      <c r="P1268" s="120"/>
      <c r="Q1268" s="120"/>
      <c r="R1268" s="120"/>
      <c r="S1268" s="120"/>
      <c r="T1268" s="120"/>
      <c r="U1268" s="120"/>
      <c r="V1268" s="120"/>
      <c r="W1268" s="120"/>
      <c r="X1268" s="120"/>
      <c r="Y1268" s="120"/>
      <c r="Z1268" s="120"/>
      <c r="AA1268" s="120"/>
    </row>
    <row r="1269" spans="1:27" s="147" customFormat="1" x14ac:dyDescent="0.2">
      <c r="A1269" s="184"/>
      <c r="B1269" s="184"/>
      <c r="C1269" s="185"/>
      <c r="D1269" s="337"/>
      <c r="E1269" s="184"/>
      <c r="F1269" s="338"/>
      <c r="G1269" s="338"/>
      <c r="H1269" s="338"/>
      <c r="I1269" s="257"/>
      <c r="J1269" s="338"/>
      <c r="K1269" s="131">
        <f>J1271</f>
        <v>0</v>
      </c>
      <c r="L1269" s="131">
        <v>168.74</v>
      </c>
      <c r="M1269" s="131">
        <f>ROUND(L1269*(1+$Q$5),2)</f>
        <v>213.51</v>
      </c>
      <c r="N1269" s="133">
        <f>TRUNC(K1269*M1269,2)</f>
        <v>0</v>
      </c>
      <c r="O1269" s="286"/>
      <c r="P1269" s="146"/>
      <c r="Q1269" s="146"/>
      <c r="R1269" s="146"/>
      <c r="S1269" s="146"/>
      <c r="T1269" s="146"/>
      <c r="U1269" s="146"/>
      <c r="V1269" s="146"/>
      <c r="W1269" s="146"/>
      <c r="X1269" s="146"/>
      <c r="Y1269" s="146"/>
      <c r="Z1269" s="146"/>
      <c r="AA1269" s="146"/>
    </row>
    <row r="1270" spans="1:27" s="118" customFormat="1" x14ac:dyDescent="0.2">
      <c r="A1270" s="10"/>
      <c r="B1270" s="10"/>
      <c r="C1270" s="191"/>
      <c r="D1270" s="115"/>
      <c r="E1270" s="158"/>
      <c r="F1270" s="267"/>
      <c r="G1270" s="267"/>
      <c r="H1270" s="267"/>
      <c r="I1270" s="250"/>
      <c r="J1270" s="267"/>
      <c r="K1270" s="137"/>
      <c r="L1270" s="137"/>
      <c r="M1270" s="137"/>
      <c r="N1270" s="138"/>
      <c r="O1270" s="167"/>
      <c r="P1270" s="111"/>
      <c r="Q1270" s="111"/>
      <c r="R1270" s="111"/>
      <c r="S1270" s="111"/>
      <c r="T1270" s="111"/>
      <c r="U1270" s="111"/>
      <c r="V1270" s="111"/>
      <c r="W1270" s="111"/>
      <c r="X1270" s="111"/>
      <c r="Y1270" s="111"/>
      <c r="Z1270" s="111"/>
      <c r="AA1270" s="111"/>
    </row>
    <row r="1271" spans="1:27" s="118" customFormat="1" x14ac:dyDescent="0.2">
      <c r="A1271" s="10"/>
      <c r="B1271" s="10"/>
      <c r="C1271" s="190"/>
      <c r="D1271" s="110"/>
      <c r="E1271" s="158"/>
      <c r="F1271" s="267"/>
      <c r="G1271" s="267"/>
      <c r="H1271" s="267"/>
      <c r="I1271" s="250"/>
      <c r="J1271" s="338"/>
      <c r="K1271" s="137"/>
      <c r="L1271" s="137"/>
      <c r="M1271" s="137"/>
      <c r="N1271" s="138"/>
      <c r="O1271" s="167"/>
      <c r="P1271" s="111"/>
      <c r="Q1271" s="111"/>
      <c r="R1271" s="111"/>
      <c r="S1271" s="111"/>
      <c r="T1271" s="111"/>
      <c r="U1271" s="111"/>
      <c r="V1271" s="111"/>
      <c r="W1271" s="111"/>
      <c r="X1271" s="111"/>
      <c r="Y1271" s="111"/>
      <c r="Z1271" s="111"/>
      <c r="AA1271" s="111"/>
    </row>
    <row r="1272" spans="1:27" s="139" customFormat="1" x14ac:dyDescent="0.2">
      <c r="A1272" s="10"/>
      <c r="B1272" s="10"/>
      <c r="C1272" s="15"/>
      <c r="D1272" s="117"/>
      <c r="E1272" s="10"/>
      <c r="F1272" s="263"/>
      <c r="G1272" s="263"/>
      <c r="H1272" s="263"/>
      <c r="I1272" s="250"/>
      <c r="J1272" s="263"/>
      <c r="K1272" s="137"/>
      <c r="L1272" s="137"/>
      <c r="M1272" s="137"/>
      <c r="N1272" s="138"/>
      <c r="O1272" s="283"/>
      <c r="P1272" s="120"/>
      <c r="Q1272" s="120"/>
      <c r="R1272" s="120"/>
      <c r="S1272" s="120"/>
      <c r="T1272" s="120"/>
      <c r="U1272" s="120"/>
      <c r="V1272" s="120"/>
      <c r="W1272" s="120"/>
      <c r="X1272" s="120"/>
      <c r="Y1272" s="120"/>
      <c r="Z1272" s="120"/>
      <c r="AA1272" s="120"/>
    </row>
    <row r="1273" spans="1:27" s="145" customFormat="1" x14ac:dyDescent="0.2">
      <c r="A1273" s="192"/>
      <c r="B1273" s="192"/>
      <c r="C1273" s="193"/>
      <c r="D1273" s="336"/>
      <c r="E1273" s="192"/>
      <c r="F1273" s="269"/>
      <c r="G1273" s="269"/>
      <c r="H1273" s="269"/>
      <c r="I1273" s="254"/>
      <c r="J1273" s="269"/>
      <c r="K1273" s="142"/>
      <c r="L1273" s="142"/>
      <c r="M1273" s="142"/>
      <c r="N1273" s="143">
        <f>SUM(N1275:N1281)</f>
        <v>0</v>
      </c>
      <c r="O1273" s="285"/>
      <c r="P1273" s="144"/>
      <c r="Q1273" s="144"/>
      <c r="R1273" s="144"/>
      <c r="S1273" s="144"/>
      <c r="T1273" s="144"/>
      <c r="U1273" s="144"/>
      <c r="V1273" s="144"/>
      <c r="W1273" s="144"/>
      <c r="X1273" s="144"/>
      <c r="Y1273" s="144"/>
      <c r="Z1273" s="144"/>
      <c r="AA1273" s="144"/>
    </row>
    <row r="1274" spans="1:27" s="139" customFormat="1" x14ac:dyDescent="0.2">
      <c r="A1274" s="10"/>
      <c r="B1274" s="10"/>
      <c r="C1274" s="15"/>
      <c r="D1274" s="117"/>
      <c r="E1274" s="10"/>
      <c r="F1274" s="263"/>
      <c r="G1274" s="263"/>
      <c r="H1274" s="263"/>
      <c r="I1274" s="250"/>
      <c r="J1274" s="263"/>
      <c r="K1274" s="137"/>
      <c r="L1274" s="137"/>
      <c r="M1274" s="137"/>
      <c r="N1274" s="138"/>
      <c r="O1274" s="283"/>
      <c r="P1274" s="120"/>
      <c r="Q1274" s="120"/>
      <c r="R1274" s="120"/>
      <c r="S1274" s="120"/>
      <c r="T1274" s="120"/>
      <c r="U1274" s="120"/>
      <c r="V1274" s="120"/>
      <c r="W1274" s="120"/>
      <c r="X1274" s="120"/>
      <c r="Y1274" s="120"/>
      <c r="Z1274" s="120"/>
      <c r="AA1274" s="120"/>
    </row>
    <row r="1275" spans="1:27" s="147" customFormat="1" x14ac:dyDescent="0.2">
      <c r="A1275" s="184"/>
      <c r="B1275" s="184"/>
      <c r="C1275" s="185"/>
      <c r="D1275" s="337"/>
      <c r="E1275" s="184"/>
      <c r="F1275" s="338"/>
      <c r="G1275" s="338"/>
      <c r="H1275" s="338"/>
      <c r="I1275" s="257"/>
      <c r="J1275" s="338"/>
      <c r="K1275" s="131">
        <f>J1280</f>
        <v>0</v>
      </c>
      <c r="L1275" s="131">
        <v>287.51</v>
      </c>
      <c r="M1275" s="131">
        <f>ROUND(L1275*(1+$Q$5),2)</f>
        <v>363.79</v>
      </c>
      <c r="N1275" s="133">
        <f>TRUNC(K1275*M1275,2)</f>
        <v>0</v>
      </c>
      <c r="O1275" s="286"/>
      <c r="P1275" s="146"/>
      <c r="Q1275" s="146"/>
      <c r="R1275" s="146"/>
      <c r="S1275" s="146"/>
      <c r="T1275" s="146"/>
      <c r="U1275" s="146"/>
      <c r="V1275" s="146"/>
      <c r="W1275" s="146"/>
      <c r="X1275" s="146"/>
      <c r="Y1275" s="146"/>
      <c r="Z1275" s="146"/>
      <c r="AA1275" s="146"/>
    </row>
    <row r="1276" spans="1:27" s="118" customFormat="1" x14ac:dyDescent="0.2">
      <c r="A1276" s="10"/>
      <c r="B1276" s="10"/>
      <c r="C1276" s="191"/>
      <c r="D1276" s="115"/>
      <c r="E1276" s="158"/>
      <c r="F1276" s="267"/>
      <c r="G1276" s="267"/>
      <c r="H1276" s="267"/>
      <c r="I1276" s="339"/>
      <c r="J1276" s="267"/>
      <c r="K1276" s="137"/>
      <c r="L1276" s="137"/>
      <c r="M1276" s="137"/>
      <c r="N1276" s="138"/>
      <c r="O1276" s="167"/>
      <c r="P1276" s="111"/>
      <c r="Q1276" s="111"/>
      <c r="R1276" s="111"/>
      <c r="S1276" s="111"/>
      <c r="T1276" s="111"/>
      <c r="U1276" s="111"/>
      <c r="V1276" s="111"/>
      <c r="W1276" s="111"/>
      <c r="X1276" s="111"/>
      <c r="Y1276" s="111"/>
      <c r="Z1276" s="111"/>
      <c r="AA1276" s="111"/>
    </row>
    <row r="1277" spans="1:27" s="118" customFormat="1" x14ac:dyDescent="0.2">
      <c r="A1277" s="10"/>
      <c r="B1277" s="10"/>
      <c r="C1277" s="191"/>
      <c r="D1277" s="115"/>
      <c r="E1277" s="158"/>
      <c r="F1277" s="267"/>
      <c r="G1277" s="267"/>
      <c r="H1277" s="267"/>
      <c r="I1277" s="339"/>
      <c r="J1277" s="267"/>
      <c r="K1277" s="137"/>
      <c r="L1277" s="137"/>
      <c r="M1277" s="137"/>
      <c r="N1277" s="138"/>
      <c r="O1277" s="167"/>
      <c r="P1277" s="111"/>
      <c r="Q1277" s="111"/>
      <c r="R1277" s="111"/>
      <c r="S1277" s="111"/>
      <c r="T1277" s="111"/>
      <c r="U1277" s="111"/>
      <c r="V1277" s="111"/>
      <c r="W1277" s="111"/>
      <c r="X1277" s="111"/>
      <c r="Y1277" s="111"/>
      <c r="Z1277" s="111"/>
      <c r="AA1277" s="111"/>
    </row>
    <row r="1278" spans="1:27" s="118" customFormat="1" x14ac:dyDescent="0.2">
      <c r="A1278" s="10"/>
      <c r="B1278" s="10"/>
      <c r="C1278" s="191"/>
      <c r="D1278" s="115"/>
      <c r="E1278" s="158"/>
      <c r="F1278" s="267"/>
      <c r="G1278" s="267"/>
      <c r="H1278" s="267"/>
      <c r="I1278" s="339"/>
      <c r="J1278" s="267"/>
      <c r="K1278" s="137"/>
      <c r="L1278" s="137"/>
      <c r="M1278" s="137"/>
      <c r="N1278" s="138"/>
      <c r="O1278" s="167"/>
      <c r="P1278" s="111"/>
      <c r="Q1278" s="111"/>
      <c r="R1278" s="111"/>
      <c r="S1278" s="111"/>
      <c r="T1278" s="111"/>
      <c r="U1278" s="111"/>
      <c r="V1278" s="111"/>
      <c r="W1278" s="111"/>
      <c r="X1278" s="111"/>
      <c r="Y1278" s="111"/>
      <c r="Z1278" s="111"/>
      <c r="AA1278" s="111"/>
    </row>
    <row r="1279" spans="1:27" s="118" customFormat="1" x14ac:dyDescent="0.2">
      <c r="A1279" s="10"/>
      <c r="B1279" s="10"/>
      <c r="C1279" s="191"/>
      <c r="D1279" s="115"/>
      <c r="E1279" s="158"/>
      <c r="F1279" s="267"/>
      <c r="G1279" s="267"/>
      <c r="H1279" s="267"/>
      <c r="I1279" s="339"/>
      <c r="J1279" s="267"/>
      <c r="K1279" s="137"/>
      <c r="L1279" s="137"/>
      <c r="M1279" s="137"/>
      <c r="N1279" s="138"/>
      <c r="O1279" s="167"/>
      <c r="P1279" s="111"/>
      <c r="Q1279" s="111"/>
      <c r="R1279" s="111"/>
      <c r="S1279" s="111"/>
      <c r="T1279" s="111"/>
      <c r="U1279" s="111"/>
      <c r="V1279" s="111"/>
      <c r="W1279" s="111"/>
      <c r="X1279" s="111"/>
      <c r="Y1279" s="111"/>
      <c r="Z1279" s="111"/>
      <c r="AA1279" s="111"/>
    </row>
    <row r="1280" spans="1:27" s="118" customFormat="1" x14ac:dyDescent="0.2">
      <c r="A1280" s="10"/>
      <c r="B1280" s="10"/>
      <c r="C1280" s="190"/>
      <c r="D1280" s="110"/>
      <c r="E1280" s="158"/>
      <c r="F1280" s="267"/>
      <c r="G1280" s="267"/>
      <c r="H1280" s="267"/>
      <c r="I1280" s="250"/>
      <c r="J1280" s="338"/>
      <c r="K1280" s="137"/>
      <c r="L1280" s="137"/>
      <c r="M1280" s="137"/>
      <c r="N1280" s="138"/>
      <c r="O1280" s="167"/>
      <c r="P1280" s="111"/>
      <c r="Q1280" s="111"/>
      <c r="R1280" s="111"/>
      <c r="S1280" s="111"/>
      <c r="T1280" s="111"/>
      <c r="U1280" s="111"/>
      <c r="V1280" s="111"/>
      <c r="W1280" s="111"/>
      <c r="X1280" s="111"/>
      <c r="Y1280" s="111"/>
      <c r="Z1280" s="111"/>
      <c r="AA1280" s="111"/>
    </row>
    <row r="1281" spans="1:27" s="118" customFormat="1" x14ac:dyDescent="0.2">
      <c r="A1281" s="10"/>
      <c r="B1281" s="10"/>
      <c r="C1281" s="190"/>
      <c r="D1281" s="110"/>
      <c r="E1281" s="158"/>
      <c r="F1281" s="267"/>
      <c r="G1281" s="267"/>
      <c r="H1281" s="267"/>
      <c r="I1281" s="250"/>
      <c r="J1281" s="250"/>
      <c r="K1281" s="137"/>
      <c r="L1281" s="137"/>
      <c r="M1281" s="137"/>
      <c r="N1281" s="138"/>
      <c r="O1281" s="167"/>
      <c r="P1281" s="111"/>
      <c r="Q1281" s="111"/>
      <c r="R1281" s="111"/>
      <c r="S1281" s="111"/>
      <c r="T1281" s="111"/>
      <c r="U1281" s="111"/>
      <c r="V1281" s="111"/>
      <c r="W1281" s="111"/>
      <c r="X1281" s="111"/>
      <c r="Y1281" s="111"/>
      <c r="Z1281" s="111"/>
      <c r="AA1281" s="111"/>
    </row>
    <row r="1282" spans="1:27" s="145" customFormat="1" x14ac:dyDescent="0.2">
      <c r="A1282" s="192"/>
      <c r="B1282" s="192"/>
      <c r="C1282" s="193"/>
      <c r="D1282" s="336"/>
      <c r="E1282" s="192"/>
      <c r="F1282" s="269"/>
      <c r="G1282" s="269"/>
      <c r="H1282" s="269"/>
      <c r="I1282" s="254"/>
      <c r="J1282" s="269"/>
      <c r="K1282" s="142"/>
      <c r="L1282" s="142"/>
      <c r="M1282" s="142"/>
      <c r="N1282" s="143">
        <f>SUM(N1284:N1291)</f>
        <v>0</v>
      </c>
      <c r="O1282" s="285"/>
      <c r="P1282" s="144"/>
      <c r="Q1282" s="144"/>
      <c r="R1282" s="144"/>
      <c r="S1282" s="144"/>
      <c r="T1282" s="144"/>
      <c r="U1282" s="144"/>
      <c r="V1282" s="144"/>
      <c r="W1282" s="144"/>
      <c r="X1282" s="144"/>
      <c r="Y1282" s="144"/>
      <c r="Z1282" s="144"/>
      <c r="AA1282" s="144"/>
    </row>
    <row r="1283" spans="1:27" s="118" customFormat="1" x14ac:dyDescent="0.2">
      <c r="A1283" s="10"/>
      <c r="B1283" s="10"/>
      <c r="C1283" s="190"/>
      <c r="D1283" s="110"/>
      <c r="E1283" s="158"/>
      <c r="F1283" s="267"/>
      <c r="G1283" s="267"/>
      <c r="H1283" s="267"/>
      <c r="I1283" s="250"/>
      <c r="J1283" s="250"/>
      <c r="K1283" s="137"/>
      <c r="L1283" s="137"/>
      <c r="M1283" s="137"/>
      <c r="N1283" s="138"/>
      <c r="O1283" s="167"/>
      <c r="P1283" s="111"/>
      <c r="Q1283" s="111"/>
      <c r="R1283" s="111"/>
      <c r="S1283" s="111"/>
      <c r="T1283" s="111"/>
      <c r="U1283" s="111"/>
      <c r="V1283" s="111"/>
      <c r="W1283" s="111"/>
      <c r="X1283" s="111"/>
      <c r="Y1283" s="111"/>
      <c r="Z1283" s="111"/>
      <c r="AA1283" s="111"/>
    </row>
    <row r="1284" spans="1:27" s="147" customFormat="1" x14ac:dyDescent="0.2">
      <c r="A1284" s="184"/>
      <c r="B1284" s="184"/>
      <c r="C1284" s="185"/>
      <c r="D1284" s="337"/>
      <c r="E1284" s="346"/>
      <c r="F1284" s="338"/>
      <c r="G1284" s="338"/>
      <c r="H1284" s="338"/>
      <c r="I1284" s="257"/>
      <c r="J1284" s="338"/>
      <c r="K1284" s="131">
        <f>J1290</f>
        <v>0</v>
      </c>
      <c r="L1284" s="131">
        <v>13.42</v>
      </c>
      <c r="M1284" s="131">
        <f>ROUND(L1284*(1+$Q$5),2)</f>
        <v>16.98</v>
      </c>
      <c r="N1284" s="133">
        <f>TRUNC(K1284*M1284,2)</f>
        <v>0</v>
      </c>
      <c r="O1284" s="286"/>
      <c r="P1284" s="146"/>
      <c r="Q1284" s="146"/>
      <c r="R1284" s="146"/>
      <c r="S1284" s="146"/>
      <c r="T1284" s="146"/>
      <c r="U1284" s="146"/>
      <c r="V1284" s="146"/>
      <c r="W1284" s="146"/>
      <c r="X1284" s="146"/>
      <c r="Y1284" s="146"/>
      <c r="Z1284" s="146"/>
      <c r="AA1284" s="146"/>
    </row>
    <row r="1285" spans="1:27" s="118" customFormat="1" x14ac:dyDescent="0.2">
      <c r="A1285" s="10"/>
      <c r="B1285" s="10"/>
      <c r="C1285" s="191"/>
      <c r="D1285" s="343"/>
      <c r="E1285" s="158"/>
      <c r="F1285" s="267"/>
      <c r="G1285" s="267"/>
      <c r="H1285" s="267"/>
      <c r="I1285" s="339"/>
      <c r="J1285" s="267"/>
      <c r="K1285" s="137"/>
      <c r="L1285" s="137"/>
      <c r="M1285" s="137"/>
      <c r="N1285" s="138"/>
      <c r="O1285" s="167"/>
      <c r="P1285" s="111"/>
      <c r="Q1285" s="111"/>
      <c r="R1285" s="111"/>
      <c r="S1285" s="111"/>
      <c r="T1285" s="111"/>
      <c r="U1285" s="111"/>
      <c r="V1285" s="111"/>
      <c r="W1285" s="111"/>
      <c r="X1285" s="111"/>
      <c r="Y1285" s="111"/>
      <c r="Z1285" s="111"/>
      <c r="AA1285" s="111"/>
    </row>
    <row r="1286" spans="1:27" s="118" customFormat="1" x14ac:dyDescent="0.2">
      <c r="A1286" s="10"/>
      <c r="B1286" s="10"/>
      <c r="C1286" s="191"/>
      <c r="D1286" s="115"/>
      <c r="E1286" s="158"/>
      <c r="F1286" s="267"/>
      <c r="G1286" s="267"/>
      <c r="H1286" s="267"/>
      <c r="I1286" s="339"/>
      <c r="J1286" s="267"/>
      <c r="K1286" s="137"/>
      <c r="L1286" s="137"/>
      <c r="M1286" s="137"/>
      <c r="N1286" s="138"/>
      <c r="O1286" s="167"/>
      <c r="P1286" s="111"/>
      <c r="Q1286" s="111"/>
      <c r="R1286" s="111"/>
      <c r="S1286" s="111"/>
      <c r="T1286" s="111"/>
      <c r="U1286" s="111"/>
      <c r="V1286" s="111"/>
      <c r="W1286" s="111"/>
      <c r="X1286" s="111"/>
      <c r="Y1286" s="111"/>
      <c r="Z1286" s="111"/>
      <c r="AA1286" s="111"/>
    </row>
    <row r="1287" spans="1:27" s="118" customFormat="1" x14ac:dyDescent="0.2">
      <c r="A1287" s="10"/>
      <c r="B1287" s="10"/>
      <c r="C1287" s="191"/>
      <c r="D1287" s="115"/>
      <c r="E1287" s="158"/>
      <c r="F1287" s="267"/>
      <c r="G1287" s="267"/>
      <c r="H1287" s="267"/>
      <c r="I1287" s="339"/>
      <c r="J1287" s="267"/>
      <c r="K1287" s="137"/>
      <c r="L1287" s="137"/>
      <c r="M1287" s="137"/>
      <c r="N1287" s="138"/>
      <c r="O1287" s="167"/>
      <c r="P1287" s="111"/>
      <c r="Q1287" s="111"/>
      <c r="R1287" s="111"/>
      <c r="S1287" s="111"/>
      <c r="T1287" s="111"/>
      <c r="U1287" s="111"/>
      <c r="V1287" s="111"/>
      <c r="W1287" s="111"/>
      <c r="X1287" s="111"/>
      <c r="Y1287" s="111"/>
      <c r="Z1287" s="111"/>
      <c r="AA1287" s="111"/>
    </row>
    <row r="1288" spans="1:27" s="118" customFormat="1" x14ac:dyDescent="0.2">
      <c r="A1288" s="10"/>
      <c r="B1288" s="10"/>
      <c r="C1288" s="191"/>
      <c r="D1288" s="115"/>
      <c r="E1288" s="158"/>
      <c r="F1288" s="267"/>
      <c r="G1288" s="267"/>
      <c r="H1288" s="267"/>
      <c r="I1288" s="339"/>
      <c r="J1288" s="267"/>
      <c r="K1288" s="137"/>
      <c r="L1288" s="137"/>
      <c r="M1288" s="137"/>
      <c r="N1288" s="138"/>
      <c r="O1288" s="167"/>
      <c r="P1288" s="111"/>
      <c r="Q1288" s="111"/>
      <c r="R1288" s="111"/>
      <c r="S1288" s="111"/>
      <c r="T1288" s="111"/>
      <c r="U1288" s="111"/>
      <c r="V1288" s="111"/>
      <c r="W1288" s="111"/>
      <c r="X1288" s="111"/>
      <c r="Y1288" s="111"/>
      <c r="Z1288" s="111"/>
      <c r="AA1288" s="111"/>
    </row>
    <row r="1289" spans="1:27" s="118" customFormat="1" x14ac:dyDescent="0.2">
      <c r="A1289" s="10"/>
      <c r="B1289" s="10"/>
      <c r="C1289" s="191"/>
      <c r="D1289" s="115"/>
      <c r="E1289" s="158"/>
      <c r="F1289" s="267"/>
      <c r="G1289" s="267"/>
      <c r="H1289" s="267"/>
      <c r="I1289" s="339"/>
      <c r="J1289" s="267"/>
      <c r="K1289" s="137"/>
      <c r="L1289" s="137"/>
      <c r="M1289" s="137"/>
      <c r="N1289" s="138"/>
      <c r="O1289" s="167"/>
      <c r="P1289" s="111"/>
      <c r="Q1289" s="111"/>
      <c r="R1289" s="111"/>
      <c r="S1289" s="111"/>
      <c r="T1289" s="111"/>
      <c r="U1289" s="111"/>
      <c r="V1289" s="111"/>
      <c r="W1289" s="111"/>
      <c r="X1289" s="111"/>
      <c r="Y1289" s="111"/>
      <c r="Z1289" s="111"/>
      <c r="AA1289" s="111"/>
    </row>
    <row r="1290" spans="1:27" s="118" customFormat="1" x14ac:dyDescent="0.2">
      <c r="A1290" s="10"/>
      <c r="B1290" s="10"/>
      <c r="C1290" s="190"/>
      <c r="D1290" s="110"/>
      <c r="E1290" s="158"/>
      <c r="F1290" s="267"/>
      <c r="G1290" s="267"/>
      <c r="H1290" s="267"/>
      <c r="I1290" s="250"/>
      <c r="J1290" s="338"/>
      <c r="K1290" s="137"/>
      <c r="L1290" s="137"/>
      <c r="M1290" s="137"/>
      <c r="N1290" s="138"/>
      <c r="O1290" s="167"/>
      <c r="P1290" s="111"/>
      <c r="Q1290" s="111"/>
      <c r="R1290" s="111"/>
      <c r="S1290" s="111"/>
      <c r="T1290" s="111"/>
      <c r="U1290" s="111"/>
      <c r="V1290" s="111"/>
      <c r="W1290" s="111"/>
      <c r="X1290" s="111"/>
      <c r="Y1290" s="111"/>
      <c r="Z1290" s="111"/>
      <c r="AA1290" s="111"/>
    </row>
    <row r="1291" spans="1:27" s="118" customFormat="1" x14ac:dyDescent="0.2">
      <c r="A1291" s="10"/>
      <c r="B1291" s="10"/>
      <c r="C1291" s="190"/>
      <c r="D1291" s="110"/>
      <c r="E1291" s="158"/>
      <c r="F1291" s="267"/>
      <c r="G1291" s="267"/>
      <c r="H1291" s="267"/>
      <c r="I1291" s="250"/>
      <c r="J1291" s="250"/>
      <c r="K1291" s="137"/>
      <c r="L1291" s="137"/>
      <c r="M1291" s="137"/>
      <c r="N1291" s="138"/>
      <c r="O1291" s="167"/>
      <c r="P1291" s="111"/>
      <c r="Q1291" s="111"/>
      <c r="R1291" s="111"/>
      <c r="S1291" s="111"/>
      <c r="T1291" s="111"/>
      <c r="U1291" s="111"/>
      <c r="V1291" s="111"/>
      <c r="W1291" s="111"/>
      <c r="X1291" s="111"/>
      <c r="Y1291" s="111"/>
      <c r="Z1291" s="111"/>
      <c r="AA1291" s="111"/>
    </row>
    <row r="1292" spans="1:27" s="145" customFormat="1" x14ac:dyDescent="0.2">
      <c r="A1292" s="192"/>
      <c r="B1292" s="192"/>
      <c r="C1292" s="193"/>
      <c r="D1292" s="336"/>
      <c r="E1292" s="192"/>
      <c r="F1292" s="269"/>
      <c r="G1292" s="269"/>
      <c r="H1292" s="269"/>
      <c r="I1292" s="254"/>
      <c r="J1292" s="269"/>
      <c r="K1292" s="142"/>
      <c r="L1292" s="142"/>
      <c r="M1292" s="142"/>
      <c r="N1292" s="143">
        <f>SUM(N1294:N1308)</f>
        <v>0</v>
      </c>
      <c r="O1292" s="285"/>
      <c r="P1292" s="144"/>
      <c r="Q1292" s="144"/>
      <c r="R1292" s="144"/>
      <c r="S1292" s="144"/>
      <c r="T1292" s="144"/>
      <c r="U1292" s="144"/>
      <c r="V1292" s="144"/>
      <c r="W1292" s="144"/>
      <c r="X1292" s="144"/>
      <c r="Y1292" s="144"/>
      <c r="Z1292" s="144"/>
      <c r="AA1292" s="144"/>
    </row>
    <row r="1293" spans="1:27" s="118" customFormat="1" x14ac:dyDescent="0.2">
      <c r="A1293" s="10"/>
      <c r="B1293" s="10"/>
      <c r="C1293" s="190"/>
      <c r="D1293" s="110"/>
      <c r="E1293" s="158"/>
      <c r="F1293" s="267"/>
      <c r="G1293" s="267"/>
      <c r="H1293" s="267"/>
      <c r="I1293" s="250"/>
      <c r="J1293" s="250"/>
      <c r="K1293" s="137"/>
      <c r="L1293" s="137"/>
      <c r="M1293" s="137"/>
      <c r="N1293" s="138"/>
      <c r="O1293" s="167"/>
      <c r="P1293" s="111"/>
      <c r="Q1293" s="111"/>
      <c r="R1293" s="111"/>
      <c r="S1293" s="111"/>
      <c r="T1293" s="111"/>
      <c r="U1293" s="111"/>
      <c r="V1293" s="111"/>
      <c r="W1293" s="111"/>
      <c r="X1293" s="111"/>
      <c r="Y1293" s="111"/>
      <c r="Z1293" s="111"/>
      <c r="AA1293" s="111"/>
    </row>
    <row r="1294" spans="1:27" s="147" customFormat="1" x14ac:dyDescent="0.2">
      <c r="A1294" s="184"/>
      <c r="B1294" s="184"/>
      <c r="C1294" s="344"/>
      <c r="D1294" s="337"/>
      <c r="E1294" s="184"/>
      <c r="F1294" s="338"/>
      <c r="G1294" s="338"/>
      <c r="H1294" s="338"/>
      <c r="I1294" s="257"/>
      <c r="J1294" s="338"/>
      <c r="K1294" s="131">
        <f>J1302</f>
        <v>0</v>
      </c>
      <c r="L1294" s="131">
        <v>59.97</v>
      </c>
      <c r="M1294" s="131">
        <f>ROUND(L1294*(1+$Q$5),2)</f>
        <v>75.88</v>
      </c>
      <c r="N1294" s="133">
        <f>TRUNC(K1294*M1294,2)</f>
        <v>0</v>
      </c>
      <c r="O1294" s="286"/>
      <c r="P1294" s="146"/>
      <c r="Q1294" s="146"/>
      <c r="R1294" s="146"/>
      <c r="S1294" s="146"/>
      <c r="T1294" s="146"/>
      <c r="U1294" s="146"/>
      <c r="V1294" s="146"/>
      <c r="W1294" s="146"/>
      <c r="X1294" s="146"/>
      <c r="Y1294" s="146"/>
      <c r="Z1294" s="146"/>
      <c r="AA1294" s="146"/>
    </row>
    <row r="1295" spans="1:27" s="118" customFormat="1" x14ac:dyDescent="0.2">
      <c r="A1295" s="10"/>
      <c r="B1295" s="10"/>
      <c r="C1295" s="191"/>
      <c r="D1295" s="115"/>
      <c r="E1295" s="158"/>
      <c r="F1295" s="267"/>
      <c r="G1295" s="267"/>
      <c r="H1295" s="267"/>
      <c r="I1295" s="339"/>
      <c r="J1295" s="267"/>
      <c r="K1295" s="137"/>
      <c r="L1295" s="137"/>
      <c r="M1295" s="137"/>
      <c r="N1295" s="138"/>
      <c r="O1295" s="167"/>
      <c r="P1295" s="111"/>
      <c r="Q1295" s="111"/>
      <c r="R1295" s="111"/>
      <c r="S1295" s="111"/>
      <c r="T1295" s="111"/>
      <c r="U1295" s="111"/>
      <c r="V1295" s="111"/>
      <c r="W1295" s="111"/>
      <c r="X1295" s="111"/>
      <c r="Y1295" s="111"/>
      <c r="Z1295" s="111"/>
      <c r="AA1295" s="111"/>
    </row>
    <row r="1296" spans="1:27" s="118" customFormat="1" x14ac:dyDescent="0.2">
      <c r="A1296" s="10"/>
      <c r="B1296" s="10"/>
      <c r="C1296" s="191"/>
      <c r="D1296" s="115"/>
      <c r="E1296" s="158"/>
      <c r="F1296" s="267"/>
      <c r="G1296" s="267"/>
      <c r="H1296" s="267"/>
      <c r="I1296" s="339"/>
      <c r="J1296" s="267"/>
      <c r="K1296" s="137"/>
      <c r="L1296" s="137"/>
      <c r="M1296" s="137"/>
      <c r="N1296" s="138"/>
      <c r="O1296" s="167"/>
      <c r="P1296" s="111"/>
      <c r="Q1296" s="111"/>
      <c r="R1296" s="111"/>
      <c r="S1296" s="111"/>
      <c r="T1296" s="111"/>
      <c r="U1296" s="111"/>
      <c r="V1296" s="111"/>
      <c r="W1296" s="111"/>
      <c r="X1296" s="111"/>
      <c r="Y1296" s="111"/>
      <c r="Z1296" s="111"/>
      <c r="AA1296" s="111"/>
    </row>
    <row r="1297" spans="1:27" s="118" customFormat="1" x14ac:dyDescent="0.2">
      <c r="A1297" s="10"/>
      <c r="B1297" s="10"/>
      <c r="C1297" s="191"/>
      <c r="D1297" s="115"/>
      <c r="E1297" s="158"/>
      <c r="F1297" s="267"/>
      <c r="G1297" s="267"/>
      <c r="H1297" s="267"/>
      <c r="I1297" s="339"/>
      <c r="J1297" s="267"/>
      <c r="K1297" s="137"/>
      <c r="L1297" s="137"/>
      <c r="M1297" s="137"/>
      <c r="N1297" s="138"/>
      <c r="O1297" s="167"/>
      <c r="P1297" s="111"/>
      <c r="Q1297" s="111"/>
      <c r="R1297" s="111"/>
      <c r="S1297" s="111"/>
      <c r="T1297" s="111"/>
      <c r="U1297" s="111"/>
      <c r="V1297" s="111"/>
      <c r="W1297" s="111"/>
      <c r="X1297" s="111"/>
      <c r="Y1297" s="111"/>
      <c r="Z1297" s="111"/>
      <c r="AA1297" s="111"/>
    </row>
    <row r="1298" spans="1:27" s="118" customFormat="1" x14ac:dyDescent="0.2">
      <c r="A1298" s="10"/>
      <c r="B1298" s="10"/>
      <c r="C1298" s="191"/>
      <c r="D1298" s="115"/>
      <c r="E1298" s="158"/>
      <c r="F1298" s="267"/>
      <c r="G1298" s="267"/>
      <c r="H1298" s="267"/>
      <c r="I1298" s="339"/>
      <c r="J1298" s="267"/>
      <c r="K1298" s="137"/>
      <c r="L1298" s="137"/>
      <c r="M1298" s="137"/>
      <c r="N1298" s="138"/>
      <c r="O1298" s="167"/>
      <c r="P1298" s="111"/>
      <c r="Q1298" s="111"/>
      <c r="R1298" s="111"/>
      <c r="S1298" s="111"/>
      <c r="T1298" s="111"/>
      <c r="U1298" s="111"/>
      <c r="V1298" s="111"/>
      <c r="W1298" s="111"/>
      <c r="X1298" s="111"/>
      <c r="Y1298" s="111"/>
      <c r="Z1298" s="111"/>
      <c r="AA1298" s="111"/>
    </row>
    <row r="1299" spans="1:27" s="118" customFormat="1" x14ac:dyDescent="0.2">
      <c r="A1299" s="10"/>
      <c r="B1299" s="10"/>
      <c r="C1299" s="191"/>
      <c r="D1299" s="115"/>
      <c r="E1299" s="158"/>
      <c r="F1299" s="267"/>
      <c r="G1299" s="267"/>
      <c r="H1299" s="267"/>
      <c r="I1299" s="339"/>
      <c r="J1299" s="267"/>
      <c r="K1299" s="137"/>
      <c r="L1299" s="137"/>
      <c r="M1299" s="137"/>
      <c r="N1299" s="138"/>
      <c r="O1299" s="167"/>
      <c r="P1299" s="111"/>
      <c r="Q1299" s="111"/>
      <c r="R1299" s="111"/>
      <c r="S1299" s="111"/>
      <c r="T1299" s="111"/>
      <c r="U1299" s="111"/>
      <c r="V1299" s="111"/>
      <c r="W1299" s="111"/>
      <c r="X1299" s="111"/>
      <c r="Y1299" s="111"/>
      <c r="Z1299" s="111"/>
      <c r="AA1299" s="111"/>
    </row>
    <row r="1300" spans="1:27" s="118" customFormat="1" x14ac:dyDescent="0.2">
      <c r="A1300" s="10"/>
      <c r="B1300" s="10"/>
      <c r="C1300" s="191"/>
      <c r="D1300" s="115"/>
      <c r="E1300" s="158"/>
      <c r="F1300" s="267"/>
      <c r="G1300" s="267"/>
      <c r="H1300" s="267"/>
      <c r="I1300" s="339"/>
      <c r="J1300" s="267"/>
      <c r="K1300" s="137"/>
      <c r="L1300" s="137"/>
      <c r="M1300" s="137"/>
      <c r="N1300" s="138"/>
      <c r="O1300" s="167"/>
      <c r="P1300" s="111"/>
      <c r="Q1300" s="111"/>
      <c r="R1300" s="111"/>
      <c r="S1300" s="111"/>
      <c r="T1300" s="111"/>
      <c r="U1300" s="111"/>
      <c r="V1300" s="111"/>
      <c r="W1300" s="111"/>
      <c r="X1300" s="111"/>
      <c r="Y1300" s="111"/>
      <c r="Z1300" s="111"/>
      <c r="AA1300" s="111"/>
    </row>
    <row r="1301" spans="1:27" s="118" customFormat="1" x14ac:dyDescent="0.2">
      <c r="A1301" s="10"/>
      <c r="B1301" s="10"/>
      <c r="C1301" s="191"/>
      <c r="D1301" s="115"/>
      <c r="E1301" s="158"/>
      <c r="F1301" s="267"/>
      <c r="G1301" s="267"/>
      <c r="H1301" s="267"/>
      <c r="I1301" s="339"/>
      <c r="J1301" s="267"/>
      <c r="K1301" s="137"/>
      <c r="L1301" s="137"/>
      <c r="M1301" s="137"/>
      <c r="N1301" s="138"/>
      <c r="O1301" s="167"/>
      <c r="P1301" s="111"/>
      <c r="Q1301" s="111"/>
      <c r="R1301" s="111"/>
      <c r="S1301" s="111"/>
      <c r="T1301" s="111"/>
      <c r="U1301" s="111"/>
      <c r="V1301" s="111"/>
      <c r="W1301" s="111"/>
      <c r="X1301" s="111"/>
      <c r="Y1301" s="111"/>
      <c r="Z1301" s="111"/>
      <c r="AA1301" s="111"/>
    </row>
    <row r="1302" spans="1:27" s="118" customFormat="1" x14ac:dyDescent="0.2">
      <c r="A1302" s="10"/>
      <c r="B1302" s="10"/>
      <c r="C1302" s="190"/>
      <c r="D1302" s="110"/>
      <c r="E1302" s="158"/>
      <c r="F1302" s="267"/>
      <c r="G1302" s="267"/>
      <c r="H1302" s="267"/>
      <c r="I1302" s="250"/>
      <c r="J1302" s="338"/>
      <c r="K1302" s="137"/>
      <c r="L1302" s="137"/>
      <c r="M1302" s="137"/>
      <c r="N1302" s="138"/>
      <c r="O1302" s="167"/>
      <c r="P1302" s="111"/>
      <c r="Q1302" s="111"/>
      <c r="R1302" s="111"/>
      <c r="S1302" s="111"/>
      <c r="T1302" s="111"/>
      <c r="U1302" s="111"/>
      <c r="V1302" s="111"/>
      <c r="W1302" s="111"/>
      <c r="X1302" s="111"/>
      <c r="Y1302" s="111"/>
      <c r="Z1302" s="111"/>
      <c r="AA1302" s="111"/>
    </row>
    <row r="1303" spans="1:27" s="118" customFormat="1" x14ac:dyDescent="0.2">
      <c r="A1303" s="10"/>
      <c r="B1303" s="10"/>
      <c r="C1303" s="191"/>
      <c r="D1303" s="110"/>
      <c r="E1303" s="158"/>
      <c r="F1303" s="267"/>
      <c r="G1303" s="267"/>
      <c r="H1303" s="267"/>
      <c r="I1303" s="250"/>
      <c r="J1303" s="263"/>
      <c r="K1303" s="137"/>
      <c r="L1303" s="137"/>
      <c r="M1303" s="137"/>
      <c r="N1303" s="138"/>
      <c r="O1303" s="167"/>
      <c r="P1303" s="111"/>
      <c r="Q1303" s="111"/>
      <c r="R1303" s="111"/>
      <c r="S1303" s="111"/>
      <c r="T1303" s="111"/>
      <c r="U1303" s="111"/>
      <c r="V1303" s="111"/>
      <c r="W1303" s="111"/>
      <c r="X1303" s="111"/>
      <c r="Y1303" s="111"/>
      <c r="Z1303" s="111"/>
      <c r="AA1303" s="111"/>
    </row>
    <row r="1304" spans="1:27" s="147" customFormat="1" x14ac:dyDescent="0.2">
      <c r="A1304" s="184"/>
      <c r="B1304" s="184"/>
      <c r="C1304" s="185"/>
      <c r="D1304" s="341"/>
      <c r="E1304" s="184"/>
      <c r="F1304" s="338"/>
      <c r="G1304" s="338"/>
      <c r="H1304" s="338"/>
      <c r="I1304" s="257"/>
      <c r="J1304" s="338"/>
      <c r="K1304" s="131">
        <f>J1307</f>
        <v>0</v>
      </c>
      <c r="L1304" s="131">
        <v>5.8</v>
      </c>
      <c r="M1304" s="131">
        <f>ROUND(L1304*(1+$Q$5),2)</f>
        <v>7.34</v>
      </c>
      <c r="N1304" s="133">
        <f>TRUNC(K1304*M1304,2)</f>
        <v>0</v>
      </c>
      <c r="O1304" s="286"/>
      <c r="P1304" s="146"/>
      <c r="Q1304" s="146"/>
      <c r="R1304" s="146"/>
      <c r="S1304" s="146"/>
      <c r="T1304" s="146"/>
      <c r="U1304" s="146"/>
      <c r="V1304" s="146"/>
      <c r="W1304" s="146"/>
      <c r="X1304" s="146"/>
      <c r="Y1304" s="146"/>
      <c r="Z1304" s="146"/>
      <c r="AA1304" s="146"/>
    </row>
    <row r="1305" spans="1:27" s="118" customFormat="1" x14ac:dyDescent="0.2">
      <c r="A1305" s="10"/>
      <c r="B1305" s="10"/>
      <c r="C1305" s="191"/>
      <c r="D1305" s="115"/>
      <c r="E1305" s="158"/>
      <c r="F1305" s="267"/>
      <c r="G1305" s="267"/>
      <c r="H1305" s="267"/>
      <c r="I1305" s="250"/>
      <c r="J1305" s="267"/>
      <c r="K1305" s="137"/>
      <c r="L1305" s="137"/>
      <c r="M1305" s="137"/>
      <c r="N1305" s="138"/>
      <c r="O1305" s="167"/>
      <c r="P1305" s="111"/>
      <c r="Q1305" s="111"/>
      <c r="R1305" s="111"/>
      <c r="S1305" s="111"/>
      <c r="T1305" s="111"/>
      <c r="U1305" s="111"/>
      <c r="V1305" s="111"/>
      <c r="W1305" s="111"/>
      <c r="X1305" s="111"/>
      <c r="Y1305" s="111"/>
      <c r="Z1305" s="111"/>
      <c r="AA1305" s="111"/>
    </row>
    <row r="1306" spans="1:27" s="118" customFormat="1" x14ac:dyDescent="0.2">
      <c r="A1306" s="10"/>
      <c r="B1306" s="10"/>
      <c r="C1306" s="191"/>
      <c r="D1306" s="115"/>
      <c r="E1306" s="158"/>
      <c r="F1306" s="267"/>
      <c r="G1306" s="267"/>
      <c r="H1306" s="267"/>
      <c r="I1306" s="250"/>
      <c r="J1306" s="267"/>
      <c r="K1306" s="137"/>
      <c r="L1306" s="137"/>
      <c r="M1306" s="137"/>
      <c r="N1306" s="138"/>
      <c r="O1306" s="167"/>
      <c r="P1306" s="111"/>
      <c r="Q1306" s="111"/>
      <c r="R1306" s="111"/>
      <c r="S1306" s="111"/>
      <c r="T1306" s="111"/>
      <c r="U1306" s="111"/>
      <c r="V1306" s="111"/>
      <c r="W1306" s="111"/>
      <c r="X1306" s="111"/>
      <c r="Y1306" s="111"/>
      <c r="Z1306" s="111"/>
      <c r="AA1306" s="111"/>
    </row>
    <row r="1307" spans="1:27" s="118" customFormat="1" x14ac:dyDescent="0.2">
      <c r="A1307" s="10"/>
      <c r="B1307" s="10"/>
      <c r="C1307" s="190"/>
      <c r="D1307" s="110"/>
      <c r="E1307" s="158"/>
      <c r="F1307" s="267"/>
      <c r="G1307" s="267"/>
      <c r="H1307" s="267"/>
      <c r="I1307" s="250"/>
      <c r="J1307" s="338"/>
      <c r="K1307" s="137"/>
      <c r="L1307" s="137"/>
      <c r="M1307" s="137"/>
      <c r="N1307" s="138"/>
      <c r="O1307" s="167"/>
      <c r="P1307" s="111"/>
      <c r="Q1307" s="111"/>
      <c r="R1307" s="111"/>
      <c r="S1307" s="111"/>
      <c r="T1307" s="111"/>
      <c r="U1307" s="111"/>
      <c r="V1307" s="111"/>
      <c r="W1307" s="111"/>
      <c r="X1307" s="111"/>
      <c r="Y1307" s="111"/>
      <c r="Z1307" s="111"/>
      <c r="AA1307" s="111"/>
    </row>
    <row r="1308" spans="1:27" s="118" customFormat="1" x14ac:dyDescent="0.2">
      <c r="A1308" s="10"/>
      <c r="B1308" s="10"/>
      <c r="C1308" s="157"/>
      <c r="D1308" s="110"/>
      <c r="E1308" s="158"/>
      <c r="F1308" s="267"/>
      <c r="G1308" s="267"/>
      <c r="H1308" s="267"/>
      <c r="I1308" s="250"/>
      <c r="J1308" s="266"/>
      <c r="K1308" s="137"/>
      <c r="L1308" s="137"/>
      <c r="M1308" s="137"/>
      <c r="N1308" s="138"/>
      <c r="O1308" s="167"/>
      <c r="P1308" s="111"/>
      <c r="Q1308" s="111"/>
      <c r="R1308" s="111"/>
      <c r="S1308" s="111"/>
      <c r="T1308" s="111"/>
      <c r="U1308" s="111"/>
      <c r="V1308" s="111"/>
      <c r="W1308" s="111"/>
      <c r="X1308" s="111"/>
      <c r="Y1308" s="111"/>
      <c r="Z1308" s="111"/>
      <c r="AA1308" s="111"/>
    </row>
    <row r="1309" spans="1:27" s="145" customFormat="1" x14ac:dyDescent="0.2">
      <c r="A1309" s="192"/>
      <c r="B1309" s="192"/>
      <c r="C1309" s="193"/>
      <c r="D1309" s="336"/>
      <c r="E1309" s="192"/>
      <c r="F1309" s="269"/>
      <c r="G1309" s="269"/>
      <c r="H1309" s="269"/>
      <c r="I1309" s="254"/>
      <c r="J1309" s="269"/>
      <c r="K1309" s="142"/>
      <c r="L1309" s="142"/>
      <c r="M1309" s="142"/>
      <c r="N1309" s="143">
        <f>SUM(N1310:N1351)</f>
        <v>0</v>
      </c>
      <c r="O1309" s="285"/>
      <c r="P1309" s="144"/>
      <c r="Q1309" s="144"/>
      <c r="R1309" s="144"/>
      <c r="S1309" s="144"/>
      <c r="T1309" s="144"/>
      <c r="U1309" s="144"/>
      <c r="V1309" s="144"/>
      <c r="W1309" s="144"/>
      <c r="X1309" s="144"/>
      <c r="Y1309" s="144"/>
      <c r="Z1309" s="144"/>
      <c r="AA1309" s="144"/>
    </row>
    <row r="1310" spans="1:27" s="118" customFormat="1" x14ac:dyDescent="0.2">
      <c r="A1310" s="10"/>
      <c r="B1310" s="10"/>
      <c r="C1310" s="157"/>
      <c r="D1310" s="110"/>
      <c r="E1310" s="158"/>
      <c r="F1310" s="267"/>
      <c r="G1310" s="267"/>
      <c r="H1310" s="267"/>
      <c r="I1310" s="250"/>
      <c r="J1310" s="266"/>
      <c r="K1310" s="137"/>
      <c r="L1310" s="137"/>
      <c r="M1310" s="137"/>
      <c r="N1310" s="138"/>
      <c r="O1310" s="123"/>
      <c r="P1310" s="111"/>
      <c r="Q1310" s="111"/>
      <c r="R1310" s="111"/>
      <c r="S1310" s="111"/>
      <c r="T1310" s="111"/>
      <c r="U1310" s="111"/>
      <c r="V1310" s="111"/>
      <c r="W1310" s="111"/>
      <c r="X1310" s="111"/>
      <c r="Y1310" s="111"/>
      <c r="Z1310" s="111"/>
      <c r="AA1310" s="111"/>
    </row>
    <row r="1311" spans="1:27" s="233" customFormat="1" x14ac:dyDescent="0.2">
      <c r="A1311" s="348"/>
      <c r="B1311" s="348"/>
      <c r="C1311" s="349"/>
      <c r="D1311" s="350"/>
      <c r="E1311" s="348"/>
      <c r="F1311" s="351"/>
      <c r="G1311" s="351"/>
      <c r="H1311" s="351"/>
      <c r="I1311" s="352"/>
      <c r="J1311" s="351"/>
      <c r="K1311" s="230"/>
      <c r="L1311" s="230"/>
      <c r="M1311" s="230"/>
      <c r="N1311" s="231"/>
      <c r="O1311" s="290"/>
      <c r="P1311" s="232"/>
      <c r="Q1311" s="232"/>
      <c r="R1311" s="232"/>
      <c r="S1311" s="232"/>
      <c r="T1311" s="232"/>
      <c r="U1311" s="232"/>
      <c r="V1311" s="232"/>
      <c r="W1311" s="232"/>
      <c r="X1311" s="232"/>
      <c r="Y1311" s="232"/>
      <c r="Z1311" s="232"/>
      <c r="AA1311" s="232"/>
    </row>
    <row r="1312" spans="1:27" s="118" customFormat="1" x14ac:dyDescent="0.2">
      <c r="A1312" s="10"/>
      <c r="B1312" s="10"/>
      <c r="C1312" s="157"/>
      <c r="D1312" s="110"/>
      <c r="E1312" s="158"/>
      <c r="F1312" s="267"/>
      <c r="G1312" s="267"/>
      <c r="H1312" s="267"/>
      <c r="I1312" s="250"/>
      <c r="J1312" s="266"/>
      <c r="K1312" s="137"/>
      <c r="L1312" s="137"/>
      <c r="M1312" s="137"/>
      <c r="N1312" s="138"/>
      <c r="O1312" s="123"/>
      <c r="P1312" s="111"/>
      <c r="Q1312" s="111"/>
      <c r="R1312" s="111"/>
      <c r="S1312" s="111"/>
      <c r="T1312" s="111"/>
      <c r="U1312" s="111"/>
      <c r="V1312" s="111"/>
      <c r="W1312" s="111"/>
      <c r="X1312" s="111"/>
      <c r="Y1312" s="111"/>
      <c r="Z1312" s="111"/>
      <c r="AA1312" s="111"/>
    </row>
    <row r="1313" spans="1:27" s="147" customFormat="1" x14ac:dyDescent="0.2">
      <c r="A1313" s="184"/>
      <c r="B1313" s="184"/>
      <c r="C1313" s="185"/>
      <c r="D1313" s="337"/>
      <c r="E1313" s="184"/>
      <c r="F1313" s="338"/>
      <c r="G1313" s="338"/>
      <c r="H1313" s="338"/>
      <c r="I1313" s="257"/>
      <c r="J1313" s="338"/>
      <c r="K1313" s="131">
        <f>J1315</f>
        <v>0</v>
      </c>
      <c r="L1313" s="106">
        <v>18.440000000000001</v>
      </c>
      <c r="M1313" s="131">
        <f>ROUND(L1313*(1+$Q$5),2)</f>
        <v>23.33</v>
      </c>
      <c r="N1313" s="133">
        <f>TRUNC(K1313*M1313,2)</f>
        <v>0</v>
      </c>
      <c r="O1313" s="291"/>
      <c r="P1313" s="146"/>
      <c r="Q1313" s="146"/>
      <c r="R1313" s="146"/>
      <c r="S1313" s="146"/>
      <c r="T1313" s="146"/>
      <c r="U1313" s="146"/>
      <c r="V1313" s="146"/>
      <c r="W1313" s="146"/>
      <c r="X1313" s="146"/>
      <c r="Y1313" s="146"/>
      <c r="Z1313" s="146"/>
      <c r="AA1313" s="146"/>
    </row>
    <row r="1314" spans="1:27" s="118" customFormat="1" x14ac:dyDescent="0.2">
      <c r="A1314" s="10"/>
      <c r="B1314" s="10"/>
      <c r="C1314" s="191"/>
      <c r="D1314" s="115"/>
      <c r="E1314" s="158"/>
      <c r="F1314" s="267"/>
      <c r="G1314" s="267"/>
      <c r="H1314" s="267"/>
      <c r="I1314" s="339"/>
      <c r="J1314" s="267"/>
      <c r="K1314" s="137"/>
      <c r="L1314" s="137"/>
      <c r="M1314" s="137"/>
      <c r="N1314" s="138"/>
      <c r="O1314" s="123"/>
      <c r="P1314" s="111"/>
      <c r="Q1314" s="111"/>
      <c r="R1314" s="111"/>
      <c r="S1314" s="111"/>
      <c r="T1314" s="111"/>
      <c r="U1314" s="111"/>
      <c r="V1314" s="111"/>
      <c r="W1314" s="111"/>
      <c r="X1314" s="111"/>
      <c r="Y1314" s="111"/>
      <c r="Z1314" s="111"/>
      <c r="AA1314" s="111"/>
    </row>
    <row r="1315" spans="1:27" s="118" customFormat="1" x14ac:dyDescent="0.2">
      <c r="A1315" s="10"/>
      <c r="B1315" s="10"/>
      <c r="C1315" s="190"/>
      <c r="D1315" s="110"/>
      <c r="E1315" s="158"/>
      <c r="F1315" s="267"/>
      <c r="G1315" s="267"/>
      <c r="H1315" s="267"/>
      <c r="I1315" s="250"/>
      <c r="J1315" s="338"/>
      <c r="K1315" s="137"/>
      <c r="L1315" s="137"/>
      <c r="M1315" s="137"/>
      <c r="N1315" s="138"/>
      <c r="O1315" s="123"/>
      <c r="P1315" s="111"/>
      <c r="Q1315" s="111"/>
      <c r="R1315" s="111"/>
      <c r="S1315" s="111"/>
      <c r="T1315" s="111"/>
      <c r="U1315" s="111"/>
      <c r="V1315" s="111"/>
      <c r="W1315" s="111"/>
      <c r="X1315" s="111"/>
      <c r="Y1315" s="111"/>
      <c r="Z1315" s="111"/>
      <c r="AA1315" s="111"/>
    </row>
    <row r="1316" spans="1:27" s="118" customFormat="1" x14ac:dyDescent="0.2">
      <c r="A1316" s="10"/>
      <c r="B1316" s="10"/>
      <c r="C1316" s="157"/>
      <c r="D1316" s="110"/>
      <c r="E1316" s="158"/>
      <c r="F1316" s="267"/>
      <c r="G1316" s="267"/>
      <c r="H1316" s="267"/>
      <c r="I1316" s="250"/>
      <c r="J1316" s="266"/>
      <c r="K1316" s="137"/>
      <c r="L1316" s="137"/>
      <c r="M1316" s="137"/>
      <c r="N1316" s="138"/>
      <c r="O1316" s="123"/>
      <c r="P1316" s="111"/>
      <c r="Q1316" s="111"/>
      <c r="R1316" s="111"/>
      <c r="S1316" s="111"/>
      <c r="T1316" s="111"/>
      <c r="U1316" s="111"/>
      <c r="V1316" s="111"/>
      <c r="W1316" s="111"/>
      <c r="X1316" s="111"/>
      <c r="Y1316" s="111"/>
      <c r="Z1316" s="111"/>
      <c r="AA1316" s="111"/>
    </row>
    <row r="1317" spans="1:27" s="147" customFormat="1" x14ac:dyDescent="0.2">
      <c r="A1317" s="184"/>
      <c r="B1317" s="184"/>
      <c r="C1317" s="185"/>
      <c r="D1317" s="337"/>
      <c r="E1317" s="184"/>
      <c r="F1317" s="338"/>
      <c r="G1317" s="338"/>
      <c r="H1317" s="338"/>
      <c r="I1317" s="257"/>
      <c r="J1317" s="338"/>
      <c r="K1317" s="131">
        <f>J1321</f>
        <v>0</v>
      </c>
      <c r="L1317" s="106">
        <v>25.14</v>
      </c>
      <c r="M1317" s="131">
        <f>ROUND(L1317*(1+$Q$5),2)</f>
        <v>31.81</v>
      </c>
      <c r="N1317" s="133">
        <f>TRUNC(K1317*M1317,2)</f>
        <v>0</v>
      </c>
      <c r="O1317" s="291"/>
      <c r="P1317" s="146"/>
      <c r="Q1317" s="146"/>
      <c r="R1317" s="146"/>
      <c r="S1317" s="146"/>
      <c r="T1317" s="146"/>
      <c r="U1317" s="146"/>
      <c r="V1317" s="146"/>
      <c r="W1317" s="146"/>
      <c r="X1317" s="146"/>
      <c r="Y1317" s="146"/>
      <c r="Z1317" s="146"/>
      <c r="AA1317" s="146"/>
    </row>
    <row r="1318" spans="1:27" s="118" customFormat="1" x14ac:dyDescent="0.2">
      <c r="A1318" s="10"/>
      <c r="B1318" s="10"/>
      <c r="C1318" s="191"/>
      <c r="D1318" s="115"/>
      <c r="E1318" s="158"/>
      <c r="F1318" s="267"/>
      <c r="G1318" s="267"/>
      <c r="H1318" s="267"/>
      <c r="I1318" s="339"/>
      <c r="J1318" s="267"/>
      <c r="K1318" s="137"/>
      <c r="L1318" s="137"/>
      <c r="M1318" s="137"/>
      <c r="N1318" s="138"/>
      <c r="O1318" s="123"/>
      <c r="P1318" s="111"/>
      <c r="Q1318" s="111"/>
      <c r="R1318" s="111"/>
      <c r="S1318" s="111"/>
      <c r="T1318" s="111"/>
      <c r="U1318" s="111"/>
      <c r="V1318" s="111"/>
      <c r="W1318" s="111"/>
      <c r="X1318" s="111"/>
      <c r="Y1318" s="111"/>
      <c r="Z1318" s="111"/>
      <c r="AA1318" s="111"/>
    </row>
    <row r="1319" spans="1:27" s="118" customFormat="1" x14ac:dyDescent="0.2">
      <c r="A1319" s="10"/>
      <c r="B1319" s="10"/>
      <c r="C1319" s="191"/>
      <c r="D1319" s="115"/>
      <c r="E1319" s="158"/>
      <c r="F1319" s="267"/>
      <c r="G1319" s="267"/>
      <c r="H1319" s="267"/>
      <c r="I1319" s="339"/>
      <c r="J1319" s="267"/>
      <c r="K1319" s="137"/>
      <c r="L1319" s="137"/>
      <c r="M1319" s="137"/>
      <c r="N1319" s="138"/>
      <c r="O1319" s="123"/>
      <c r="P1319" s="111"/>
      <c r="Q1319" s="111"/>
      <c r="R1319" s="111"/>
      <c r="S1319" s="111"/>
      <c r="T1319" s="111"/>
      <c r="U1319" s="111"/>
      <c r="V1319" s="111"/>
      <c r="W1319" s="111"/>
      <c r="X1319" s="111"/>
      <c r="Y1319" s="111"/>
      <c r="Z1319" s="111"/>
      <c r="AA1319" s="111"/>
    </row>
    <row r="1320" spans="1:27" s="118" customFormat="1" x14ac:dyDescent="0.2">
      <c r="A1320" s="10"/>
      <c r="B1320" s="10"/>
      <c r="C1320" s="191"/>
      <c r="D1320" s="115"/>
      <c r="E1320" s="158"/>
      <c r="F1320" s="267"/>
      <c r="G1320" s="267"/>
      <c r="H1320" s="267"/>
      <c r="I1320" s="339"/>
      <c r="J1320" s="267"/>
      <c r="K1320" s="137"/>
      <c r="L1320" s="137"/>
      <c r="M1320" s="137"/>
      <c r="N1320" s="138"/>
      <c r="O1320" s="123"/>
      <c r="P1320" s="111"/>
      <c r="Q1320" s="111"/>
      <c r="R1320" s="111"/>
      <c r="S1320" s="111"/>
      <c r="T1320" s="111"/>
      <c r="U1320" s="111"/>
      <c r="V1320" s="111"/>
      <c r="W1320" s="111"/>
      <c r="X1320" s="111"/>
      <c r="Y1320" s="111"/>
      <c r="Z1320" s="111"/>
      <c r="AA1320" s="111"/>
    </row>
    <row r="1321" spans="1:27" s="118" customFormat="1" x14ac:dyDescent="0.2">
      <c r="A1321" s="10"/>
      <c r="B1321" s="10"/>
      <c r="C1321" s="190"/>
      <c r="D1321" s="110"/>
      <c r="E1321" s="158"/>
      <c r="F1321" s="267"/>
      <c r="G1321" s="267"/>
      <c r="H1321" s="267"/>
      <c r="I1321" s="250"/>
      <c r="J1321" s="338"/>
      <c r="K1321" s="137"/>
      <c r="L1321" s="137"/>
      <c r="M1321" s="137"/>
      <c r="N1321" s="138"/>
      <c r="O1321" s="123"/>
      <c r="P1321" s="111"/>
      <c r="Q1321" s="111"/>
      <c r="R1321" s="111"/>
      <c r="S1321" s="111"/>
      <c r="T1321" s="111"/>
      <c r="U1321" s="111"/>
      <c r="V1321" s="111"/>
      <c r="W1321" s="111"/>
      <c r="X1321" s="111"/>
      <c r="Y1321" s="111"/>
      <c r="Z1321" s="111"/>
      <c r="AA1321" s="111"/>
    </row>
    <row r="1322" spans="1:27" s="118" customFormat="1" x14ac:dyDescent="0.2">
      <c r="A1322" s="10"/>
      <c r="B1322" s="10"/>
      <c r="C1322" s="157"/>
      <c r="D1322" s="110"/>
      <c r="E1322" s="158"/>
      <c r="F1322" s="267"/>
      <c r="G1322" s="267"/>
      <c r="H1322" s="267"/>
      <c r="I1322" s="250"/>
      <c r="J1322" s="266"/>
      <c r="K1322" s="137"/>
      <c r="L1322" s="137"/>
      <c r="M1322" s="137"/>
      <c r="N1322" s="138"/>
      <c r="O1322" s="123"/>
      <c r="P1322" s="111"/>
      <c r="Q1322" s="111"/>
      <c r="R1322" s="111"/>
      <c r="S1322" s="111"/>
      <c r="T1322" s="111"/>
      <c r="U1322" s="111"/>
      <c r="V1322" s="111"/>
      <c r="W1322" s="111"/>
      <c r="X1322" s="111"/>
      <c r="Y1322" s="111"/>
      <c r="Z1322" s="111"/>
      <c r="AA1322" s="111"/>
    </row>
    <row r="1323" spans="1:27" s="147" customFormat="1" x14ac:dyDescent="0.2">
      <c r="A1323" s="184"/>
      <c r="B1323" s="184"/>
      <c r="C1323" s="185"/>
      <c r="D1323" s="337"/>
      <c r="E1323" s="184"/>
      <c r="F1323" s="338"/>
      <c r="G1323" s="338"/>
      <c r="H1323" s="338"/>
      <c r="I1323" s="257"/>
      <c r="J1323" s="338"/>
      <c r="K1323" s="131">
        <f>J1325</f>
        <v>0</v>
      </c>
      <c r="L1323" s="106">
        <v>375.94</v>
      </c>
      <c r="M1323" s="131">
        <f>ROUND(L1323*(1+$Q$5),2)</f>
        <v>475.68</v>
      </c>
      <c r="N1323" s="133">
        <f>TRUNC(K1323*M1323,2)</f>
        <v>0</v>
      </c>
      <c r="O1323" s="291"/>
      <c r="P1323" s="146"/>
      <c r="Q1323" s="146"/>
      <c r="R1323" s="146"/>
      <c r="S1323" s="146"/>
      <c r="T1323" s="146"/>
      <c r="U1323" s="146"/>
      <c r="V1323" s="146"/>
      <c r="W1323" s="146"/>
      <c r="X1323" s="146"/>
      <c r="Y1323" s="146"/>
      <c r="Z1323" s="146"/>
      <c r="AA1323" s="146"/>
    </row>
    <row r="1324" spans="1:27" s="118" customFormat="1" x14ac:dyDescent="0.2">
      <c r="A1324" s="10"/>
      <c r="B1324" s="10"/>
      <c r="C1324" s="191"/>
      <c r="D1324" s="115"/>
      <c r="E1324" s="158"/>
      <c r="F1324" s="267"/>
      <c r="G1324" s="267"/>
      <c r="H1324" s="267"/>
      <c r="I1324" s="339"/>
      <c r="J1324" s="267"/>
      <c r="K1324" s="137"/>
      <c r="L1324" s="137"/>
      <c r="M1324" s="137"/>
      <c r="N1324" s="138"/>
      <c r="O1324" s="123"/>
      <c r="P1324" s="111"/>
      <c r="Q1324" s="111"/>
      <c r="R1324" s="111"/>
      <c r="S1324" s="111"/>
      <c r="T1324" s="111"/>
      <c r="U1324" s="111"/>
      <c r="V1324" s="111"/>
      <c r="W1324" s="111"/>
      <c r="X1324" s="111"/>
      <c r="Y1324" s="111"/>
      <c r="Z1324" s="111"/>
      <c r="AA1324" s="111"/>
    </row>
    <row r="1325" spans="1:27" s="118" customFormat="1" x14ac:dyDescent="0.2">
      <c r="A1325" s="10"/>
      <c r="B1325" s="10"/>
      <c r="C1325" s="190"/>
      <c r="D1325" s="110"/>
      <c r="E1325" s="158"/>
      <c r="F1325" s="267"/>
      <c r="G1325" s="267"/>
      <c r="H1325" s="267"/>
      <c r="I1325" s="250"/>
      <c r="J1325" s="338"/>
      <c r="K1325" s="137"/>
      <c r="L1325" s="137"/>
      <c r="M1325" s="137"/>
      <c r="N1325" s="138"/>
      <c r="O1325" s="123"/>
      <c r="P1325" s="111"/>
      <c r="Q1325" s="111"/>
      <c r="R1325" s="111"/>
      <c r="S1325" s="111"/>
      <c r="T1325" s="111"/>
      <c r="U1325" s="111"/>
      <c r="V1325" s="111"/>
      <c r="W1325" s="111"/>
      <c r="X1325" s="111"/>
      <c r="Y1325" s="111"/>
      <c r="Z1325" s="111"/>
      <c r="AA1325" s="111"/>
    </row>
    <row r="1326" spans="1:27" s="118" customFormat="1" x14ac:dyDescent="0.2">
      <c r="A1326" s="10"/>
      <c r="B1326" s="10"/>
      <c r="C1326" s="157"/>
      <c r="D1326" s="110"/>
      <c r="E1326" s="158"/>
      <c r="F1326" s="267"/>
      <c r="G1326" s="267"/>
      <c r="H1326" s="267"/>
      <c r="I1326" s="250"/>
      <c r="J1326" s="266"/>
      <c r="K1326" s="137"/>
      <c r="L1326" s="137"/>
      <c r="M1326" s="137"/>
      <c r="N1326" s="138"/>
      <c r="O1326" s="123"/>
      <c r="P1326" s="111"/>
      <c r="Q1326" s="111"/>
      <c r="R1326" s="111"/>
      <c r="S1326" s="111"/>
      <c r="T1326" s="111"/>
      <c r="U1326" s="111"/>
      <c r="V1326" s="111"/>
      <c r="W1326" s="111"/>
      <c r="X1326" s="111"/>
      <c r="Y1326" s="111"/>
      <c r="Z1326" s="111"/>
      <c r="AA1326" s="111"/>
    </row>
    <row r="1327" spans="1:27" s="147" customFormat="1" ht="35.25" customHeight="1" x14ac:dyDescent="0.2">
      <c r="A1327" s="184"/>
      <c r="B1327" s="184"/>
      <c r="C1327" s="185"/>
      <c r="D1327" s="337"/>
      <c r="E1327" s="184"/>
      <c r="F1327" s="338"/>
      <c r="G1327" s="338"/>
      <c r="H1327" s="338"/>
      <c r="I1327" s="257"/>
      <c r="J1327" s="338"/>
      <c r="K1327" s="131">
        <f>J1330</f>
        <v>0</v>
      </c>
      <c r="L1327" s="106">
        <v>1396.31</v>
      </c>
      <c r="M1327" s="131">
        <f>ROUND(L1327*(1+$Q$5),2)</f>
        <v>1766.75</v>
      </c>
      <c r="N1327" s="133">
        <f>TRUNC(K1327*M1327,2)</f>
        <v>0</v>
      </c>
      <c r="O1327" s="291"/>
      <c r="P1327" s="146"/>
      <c r="Q1327" s="146"/>
      <c r="R1327" s="146"/>
      <c r="S1327" s="146"/>
      <c r="T1327" s="146"/>
      <c r="U1327" s="146"/>
      <c r="V1327" s="146"/>
      <c r="W1327" s="146"/>
      <c r="X1327" s="146"/>
      <c r="Y1327" s="146"/>
      <c r="Z1327" s="146"/>
      <c r="AA1327" s="146"/>
    </row>
    <row r="1328" spans="1:27" s="118" customFormat="1" x14ac:dyDescent="0.2">
      <c r="A1328" s="10"/>
      <c r="B1328" s="10"/>
      <c r="C1328" s="191"/>
      <c r="D1328" s="115"/>
      <c r="E1328" s="158"/>
      <c r="F1328" s="267"/>
      <c r="G1328" s="267"/>
      <c r="H1328" s="267"/>
      <c r="I1328" s="339"/>
      <c r="J1328" s="267"/>
      <c r="K1328" s="137"/>
      <c r="L1328" s="137"/>
      <c r="M1328" s="137"/>
      <c r="N1328" s="138"/>
      <c r="O1328" s="123"/>
      <c r="P1328" s="111"/>
      <c r="Q1328" s="111"/>
      <c r="R1328" s="111"/>
      <c r="S1328" s="111"/>
      <c r="T1328" s="111"/>
      <c r="U1328" s="111"/>
      <c r="V1328" s="111"/>
      <c r="W1328" s="111"/>
      <c r="X1328" s="111"/>
      <c r="Y1328" s="111"/>
      <c r="Z1328" s="111"/>
      <c r="AA1328" s="111"/>
    </row>
    <row r="1329" spans="1:27" s="118" customFormat="1" x14ac:dyDescent="0.2">
      <c r="A1329" s="10"/>
      <c r="B1329" s="10"/>
      <c r="C1329" s="191"/>
      <c r="D1329" s="115"/>
      <c r="E1329" s="158"/>
      <c r="F1329" s="267"/>
      <c r="G1329" s="267"/>
      <c r="H1329" s="267"/>
      <c r="I1329" s="339"/>
      <c r="J1329" s="267"/>
      <c r="K1329" s="137"/>
      <c r="L1329" s="137"/>
      <c r="M1329" s="137"/>
      <c r="N1329" s="138"/>
      <c r="O1329" s="123"/>
      <c r="P1329" s="111"/>
      <c r="Q1329" s="111"/>
      <c r="R1329" s="111"/>
      <c r="S1329" s="111"/>
      <c r="T1329" s="111"/>
      <c r="U1329" s="111"/>
      <c r="V1329" s="111"/>
      <c r="W1329" s="111"/>
      <c r="X1329" s="111"/>
      <c r="Y1329" s="111"/>
      <c r="Z1329" s="111"/>
      <c r="AA1329" s="111"/>
    </row>
    <row r="1330" spans="1:27" s="118" customFormat="1" x14ac:dyDescent="0.2">
      <c r="A1330" s="10"/>
      <c r="B1330" s="10"/>
      <c r="C1330" s="190"/>
      <c r="D1330" s="110"/>
      <c r="E1330" s="158"/>
      <c r="F1330" s="267"/>
      <c r="G1330" s="267"/>
      <c r="H1330" s="267"/>
      <c r="I1330" s="250"/>
      <c r="J1330" s="338"/>
      <c r="K1330" s="137"/>
      <c r="L1330" s="137"/>
      <c r="M1330" s="137"/>
      <c r="N1330" s="138"/>
      <c r="O1330" s="123"/>
      <c r="P1330" s="111"/>
      <c r="Q1330" s="111"/>
      <c r="R1330" s="111"/>
      <c r="S1330" s="111"/>
      <c r="T1330" s="111"/>
      <c r="U1330" s="111"/>
      <c r="V1330" s="111"/>
      <c r="W1330" s="111"/>
      <c r="X1330" s="111"/>
      <c r="Y1330" s="111"/>
      <c r="Z1330" s="111"/>
      <c r="AA1330" s="111"/>
    </row>
    <row r="1331" spans="1:27" s="118" customFormat="1" x14ac:dyDescent="0.2">
      <c r="A1331" s="10"/>
      <c r="B1331" s="10"/>
      <c r="C1331" s="157"/>
      <c r="D1331" s="110"/>
      <c r="E1331" s="158"/>
      <c r="F1331" s="267"/>
      <c r="G1331" s="267"/>
      <c r="H1331" s="267"/>
      <c r="I1331" s="250"/>
      <c r="J1331" s="266"/>
      <c r="K1331" s="137"/>
      <c r="L1331" s="137"/>
      <c r="M1331" s="137"/>
      <c r="N1331" s="138"/>
      <c r="O1331" s="123"/>
      <c r="P1331" s="111"/>
      <c r="Q1331" s="111"/>
      <c r="R1331" s="111"/>
      <c r="S1331" s="111"/>
      <c r="T1331" s="111"/>
      <c r="U1331" s="111"/>
      <c r="V1331" s="111"/>
      <c r="W1331" s="111"/>
      <c r="X1331" s="111"/>
      <c r="Y1331" s="111"/>
      <c r="Z1331" s="111"/>
      <c r="AA1331" s="111"/>
    </row>
    <row r="1332" spans="1:27" s="147" customFormat="1" ht="35.25" customHeight="1" x14ac:dyDescent="0.2">
      <c r="A1332" s="184"/>
      <c r="B1332" s="184"/>
      <c r="C1332" s="185"/>
      <c r="D1332" s="337"/>
      <c r="E1332" s="184"/>
      <c r="F1332" s="338"/>
      <c r="G1332" s="338"/>
      <c r="H1332" s="338"/>
      <c r="I1332" s="257"/>
      <c r="J1332" s="338"/>
      <c r="K1332" s="131">
        <f>J1334</f>
        <v>0</v>
      </c>
      <c r="L1332" s="106">
        <v>2349.37</v>
      </c>
      <c r="M1332" s="131">
        <f>ROUND(L1332*(1+$Q$5),2)</f>
        <v>2972.66</v>
      </c>
      <c r="N1332" s="133">
        <f>TRUNC(K1332*M1332,2)</f>
        <v>0</v>
      </c>
      <c r="O1332" s="291"/>
      <c r="P1332" s="146"/>
      <c r="Q1332" s="146"/>
      <c r="R1332" s="146"/>
      <c r="S1332" s="146"/>
      <c r="T1332" s="146"/>
      <c r="U1332" s="146"/>
      <c r="V1332" s="146"/>
      <c r="W1332" s="146"/>
      <c r="X1332" s="146"/>
      <c r="Y1332" s="146"/>
      <c r="Z1332" s="146"/>
      <c r="AA1332" s="146"/>
    </row>
    <row r="1333" spans="1:27" s="118" customFormat="1" x14ac:dyDescent="0.2">
      <c r="A1333" s="10"/>
      <c r="B1333" s="10"/>
      <c r="C1333" s="191"/>
      <c r="D1333" s="115"/>
      <c r="E1333" s="158"/>
      <c r="F1333" s="267"/>
      <c r="G1333" s="267"/>
      <c r="H1333" s="267"/>
      <c r="I1333" s="339"/>
      <c r="J1333" s="267"/>
      <c r="K1333" s="137"/>
      <c r="L1333" s="137"/>
      <c r="M1333" s="137"/>
      <c r="N1333" s="138"/>
      <c r="O1333" s="123"/>
      <c r="P1333" s="111"/>
      <c r="Q1333" s="111"/>
      <c r="R1333" s="111"/>
      <c r="S1333" s="111"/>
      <c r="T1333" s="111"/>
      <c r="U1333" s="111"/>
      <c r="V1333" s="111"/>
      <c r="W1333" s="111"/>
      <c r="X1333" s="111"/>
      <c r="Y1333" s="111"/>
      <c r="Z1333" s="111"/>
      <c r="AA1333" s="111"/>
    </row>
    <row r="1334" spans="1:27" s="118" customFormat="1" x14ac:dyDescent="0.2">
      <c r="A1334" s="10"/>
      <c r="B1334" s="10"/>
      <c r="C1334" s="190"/>
      <c r="D1334" s="110"/>
      <c r="E1334" s="158"/>
      <c r="F1334" s="267"/>
      <c r="G1334" s="267"/>
      <c r="H1334" s="267"/>
      <c r="I1334" s="250"/>
      <c r="J1334" s="338"/>
      <c r="K1334" s="137"/>
      <c r="L1334" s="137"/>
      <c r="M1334" s="137"/>
      <c r="N1334" s="138"/>
      <c r="O1334" s="123"/>
      <c r="P1334" s="111"/>
      <c r="Q1334" s="111"/>
      <c r="R1334" s="111"/>
      <c r="S1334" s="111"/>
      <c r="T1334" s="111"/>
      <c r="U1334" s="111"/>
      <c r="V1334" s="111"/>
      <c r="W1334" s="111"/>
      <c r="X1334" s="111"/>
      <c r="Y1334" s="111"/>
      <c r="Z1334" s="111"/>
      <c r="AA1334" s="111"/>
    </row>
    <row r="1335" spans="1:27" s="118" customFormat="1" x14ac:dyDescent="0.2">
      <c r="A1335" s="10"/>
      <c r="B1335" s="10"/>
      <c r="C1335" s="157"/>
      <c r="D1335" s="110"/>
      <c r="E1335" s="158"/>
      <c r="F1335" s="267"/>
      <c r="G1335" s="267"/>
      <c r="H1335" s="267"/>
      <c r="I1335" s="250"/>
      <c r="J1335" s="266"/>
      <c r="K1335" s="137"/>
      <c r="L1335" s="137"/>
      <c r="M1335" s="137"/>
      <c r="N1335" s="138"/>
      <c r="O1335" s="123"/>
      <c r="P1335" s="111"/>
      <c r="Q1335" s="111"/>
      <c r="R1335" s="111"/>
      <c r="S1335" s="111"/>
      <c r="T1335" s="111"/>
      <c r="U1335" s="111"/>
      <c r="V1335" s="111"/>
      <c r="W1335" s="111"/>
      <c r="X1335" s="111"/>
      <c r="Y1335" s="111"/>
      <c r="Z1335" s="111"/>
      <c r="AA1335" s="111"/>
    </row>
    <row r="1336" spans="1:27" s="147" customFormat="1" x14ac:dyDescent="0.2">
      <c r="A1336" s="184"/>
      <c r="B1336" s="184"/>
      <c r="C1336" s="185"/>
      <c r="D1336" s="341"/>
      <c r="E1336" s="184"/>
      <c r="F1336" s="338"/>
      <c r="G1336" s="338"/>
      <c r="H1336" s="338"/>
      <c r="I1336" s="257"/>
      <c r="J1336" s="338"/>
      <c r="K1336" s="131">
        <f>J1339</f>
        <v>0</v>
      </c>
      <c r="L1336" s="106">
        <v>5.98</v>
      </c>
      <c r="M1336" s="131">
        <f>ROUND(L1336*(1+$Q$5),2)</f>
        <v>7.57</v>
      </c>
      <c r="N1336" s="133">
        <f>TRUNC(K1336*M1336,2)</f>
        <v>0</v>
      </c>
      <c r="O1336" s="291"/>
      <c r="P1336" s="146"/>
      <c r="Q1336" s="146"/>
      <c r="R1336" s="146"/>
      <c r="S1336" s="146"/>
      <c r="T1336" s="146"/>
      <c r="U1336" s="146"/>
      <c r="V1336" s="146"/>
      <c r="W1336" s="146"/>
      <c r="X1336" s="146"/>
      <c r="Y1336" s="146"/>
      <c r="Z1336" s="146"/>
      <c r="AA1336" s="146"/>
    </row>
    <row r="1337" spans="1:27" s="118" customFormat="1" x14ac:dyDescent="0.2">
      <c r="A1337" s="10"/>
      <c r="B1337" s="10"/>
      <c r="C1337" s="191"/>
      <c r="D1337" s="115"/>
      <c r="E1337" s="158"/>
      <c r="F1337" s="267"/>
      <c r="G1337" s="267"/>
      <c r="H1337" s="267"/>
      <c r="I1337" s="339"/>
      <c r="J1337" s="267"/>
      <c r="K1337" s="137"/>
      <c r="L1337" s="137"/>
      <c r="M1337" s="137"/>
      <c r="N1337" s="138"/>
      <c r="O1337" s="123"/>
      <c r="P1337" s="111"/>
      <c r="Q1337" s="111"/>
      <c r="R1337" s="111"/>
      <c r="S1337" s="111"/>
      <c r="T1337" s="111"/>
      <c r="U1337" s="111"/>
      <c r="V1337" s="111"/>
      <c r="W1337" s="111"/>
      <c r="X1337" s="111"/>
      <c r="Y1337" s="111"/>
      <c r="Z1337" s="111"/>
      <c r="AA1337" s="111"/>
    </row>
    <row r="1338" spans="1:27" s="118" customFormat="1" x14ac:dyDescent="0.2">
      <c r="A1338" s="10"/>
      <c r="B1338" s="10"/>
      <c r="C1338" s="191"/>
      <c r="D1338" s="115"/>
      <c r="E1338" s="158"/>
      <c r="F1338" s="267"/>
      <c r="G1338" s="267"/>
      <c r="H1338" s="267"/>
      <c r="I1338" s="339"/>
      <c r="J1338" s="267"/>
      <c r="K1338" s="137"/>
      <c r="L1338" s="137"/>
      <c r="M1338" s="137"/>
      <c r="N1338" s="138"/>
      <c r="O1338" s="123"/>
      <c r="P1338" s="111"/>
      <c r="Q1338" s="111"/>
      <c r="R1338" s="111"/>
      <c r="S1338" s="111"/>
      <c r="T1338" s="111"/>
      <c r="U1338" s="111"/>
      <c r="V1338" s="111"/>
      <c r="W1338" s="111"/>
      <c r="X1338" s="111"/>
      <c r="Y1338" s="111"/>
      <c r="Z1338" s="111"/>
      <c r="AA1338" s="111"/>
    </row>
    <row r="1339" spans="1:27" s="118" customFormat="1" x14ac:dyDescent="0.2">
      <c r="A1339" s="10"/>
      <c r="B1339" s="10"/>
      <c r="C1339" s="190"/>
      <c r="D1339" s="110"/>
      <c r="E1339" s="158"/>
      <c r="F1339" s="267"/>
      <c r="G1339" s="267"/>
      <c r="H1339" s="267"/>
      <c r="I1339" s="250"/>
      <c r="J1339" s="338"/>
      <c r="K1339" s="137"/>
      <c r="L1339" s="137"/>
      <c r="M1339" s="137"/>
      <c r="N1339" s="138"/>
      <c r="O1339" s="123"/>
      <c r="P1339" s="111"/>
      <c r="Q1339" s="111"/>
      <c r="R1339" s="111"/>
      <c r="S1339" s="111"/>
      <c r="T1339" s="111"/>
      <c r="U1339" s="111"/>
      <c r="V1339" s="111"/>
      <c r="W1339" s="111"/>
      <c r="X1339" s="111"/>
      <c r="Y1339" s="111"/>
      <c r="Z1339" s="111"/>
      <c r="AA1339" s="111"/>
    </row>
    <row r="1340" spans="1:27" s="118" customFormat="1" x14ac:dyDescent="0.2">
      <c r="A1340" s="10"/>
      <c r="B1340" s="10"/>
      <c r="C1340" s="157"/>
      <c r="D1340" s="110"/>
      <c r="E1340" s="158"/>
      <c r="F1340" s="267"/>
      <c r="G1340" s="267"/>
      <c r="H1340" s="267"/>
      <c r="I1340" s="250"/>
      <c r="J1340" s="266"/>
      <c r="K1340" s="137"/>
      <c r="L1340" s="137"/>
      <c r="M1340" s="137"/>
      <c r="N1340" s="138"/>
      <c r="O1340" s="123"/>
      <c r="P1340" s="111"/>
      <c r="Q1340" s="111"/>
      <c r="R1340" s="111"/>
      <c r="S1340" s="111"/>
      <c r="T1340" s="111"/>
      <c r="U1340" s="111"/>
      <c r="V1340" s="111"/>
      <c r="W1340" s="111"/>
      <c r="X1340" s="111"/>
      <c r="Y1340" s="111"/>
      <c r="Z1340" s="111"/>
      <c r="AA1340" s="111"/>
    </row>
    <row r="1341" spans="1:27" s="147" customFormat="1" x14ac:dyDescent="0.2">
      <c r="A1341" s="184"/>
      <c r="B1341" s="184"/>
      <c r="C1341" s="185"/>
      <c r="D1341" s="341"/>
      <c r="E1341" s="184"/>
      <c r="F1341" s="338"/>
      <c r="G1341" s="338"/>
      <c r="H1341" s="338"/>
      <c r="I1341" s="257"/>
      <c r="J1341" s="338"/>
      <c r="K1341" s="131">
        <f>J1344</f>
        <v>0</v>
      </c>
      <c r="L1341" s="106">
        <v>22.25</v>
      </c>
      <c r="M1341" s="131">
        <f>ROUND(L1341*(1+$Q$5),2)</f>
        <v>28.15</v>
      </c>
      <c r="N1341" s="133">
        <f>TRUNC(K1341*M1341,2)</f>
        <v>0</v>
      </c>
      <c r="O1341" s="291"/>
      <c r="P1341" s="146"/>
      <c r="Q1341" s="146"/>
      <c r="R1341" s="146"/>
      <c r="S1341" s="146"/>
      <c r="T1341" s="146"/>
      <c r="U1341" s="146"/>
      <c r="V1341" s="146"/>
      <c r="W1341" s="146"/>
      <c r="X1341" s="146"/>
      <c r="Y1341" s="146"/>
      <c r="Z1341" s="146"/>
      <c r="AA1341" s="146"/>
    </row>
    <row r="1342" spans="1:27" s="118" customFormat="1" x14ac:dyDescent="0.2">
      <c r="A1342" s="10"/>
      <c r="B1342" s="10"/>
      <c r="C1342" s="191"/>
      <c r="D1342" s="115"/>
      <c r="E1342" s="158"/>
      <c r="F1342" s="267"/>
      <c r="G1342" s="267"/>
      <c r="H1342" s="267"/>
      <c r="I1342" s="339"/>
      <c r="J1342" s="267"/>
      <c r="K1342" s="137"/>
      <c r="L1342" s="137"/>
      <c r="M1342" s="137"/>
      <c r="N1342" s="138"/>
      <c r="O1342" s="123"/>
      <c r="P1342" s="111"/>
      <c r="Q1342" s="111"/>
      <c r="R1342" s="111"/>
      <c r="S1342" s="111"/>
      <c r="T1342" s="111"/>
      <c r="U1342" s="111"/>
      <c r="V1342" s="111"/>
      <c r="W1342" s="111"/>
      <c r="X1342" s="111"/>
      <c r="Y1342" s="111"/>
      <c r="Z1342" s="111"/>
      <c r="AA1342" s="111"/>
    </row>
    <row r="1343" spans="1:27" s="118" customFormat="1" x14ac:dyDescent="0.2">
      <c r="A1343" s="10"/>
      <c r="B1343" s="10"/>
      <c r="C1343" s="191"/>
      <c r="D1343" s="115"/>
      <c r="E1343" s="158"/>
      <c r="F1343" s="267"/>
      <c r="G1343" s="267"/>
      <c r="H1343" s="267"/>
      <c r="I1343" s="339"/>
      <c r="J1343" s="267"/>
      <c r="K1343" s="137"/>
      <c r="L1343" s="137"/>
      <c r="M1343" s="137"/>
      <c r="N1343" s="138"/>
      <c r="O1343" s="123"/>
      <c r="P1343" s="111"/>
      <c r="Q1343" s="111"/>
      <c r="R1343" s="111"/>
      <c r="S1343" s="111"/>
      <c r="T1343" s="111"/>
      <c r="U1343" s="111"/>
      <c r="V1343" s="111"/>
      <c r="W1343" s="111"/>
      <c r="X1343" s="111"/>
      <c r="Y1343" s="111"/>
      <c r="Z1343" s="111"/>
      <c r="AA1343" s="111"/>
    </row>
    <row r="1344" spans="1:27" s="118" customFormat="1" x14ac:dyDescent="0.2">
      <c r="A1344" s="10"/>
      <c r="B1344" s="10"/>
      <c r="C1344" s="190"/>
      <c r="D1344" s="110"/>
      <c r="E1344" s="158"/>
      <c r="F1344" s="267"/>
      <c r="G1344" s="267"/>
      <c r="H1344" s="267"/>
      <c r="I1344" s="250"/>
      <c r="J1344" s="338"/>
      <c r="K1344" s="137"/>
      <c r="L1344" s="137"/>
      <c r="M1344" s="137"/>
      <c r="N1344" s="138"/>
      <c r="O1344" s="123"/>
      <c r="P1344" s="111"/>
      <c r="Q1344" s="111"/>
      <c r="R1344" s="111"/>
      <c r="S1344" s="111"/>
      <c r="T1344" s="111"/>
      <c r="U1344" s="111"/>
      <c r="V1344" s="111"/>
      <c r="W1344" s="111"/>
      <c r="X1344" s="111"/>
      <c r="Y1344" s="111"/>
      <c r="Z1344" s="111"/>
      <c r="AA1344" s="111"/>
    </row>
    <row r="1345" spans="1:27" s="118" customFormat="1" x14ac:dyDescent="0.2">
      <c r="A1345" s="10"/>
      <c r="B1345" s="10"/>
      <c r="C1345" s="157"/>
      <c r="D1345" s="110"/>
      <c r="E1345" s="158"/>
      <c r="F1345" s="267"/>
      <c r="G1345" s="267"/>
      <c r="H1345" s="267"/>
      <c r="I1345" s="250"/>
      <c r="J1345" s="266"/>
      <c r="K1345" s="137"/>
      <c r="L1345" s="137"/>
      <c r="M1345" s="137"/>
      <c r="N1345" s="138"/>
      <c r="O1345" s="123"/>
      <c r="P1345" s="111"/>
      <c r="Q1345" s="111"/>
      <c r="R1345" s="111"/>
      <c r="S1345" s="111"/>
      <c r="T1345" s="111"/>
      <c r="U1345" s="111"/>
      <c r="V1345" s="111"/>
      <c r="W1345" s="111"/>
      <c r="X1345" s="111"/>
      <c r="Y1345" s="111"/>
      <c r="Z1345" s="111"/>
      <c r="AA1345" s="111"/>
    </row>
    <row r="1346" spans="1:27" s="233" customFormat="1" x14ac:dyDescent="0.2">
      <c r="A1346" s="348"/>
      <c r="B1346" s="348"/>
      <c r="C1346" s="349"/>
      <c r="D1346" s="350"/>
      <c r="E1346" s="348"/>
      <c r="F1346" s="351"/>
      <c r="G1346" s="351"/>
      <c r="H1346" s="351"/>
      <c r="I1346" s="352"/>
      <c r="J1346" s="351"/>
      <c r="K1346" s="230"/>
      <c r="L1346" s="230"/>
      <c r="M1346" s="230"/>
      <c r="N1346" s="231"/>
      <c r="O1346" s="290"/>
      <c r="P1346" s="232"/>
      <c r="Q1346" s="232"/>
      <c r="R1346" s="232"/>
      <c r="S1346" s="232"/>
      <c r="T1346" s="232"/>
      <c r="U1346" s="232"/>
      <c r="V1346" s="232"/>
      <c r="W1346" s="232"/>
      <c r="X1346" s="232"/>
      <c r="Y1346" s="232"/>
      <c r="Z1346" s="232"/>
      <c r="AA1346" s="232"/>
    </row>
    <row r="1347" spans="1:27" s="118" customFormat="1" x14ac:dyDescent="0.2">
      <c r="A1347" s="10"/>
      <c r="B1347" s="10"/>
      <c r="C1347" s="157"/>
      <c r="D1347" s="110"/>
      <c r="E1347" s="158"/>
      <c r="F1347" s="267"/>
      <c r="G1347" s="267"/>
      <c r="H1347" s="267"/>
      <c r="I1347" s="250"/>
      <c r="J1347" s="266"/>
      <c r="K1347" s="137"/>
      <c r="L1347" s="137"/>
      <c r="M1347" s="137"/>
      <c r="N1347" s="138"/>
      <c r="O1347" s="123"/>
      <c r="P1347" s="111"/>
      <c r="Q1347" s="111"/>
      <c r="R1347" s="111"/>
      <c r="S1347" s="111"/>
      <c r="T1347" s="111"/>
      <c r="U1347" s="111"/>
      <c r="V1347" s="111"/>
      <c r="W1347" s="111"/>
      <c r="X1347" s="111"/>
      <c r="Y1347" s="111"/>
      <c r="Z1347" s="111"/>
      <c r="AA1347" s="111"/>
    </row>
    <row r="1348" spans="1:27" s="147" customFormat="1" x14ac:dyDescent="0.2">
      <c r="A1348" s="184"/>
      <c r="B1348" s="184"/>
      <c r="C1348" s="185"/>
      <c r="D1348" s="337"/>
      <c r="E1348" s="184"/>
      <c r="F1348" s="338"/>
      <c r="G1348" s="338"/>
      <c r="H1348" s="338"/>
      <c r="I1348" s="257"/>
      <c r="J1348" s="338"/>
      <c r="K1348" s="131">
        <f>J1350</f>
        <v>0</v>
      </c>
      <c r="L1348" s="131">
        <v>21.86</v>
      </c>
      <c r="M1348" s="131">
        <f>ROUND(L1348*(1+$Q$5),2)</f>
        <v>27.66</v>
      </c>
      <c r="N1348" s="133">
        <f>TRUNC(K1348*M1348,2)</f>
        <v>0</v>
      </c>
      <c r="O1348" s="291"/>
      <c r="P1348" s="146"/>
      <c r="Q1348" s="146"/>
      <c r="R1348" s="146"/>
      <c r="S1348" s="146"/>
      <c r="T1348" s="146"/>
      <c r="U1348" s="146"/>
      <c r="V1348" s="146"/>
      <c r="W1348" s="146"/>
      <c r="X1348" s="146"/>
      <c r="Y1348" s="146"/>
      <c r="Z1348" s="146"/>
      <c r="AA1348" s="146"/>
    </row>
    <row r="1349" spans="1:27" s="118" customFormat="1" x14ac:dyDescent="0.2">
      <c r="A1349" s="10"/>
      <c r="B1349" s="10"/>
      <c r="C1349" s="191"/>
      <c r="D1349" s="115"/>
      <c r="E1349" s="158"/>
      <c r="F1349" s="267"/>
      <c r="G1349" s="267"/>
      <c r="H1349" s="267"/>
      <c r="I1349" s="339"/>
      <c r="J1349" s="267"/>
      <c r="K1349" s="137"/>
      <c r="L1349" s="137"/>
      <c r="M1349" s="137"/>
      <c r="N1349" s="138"/>
      <c r="O1349" s="167"/>
      <c r="P1349" s="111"/>
      <c r="Q1349" s="111"/>
      <c r="R1349" s="111"/>
      <c r="S1349" s="111"/>
      <c r="T1349" s="111"/>
      <c r="U1349" s="111"/>
      <c r="V1349" s="111"/>
      <c r="W1349" s="111"/>
      <c r="X1349" s="111"/>
      <c r="Y1349" s="111"/>
      <c r="Z1349" s="111"/>
      <c r="AA1349" s="111"/>
    </row>
    <row r="1350" spans="1:27" s="118" customFormat="1" x14ac:dyDescent="0.2">
      <c r="A1350" s="10"/>
      <c r="B1350" s="10"/>
      <c r="C1350" s="190"/>
      <c r="D1350" s="110"/>
      <c r="E1350" s="158"/>
      <c r="F1350" s="267"/>
      <c r="G1350" s="267"/>
      <c r="H1350" s="267"/>
      <c r="I1350" s="250"/>
      <c r="J1350" s="338"/>
      <c r="K1350" s="137"/>
      <c r="L1350" s="137"/>
      <c r="M1350" s="137"/>
      <c r="N1350" s="138"/>
      <c r="O1350" s="167"/>
      <c r="P1350" s="111"/>
      <c r="Q1350" s="111"/>
      <c r="R1350" s="111"/>
      <c r="S1350" s="111"/>
      <c r="T1350" s="111"/>
      <c r="U1350" s="111"/>
      <c r="V1350" s="111"/>
      <c r="W1350" s="111"/>
      <c r="X1350" s="111"/>
      <c r="Y1350" s="111"/>
      <c r="Z1350" s="111"/>
      <c r="AA1350" s="111"/>
    </row>
    <row r="1351" spans="1:27" s="118" customFormat="1" x14ac:dyDescent="0.2">
      <c r="A1351" s="10"/>
      <c r="B1351" s="10"/>
      <c r="C1351" s="191"/>
      <c r="D1351" s="110"/>
      <c r="E1351" s="158"/>
      <c r="F1351" s="267"/>
      <c r="G1351" s="267"/>
      <c r="H1351" s="267"/>
      <c r="I1351" s="250"/>
      <c r="J1351" s="263"/>
      <c r="K1351" s="137"/>
      <c r="L1351" s="137"/>
      <c r="M1351" s="137"/>
      <c r="N1351" s="138"/>
      <c r="O1351" s="167"/>
      <c r="P1351" s="111"/>
      <c r="Q1351" s="111"/>
      <c r="R1351" s="111"/>
      <c r="S1351" s="111"/>
      <c r="T1351" s="111"/>
      <c r="U1351" s="111"/>
      <c r="V1351" s="111"/>
      <c r="W1351" s="111"/>
      <c r="X1351" s="111"/>
      <c r="Y1351" s="111"/>
      <c r="Z1351" s="111"/>
      <c r="AA1351" s="111"/>
    </row>
    <row r="1352" spans="1:27" s="241" customFormat="1" ht="13.2" x14ac:dyDescent="0.25">
      <c r="A1352" s="331"/>
      <c r="B1352" s="331"/>
      <c r="C1352" s="332"/>
      <c r="D1352" s="333"/>
      <c r="E1352" s="331"/>
      <c r="F1352" s="334"/>
      <c r="G1352" s="334"/>
      <c r="H1352" s="334"/>
      <c r="I1352" s="335"/>
      <c r="J1352" s="334"/>
      <c r="K1352" s="238"/>
      <c r="L1352" s="238"/>
      <c r="M1352" s="238"/>
      <c r="N1352" s="239">
        <f>N1354+N1370+N1376</f>
        <v>0</v>
      </c>
      <c r="O1352" s="284" t="e">
        <f>N1352/$N$1660</f>
        <v>#REF!</v>
      </c>
      <c r="P1352" s="240"/>
      <c r="Q1352" s="240" t="s">
        <v>533</v>
      </c>
      <c r="R1352" s="240"/>
      <c r="S1352" s="240"/>
      <c r="T1352" s="240"/>
      <c r="U1352" s="240"/>
      <c r="V1352" s="240"/>
      <c r="W1352" s="240"/>
      <c r="X1352" s="240"/>
      <c r="Y1352" s="240"/>
      <c r="Z1352" s="240"/>
      <c r="AA1352" s="240"/>
    </row>
    <row r="1353" spans="1:27" s="118" customFormat="1" x14ac:dyDescent="0.2">
      <c r="A1353" s="10"/>
      <c r="B1353" s="10"/>
      <c r="C1353" s="191"/>
      <c r="D1353" s="110"/>
      <c r="E1353" s="158"/>
      <c r="F1353" s="267"/>
      <c r="G1353" s="267"/>
      <c r="H1353" s="267"/>
      <c r="I1353" s="250"/>
      <c r="J1353" s="263"/>
      <c r="K1353" s="137"/>
      <c r="L1353" s="137"/>
      <c r="M1353" s="137"/>
      <c r="N1353" s="138"/>
      <c r="O1353" s="167"/>
      <c r="P1353" s="111"/>
      <c r="Q1353" s="111"/>
      <c r="R1353" s="111"/>
      <c r="S1353" s="111"/>
      <c r="T1353" s="111"/>
      <c r="U1353" s="111"/>
      <c r="V1353" s="111"/>
      <c r="W1353" s="111"/>
      <c r="X1353" s="111"/>
      <c r="Y1353" s="111"/>
      <c r="Z1353" s="111"/>
      <c r="AA1353" s="111"/>
    </row>
    <row r="1354" spans="1:27" s="145" customFormat="1" x14ac:dyDescent="0.2">
      <c r="A1354" s="192"/>
      <c r="B1354" s="192"/>
      <c r="C1354" s="193"/>
      <c r="D1354" s="336"/>
      <c r="E1354" s="192"/>
      <c r="F1354" s="269"/>
      <c r="G1354" s="269"/>
      <c r="H1354" s="269"/>
      <c r="I1354" s="254"/>
      <c r="J1354" s="269"/>
      <c r="K1354" s="142"/>
      <c r="L1354" s="142"/>
      <c r="M1354" s="142"/>
      <c r="N1354" s="143">
        <f>SUM(N1356:N1369)</f>
        <v>0</v>
      </c>
      <c r="O1354" s="285"/>
      <c r="P1354" s="144"/>
      <c r="Q1354" s="144"/>
      <c r="R1354" s="144"/>
      <c r="S1354" s="144"/>
      <c r="T1354" s="144"/>
      <c r="U1354" s="144"/>
      <c r="V1354" s="144"/>
      <c r="W1354" s="144"/>
      <c r="X1354" s="144"/>
      <c r="Y1354" s="144"/>
      <c r="Z1354" s="144"/>
      <c r="AA1354" s="144"/>
    </row>
    <row r="1355" spans="1:27" s="118" customFormat="1" x14ac:dyDescent="0.2">
      <c r="A1355" s="10"/>
      <c r="B1355" s="10"/>
      <c r="C1355" s="191"/>
      <c r="D1355" s="110"/>
      <c r="E1355" s="158"/>
      <c r="F1355" s="267"/>
      <c r="G1355" s="267"/>
      <c r="H1355" s="267"/>
      <c r="I1355" s="250"/>
      <c r="J1355" s="263"/>
      <c r="K1355" s="137"/>
      <c r="L1355" s="137"/>
      <c r="M1355" s="137"/>
      <c r="N1355" s="138"/>
      <c r="O1355" s="167"/>
      <c r="P1355" s="111"/>
      <c r="Q1355" s="111"/>
      <c r="R1355" s="111"/>
      <c r="S1355" s="111"/>
      <c r="T1355" s="111"/>
      <c r="U1355" s="111"/>
      <c r="V1355" s="111"/>
      <c r="W1355" s="111"/>
      <c r="X1355" s="111"/>
      <c r="Y1355" s="111"/>
      <c r="Z1355" s="111"/>
      <c r="AA1355" s="111"/>
    </row>
    <row r="1356" spans="1:27" s="147" customFormat="1" x14ac:dyDescent="0.2">
      <c r="A1356" s="184"/>
      <c r="B1356" s="184"/>
      <c r="C1356" s="185"/>
      <c r="D1356" s="337"/>
      <c r="E1356" s="184"/>
      <c r="F1356" s="338"/>
      <c r="G1356" s="338"/>
      <c r="H1356" s="338"/>
      <c r="I1356" s="257"/>
      <c r="J1356" s="338"/>
      <c r="K1356" s="131">
        <f>J1359</f>
        <v>0</v>
      </c>
      <c r="L1356" s="106">
        <v>410.89</v>
      </c>
      <c r="M1356" s="131">
        <f>ROUND(L1356*(1+$Q$5),2)</f>
        <v>519.9</v>
      </c>
      <c r="N1356" s="133">
        <f>TRUNC(K1356*M1356,2)</f>
        <v>0</v>
      </c>
      <c r="O1356" s="286"/>
      <c r="P1356" s="146"/>
      <c r="Q1356" s="146"/>
      <c r="R1356" s="146"/>
      <c r="S1356" s="146"/>
      <c r="T1356" s="146"/>
      <c r="U1356" s="146"/>
      <c r="V1356" s="146"/>
      <c r="W1356" s="146"/>
      <c r="X1356" s="146"/>
      <c r="Y1356" s="146"/>
      <c r="Z1356" s="146"/>
      <c r="AA1356" s="146"/>
    </row>
    <row r="1357" spans="1:27" s="118" customFormat="1" x14ac:dyDescent="0.2">
      <c r="A1357" s="10"/>
      <c r="B1357" s="10"/>
      <c r="C1357" s="191"/>
      <c r="D1357" s="115"/>
      <c r="E1357" s="158"/>
      <c r="F1357" s="267"/>
      <c r="G1357" s="267"/>
      <c r="H1357" s="267"/>
      <c r="I1357" s="250"/>
      <c r="J1357" s="267"/>
      <c r="K1357" s="137"/>
      <c r="L1357" s="137"/>
      <c r="M1357" s="137"/>
      <c r="N1357" s="138"/>
      <c r="O1357" s="167"/>
      <c r="P1357" s="111"/>
      <c r="Q1357" s="111" t="s">
        <v>313</v>
      </c>
      <c r="R1357" s="111"/>
      <c r="S1357" s="111"/>
      <c r="T1357" s="111"/>
      <c r="U1357" s="111"/>
      <c r="V1357" s="111"/>
      <c r="W1357" s="111"/>
      <c r="X1357" s="111"/>
      <c r="Y1357" s="111"/>
      <c r="Z1357" s="111"/>
      <c r="AA1357" s="111"/>
    </row>
    <row r="1358" spans="1:27" s="118" customFormat="1" x14ac:dyDescent="0.2">
      <c r="A1358" s="10"/>
      <c r="B1358" s="10"/>
      <c r="C1358" s="191"/>
      <c r="D1358" s="115"/>
      <c r="E1358" s="158"/>
      <c r="F1358" s="267"/>
      <c r="G1358" s="267"/>
      <c r="H1358" s="267"/>
      <c r="I1358" s="250"/>
      <c r="J1358" s="267"/>
      <c r="K1358" s="137"/>
      <c r="L1358" s="137"/>
      <c r="M1358" s="137"/>
      <c r="N1358" s="138"/>
      <c r="O1358" s="167"/>
      <c r="P1358" s="111"/>
      <c r="Q1358" s="111"/>
      <c r="R1358" s="111"/>
      <c r="S1358" s="111"/>
      <c r="T1358" s="111"/>
      <c r="U1358" s="111"/>
      <c r="V1358" s="111"/>
      <c r="W1358" s="111"/>
      <c r="X1358" s="111"/>
      <c r="Y1358" s="111"/>
      <c r="Z1358" s="111"/>
      <c r="AA1358" s="111"/>
    </row>
    <row r="1359" spans="1:27" s="118" customFormat="1" x14ac:dyDescent="0.2">
      <c r="A1359" s="10"/>
      <c r="B1359" s="10"/>
      <c r="C1359" s="190"/>
      <c r="D1359" s="110"/>
      <c r="E1359" s="158"/>
      <c r="F1359" s="267"/>
      <c r="G1359" s="267"/>
      <c r="H1359" s="267"/>
      <c r="I1359" s="250"/>
      <c r="J1359" s="338"/>
      <c r="K1359" s="137"/>
      <c r="L1359" s="137"/>
      <c r="M1359" s="137"/>
      <c r="N1359" s="138"/>
      <c r="O1359" s="167"/>
      <c r="P1359" s="111"/>
      <c r="Q1359" s="111"/>
      <c r="R1359" s="111"/>
      <c r="S1359" s="111"/>
      <c r="T1359" s="111"/>
      <c r="U1359" s="111"/>
      <c r="V1359" s="111"/>
      <c r="W1359" s="111"/>
      <c r="X1359" s="111"/>
      <c r="Y1359" s="111"/>
      <c r="Z1359" s="111"/>
      <c r="AA1359" s="111"/>
    </row>
    <row r="1360" spans="1:27" s="139" customFormat="1" x14ac:dyDescent="0.2">
      <c r="A1360" s="10"/>
      <c r="B1360" s="10"/>
      <c r="C1360" s="15"/>
      <c r="D1360" s="117"/>
      <c r="E1360" s="10"/>
      <c r="F1360" s="263"/>
      <c r="G1360" s="263"/>
      <c r="H1360" s="263"/>
      <c r="I1360" s="250"/>
      <c r="J1360" s="263"/>
      <c r="K1360" s="137"/>
      <c r="L1360" s="137"/>
      <c r="M1360" s="137"/>
      <c r="N1360" s="138"/>
      <c r="O1360" s="283"/>
      <c r="P1360" s="120"/>
      <c r="Q1360" s="120"/>
      <c r="R1360" s="120"/>
      <c r="S1360" s="120"/>
      <c r="T1360" s="120"/>
      <c r="U1360" s="120"/>
      <c r="V1360" s="120"/>
      <c r="W1360" s="120"/>
      <c r="X1360" s="120"/>
      <c r="Y1360" s="120"/>
      <c r="Z1360" s="120"/>
      <c r="AA1360" s="120"/>
    </row>
    <row r="1361" spans="1:27" s="147" customFormat="1" x14ac:dyDescent="0.2">
      <c r="A1361" s="184"/>
      <c r="B1361" s="184"/>
      <c r="C1361" s="185"/>
      <c r="D1361" s="337"/>
      <c r="E1361" s="184"/>
      <c r="F1361" s="338"/>
      <c r="G1361" s="338"/>
      <c r="H1361" s="338"/>
      <c r="I1361" s="257"/>
      <c r="J1361" s="338"/>
      <c r="K1361" s="131">
        <f>J1364</f>
        <v>0</v>
      </c>
      <c r="L1361" s="131">
        <v>64.06</v>
      </c>
      <c r="M1361" s="131">
        <f>ROUND(L1361*(1+$Q$5),2)</f>
        <v>81.06</v>
      </c>
      <c r="N1361" s="133">
        <f>TRUNC(K1361*M1361,2)</f>
        <v>0</v>
      </c>
      <c r="O1361" s="286"/>
      <c r="P1361" s="146"/>
      <c r="Q1361" s="146"/>
      <c r="R1361" s="146"/>
      <c r="S1361" s="146"/>
      <c r="T1361" s="146"/>
      <c r="U1361" s="146"/>
      <c r="V1361" s="146"/>
      <c r="W1361" s="146"/>
      <c r="X1361" s="146"/>
      <c r="Y1361" s="146"/>
      <c r="Z1361" s="146"/>
      <c r="AA1361" s="146"/>
    </row>
    <row r="1362" spans="1:27" s="118" customFormat="1" x14ac:dyDescent="0.2">
      <c r="A1362" s="10"/>
      <c r="B1362" s="10"/>
      <c r="C1362" s="191"/>
      <c r="D1362" s="115"/>
      <c r="E1362" s="158"/>
      <c r="F1362" s="267"/>
      <c r="G1362" s="267"/>
      <c r="H1362" s="267"/>
      <c r="I1362" s="250"/>
      <c r="J1362" s="267"/>
      <c r="K1362" s="137"/>
      <c r="L1362" s="137"/>
      <c r="M1362" s="137"/>
      <c r="N1362" s="138"/>
      <c r="O1362" s="167"/>
      <c r="P1362" s="111"/>
      <c r="Q1362" s="111"/>
      <c r="R1362" s="111"/>
      <c r="S1362" s="111"/>
      <c r="T1362" s="111"/>
      <c r="U1362" s="111"/>
      <c r="V1362" s="111"/>
      <c r="W1362" s="111"/>
      <c r="X1362" s="111"/>
      <c r="Y1362" s="111"/>
      <c r="Z1362" s="111"/>
      <c r="AA1362" s="111"/>
    </row>
    <row r="1363" spans="1:27" s="118" customFormat="1" x14ac:dyDescent="0.2">
      <c r="A1363" s="10"/>
      <c r="B1363" s="10"/>
      <c r="C1363" s="191"/>
      <c r="D1363" s="115"/>
      <c r="E1363" s="158"/>
      <c r="F1363" s="267"/>
      <c r="G1363" s="267"/>
      <c r="H1363" s="267"/>
      <c r="I1363" s="250"/>
      <c r="J1363" s="267"/>
      <c r="K1363" s="137"/>
      <c r="L1363" s="137"/>
      <c r="M1363" s="137"/>
      <c r="N1363" s="138"/>
      <c r="O1363" s="167"/>
      <c r="P1363" s="111"/>
      <c r="Q1363" s="111"/>
      <c r="R1363" s="111"/>
      <c r="S1363" s="111"/>
      <c r="T1363" s="111"/>
      <c r="U1363" s="111"/>
      <c r="V1363" s="111"/>
      <c r="W1363" s="111"/>
      <c r="X1363" s="111"/>
      <c r="Y1363" s="111"/>
      <c r="Z1363" s="111"/>
      <c r="AA1363" s="111"/>
    </row>
    <row r="1364" spans="1:27" s="118" customFormat="1" x14ac:dyDescent="0.2">
      <c r="A1364" s="10"/>
      <c r="B1364" s="10"/>
      <c r="C1364" s="190"/>
      <c r="D1364" s="110"/>
      <c r="E1364" s="158"/>
      <c r="F1364" s="267"/>
      <c r="G1364" s="267"/>
      <c r="H1364" s="267"/>
      <c r="I1364" s="250"/>
      <c r="J1364" s="338"/>
      <c r="K1364" s="137"/>
      <c r="L1364" s="137"/>
      <c r="M1364" s="137"/>
      <c r="N1364" s="138"/>
      <c r="O1364" s="167"/>
      <c r="P1364" s="111"/>
      <c r="Q1364" s="111"/>
      <c r="R1364" s="111"/>
      <c r="S1364" s="111"/>
      <c r="T1364" s="111"/>
      <c r="U1364" s="111"/>
      <c r="V1364" s="111"/>
      <c r="W1364" s="111"/>
      <c r="X1364" s="111"/>
      <c r="Y1364" s="111"/>
      <c r="Z1364" s="111"/>
      <c r="AA1364" s="111"/>
    </row>
    <row r="1365" spans="1:27" s="139" customFormat="1" x14ac:dyDescent="0.2">
      <c r="A1365" s="10"/>
      <c r="B1365" s="10"/>
      <c r="C1365" s="15"/>
      <c r="D1365" s="117"/>
      <c r="E1365" s="10"/>
      <c r="F1365" s="263"/>
      <c r="G1365" s="263"/>
      <c r="H1365" s="263"/>
      <c r="I1365" s="250"/>
      <c r="J1365" s="263"/>
      <c r="K1365" s="137"/>
      <c r="L1365" s="137"/>
      <c r="M1365" s="137"/>
      <c r="N1365" s="138"/>
      <c r="O1365" s="283"/>
      <c r="P1365" s="120"/>
      <c r="Q1365" s="120"/>
      <c r="R1365" s="120"/>
      <c r="S1365" s="120"/>
      <c r="T1365" s="120"/>
      <c r="U1365" s="120"/>
      <c r="V1365" s="120"/>
      <c r="W1365" s="120"/>
      <c r="X1365" s="120"/>
      <c r="Y1365" s="120"/>
      <c r="Z1365" s="120"/>
      <c r="AA1365" s="120"/>
    </row>
    <row r="1366" spans="1:27" s="147" customFormat="1" x14ac:dyDescent="0.2">
      <c r="A1366" s="184"/>
      <c r="B1366" s="184"/>
      <c r="C1366" s="185"/>
      <c r="D1366" s="337"/>
      <c r="E1366" s="184"/>
      <c r="F1366" s="338"/>
      <c r="G1366" s="338"/>
      <c r="H1366" s="338"/>
      <c r="I1366" s="257"/>
      <c r="J1366" s="338"/>
      <c r="K1366" s="131">
        <f>J1368</f>
        <v>0</v>
      </c>
      <c r="L1366" s="106">
        <v>168.74</v>
      </c>
      <c r="M1366" s="131">
        <f>ROUND(L1366*(1+$Q$5),2)</f>
        <v>213.51</v>
      </c>
      <c r="N1366" s="133">
        <f>TRUNC(K1366*M1366,2)</f>
        <v>0</v>
      </c>
      <c r="O1366" s="286"/>
      <c r="P1366" s="146"/>
      <c r="Q1366" s="146"/>
      <c r="R1366" s="146"/>
      <c r="S1366" s="146"/>
      <c r="T1366" s="146"/>
      <c r="U1366" s="146"/>
      <c r="V1366" s="146"/>
      <c r="W1366" s="146"/>
      <c r="X1366" s="146"/>
      <c r="Y1366" s="146"/>
      <c r="Z1366" s="146"/>
      <c r="AA1366" s="146"/>
    </row>
    <row r="1367" spans="1:27" s="118" customFormat="1" x14ac:dyDescent="0.2">
      <c r="A1367" s="10"/>
      <c r="B1367" s="10"/>
      <c r="C1367" s="191"/>
      <c r="D1367" s="115"/>
      <c r="E1367" s="158"/>
      <c r="F1367" s="267"/>
      <c r="G1367" s="267"/>
      <c r="H1367" s="267"/>
      <c r="I1367" s="250"/>
      <c r="J1367" s="267"/>
      <c r="K1367" s="137"/>
      <c r="L1367" s="137"/>
      <c r="M1367" s="137"/>
      <c r="N1367" s="138"/>
      <c r="O1367" s="167"/>
      <c r="P1367" s="111"/>
      <c r="Q1367" s="111"/>
      <c r="R1367" s="111"/>
      <c r="S1367" s="111"/>
      <c r="T1367" s="111"/>
      <c r="U1367" s="111"/>
      <c r="V1367" s="111"/>
      <c r="W1367" s="111"/>
      <c r="X1367" s="111"/>
      <c r="Y1367" s="111"/>
      <c r="Z1367" s="111"/>
      <c r="AA1367" s="111"/>
    </row>
    <row r="1368" spans="1:27" s="118" customFormat="1" x14ac:dyDescent="0.2">
      <c r="A1368" s="10"/>
      <c r="B1368" s="10"/>
      <c r="C1368" s="190"/>
      <c r="D1368" s="110"/>
      <c r="E1368" s="158"/>
      <c r="F1368" s="267"/>
      <c r="G1368" s="267"/>
      <c r="H1368" s="267"/>
      <c r="I1368" s="250"/>
      <c r="J1368" s="338"/>
      <c r="K1368" s="137"/>
      <c r="L1368" s="137"/>
      <c r="M1368" s="137"/>
      <c r="N1368" s="138"/>
      <c r="O1368" s="167"/>
      <c r="P1368" s="111"/>
      <c r="Q1368" s="111"/>
      <c r="R1368" s="111"/>
      <c r="S1368" s="111"/>
      <c r="T1368" s="111"/>
      <c r="U1368" s="111"/>
      <c r="V1368" s="111"/>
      <c r="W1368" s="111"/>
      <c r="X1368" s="111"/>
      <c r="Y1368" s="111"/>
      <c r="Z1368" s="111"/>
      <c r="AA1368" s="111"/>
    </row>
    <row r="1369" spans="1:27" s="139" customFormat="1" x14ac:dyDescent="0.2">
      <c r="A1369" s="10"/>
      <c r="B1369" s="10"/>
      <c r="C1369" s="15"/>
      <c r="D1369" s="117"/>
      <c r="E1369" s="10"/>
      <c r="F1369" s="263"/>
      <c r="G1369" s="263"/>
      <c r="H1369" s="263"/>
      <c r="I1369" s="250"/>
      <c r="J1369" s="263"/>
      <c r="K1369" s="137"/>
      <c r="L1369" s="137"/>
      <c r="M1369" s="137"/>
      <c r="N1369" s="138"/>
      <c r="O1369" s="283"/>
      <c r="P1369" s="120"/>
      <c r="Q1369" s="120"/>
      <c r="R1369" s="120"/>
      <c r="S1369" s="120"/>
      <c r="T1369" s="120"/>
      <c r="U1369" s="120"/>
      <c r="V1369" s="120"/>
      <c r="W1369" s="120"/>
      <c r="X1369" s="120"/>
      <c r="Y1369" s="120"/>
      <c r="Z1369" s="120"/>
      <c r="AA1369" s="120"/>
    </row>
    <row r="1370" spans="1:27" s="145" customFormat="1" x14ac:dyDescent="0.2">
      <c r="A1370" s="192"/>
      <c r="B1370" s="192"/>
      <c r="C1370" s="193"/>
      <c r="D1370" s="336"/>
      <c r="E1370" s="192"/>
      <c r="F1370" s="269"/>
      <c r="G1370" s="269"/>
      <c r="H1370" s="269"/>
      <c r="I1370" s="254"/>
      <c r="J1370" s="269"/>
      <c r="K1370" s="142"/>
      <c r="L1370" s="142"/>
      <c r="M1370" s="142"/>
      <c r="N1370" s="143">
        <f>SUM(N1372:N1375)</f>
        <v>0</v>
      </c>
      <c r="O1370" s="285"/>
      <c r="P1370" s="144"/>
      <c r="Q1370" s="144"/>
      <c r="R1370" s="144"/>
      <c r="S1370" s="144"/>
      <c r="T1370" s="144"/>
      <c r="U1370" s="144"/>
      <c r="V1370" s="144"/>
      <c r="W1370" s="144"/>
      <c r="X1370" s="144"/>
      <c r="Y1370" s="144"/>
      <c r="Z1370" s="144"/>
      <c r="AA1370" s="144"/>
    </row>
    <row r="1371" spans="1:27" s="118" customFormat="1" x14ac:dyDescent="0.2">
      <c r="A1371" s="10"/>
      <c r="B1371" s="10"/>
      <c r="C1371" s="191"/>
      <c r="D1371" s="110"/>
      <c r="E1371" s="158"/>
      <c r="F1371" s="267"/>
      <c r="G1371" s="267"/>
      <c r="H1371" s="267"/>
      <c r="I1371" s="250"/>
      <c r="J1371" s="263"/>
      <c r="K1371" s="137"/>
      <c r="L1371" s="137"/>
      <c r="M1371" s="137"/>
      <c r="N1371" s="138"/>
      <c r="O1371" s="167"/>
      <c r="P1371" s="111"/>
      <c r="Q1371" s="111"/>
      <c r="R1371" s="111"/>
      <c r="S1371" s="111"/>
      <c r="T1371" s="111"/>
      <c r="U1371" s="111"/>
      <c r="V1371" s="111"/>
      <c r="W1371" s="111"/>
      <c r="X1371" s="111"/>
      <c r="Y1371" s="111"/>
      <c r="Z1371" s="111"/>
      <c r="AA1371" s="111"/>
    </row>
    <row r="1372" spans="1:27" s="147" customFormat="1" x14ac:dyDescent="0.2">
      <c r="A1372" s="184"/>
      <c r="B1372" s="184"/>
      <c r="C1372" s="185"/>
      <c r="D1372" s="341"/>
      <c r="E1372" s="184"/>
      <c r="F1372" s="338"/>
      <c r="G1372" s="338"/>
      <c r="H1372" s="338"/>
      <c r="I1372" s="257"/>
      <c r="J1372" s="338"/>
      <c r="K1372" s="131">
        <f>J1374</f>
        <v>0</v>
      </c>
      <c r="L1372" s="131">
        <v>5.8</v>
      </c>
      <c r="M1372" s="131">
        <f>ROUND(L1372*(1+$Q$5),2)</f>
        <v>7.34</v>
      </c>
      <c r="N1372" s="133">
        <f>TRUNC(K1372*M1372,2)</f>
        <v>0</v>
      </c>
      <c r="O1372" s="286"/>
      <c r="P1372" s="146"/>
      <c r="Q1372" s="146"/>
      <c r="R1372" s="146"/>
      <c r="S1372" s="146"/>
      <c r="T1372" s="146"/>
      <c r="U1372" s="146"/>
      <c r="V1372" s="146"/>
      <c r="W1372" s="146"/>
      <c r="X1372" s="146"/>
      <c r="Y1372" s="146"/>
      <c r="Z1372" s="146"/>
      <c r="AA1372" s="146"/>
    </row>
    <row r="1373" spans="1:27" s="118" customFormat="1" x14ac:dyDescent="0.2">
      <c r="A1373" s="10"/>
      <c r="B1373" s="10"/>
      <c r="C1373" s="191"/>
      <c r="D1373" s="115"/>
      <c r="E1373" s="158"/>
      <c r="F1373" s="267"/>
      <c r="G1373" s="267"/>
      <c r="H1373" s="267"/>
      <c r="I1373" s="250"/>
      <c r="J1373" s="267"/>
      <c r="K1373" s="137"/>
      <c r="L1373" s="137"/>
      <c r="M1373" s="137"/>
      <c r="N1373" s="138"/>
      <c r="O1373" s="167"/>
      <c r="P1373" s="111"/>
      <c r="Q1373" s="111"/>
      <c r="R1373" s="111"/>
      <c r="S1373" s="111"/>
      <c r="T1373" s="111"/>
      <c r="U1373" s="111"/>
      <c r="V1373" s="111"/>
      <c r="W1373" s="111"/>
      <c r="X1373" s="111"/>
      <c r="Y1373" s="111"/>
      <c r="Z1373" s="111"/>
      <c r="AA1373" s="111"/>
    </row>
    <row r="1374" spans="1:27" s="118" customFormat="1" x14ac:dyDescent="0.2">
      <c r="A1374" s="10"/>
      <c r="B1374" s="10"/>
      <c r="C1374" s="190"/>
      <c r="D1374" s="110"/>
      <c r="E1374" s="158"/>
      <c r="F1374" s="267"/>
      <c r="G1374" s="267"/>
      <c r="H1374" s="267"/>
      <c r="I1374" s="250"/>
      <c r="J1374" s="338"/>
      <c r="K1374" s="137"/>
      <c r="L1374" s="137"/>
      <c r="M1374" s="137"/>
      <c r="N1374" s="138"/>
      <c r="O1374" s="167"/>
      <c r="P1374" s="111"/>
      <c r="Q1374" s="111"/>
      <c r="R1374" s="111"/>
      <c r="S1374" s="111"/>
      <c r="T1374" s="111"/>
      <c r="U1374" s="111"/>
      <c r="V1374" s="111"/>
      <c r="W1374" s="111"/>
      <c r="X1374" s="111"/>
      <c r="Y1374" s="111"/>
      <c r="Z1374" s="111"/>
      <c r="AA1374" s="111"/>
    </row>
    <row r="1375" spans="1:27" s="118" customFormat="1" x14ac:dyDescent="0.2">
      <c r="A1375" s="10"/>
      <c r="B1375" s="10"/>
      <c r="C1375" s="157"/>
      <c r="D1375" s="110"/>
      <c r="E1375" s="158"/>
      <c r="F1375" s="267"/>
      <c r="G1375" s="267"/>
      <c r="H1375" s="267"/>
      <c r="I1375" s="250"/>
      <c r="J1375" s="266"/>
      <c r="K1375" s="137"/>
      <c r="L1375" s="137"/>
      <c r="M1375" s="137"/>
      <c r="N1375" s="138"/>
      <c r="O1375" s="167"/>
      <c r="P1375" s="111"/>
      <c r="Q1375" s="111"/>
      <c r="R1375" s="111"/>
      <c r="S1375" s="111"/>
      <c r="T1375" s="111"/>
      <c r="U1375" s="111"/>
      <c r="V1375" s="111"/>
      <c r="W1375" s="111"/>
      <c r="X1375" s="111"/>
      <c r="Y1375" s="111"/>
      <c r="Z1375" s="111"/>
      <c r="AA1375" s="111"/>
    </row>
    <row r="1376" spans="1:27" s="145" customFormat="1" x14ac:dyDescent="0.2">
      <c r="A1376" s="192"/>
      <c r="B1376" s="192"/>
      <c r="C1376" s="193"/>
      <c r="D1376" s="336"/>
      <c r="E1376" s="192"/>
      <c r="F1376" s="269"/>
      <c r="G1376" s="269"/>
      <c r="H1376" s="269"/>
      <c r="I1376" s="254"/>
      <c r="J1376" s="269"/>
      <c r="K1376" s="142"/>
      <c r="L1376" s="142"/>
      <c r="M1376" s="142"/>
      <c r="N1376" s="143">
        <f>SUM(N1378:N1381)</f>
        <v>0</v>
      </c>
      <c r="O1376" s="285"/>
      <c r="P1376" s="144"/>
      <c r="Q1376" s="144"/>
      <c r="R1376" s="144"/>
      <c r="S1376" s="144"/>
      <c r="T1376" s="144"/>
      <c r="U1376" s="144"/>
      <c r="V1376" s="144"/>
      <c r="W1376" s="144"/>
      <c r="X1376" s="144"/>
      <c r="Y1376" s="144"/>
      <c r="Z1376" s="144"/>
      <c r="AA1376" s="144"/>
    </row>
    <row r="1377" spans="1:27" s="118" customFormat="1" x14ac:dyDescent="0.2">
      <c r="A1377" s="10"/>
      <c r="B1377" s="10"/>
      <c r="C1377" s="191"/>
      <c r="D1377" s="110"/>
      <c r="E1377" s="158"/>
      <c r="F1377" s="267"/>
      <c r="G1377" s="267"/>
      <c r="H1377" s="267"/>
      <c r="I1377" s="250"/>
      <c r="J1377" s="263"/>
      <c r="K1377" s="137"/>
      <c r="L1377" s="137"/>
      <c r="M1377" s="137"/>
      <c r="N1377" s="138"/>
      <c r="O1377" s="167"/>
      <c r="P1377" s="111"/>
      <c r="Q1377" s="111"/>
      <c r="R1377" s="111"/>
      <c r="S1377" s="111"/>
      <c r="T1377" s="111"/>
      <c r="U1377" s="111"/>
      <c r="V1377" s="111"/>
      <c r="W1377" s="111"/>
      <c r="X1377" s="111"/>
      <c r="Y1377" s="111"/>
      <c r="Z1377" s="111"/>
      <c r="AA1377" s="111"/>
    </row>
    <row r="1378" spans="1:27" s="147" customFormat="1" x14ac:dyDescent="0.2">
      <c r="A1378" s="184"/>
      <c r="B1378" s="184"/>
      <c r="C1378" s="185"/>
      <c r="D1378" s="341"/>
      <c r="E1378" s="184"/>
      <c r="F1378" s="338"/>
      <c r="G1378" s="338"/>
      <c r="H1378" s="338"/>
      <c r="I1378" s="257"/>
      <c r="J1378" s="338"/>
      <c r="K1378" s="131">
        <f>J1380</f>
        <v>0</v>
      </c>
      <c r="L1378" s="131">
        <v>68.61</v>
      </c>
      <c r="M1378" s="131">
        <f>ROUND(L1378*(1+$Q$5),2)</f>
        <v>86.81</v>
      </c>
      <c r="N1378" s="133">
        <f>TRUNC(K1378*M1378,2)</f>
        <v>0</v>
      </c>
      <c r="O1378" s="286"/>
      <c r="P1378" s="146"/>
      <c r="Q1378" s="146"/>
      <c r="R1378" s="146"/>
      <c r="S1378" s="146"/>
      <c r="T1378" s="146"/>
      <c r="U1378" s="146"/>
      <c r="V1378" s="146"/>
      <c r="W1378" s="146"/>
      <c r="X1378" s="146"/>
      <c r="Y1378" s="146"/>
      <c r="Z1378" s="146"/>
      <c r="AA1378" s="146"/>
    </row>
    <row r="1379" spans="1:27" s="118" customFormat="1" x14ac:dyDescent="0.2">
      <c r="A1379" s="10"/>
      <c r="B1379" s="10"/>
      <c r="C1379" s="191"/>
      <c r="D1379" s="115"/>
      <c r="E1379" s="158"/>
      <c r="F1379" s="267"/>
      <c r="G1379" s="267"/>
      <c r="H1379" s="267"/>
      <c r="I1379" s="250"/>
      <c r="J1379" s="267"/>
      <c r="K1379" s="137"/>
      <c r="L1379" s="137"/>
      <c r="M1379" s="137"/>
      <c r="N1379" s="138"/>
      <c r="O1379" s="167"/>
      <c r="P1379" s="111"/>
      <c r="Q1379" s="111"/>
      <c r="R1379" s="111"/>
      <c r="S1379" s="111"/>
      <c r="T1379" s="111"/>
      <c r="U1379" s="111"/>
      <c r="V1379" s="111"/>
      <c r="W1379" s="111"/>
      <c r="X1379" s="111"/>
      <c r="Y1379" s="111"/>
      <c r="Z1379" s="111"/>
      <c r="AA1379" s="111"/>
    </row>
    <row r="1380" spans="1:27" s="118" customFormat="1" x14ac:dyDescent="0.2">
      <c r="A1380" s="10"/>
      <c r="B1380" s="10"/>
      <c r="C1380" s="190"/>
      <c r="D1380" s="110"/>
      <c r="E1380" s="158"/>
      <c r="F1380" s="267"/>
      <c r="G1380" s="267"/>
      <c r="H1380" s="267"/>
      <c r="I1380" s="250"/>
      <c r="J1380" s="338"/>
      <c r="K1380" s="137"/>
      <c r="L1380" s="137"/>
      <c r="M1380" s="137"/>
      <c r="N1380" s="138"/>
      <c r="O1380" s="167"/>
      <c r="P1380" s="111"/>
      <c r="Q1380" s="111"/>
      <c r="R1380" s="111"/>
      <c r="S1380" s="111"/>
      <c r="T1380" s="111"/>
      <c r="U1380" s="111"/>
      <c r="V1380" s="111"/>
      <c r="W1380" s="111"/>
      <c r="X1380" s="111"/>
      <c r="Y1380" s="111"/>
      <c r="Z1380" s="111"/>
      <c r="AA1380" s="111"/>
    </row>
    <row r="1381" spans="1:27" s="118" customFormat="1" x14ac:dyDescent="0.2">
      <c r="A1381" s="10"/>
      <c r="B1381" s="10"/>
      <c r="C1381" s="157"/>
      <c r="D1381" s="110"/>
      <c r="E1381" s="158"/>
      <c r="F1381" s="267"/>
      <c r="G1381" s="267"/>
      <c r="H1381" s="267"/>
      <c r="I1381" s="250"/>
      <c r="J1381" s="266"/>
      <c r="K1381" s="137"/>
      <c r="L1381" s="137"/>
      <c r="M1381" s="137"/>
      <c r="N1381" s="138"/>
      <c r="O1381" s="167"/>
      <c r="P1381" s="111"/>
      <c r="Q1381" s="111"/>
      <c r="R1381" s="111"/>
      <c r="S1381" s="111"/>
      <c r="T1381" s="111"/>
      <c r="U1381" s="111"/>
      <c r="V1381" s="111"/>
      <c r="W1381" s="111"/>
      <c r="X1381" s="111"/>
      <c r="Y1381" s="111"/>
      <c r="Z1381" s="111"/>
      <c r="AA1381" s="111"/>
    </row>
    <row r="1382" spans="1:27" s="241" customFormat="1" ht="13.2" x14ac:dyDescent="0.25">
      <c r="A1382" s="331"/>
      <c r="B1382" s="331"/>
      <c r="C1382" s="332"/>
      <c r="D1382" s="333"/>
      <c r="E1382" s="331"/>
      <c r="F1382" s="334"/>
      <c r="G1382" s="334"/>
      <c r="H1382" s="334"/>
      <c r="I1382" s="335"/>
      <c r="J1382" s="334"/>
      <c r="K1382" s="238"/>
      <c r="L1382" s="238"/>
      <c r="M1382" s="238"/>
      <c r="N1382" s="239">
        <f>N1384+N1418+N1463+N1410+N1454</f>
        <v>0</v>
      </c>
      <c r="O1382" s="284" t="e">
        <f>N1382/$N$1660</f>
        <v>#REF!</v>
      </c>
      <c r="P1382" s="240" t="s">
        <v>533</v>
      </c>
      <c r="Q1382" s="240" t="s">
        <v>533</v>
      </c>
      <c r="R1382" s="240"/>
      <c r="S1382" s="240"/>
      <c r="T1382" s="240"/>
      <c r="U1382" s="240"/>
      <c r="V1382" s="240"/>
      <c r="W1382" s="240"/>
      <c r="X1382" s="240"/>
      <c r="Y1382" s="240"/>
      <c r="Z1382" s="240"/>
      <c r="AA1382" s="240"/>
    </row>
    <row r="1383" spans="1:27" s="118" customFormat="1" x14ac:dyDescent="0.2">
      <c r="A1383" s="10"/>
      <c r="B1383" s="10"/>
      <c r="C1383" s="191"/>
      <c r="D1383" s="110"/>
      <c r="E1383" s="158"/>
      <c r="F1383" s="267"/>
      <c r="G1383" s="267"/>
      <c r="H1383" s="267"/>
      <c r="I1383" s="250"/>
      <c r="J1383" s="263"/>
      <c r="K1383" s="137"/>
      <c r="L1383" s="137"/>
      <c r="M1383" s="137"/>
      <c r="N1383" s="138"/>
      <c r="O1383" s="167"/>
      <c r="P1383" s="111"/>
      <c r="Q1383" s="111"/>
      <c r="R1383" s="111"/>
      <c r="S1383" s="111"/>
      <c r="T1383" s="111"/>
      <c r="U1383" s="111"/>
      <c r="V1383" s="111"/>
      <c r="W1383" s="111"/>
      <c r="X1383" s="111"/>
      <c r="Y1383" s="111"/>
      <c r="Z1383" s="111"/>
      <c r="AA1383" s="111"/>
    </row>
    <row r="1384" spans="1:27" s="145" customFormat="1" x14ac:dyDescent="0.2">
      <c r="A1384" s="192"/>
      <c r="B1384" s="192"/>
      <c r="C1384" s="193"/>
      <c r="D1384" s="336"/>
      <c r="E1384" s="192"/>
      <c r="F1384" s="269"/>
      <c r="G1384" s="269"/>
      <c r="H1384" s="269"/>
      <c r="I1384" s="254"/>
      <c r="J1384" s="269"/>
      <c r="K1384" s="142"/>
      <c r="L1384" s="142"/>
      <c r="M1384" s="142"/>
      <c r="N1384" s="143">
        <f>SUM(N1386:N1409)</f>
        <v>0</v>
      </c>
      <c r="O1384" s="285"/>
      <c r="P1384" s="144"/>
      <c r="Q1384" s="144"/>
      <c r="R1384" s="144"/>
      <c r="S1384" s="144"/>
      <c r="T1384" s="144"/>
      <c r="U1384" s="144"/>
      <c r="V1384" s="144"/>
      <c r="W1384" s="144"/>
      <c r="X1384" s="144"/>
      <c r="Y1384" s="144"/>
      <c r="Z1384" s="144"/>
      <c r="AA1384" s="144"/>
    </row>
    <row r="1385" spans="1:27" s="118" customFormat="1" x14ac:dyDescent="0.2">
      <c r="A1385" s="10"/>
      <c r="B1385" s="10"/>
      <c r="C1385" s="191"/>
      <c r="D1385" s="110"/>
      <c r="E1385" s="158"/>
      <c r="F1385" s="267"/>
      <c r="G1385" s="267"/>
      <c r="H1385" s="267"/>
      <c r="I1385" s="250"/>
      <c r="J1385" s="263"/>
      <c r="K1385" s="137"/>
      <c r="L1385" s="137"/>
      <c r="M1385" s="137"/>
      <c r="N1385" s="138"/>
      <c r="O1385" s="167"/>
      <c r="P1385" s="111"/>
      <c r="Q1385" s="111"/>
      <c r="R1385" s="111"/>
      <c r="S1385" s="111"/>
      <c r="T1385" s="111"/>
      <c r="U1385" s="111"/>
      <c r="V1385" s="111"/>
      <c r="W1385" s="111"/>
      <c r="X1385" s="111"/>
      <c r="Y1385" s="111"/>
      <c r="Z1385" s="111"/>
      <c r="AA1385" s="111"/>
    </row>
    <row r="1386" spans="1:27" s="147" customFormat="1" x14ac:dyDescent="0.2">
      <c r="A1386" s="184"/>
      <c r="B1386" s="184"/>
      <c r="C1386" s="185"/>
      <c r="D1386" s="337"/>
      <c r="E1386" s="184"/>
      <c r="F1386" s="338"/>
      <c r="G1386" s="338"/>
      <c r="H1386" s="338"/>
      <c r="I1386" s="257"/>
      <c r="J1386" s="338"/>
      <c r="K1386" s="131">
        <f>J1388</f>
        <v>0</v>
      </c>
      <c r="L1386" s="131">
        <v>73.44</v>
      </c>
      <c r="M1386" s="131">
        <f>ROUND(L1386*(1+$Q$5),2)</f>
        <v>92.92</v>
      </c>
      <c r="N1386" s="133">
        <f>TRUNC(K1386*M1386,2)</f>
        <v>0</v>
      </c>
      <c r="O1386" s="286"/>
      <c r="P1386" s="146"/>
      <c r="Q1386" s="146"/>
      <c r="R1386" s="146"/>
      <c r="S1386" s="146"/>
      <c r="T1386" s="146"/>
      <c r="U1386" s="146"/>
      <c r="V1386" s="146"/>
      <c r="W1386" s="146"/>
      <c r="X1386" s="146"/>
      <c r="Y1386" s="146"/>
      <c r="Z1386" s="146"/>
      <c r="AA1386" s="146"/>
    </row>
    <row r="1387" spans="1:27" s="174" customFormat="1" x14ac:dyDescent="0.2">
      <c r="A1387" s="177"/>
      <c r="B1387" s="177"/>
      <c r="C1387" s="178"/>
      <c r="D1387" s="115"/>
      <c r="E1387" s="10"/>
      <c r="F1387" s="267"/>
      <c r="G1387" s="267"/>
      <c r="H1387" s="267"/>
      <c r="I1387" s="339"/>
      <c r="J1387" s="267"/>
      <c r="K1387" s="172"/>
      <c r="L1387" s="172"/>
      <c r="M1387" s="172"/>
      <c r="N1387" s="173"/>
      <c r="O1387" s="287"/>
      <c r="P1387" s="23"/>
      <c r="Q1387" s="23"/>
      <c r="R1387" s="23"/>
      <c r="S1387" s="23"/>
      <c r="T1387" s="23"/>
      <c r="U1387" s="23"/>
      <c r="V1387" s="23"/>
      <c r="W1387" s="23"/>
      <c r="X1387" s="23"/>
      <c r="Y1387" s="23"/>
      <c r="Z1387" s="23"/>
      <c r="AA1387" s="23"/>
    </row>
    <row r="1388" spans="1:27" s="174" customFormat="1" x14ac:dyDescent="0.2">
      <c r="A1388" s="177"/>
      <c r="B1388" s="177"/>
      <c r="C1388" s="178"/>
      <c r="D1388" s="179"/>
      <c r="E1388" s="180"/>
      <c r="F1388" s="265"/>
      <c r="G1388" s="265"/>
      <c r="H1388" s="265"/>
      <c r="I1388" s="252"/>
      <c r="J1388" s="338"/>
      <c r="K1388" s="172"/>
      <c r="L1388" s="172"/>
      <c r="M1388" s="172"/>
      <c r="N1388" s="173"/>
      <c r="O1388" s="287"/>
      <c r="P1388" s="23"/>
      <c r="Q1388" s="23"/>
      <c r="R1388" s="23"/>
      <c r="S1388" s="23"/>
      <c r="T1388" s="23"/>
      <c r="U1388" s="23"/>
      <c r="V1388" s="23"/>
      <c r="W1388" s="23"/>
      <c r="X1388" s="23"/>
      <c r="Y1388" s="23"/>
      <c r="Z1388" s="23"/>
      <c r="AA1388" s="23"/>
    </row>
    <row r="1389" spans="1:27" s="174" customFormat="1" x14ac:dyDescent="0.2">
      <c r="A1389" s="177"/>
      <c r="B1389" s="177"/>
      <c r="C1389" s="178"/>
      <c r="D1389" s="179"/>
      <c r="E1389" s="180"/>
      <c r="F1389" s="265"/>
      <c r="G1389" s="265"/>
      <c r="H1389" s="265"/>
      <c r="I1389" s="252"/>
      <c r="J1389" s="266"/>
      <c r="K1389" s="172"/>
      <c r="L1389" s="172"/>
      <c r="M1389" s="172"/>
      <c r="N1389" s="173"/>
      <c r="O1389" s="287"/>
      <c r="P1389" s="23"/>
      <c r="Q1389" s="23"/>
      <c r="R1389" s="23"/>
      <c r="S1389" s="23"/>
      <c r="T1389" s="23"/>
      <c r="U1389" s="23"/>
      <c r="V1389" s="23"/>
      <c r="W1389" s="23"/>
      <c r="X1389" s="23"/>
      <c r="Y1389" s="23"/>
      <c r="Z1389" s="23"/>
      <c r="AA1389" s="23"/>
    </row>
    <row r="1390" spans="1:27" s="147" customFormat="1" x14ac:dyDescent="0.2">
      <c r="A1390" s="184"/>
      <c r="B1390" s="184"/>
      <c r="C1390" s="185"/>
      <c r="D1390" s="337"/>
      <c r="E1390" s="184"/>
      <c r="F1390" s="338"/>
      <c r="G1390" s="338"/>
      <c r="H1390" s="338"/>
      <c r="I1390" s="257"/>
      <c r="J1390" s="338"/>
      <c r="K1390" s="131">
        <f>J1392</f>
        <v>0</v>
      </c>
      <c r="L1390" s="131">
        <f>'COMPOSICOES - SINAPI COM DESON'!G50</f>
        <v>104.48</v>
      </c>
      <c r="M1390" s="131">
        <f>ROUND(L1390*(1+$Q$5),2)</f>
        <v>132.19999999999999</v>
      </c>
      <c r="N1390" s="133">
        <f>TRUNC(K1390*M1390,2)</f>
        <v>0</v>
      </c>
      <c r="O1390" s="286"/>
      <c r="P1390" s="146"/>
      <c r="Q1390" s="146"/>
      <c r="R1390" s="146"/>
      <c r="S1390" s="146"/>
      <c r="T1390" s="146"/>
      <c r="U1390" s="146"/>
      <c r="V1390" s="146"/>
      <c r="W1390" s="146"/>
      <c r="X1390" s="146"/>
      <c r="Y1390" s="146"/>
      <c r="Z1390" s="146"/>
      <c r="AA1390" s="146"/>
    </row>
    <row r="1391" spans="1:27" s="174" customFormat="1" x14ac:dyDescent="0.2">
      <c r="A1391" s="177"/>
      <c r="B1391" s="177"/>
      <c r="C1391" s="178"/>
      <c r="D1391" s="115"/>
      <c r="E1391" s="10"/>
      <c r="F1391" s="267"/>
      <c r="G1391" s="267"/>
      <c r="H1391" s="267"/>
      <c r="I1391" s="339"/>
      <c r="J1391" s="267"/>
      <c r="K1391" s="172"/>
      <c r="L1391" s="172"/>
      <c r="M1391" s="172"/>
      <c r="N1391" s="173"/>
      <c r="O1391" s="287"/>
      <c r="P1391" s="23"/>
      <c r="Q1391" s="23"/>
      <c r="R1391" s="23"/>
      <c r="S1391" s="23"/>
      <c r="T1391" s="23"/>
      <c r="U1391" s="23"/>
      <c r="V1391" s="23"/>
      <c r="W1391" s="23"/>
      <c r="X1391" s="23"/>
      <c r="Y1391" s="23"/>
      <c r="Z1391" s="23"/>
      <c r="AA1391" s="23"/>
    </row>
    <row r="1392" spans="1:27" s="174" customFormat="1" x14ac:dyDescent="0.2">
      <c r="A1392" s="177"/>
      <c r="B1392" s="177"/>
      <c r="C1392" s="178"/>
      <c r="D1392" s="179"/>
      <c r="E1392" s="180"/>
      <c r="F1392" s="265"/>
      <c r="G1392" s="265"/>
      <c r="H1392" s="265"/>
      <c r="I1392" s="252"/>
      <c r="J1392" s="338"/>
      <c r="K1392" s="172"/>
      <c r="L1392" s="172"/>
      <c r="M1392" s="172"/>
      <c r="N1392" s="173"/>
      <c r="O1392" s="287"/>
      <c r="P1392" s="23"/>
      <c r="Q1392" s="23"/>
      <c r="R1392" s="23"/>
      <c r="S1392" s="23"/>
      <c r="T1392" s="23"/>
      <c r="U1392" s="23"/>
      <c r="V1392" s="23"/>
      <c r="W1392" s="23"/>
      <c r="X1392" s="23"/>
      <c r="Y1392" s="23"/>
      <c r="Z1392" s="23"/>
      <c r="AA1392" s="23"/>
    </row>
    <row r="1393" spans="1:27" s="118" customFormat="1" x14ac:dyDescent="0.2">
      <c r="A1393" s="10"/>
      <c r="B1393" s="10"/>
      <c r="C1393" s="15"/>
      <c r="D1393" s="340"/>
      <c r="E1393" s="158"/>
      <c r="F1393" s="267"/>
      <c r="G1393" s="267"/>
      <c r="H1393" s="267"/>
      <c r="I1393" s="250"/>
      <c r="J1393" s="263"/>
      <c r="K1393" s="137"/>
      <c r="L1393" s="137"/>
      <c r="M1393" s="137"/>
      <c r="N1393" s="138"/>
      <c r="O1393" s="167"/>
      <c r="P1393" s="111"/>
      <c r="Q1393" s="111"/>
      <c r="R1393" s="111"/>
      <c r="S1393" s="111"/>
      <c r="T1393" s="111"/>
      <c r="U1393" s="111"/>
      <c r="V1393" s="111"/>
      <c r="W1393" s="111"/>
      <c r="X1393" s="111"/>
      <c r="Y1393" s="111"/>
      <c r="Z1393" s="111"/>
      <c r="AA1393" s="111"/>
    </row>
    <row r="1394" spans="1:27" s="147" customFormat="1" x14ac:dyDescent="0.2">
      <c r="A1394" s="184"/>
      <c r="B1394" s="184"/>
      <c r="C1394" s="185"/>
      <c r="D1394" s="337"/>
      <c r="E1394" s="184"/>
      <c r="F1394" s="338"/>
      <c r="G1394" s="338"/>
      <c r="H1394" s="338"/>
      <c r="I1394" s="257"/>
      <c r="J1394" s="338"/>
      <c r="K1394" s="131">
        <f>J1396</f>
        <v>0</v>
      </c>
      <c r="L1394" s="131">
        <v>166.81</v>
      </c>
      <c r="M1394" s="131">
        <f>ROUND(L1394*(1+$Q$5),2)</f>
        <v>211.06</v>
      </c>
      <c r="N1394" s="133">
        <f>TRUNC(K1394*M1394,2)</f>
        <v>0</v>
      </c>
      <c r="O1394" s="286"/>
      <c r="P1394" s="146"/>
      <c r="Q1394" s="146"/>
      <c r="R1394" s="146"/>
      <c r="S1394" s="146"/>
      <c r="T1394" s="146"/>
      <c r="U1394" s="146"/>
      <c r="V1394" s="146"/>
      <c r="W1394" s="146"/>
      <c r="X1394" s="146"/>
      <c r="Y1394" s="146"/>
      <c r="Z1394" s="146"/>
      <c r="AA1394" s="146"/>
    </row>
    <row r="1395" spans="1:27" s="118" customFormat="1" x14ac:dyDescent="0.2">
      <c r="A1395" s="10"/>
      <c r="B1395" s="10"/>
      <c r="C1395" s="191"/>
      <c r="D1395" s="115"/>
      <c r="E1395" s="158"/>
      <c r="F1395" s="267"/>
      <c r="G1395" s="267"/>
      <c r="H1395" s="267"/>
      <c r="I1395" s="250"/>
      <c r="J1395" s="267"/>
      <c r="K1395" s="137"/>
      <c r="L1395" s="137"/>
      <c r="M1395" s="137"/>
      <c r="N1395" s="138"/>
      <c r="O1395" s="167"/>
      <c r="P1395" s="111"/>
      <c r="Q1395" s="111"/>
      <c r="R1395" s="111"/>
      <c r="S1395" s="111"/>
      <c r="T1395" s="111"/>
      <c r="U1395" s="111"/>
      <c r="V1395" s="111"/>
      <c r="W1395" s="111"/>
      <c r="X1395" s="111"/>
      <c r="Y1395" s="111"/>
      <c r="Z1395" s="111"/>
      <c r="AA1395" s="111"/>
    </row>
    <row r="1396" spans="1:27" s="118" customFormat="1" x14ac:dyDescent="0.2">
      <c r="A1396" s="10"/>
      <c r="B1396" s="10"/>
      <c r="C1396" s="190"/>
      <c r="D1396" s="110"/>
      <c r="E1396" s="158"/>
      <c r="F1396" s="267"/>
      <c r="G1396" s="267"/>
      <c r="H1396" s="267"/>
      <c r="I1396" s="250"/>
      <c r="J1396" s="338"/>
      <c r="K1396" s="137"/>
      <c r="L1396" s="137"/>
      <c r="M1396" s="137"/>
      <c r="N1396" s="138"/>
      <c r="O1396" s="167"/>
      <c r="P1396" s="111"/>
      <c r="Q1396" s="111"/>
      <c r="R1396" s="111"/>
      <c r="S1396" s="111"/>
      <c r="T1396" s="111"/>
      <c r="U1396" s="111"/>
      <c r="V1396" s="111"/>
      <c r="W1396" s="111"/>
      <c r="X1396" s="111"/>
      <c r="Y1396" s="111"/>
      <c r="Z1396" s="111"/>
      <c r="AA1396" s="111"/>
    </row>
    <row r="1397" spans="1:27" s="161" customFormat="1" x14ac:dyDescent="0.2">
      <c r="A1397" s="10"/>
      <c r="B1397" s="10"/>
      <c r="C1397" s="191"/>
      <c r="D1397" s="110"/>
      <c r="E1397" s="158"/>
      <c r="F1397" s="267"/>
      <c r="G1397" s="267"/>
      <c r="H1397" s="267"/>
      <c r="I1397" s="250"/>
      <c r="J1397" s="263"/>
      <c r="K1397" s="151"/>
      <c r="L1397" s="151"/>
      <c r="M1397" s="151"/>
      <c r="N1397" s="152"/>
      <c r="O1397" s="167"/>
      <c r="P1397" s="114"/>
      <c r="Q1397" s="114"/>
      <c r="R1397" s="114"/>
      <c r="S1397" s="114"/>
      <c r="T1397" s="114"/>
      <c r="U1397" s="114"/>
      <c r="V1397" s="114"/>
      <c r="W1397" s="114"/>
      <c r="X1397" s="114"/>
      <c r="Y1397" s="114"/>
      <c r="Z1397" s="114"/>
      <c r="AA1397" s="114"/>
    </row>
    <row r="1398" spans="1:27" s="147" customFormat="1" x14ac:dyDescent="0.2">
      <c r="A1398" s="184"/>
      <c r="B1398" s="184"/>
      <c r="C1398" s="344"/>
      <c r="D1398" s="337"/>
      <c r="E1398" s="184"/>
      <c r="F1398" s="338"/>
      <c r="G1398" s="338"/>
      <c r="H1398" s="338"/>
      <c r="I1398" s="257"/>
      <c r="J1398" s="338"/>
      <c r="K1398" s="131">
        <f>J1400</f>
        <v>0</v>
      </c>
      <c r="L1398" s="131">
        <v>46.44</v>
      </c>
      <c r="M1398" s="131">
        <f>ROUND(L1398*(1+$Q$5),2)</f>
        <v>58.76</v>
      </c>
      <c r="N1398" s="133">
        <f>TRUNC(K1398*M1398,2)</f>
        <v>0</v>
      </c>
      <c r="O1398" s="286"/>
      <c r="P1398" s="146"/>
      <c r="Q1398" s="146"/>
      <c r="R1398" s="146"/>
      <c r="S1398" s="146"/>
      <c r="T1398" s="146"/>
      <c r="U1398" s="146"/>
      <c r="V1398" s="146"/>
      <c r="W1398" s="146"/>
      <c r="X1398" s="146"/>
      <c r="Y1398" s="146"/>
      <c r="Z1398" s="146"/>
      <c r="AA1398" s="146"/>
    </row>
    <row r="1399" spans="1:27" s="118" customFormat="1" x14ac:dyDescent="0.2">
      <c r="A1399" s="10"/>
      <c r="B1399" s="10"/>
      <c r="C1399" s="191"/>
      <c r="D1399" s="115"/>
      <c r="E1399" s="158"/>
      <c r="F1399" s="267"/>
      <c r="G1399" s="267"/>
      <c r="H1399" s="267"/>
      <c r="I1399" s="250"/>
      <c r="J1399" s="267"/>
      <c r="K1399" s="137"/>
      <c r="L1399" s="137"/>
      <c r="M1399" s="137"/>
      <c r="N1399" s="138"/>
      <c r="O1399" s="167"/>
      <c r="P1399" s="111"/>
      <c r="Q1399" s="111"/>
      <c r="R1399" s="111"/>
      <c r="S1399" s="111"/>
      <c r="T1399" s="111"/>
      <c r="U1399" s="111"/>
      <c r="V1399" s="111"/>
      <c r="W1399" s="111"/>
      <c r="X1399" s="111"/>
      <c r="Y1399" s="111"/>
      <c r="Z1399" s="111"/>
      <c r="AA1399" s="111"/>
    </row>
    <row r="1400" spans="1:27" s="118" customFormat="1" x14ac:dyDescent="0.2">
      <c r="A1400" s="10"/>
      <c r="B1400" s="10"/>
      <c r="C1400" s="190"/>
      <c r="D1400" s="110"/>
      <c r="E1400" s="158"/>
      <c r="F1400" s="267"/>
      <c r="G1400" s="267"/>
      <c r="H1400" s="267"/>
      <c r="I1400" s="250"/>
      <c r="J1400" s="338"/>
      <c r="K1400" s="137"/>
      <c r="L1400" s="137"/>
      <c r="M1400" s="137"/>
      <c r="N1400" s="138"/>
      <c r="O1400" s="167"/>
      <c r="P1400" s="111"/>
      <c r="Q1400" s="111"/>
      <c r="R1400" s="111"/>
      <c r="S1400" s="111"/>
      <c r="T1400" s="111"/>
      <c r="U1400" s="111"/>
      <c r="V1400" s="111"/>
      <c r="W1400" s="111"/>
      <c r="X1400" s="111"/>
      <c r="Y1400" s="111"/>
      <c r="Z1400" s="111"/>
      <c r="AA1400" s="111"/>
    </row>
    <row r="1401" spans="1:27" s="139" customFormat="1" x14ac:dyDescent="0.2">
      <c r="A1401" s="10"/>
      <c r="B1401" s="10"/>
      <c r="C1401" s="15"/>
      <c r="D1401" s="117"/>
      <c r="E1401" s="10"/>
      <c r="F1401" s="263"/>
      <c r="G1401" s="263"/>
      <c r="H1401" s="263"/>
      <c r="I1401" s="250"/>
      <c r="J1401" s="263"/>
      <c r="K1401" s="137"/>
      <c r="L1401" s="137"/>
      <c r="M1401" s="137"/>
      <c r="N1401" s="138"/>
      <c r="O1401" s="283"/>
      <c r="P1401" s="120"/>
      <c r="Q1401" s="120"/>
      <c r="R1401" s="120"/>
      <c r="S1401" s="120"/>
      <c r="T1401" s="120"/>
      <c r="U1401" s="120"/>
      <c r="V1401" s="120"/>
      <c r="W1401" s="120"/>
      <c r="X1401" s="120"/>
      <c r="Y1401" s="120"/>
      <c r="Z1401" s="120"/>
      <c r="AA1401" s="120"/>
    </row>
    <row r="1402" spans="1:27" s="147" customFormat="1" x14ac:dyDescent="0.2">
      <c r="A1402" s="184"/>
      <c r="B1402" s="184"/>
      <c r="C1402" s="185"/>
      <c r="D1402" s="337"/>
      <c r="E1402" s="184"/>
      <c r="F1402" s="338"/>
      <c r="G1402" s="338"/>
      <c r="H1402" s="338"/>
      <c r="I1402" s="257"/>
      <c r="J1402" s="338"/>
      <c r="K1402" s="131">
        <f>J1404</f>
        <v>0</v>
      </c>
      <c r="L1402" s="131">
        <v>65.69</v>
      </c>
      <c r="M1402" s="131">
        <f>ROUND(L1402*(1+$Q$5),2)</f>
        <v>83.12</v>
      </c>
      <c r="N1402" s="133">
        <f>TRUNC(K1402*M1402,2)</f>
        <v>0</v>
      </c>
      <c r="O1402" s="286"/>
      <c r="P1402" s="146"/>
      <c r="Q1402" s="146"/>
      <c r="R1402" s="146"/>
      <c r="S1402" s="146"/>
      <c r="T1402" s="146"/>
      <c r="U1402" s="146"/>
      <c r="V1402" s="146"/>
      <c r="W1402" s="146"/>
      <c r="X1402" s="146"/>
      <c r="Y1402" s="146"/>
      <c r="Z1402" s="146"/>
      <c r="AA1402" s="146"/>
    </row>
    <row r="1403" spans="1:27" s="118" customFormat="1" x14ac:dyDescent="0.2">
      <c r="A1403" s="10"/>
      <c r="B1403" s="10"/>
      <c r="C1403" s="10"/>
      <c r="D1403" s="115"/>
      <c r="E1403" s="158"/>
      <c r="F1403" s="267"/>
      <c r="G1403" s="267"/>
      <c r="H1403" s="267"/>
      <c r="I1403" s="250"/>
      <c r="J1403" s="267"/>
      <c r="K1403" s="137"/>
      <c r="L1403" s="137"/>
      <c r="M1403" s="137"/>
      <c r="N1403" s="138"/>
      <c r="O1403" s="167"/>
      <c r="P1403" s="111"/>
      <c r="Q1403" s="111"/>
      <c r="R1403" s="111"/>
      <c r="S1403" s="111"/>
      <c r="T1403" s="111"/>
      <c r="U1403" s="111"/>
      <c r="V1403" s="111"/>
      <c r="W1403" s="111"/>
      <c r="X1403" s="111"/>
      <c r="Y1403" s="111"/>
      <c r="Z1403" s="111"/>
      <c r="AA1403" s="111"/>
    </row>
    <row r="1404" spans="1:27" s="118" customFormat="1" x14ac:dyDescent="0.2">
      <c r="A1404" s="10"/>
      <c r="B1404" s="10"/>
      <c r="C1404" s="190"/>
      <c r="D1404" s="110"/>
      <c r="E1404" s="158"/>
      <c r="F1404" s="267"/>
      <c r="G1404" s="267"/>
      <c r="H1404" s="267"/>
      <c r="I1404" s="250"/>
      <c r="J1404" s="338"/>
      <c r="K1404" s="137"/>
      <c r="L1404" s="137"/>
      <c r="M1404" s="137"/>
      <c r="N1404" s="138"/>
      <c r="O1404" s="167"/>
      <c r="P1404" s="111"/>
      <c r="Q1404" s="111"/>
      <c r="R1404" s="111"/>
      <c r="S1404" s="111"/>
      <c r="T1404" s="111"/>
      <c r="U1404" s="111"/>
      <c r="V1404" s="111"/>
      <c r="W1404" s="111"/>
      <c r="X1404" s="111"/>
      <c r="Y1404" s="111"/>
      <c r="Z1404" s="111"/>
      <c r="AA1404" s="111"/>
    </row>
    <row r="1405" spans="1:27" s="118" customFormat="1" x14ac:dyDescent="0.2">
      <c r="A1405" s="10"/>
      <c r="B1405" s="10"/>
      <c r="C1405" s="191"/>
      <c r="D1405" s="110"/>
      <c r="E1405" s="158"/>
      <c r="F1405" s="267"/>
      <c r="G1405" s="267"/>
      <c r="H1405" s="267"/>
      <c r="I1405" s="250"/>
      <c r="J1405" s="263"/>
      <c r="K1405" s="137"/>
      <c r="L1405" s="137"/>
      <c r="M1405" s="137"/>
      <c r="N1405" s="138"/>
      <c r="O1405" s="167"/>
      <c r="P1405" s="111"/>
      <c r="Q1405" s="111"/>
      <c r="R1405" s="111"/>
      <c r="S1405" s="111"/>
      <c r="T1405" s="111"/>
      <c r="U1405" s="111"/>
      <c r="V1405" s="111"/>
      <c r="W1405" s="111"/>
      <c r="X1405" s="111"/>
      <c r="Y1405" s="111"/>
      <c r="Z1405" s="111"/>
      <c r="AA1405" s="111"/>
    </row>
    <row r="1406" spans="1:27" s="147" customFormat="1" x14ac:dyDescent="0.2">
      <c r="A1406" s="184"/>
      <c r="B1406" s="184"/>
      <c r="C1406" s="185"/>
      <c r="D1406" s="337"/>
      <c r="E1406" s="184"/>
      <c r="F1406" s="338"/>
      <c r="G1406" s="338"/>
      <c r="H1406" s="338"/>
      <c r="I1406" s="257"/>
      <c r="J1406" s="338"/>
      <c r="K1406" s="131">
        <f>J1408</f>
        <v>0</v>
      </c>
      <c r="L1406" s="131">
        <v>14.55</v>
      </c>
      <c r="M1406" s="131">
        <f>ROUND(L1406*(1+$Q$5),2)</f>
        <v>18.41</v>
      </c>
      <c r="N1406" s="133">
        <f>TRUNC(K1406*M1406,2)</f>
        <v>0</v>
      </c>
      <c r="O1406" s="286"/>
      <c r="P1406" s="146"/>
      <c r="Q1406" s="146"/>
      <c r="R1406" s="146"/>
      <c r="S1406" s="146"/>
      <c r="T1406" s="146"/>
      <c r="U1406" s="146"/>
      <c r="V1406" s="146"/>
      <c r="W1406" s="146"/>
      <c r="X1406" s="146"/>
      <c r="Y1406" s="146"/>
      <c r="Z1406" s="146"/>
      <c r="AA1406" s="146"/>
    </row>
    <row r="1407" spans="1:27" s="118" customFormat="1" x14ac:dyDescent="0.2">
      <c r="A1407" s="10"/>
      <c r="B1407" s="10"/>
      <c r="C1407" s="10"/>
      <c r="D1407" s="115"/>
      <c r="E1407" s="158"/>
      <c r="F1407" s="267"/>
      <c r="G1407" s="267"/>
      <c r="H1407" s="267"/>
      <c r="I1407" s="250"/>
      <c r="J1407" s="267"/>
      <c r="K1407" s="137"/>
      <c r="L1407" s="137"/>
      <c r="M1407" s="137"/>
      <c r="N1407" s="138"/>
      <c r="O1407" s="167"/>
      <c r="P1407" s="111"/>
      <c r="Q1407" s="111"/>
      <c r="R1407" s="111"/>
      <c r="S1407" s="111"/>
      <c r="T1407" s="111"/>
      <c r="U1407" s="111"/>
      <c r="V1407" s="111"/>
      <c r="W1407" s="111"/>
      <c r="X1407" s="111"/>
      <c r="Y1407" s="111"/>
      <c r="Z1407" s="111"/>
      <c r="AA1407" s="111"/>
    </row>
    <row r="1408" spans="1:27" s="118" customFormat="1" x14ac:dyDescent="0.2">
      <c r="A1408" s="10"/>
      <c r="B1408" s="10"/>
      <c r="C1408" s="190"/>
      <c r="D1408" s="110"/>
      <c r="E1408" s="158"/>
      <c r="F1408" s="267"/>
      <c r="G1408" s="267"/>
      <c r="H1408" s="267"/>
      <c r="I1408" s="250"/>
      <c r="J1408" s="338"/>
      <c r="K1408" s="137"/>
      <c r="L1408" s="137"/>
      <c r="M1408" s="137"/>
      <c r="N1408" s="138"/>
      <c r="O1408" s="167"/>
      <c r="P1408" s="111"/>
      <c r="Q1408" s="111"/>
      <c r="R1408" s="111"/>
      <c r="S1408" s="111"/>
      <c r="T1408" s="111"/>
      <c r="U1408" s="111"/>
      <c r="V1408" s="111"/>
      <c r="W1408" s="111"/>
      <c r="X1408" s="111"/>
      <c r="Y1408" s="111"/>
      <c r="Z1408" s="111"/>
      <c r="AA1408" s="111"/>
    </row>
    <row r="1409" spans="1:27" s="118" customFormat="1" x14ac:dyDescent="0.2">
      <c r="A1409" s="10"/>
      <c r="B1409" s="10"/>
      <c r="C1409" s="191"/>
      <c r="D1409" s="110"/>
      <c r="E1409" s="158"/>
      <c r="F1409" s="267"/>
      <c r="G1409" s="267"/>
      <c r="H1409" s="267"/>
      <c r="I1409" s="250"/>
      <c r="J1409" s="263"/>
      <c r="K1409" s="137"/>
      <c r="L1409" s="137"/>
      <c r="M1409" s="137"/>
      <c r="N1409" s="138"/>
      <c r="O1409" s="167"/>
      <c r="P1409" s="111"/>
      <c r="Q1409" s="111"/>
      <c r="R1409" s="111"/>
      <c r="S1409" s="111"/>
      <c r="T1409" s="111"/>
      <c r="U1409" s="111"/>
      <c r="V1409" s="111"/>
      <c r="W1409" s="111"/>
      <c r="X1409" s="111"/>
      <c r="Y1409" s="111"/>
      <c r="Z1409" s="111"/>
      <c r="AA1409" s="111"/>
    </row>
    <row r="1410" spans="1:27" s="145" customFormat="1" x14ac:dyDescent="0.2">
      <c r="A1410" s="192"/>
      <c r="B1410" s="192"/>
      <c r="C1410" s="193"/>
      <c r="D1410" s="336"/>
      <c r="E1410" s="192"/>
      <c r="F1410" s="269"/>
      <c r="G1410" s="269"/>
      <c r="H1410" s="269"/>
      <c r="I1410" s="254"/>
      <c r="J1410" s="269"/>
      <c r="K1410" s="142"/>
      <c r="L1410" s="142"/>
      <c r="M1410" s="142"/>
      <c r="N1410" s="143">
        <f>SUM(N1412:N1417)</f>
        <v>0</v>
      </c>
      <c r="O1410" s="285"/>
      <c r="P1410" s="144"/>
      <c r="Q1410" s="144"/>
      <c r="R1410" s="144"/>
      <c r="S1410" s="144"/>
      <c r="T1410" s="144"/>
      <c r="U1410" s="144"/>
      <c r="V1410" s="144"/>
      <c r="W1410" s="144"/>
      <c r="X1410" s="144"/>
      <c r="Y1410" s="144"/>
      <c r="Z1410" s="144"/>
      <c r="AA1410" s="144"/>
    </row>
    <row r="1411" spans="1:27" s="118" customFormat="1" x14ac:dyDescent="0.2">
      <c r="A1411" s="10"/>
      <c r="B1411" s="10"/>
      <c r="C1411" s="191"/>
      <c r="D1411" s="110"/>
      <c r="E1411" s="158"/>
      <c r="F1411" s="267"/>
      <c r="G1411" s="267"/>
      <c r="H1411" s="267"/>
      <c r="I1411" s="250"/>
      <c r="J1411" s="263"/>
      <c r="K1411" s="137"/>
      <c r="L1411" s="137"/>
      <c r="M1411" s="137"/>
      <c r="N1411" s="138"/>
      <c r="O1411" s="167"/>
      <c r="P1411" s="111"/>
      <c r="Q1411" s="111"/>
      <c r="R1411" s="111"/>
      <c r="S1411" s="111"/>
      <c r="T1411" s="111"/>
      <c r="U1411" s="111"/>
      <c r="V1411" s="111"/>
      <c r="W1411" s="111"/>
      <c r="X1411" s="111"/>
      <c r="Y1411" s="111"/>
      <c r="Z1411" s="111"/>
      <c r="AA1411" s="111"/>
    </row>
    <row r="1412" spans="1:27" s="147" customFormat="1" x14ac:dyDescent="0.2">
      <c r="A1412" s="184"/>
      <c r="B1412" s="184"/>
      <c r="C1412" s="185"/>
      <c r="D1412" s="337"/>
      <c r="E1412" s="184"/>
      <c r="F1412" s="338"/>
      <c r="G1412" s="338"/>
      <c r="H1412" s="338"/>
      <c r="I1412" s="257"/>
      <c r="J1412" s="338"/>
      <c r="K1412" s="131">
        <f>J1416</f>
        <v>0</v>
      </c>
      <c r="L1412" s="131">
        <v>287.51</v>
      </c>
      <c r="M1412" s="131">
        <f>ROUND(L1412*(1+$Q$5),2)</f>
        <v>363.79</v>
      </c>
      <c r="N1412" s="133">
        <f>TRUNC(K1412*M1412,2)</f>
        <v>0</v>
      </c>
      <c r="O1412" s="286"/>
      <c r="P1412" s="146"/>
      <c r="Q1412" s="146"/>
      <c r="R1412" s="146"/>
      <c r="S1412" s="146"/>
      <c r="T1412" s="146"/>
      <c r="U1412" s="146"/>
      <c r="V1412" s="146"/>
      <c r="W1412" s="146"/>
      <c r="X1412" s="146"/>
      <c r="Y1412" s="146"/>
      <c r="Z1412" s="146"/>
      <c r="AA1412" s="146"/>
    </row>
    <row r="1413" spans="1:27" s="118" customFormat="1" x14ac:dyDescent="0.2">
      <c r="A1413" s="10"/>
      <c r="B1413" s="10"/>
      <c r="C1413" s="191"/>
      <c r="D1413" s="115"/>
      <c r="E1413" s="158"/>
      <c r="F1413" s="267"/>
      <c r="G1413" s="267"/>
      <c r="H1413" s="267"/>
      <c r="I1413" s="339"/>
      <c r="J1413" s="267"/>
      <c r="K1413" s="137"/>
      <c r="L1413" s="137"/>
      <c r="M1413" s="137"/>
      <c r="N1413" s="138"/>
      <c r="O1413" s="167"/>
      <c r="P1413" s="111"/>
      <c r="Q1413" s="111"/>
      <c r="R1413" s="111"/>
      <c r="S1413" s="111"/>
      <c r="T1413" s="111"/>
      <c r="U1413" s="111"/>
      <c r="V1413" s="111"/>
      <c r="W1413" s="111"/>
      <c r="X1413" s="111"/>
      <c r="Y1413" s="111"/>
      <c r="Z1413" s="111"/>
      <c r="AA1413" s="111"/>
    </row>
    <row r="1414" spans="1:27" s="118" customFormat="1" x14ac:dyDescent="0.2">
      <c r="A1414" s="10"/>
      <c r="B1414" s="10"/>
      <c r="C1414" s="191"/>
      <c r="D1414" s="115"/>
      <c r="E1414" s="158"/>
      <c r="F1414" s="267"/>
      <c r="G1414" s="267"/>
      <c r="H1414" s="267"/>
      <c r="I1414" s="339"/>
      <c r="J1414" s="267"/>
      <c r="K1414" s="137"/>
      <c r="L1414" s="137"/>
      <c r="M1414" s="137"/>
      <c r="N1414" s="138"/>
      <c r="O1414" s="167"/>
      <c r="P1414" s="111"/>
      <c r="Q1414" s="111"/>
      <c r="R1414" s="111"/>
      <c r="S1414" s="111"/>
      <c r="T1414" s="111"/>
      <c r="U1414" s="111"/>
      <c r="V1414" s="111"/>
      <c r="W1414" s="111"/>
      <c r="X1414" s="111"/>
      <c r="Y1414" s="111"/>
      <c r="Z1414" s="111"/>
      <c r="AA1414" s="111"/>
    </row>
    <row r="1415" spans="1:27" s="118" customFormat="1" x14ac:dyDescent="0.2">
      <c r="A1415" s="10"/>
      <c r="B1415" s="10"/>
      <c r="C1415" s="191"/>
      <c r="D1415" s="115"/>
      <c r="E1415" s="158"/>
      <c r="F1415" s="267"/>
      <c r="G1415" s="267"/>
      <c r="H1415" s="267"/>
      <c r="I1415" s="339"/>
      <c r="J1415" s="267"/>
      <c r="K1415" s="137"/>
      <c r="L1415" s="137"/>
      <c r="M1415" s="137"/>
      <c r="N1415" s="138"/>
      <c r="O1415" s="167"/>
      <c r="P1415" s="111"/>
      <c r="Q1415" s="111"/>
      <c r="R1415" s="111"/>
      <c r="S1415" s="111"/>
      <c r="T1415" s="111"/>
      <c r="U1415" s="111"/>
      <c r="V1415" s="111"/>
      <c r="W1415" s="111"/>
      <c r="X1415" s="111"/>
      <c r="Y1415" s="111"/>
      <c r="Z1415" s="111"/>
      <c r="AA1415" s="111"/>
    </row>
    <row r="1416" spans="1:27" s="118" customFormat="1" x14ac:dyDescent="0.2">
      <c r="A1416" s="10"/>
      <c r="B1416" s="10"/>
      <c r="C1416" s="190"/>
      <c r="D1416" s="110"/>
      <c r="E1416" s="158"/>
      <c r="F1416" s="267"/>
      <c r="G1416" s="267"/>
      <c r="H1416" s="267"/>
      <c r="I1416" s="250"/>
      <c r="J1416" s="338"/>
      <c r="K1416" s="137"/>
      <c r="L1416" s="137"/>
      <c r="M1416" s="137"/>
      <c r="N1416" s="138"/>
      <c r="O1416" s="167"/>
      <c r="P1416" s="111"/>
      <c r="Q1416" s="111"/>
      <c r="R1416" s="111"/>
      <c r="S1416" s="111"/>
      <c r="T1416" s="111"/>
      <c r="U1416" s="111"/>
      <c r="V1416" s="111"/>
      <c r="W1416" s="111"/>
      <c r="X1416" s="111"/>
      <c r="Y1416" s="111"/>
      <c r="Z1416" s="111"/>
      <c r="AA1416" s="111"/>
    </row>
    <row r="1417" spans="1:27" s="118" customFormat="1" x14ac:dyDescent="0.2">
      <c r="A1417" s="10"/>
      <c r="B1417" s="10"/>
      <c r="C1417" s="190"/>
      <c r="D1417" s="110"/>
      <c r="E1417" s="158"/>
      <c r="F1417" s="267"/>
      <c r="G1417" s="267"/>
      <c r="H1417" s="267"/>
      <c r="I1417" s="250"/>
      <c r="J1417" s="250"/>
      <c r="K1417" s="137"/>
      <c r="L1417" s="137"/>
      <c r="M1417" s="137"/>
      <c r="N1417" s="138"/>
      <c r="O1417" s="167"/>
      <c r="P1417" s="111"/>
      <c r="Q1417" s="111"/>
      <c r="R1417" s="111"/>
      <c r="S1417" s="111"/>
      <c r="T1417" s="111"/>
      <c r="U1417" s="111"/>
      <c r="V1417" s="111"/>
      <c r="W1417" s="111"/>
      <c r="X1417" s="111"/>
      <c r="Y1417" s="111"/>
      <c r="Z1417" s="111"/>
      <c r="AA1417" s="111"/>
    </row>
    <row r="1418" spans="1:27" s="145" customFormat="1" x14ac:dyDescent="0.2">
      <c r="A1418" s="192"/>
      <c r="B1418" s="192"/>
      <c r="C1418" s="193"/>
      <c r="D1418" s="336"/>
      <c r="E1418" s="192"/>
      <c r="F1418" s="269"/>
      <c r="G1418" s="269"/>
      <c r="H1418" s="269"/>
      <c r="I1418" s="254"/>
      <c r="J1418" s="269"/>
      <c r="K1418" s="142"/>
      <c r="L1418" s="142"/>
      <c r="M1418" s="142"/>
      <c r="N1418" s="143">
        <f>SUM(N1420:N1453)</f>
        <v>0</v>
      </c>
      <c r="O1418" s="285"/>
      <c r="P1418" s="144"/>
      <c r="Q1418" s="144"/>
      <c r="R1418" s="144"/>
      <c r="S1418" s="144"/>
      <c r="T1418" s="144"/>
      <c r="U1418" s="144"/>
      <c r="V1418" s="144"/>
      <c r="W1418" s="144"/>
      <c r="X1418" s="144"/>
      <c r="Y1418" s="144"/>
      <c r="Z1418" s="144"/>
      <c r="AA1418" s="144"/>
    </row>
    <row r="1419" spans="1:27" s="118" customFormat="1" x14ac:dyDescent="0.2">
      <c r="A1419" s="10"/>
      <c r="B1419" s="10"/>
      <c r="C1419" s="190"/>
      <c r="D1419" s="110"/>
      <c r="E1419" s="158"/>
      <c r="F1419" s="267"/>
      <c r="G1419" s="267"/>
      <c r="H1419" s="267"/>
      <c r="I1419" s="250"/>
      <c r="J1419" s="250"/>
      <c r="K1419" s="137"/>
      <c r="L1419" s="137"/>
      <c r="M1419" s="137"/>
      <c r="N1419" s="138"/>
      <c r="O1419" s="167"/>
      <c r="P1419" s="111"/>
      <c r="Q1419" s="111"/>
      <c r="R1419" s="111"/>
      <c r="S1419" s="111"/>
      <c r="T1419" s="111"/>
      <c r="U1419" s="111"/>
      <c r="V1419" s="111"/>
      <c r="W1419" s="111"/>
      <c r="X1419" s="111"/>
      <c r="Y1419" s="111"/>
      <c r="Z1419" s="111"/>
      <c r="AA1419" s="111"/>
    </row>
    <row r="1420" spans="1:27" s="147" customFormat="1" x14ac:dyDescent="0.2">
      <c r="A1420" s="184"/>
      <c r="B1420" s="184"/>
      <c r="C1420" s="185"/>
      <c r="D1420" s="337"/>
      <c r="E1420" s="184"/>
      <c r="F1420" s="338"/>
      <c r="G1420" s="338"/>
      <c r="H1420" s="338"/>
      <c r="I1420" s="257"/>
      <c r="J1420" s="338"/>
      <c r="K1420" s="131">
        <f>J1424</f>
        <v>0</v>
      </c>
      <c r="L1420" s="106">
        <v>168.74</v>
      </c>
      <c r="M1420" s="131">
        <f>ROUND(L1420*(1+$Q$5),2)</f>
        <v>213.51</v>
      </c>
      <c r="N1420" s="133">
        <f>TRUNC(K1420*M1420,2)</f>
        <v>0</v>
      </c>
      <c r="O1420" s="286"/>
      <c r="P1420" s="146"/>
      <c r="Q1420" s="146"/>
      <c r="R1420" s="146"/>
      <c r="S1420" s="146"/>
      <c r="T1420" s="146"/>
      <c r="U1420" s="146"/>
      <c r="V1420" s="146"/>
      <c r="W1420" s="146"/>
      <c r="X1420" s="146"/>
      <c r="Y1420" s="146"/>
      <c r="Z1420" s="146"/>
      <c r="AA1420" s="146"/>
    </row>
    <row r="1421" spans="1:27" s="118" customFormat="1" x14ac:dyDescent="0.2">
      <c r="A1421" s="10"/>
      <c r="B1421" s="10"/>
      <c r="C1421" s="191"/>
      <c r="D1421" s="115"/>
      <c r="E1421" s="158"/>
      <c r="F1421" s="267"/>
      <c r="G1421" s="267"/>
      <c r="H1421" s="267"/>
      <c r="I1421" s="250"/>
      <c r="J1421" s="267"/>
      <c r="K1421" s="137"/>
      <c r="L1421" s="137"/>
      <c r="M1421" s="137"/>
      <c r="N1421" s="138"/>
      <c r="O1421" s="167"/>
      <c r="P1421" s="111"/>
      <c r="Q1421" s="111"/>
      <c r="R1421" s="111"/>
      <c r="S1421" s="111"/>
      <c r="T1421" s="111"/>
      <c r="U1421" s="111"/>
      <c r="V1421" s="111"/>
      <c r="W1421" s="111"/>
      <c r="X1421" s="111"/>
      <c r="Y1421" s="111"/>
      <c r="Z1421" s="111"/>
      <c r="AA1421" s="111"/>
    </row>
    <row r="1422" spans="1:27" s="118" customFormat="1" x14ac:dyDescent="0.2">
      <c r="A1422" s="10"/>
      <c r="B1422" s="10"/>
      <c r="C1422" s="191"/>
      <c r="D1422" s="115"/>
      <c r="E1422" s="158"/>
      <c r="F1422" s="267"/>
      <c r="G1422" s="267"/>
      <c r="H1422" s="267"/>
      <c r="I1422" s="250"/>
      <c r="J1422" s="267"/>
      <c r="K1422" s="137"/>
      <c r="L1422" s="137"/>
      <c r="M1422" s="137"/>
      <c r="N1422" s="138"/>
      <c r="O1422" s="167"/>
      <c r="P1422" s="111"/>
      <c r="Q1422" s="111"/>
      <c r="R1422" s="111"/>
      <c r="S1422" s="111"/>
      <c r="T1422" s="111"/>
      <c r="U1422" s="111"/>
      <c r="V1422" s="111"/>
      <c r="W1422" s="111"/>
      <c r="X1422" s="111"/>
      <c r="Y1422" s="111"/>
      <c r="Z1422" s="111"/>
      <c r="AA1422" s="111"/>
    </row>
    <row r="1423" spans="1:27" s="118" customFormat="1" x14ac:dyDescent="0.2">
      <c r="A1423" s="10"/>
      <c r="B1423" s="10"/>
      <c r="C1423" s="191"/>
      <c r="D1423" s="115"/>
      <c r="E1423" s="158"/>
      <c r="F1423" s="267"/>
      <c r="G1423" s="267"/>
      <c r="H1423" s="267"/>
      <c r="I1423" s="250"/>
      <c r="J1423" s="267"/>
      <c r="K1423" s="137"/>
      <c r="L1423" s="137"/>
      <c r="M1423" s="137"/>
      <c r="N1423" s="138"/>
      <c r="O1423" s="167"/>
      <c r="P1423" s="111"/>
      <c r="Q1423" s="111"/>
      <c r="R1423" s="111"/>
      <c r="S1423" s="111"/>
      <c r="T1423" s="111"/>
      <c r="U1423" s="111"/>
      <c r="V1423" s="111"/>
      <c r="W1423" s="111"/>
      <c r="X1423" s="111"/>
      <c r="Y1423" s="111"/>
      <c r="Z1423" s="111"/>
      <c r="AA1423" s="111"/>
    </row>
    <row r="1424" spans="1:27" s="118" customFormat="1" x14ac:dyDescent="0.2">
      <c r="A1424" s="10"/>
      <c r="B1424" s="10"/>
      <c r="C1424" s="190"/>
      <c r="D1424" s="110"/>
      <c r="E1424" s="158"/>
      <c r="F1424" s="267"/>
      <c r="G1424" s="267"/>
      <c r="H1424" s="267"/>
      <c r="I1424" s="250"/>
      <c r="J1424" s="338"/>
      <c r="K1424" s="137"/>
      <c r="L1424" s="137"/>
      <c r="M1424" s="137"/>
      <c r="N1424" s="138"/>
      <c r="O1424" s="167"/>
      <c r="P1424" s="111"/>
      <c r="Q1424" s="111"/>
      <c r="R1424" s="111"/>
      <c r="S1424" s="111"/>
      <c r="T1424" s="111"/>
      <c r="U1424" s="111"/>
      <c r="V1424" s="111"/>
      <c r="W1424" s="111"/>
      <c r="X1424" s="111"/>
      <c r="Y1424" s="111"/>
      <c r="Z1424" s="111"/>
      <c r="AA1424" s="111"/>
    </row>
    <row r="1425" spans="1:27" s="139" customFormat="1" x14ac:dyDescent="0.2">
      <c r="A1425" s="10"/>
      <c r="B1425" s="10"/>
      <c r="C1425" s="15"/>
      <c r="D1425" s="117"/>
      <c r="E1425" s="10"/>
      <c r="F1425" s="263"/>
      <c r="G1425" s="263"/>
      <c r="H1425" s="263"/>
      <c r="I1425" s="250"/>
      <c r="J1425" s="263"/>
      <c r="K1425" s="137"/>
      <c r="L1425" s="137"/>
      <c r="M1425" s="137"/>
      <c r="N1425" s="138"/>
      <c r="O1425" s="283"/>
      <c r="P1425" s="120"/>
      <c r="Q1425" s="120"/>
      <c r="R1425" s="120"/>
      <c r="S1425" s="120"/>
      <c r="T1425" s="120"/>
      <c r="U1425" s="120"/>
      <c r="V1425" s="120"/>
      <c r="W1425" s="120"/>
      <c r="X1425" s="120"/>
      <c r="Y1425" s="120"/>
      <c r="Z1425" s="120"/>
      <c r="AA1425" s="120"/>
    </row>
    <row r="1426" spans="1:27" s="147" customFormat="1" x14ac:dyDescent="0.2">
      <c r="A1426" s="184"/>
      <c r="B1426" s="184"/>
      <c r="C1426" s="344"/>
      <c r="D1426" s="337"/>
      <c r="E1426" s="184"/>
      <c r="F1426" s="338"/>
      <c r="G1426" s="338"/>
      <c r="H1426" s="338"/>
      <c r="I1426" s="257"/>
      <c r="J1426" s="338"/>
      <c r="K1426" s="131">
        <f>J1428</f>
        <v>0</v>
      </c>
      <c r="L1426" s="131">
        <v>12.45</v>
      </c>
      <c r="M1426" s="131">
        <f>ROUND(L1426*(1+$Q$5),2)</f>
        <v>15.75</v>
      </c>
      <c r="N1426" s="133">
        <f>TRUNC(K1426*M1426,2)</f>
        <v>0</v>
      </c>
      <c r="O1426" s="286"/>
      <c r="P1426" s="146"/>
      <c r="Q1426" s="146"/>
      <c r="R1426" s="146"/>
      <c r="S1426" s="146"/>
      <c r="T1426" s="146"/>
      <c r="U1426" s="146"/>
      <c r="V1426" s="146"/>
      <c r="W1426" s="146"/>
      <c r="X1426" s="146"/>
      <c r="Y1426" s="146"/>
      <c r="Z1426" s="146"/>
      <c r="AA1426" s="146"/>
    </row>
    <row r="1427" spans="1:27" s="118" customFormat="1" x14ac:dyDescent="0.2">
      <c r="A1427" s="10"/>
      <c r="B1427" s="10"/>
      <c r="C1427" s="191"/>
      <c r="D1427" s="115"/>
      <c r="E1427" s="158"/>
      <c r="F1427" s="267"/>
      <c r="G1427" s="267"/>
      <c r="H1427" s="267"/>
      <c r="I1427" s="250"/>
      <c r="J1427" s="267"/>
      <c r="K1427" s="137"/>
      <c r="L1427" s="137"/>
      <c r="M1427" s="137"/>
      <c r="N1427" s="138"/>
      <c r="O1427" s="167"/>
      <c r="P1427" s="111"/>
      <c r="Q1427" s="111"/>
      <c r="R1427" s="111"/>
      <c r="S1427" s="111"/>
      <c r="T1427" s="111"/>
      <c r="U1427" s="111"/>
      <c r="V1427" s="111"/>
      <c r="W1427" s="111"/>
      <c r="X1427" s="111"/>
      <c r="Y1427" s="111"/>
      <c r="Z1427" s="111"/>
      <c r="AA1427" s="111"/>
    </row>
    <row r="1428" spans="1:27" s="118" customFormat="1" x14ac:dyDescent="0.2">
      <c r="A1428" s="10"/>
      <c r="B1428" s="10"/>
      <c r="C1428" s="190"/>
      <c r="D1428" s="110"/>
      <c r="E1428" s="158"/>
      <c r="F1428" s="267"/>
      <c r="G1428" s="267"/>
      <c r="H1428" s="267"/>
      <c r="I1428" s="250"/>
      <c r="J1428" s="338"/>
      <c r="K1428" s="137"/>
      <c r="L1428" s="137"/>
      <c r="M1428" s="137"/>
      <c r="N1428" s="138"/>
      <c r="O1428" s="167"/>
      <c r="P1428" s="111"/>
      <c r="Q1428" s="111"/>
      <c r="R1428" s="111"/>
      <c r="S1428" s="111"/>
      <c r="T1428" s="111"/>
      <c r="U1428" s="111"/>
      <c r="V1428" s="111"/>
      <c r="W1428" s="111"/>
      <c r="X1428" s="111"/>
      <c r="Y1428" s="111"/>
      <c r="Z1428" s="111"/>
      <c r="AA1428" s="111"/>
    </row>
    <row r="1429" spans="1:27" s="161" customFormat="1" x14ac:dyDescent="0.2">
      <c r="A1429" s="10"/>
      <c r="B1429" s="10"/>
      <c r="C1429" s="191"/>
      <c r="D1429" s="110"/>
      <c r="E1429" s="158"/>
      <c r="F1429" s="267"/>
      <c r="G1429" s="267"/>
      <c r="H1429" s="267"/>
      <c r="I1429" s="250"/>
      <c r="J1429" s="263"/>
      <c r="K1429" s="151"/>
      <c r="L1429" s="151"/>
      <c r="M1429" s="151"/>
      <c r="N1429" s="152"/>
      <c r="O1429" s="167"/>
      <c r="P1429" s="114"/>
      <c r="Q1429" s="114"/>
      <c r="R1429" s="114"/>
      <c r="S1429" s="114"/>
      <c r="T1429" s="114"/>
      <c r="U1429" s="114"/>
      <c r="V1429" s="114"/>
      <c r="W1429" s="114"/>
      <c r="X1429" s="114"/>
      <c r="Y1429" s="114"/>
      <c r="Z1429" s="114"/>
      <c r="AA1429" s="114"/>
    </row>
    <row r="1430" spans="1:27" s="147" customFormat="1" x14ac:dyDescent="0.2">
      <c r="A1430" s="184"/>
      <c r="B1430" s="184"/>
      <c r="C1430" s="185"/>
      <c r="D1430" s="337"/>
      <c r="E1430" s="184"/>
      <c r="F1430" s="338"/>
      <c r="G1430" s="338"/>
      <c r="H1430" s="338"/>
      <c r="I1430" s="257"/>
      <c r="J1430" s="338"/>
      <c r="K1430" s="131">
        <f>J1434</f>
        <v>0</v>
      </c>
      <c r="L1430" s="131">
        <v>47.41</v>
      </c>
      <c r="M1430" s="131">
        <f>ROUND(L1430*(1+$Q$5),2)</f>
        <v>59.99</v>
      </c>
      <c r="N1430" s="133">
        <f>TRUNC(K1430*M1430,2)</f>
        <v>0</v>
      </c>
      <c r="O1430" s="286"/>
      <c r="P1430" s="146"/>
      <c r="Q1430" s="146"/>
      <c r="R1430" s="146"/>
      <c r="S1430" s="146"/>
      <c r="T1430" s="146"/>
      <c r="U1430" s="146"/>
      <c r="V1430" s="146"/>
      <c r="W1430" s="146"/>
      <c r="X1430" s="146"/>
      <c r="Y1430" s="146"/>
      <c r="Z1430" s="146"/>
      <c r="AA1430" s="146"/>
    </row>
    <row r="1431" spans="1:27" s="118" customFormat="1" x14ac:dyDescent="0.2">
      <c r="A1431" s="10"/>
      <c r="B1431" s="10"/>
      <c r="C1431" s="191"/>
      <c r="D1431" s="115"/>
      <c r="E1431" s="158"/>
      <c r="F1431" s="267"/>
      <c r="G1431" s="267"/>
      <c r="H1431" s="267"/>
      <c r="I1431" s="250"/>
      <c r="J1431" s="267"/>
      <c r="K1431" s="137"/>
      <c r="L1431" s="137"/>
      <c r="M1431" s="137"/>
      <c r="N1431" s="138"/>
      <c r="O1431" s="167"/>
      <c r="P1431" s="111"/>
      <c r="Q1431" s="111"/>
      <c r="R1431" s="111"/>
      <c r="S1431" s="111"/>
      <c r="T1431" s="111"/>
      <c r="U1431" s="111"/>
      <c r="V1431" s="111"/>
      <c r="W1431" s="111"/>
      <c r="X1431" s="111"/>
      <c r="Y1431" s="111"/>
      <c r="Z1431" s="111"/>
      <c r="AA1431" s="111"/>
    </row>
    <row r="1432" spans="1:27" s="118" customFormat="1" x14ac:dyDescent="0.2">
      <c r="A1432" s="10"/>
      <c r="B1432" s="10"/>
      <c r="C1432" s="191"/>
      <c r="D1432" s="115"/>
      <c r="E1432" s="158"/>
      <c r="F1432" s="267"/>
      <c r="G1432" s="267"/>
      <c r="H1432" s="267"/>
      <c r="I1432" s="250"/>
      <c r="J1432" s="267"/>
      <c r="K1432" s="137"/>
      <c r="L1432" s="137"/>
      <c r="M1432" s="137"/>
      <c r="N1432" s="138"/>
      <c r="O1432" s="167"/>
      <c r="P1432" s="111"/>
      <c r="Q1432" s="111"/>
      <c r="R1432" s="111"/>
      <c r="S1432" s="111"/>
      <c r="T1432" s="111"/>
      <c r="U1432" s="111"/>
      <c r="V1432" s="111"/>
      <c r="W1432" s="111"/>
      <c r="X1432" s="111"/>
      <c r="Y1432" s="111"/>
      <c r="Z1432" s="111"/>
      <c r="AA1432" s="111"/>
    </row>
    <row r="1433" spans="1:27" s="118" customFormat="1" x14ac:dyDescent="0.2">
      <c r="A1433" s="10"/>
      <c r="B1433" s="10"/>
      <c r="C1433" s="191"/>
      <c r="D1433" s="115"/>
      <c r="E1433" s="158"/>
      <c r="F1433" s="267"/>
      <c r="G1433" s="267"/>
      <c r="H1433" s="267"/>
      <c r="I1433" s="250"/>
      <c r="J1433" s="267"/>
      <c r="K1433" s="137"/>
      <c r="L1433" s="137"/>
      <c r="M1433" s="137"/>
      <c r="N1433" s="138"/>
      <c r="O1433" s="167"/>
      <c r="P1433" s="111"/>
      <c r="Q1433" s="111"/>
      <c r="R1433" s="111"/>
      <c r="S1433" s="111"/>
      <c r="T1433" s="111"/>
      <c r="U1433" s="111"/>
      <c r="V1433" s="111"/>
      <c r="W1433" s="111"/>
      <c r="X1433" s="111"/>
      <c r="Y1433" s="111"/>
      <c r="Z1433" s="111"/>
      <c r="AA1433" s="111"/>
    </row>
    <row r="1434" spans="1:27" s="118" customFormat="1" x14ac:dyDescent="0.2">
      <c r="A1434" s="10"/>
      <c r="B1434" s="10"/>
      <c r="C1434" s="190"/>
      <c r="D1434" s="110"/>
      <c r="E1434" s="158"/>
      <c r="F1434" s="267"/>
      <c r="G1434" s="267"/>
      <c r="H1434" s="267"/>
      <c r="I1434" s="250"/>
      <c r="J1434" s="338"/>
      <c r="K1434" s="137"/>
      <c r="L1434" s="137"/>
      <c r="M1434" s="137"/>
      <c r="N1434" s="138"/>
      <c r="O1434" s="167"/>
      <c r="P1434" s="111"/>
      <c r="Q1434" s="111"/>
      <c r="R1434" s="111"/>
      <c r="S1434" s="111"/>
      <c r="T1434" s="111"/>
      <c r="U1434" s="111"/>
      <c r="V1434" s="111"/>
      <c r="W1434" s="111"/>
      <c r="X1434" s="111"/>
      <c r="Y1434" s="111"/>
      <c r="Z1434" s="111"/>
      <c r="AA1434" s="111"/>
    </row>
    <row r="1435" spans="1:27" s="118" customFormat="1" x14ac:dyDescent="0.2">
      <c r="A1435" s="10"/>
      <c r="B1435" s="10"/>
      <c r="C1435" s="191"/>
      <c r="D1435" s="110"/>
      <c r="E1435" s="158"/>
      <c r="F1435" s="267"/>
      <c r="G1435" s="267"/>
      <c r="H1435" s="267"/>
      <c r="I1435" s="250"/>
      <c r="J1435" s="263"/>
      <c r="K1435" s="137"/>
      <c r="L1435" s="137"/>
      <c r="M1435" s="137"/>
      <c r="N1435" s="138"/>
      <c r="O1435" s="167"/>
      <c r="P1435" s="111"/>
      <c r="Q1435" s="111"/>
      <c r="R1435" s="111"/>
      <c r="S1435" s="111"/>
      <c r="T1435" s="111"/>
      <c r="U1435" s="111"/>
      <c r="V1435" s="111"/>
      <c r="W1435" s="111"/>
      <c r="X1435" s="111"/>
      <c r="Y1435" s="111"/>
      <c r="Z1435" s="111"/>
      <c r="AA1435" s="111"/>
    </row>
    <row r="1436" spans="1:27" s="147" customFormat="1" x14ac:dyDescent="0.2">
      <c r="A1436" s="184"/>
      <c r="B1436" s="184"/>
      <c r="C1436" s="185"/>
      <c r="D1436" s="337"/>
      <c r="E1436" s="184"/>
      <c r="F1436" s="338"/>
      <c r="G1436" s="338"/>
      <c r="H1436" s="338"/>
      <c r="I1436" s="257"/>
      <c r="J1436" s="338"/>
      <c r="K1436" s="131">
        <f>J1439</f>
        <v>0</v>
      </c>
      <c r="L1436" s="131">
        <v>64.06</v>
      </c>
      <c r="M1436" s="131">
        <f>ROUND(L1436*(1+$Q$5),2)</f>
        <v>81.06</v>
      </c>
      <c r="N1436" s="133">
        <f>TRUNC(K1436*M1436,2)</f>
        <v>0</v>
      </c>
      <c r="O1436" s="286"/>
      <c r="P1436" s="146"/>
      <c r="Q1436" s="146"/>
      <c r="R1436" s="146"/>
      <c r="S1436" s="146"/>
      <c r="T1436" s="146"/>
      <c r="U1436" s="146"/>
      <c r="V1436" s="146"/>
      <c r="W1436" s="146"/>
      <c r="X1436" s="146"/>
      <c r="Y1436" s="146"/>
      <c r="Z1436" s="146"/>
      <c r="AA1436" s="146"/>
    </row>
    <row r="1437" spans="1:27" s="118" customFormat="1" x14ac:dyDescent="0.2">
      <c r="A1437" s="10"/>
      <c r="B1437" s="10"/>
      <c r="C1437" s="191"/>
      <c r="D1437" s="115"/>
      <c r="E1437" s="158"/>
      <c r="F1437" s="267"/>
      <c r="G1437" s="267"/>
      <c r="H1437" s="267"/>
      <c r="I1437" s="250"/>
      <c r="J1437" s="267"/>
      <c r="K1437" s="137"/>
      <c r="L1437" s="137"/>
      <c r="M1437" s="137"/>
      <c r="N1437" s="138"/>
      <c r="O1437" s="167"/>
      <c r="P1437" s="111"/>
      <c r="Q1437" s="111"/>
      <c r="R1437" s="111"/>
      <c r="S1437" s="111"/>
      <c r="T1437" s="111"/>
      <c r="U1437" s="111"/>
      <c r="V1437" s="111"/>
      <c r="W1437" s="111"/>
      <c r="X1437" s="111"/>
      <c r="Y1437" s="111"/>
      <c r="Z1437" s="111"/>
      <c r="AA1437" s="111"/>
    </row>
    <row r="1438" spans="1:27" s="118" customFormat="1" x14ac:dyDescent="0.2">
      <c r="A1438" s="10"/>
      <c r="B1438" s="10"/>
      <c r="C1438" s="191"/>
      <c r="D1438" s="115"/>
      <c r="E1438" s="158"/>
      <c r="F1438" s="267"/>
      <c r="G1438" s="267"/>
      <c r="H1438" s="267"/>
      <c r="I1438" s="250"/>
      <c r="J1438" s="267"/>
      <c r="K1438" s="137"/>
      <c r="L1438" s="137"/>
      <c r="M1438" s="137"/>
      <c r="N1438" s="138"/>
      <c r="O1438" s="167"/>
      <c r="P1438" s="111"/>
      <c r="Q1438" s="111"/>
      <c r="R1438" s="111"/>
      <c r="S1438" s="111"/>
      <c r="T1438" s="111"/>
      <c r="U1438" s="111"/>
      <c r="V1438" s="111"/>
      <c r="W1438" s="111"/>
      <c r="X1438" s="111"/>
      <c r="Y1438" s="111"/>
      <c r="Z1438" s="111"/>
      <c r="AA1438" s="111"/>
    </row>
    <row r="1439" spans="1:27" s="118" customFormat="1" x14ac:dyDescent="0.2">
      <c r="A1439" s="10"/>
      <c r="B1439" s="10"/>
      <c r="C1439" s="190"/>
      <c r="D1439" s="110"/>
      <c r="E1439" s="158"/>
      <c r="F1439" s="267"/>
      <c r="G1439" s="267"/>
      <c r="H1439" s="267"/>
      <c r="I1439" s="250"/>
      <c r="J1439" s="338"/>
      <c r="K1439" s="137"/>
      <c r="L1439" s="137"/>
      <c r="M1439" s="137"/>
      <c r="N1439" s="138"/>
      <c r="O1439" s="167"/>
      <c r="P1439" s="111"/>
      <c r="Q1439" s="111"/>
      <c r="R1439" s="111"/>
      <c r="S1439" s="111"/>
      <c r="T1439" s="111"/>
      <c r="U1439" s="111"/>
      <c r="V1439" s="111"/>
      <c r="W1439" s="111"/>
      <c r="X1439" s="111"/>
      <c r="Y1439" s="111"/>
      <c r="Z1439" s="111"/>
      <c r="AA1439" s="111"/>
    </row>
    <row r="1440" spans="1:27" s="139" customFormat="1" x14ac:dyDescent="0.2">
      <c r="A1440" s="10"/>
      <c r="B1440" s="10"/>
      <c r="C1440" s="15"/>
      <c r="D1440" s="117"/>
      <c r="E1440" s="10"/>
      <c r="F1440" s="263"/>
      <c r="G1440" s="263"/>
      <c r="H1440" s="263"/>
      <c r="I1440" s="250"/>
      <c r="J1440" s="263"/>
      <c r="K1440" s="137"/>
      <c r="L1440" s="137"/>
      <c r="M1440" s="137"/>
      <c r="N1440" s="138"/>
      <c r="O1440" s="283"/>
      <c r="P1440" s="120"/>
      <c r="Q1440" s="120"/>
      <c r="R1440" s="120"/>
      <c r="S1440" s="120"/>
      <c r="T1440" s="120"/>
      <c r="U1440" s="120"/>
      <c r="V1440" s="120"/>
      <c r="W1440" s="120"/>
      <c r="X1440" s="120"/>
      <c r="Y1440" s="120"/>
      <c r="Z1440" s="120"/>
      <c r="AA1440" s="120"/>
    </row>
    <row r="1441" spans="1:27" s="147" customFormat="1" x14ac:dyDescent="0.2">
      <c r="A1441" s="184"/>
      <c r="B1441" s="184"/>
      <c r="C1441" s="185"/>
      <c r="D1441" s="337"/>
      <c r="E1441" s="184"/>
      <c r="F1441" s="338"/>
      <c r="G1441" s="338"/>
      <c r="H1441" s="338"/>
      <c r="I1441" s="257"/>
      <c r="J1441" s="338"/>
      <c r="K1441" s="131">
        <f>J1443</f>
        <v>0</v>
      </c>
      <c r="L1441" s="131">
        <v>154.4</v>
      </c>
      <c r="M1441" s="131">
        <f>ROUND(L1441*(1+$Q$5),2)</f>
        <v>195.36</v>
      </c>
      <c r="N1441" s="133">
        <f>TRUNC(K1441*M1441,2)</f>
        <v>0</v>
      </c>
      <c r="O1441" s="286"/>
      <c r="P1441" s="146"/>
      <c r="Q1441" s="146"/>
      <c r="R1441" s="146"/>
      <c r="S1441" s="146"/>
      <c r="T1441" s="146"/>
      <c r="U1441" s="146"/>
      <c r="V1441" s="146"/>
      <c r="W1441" s="146"/>
      <c r="X1441" s="146"/>
      <c r="Y1441" s="146"/>
      <c r="Z1441" s="146"/>
      <c r="AA1441" s="146"/>
    </row>
    <row r="1442" spans="1:27" s="118" customFormat="1" x14ac:dyDescent="0.2">
      <c r="A1442" s="10"/>
      <c r="B1442" s="10"/>
      <c r="C1442" s="191"/>
      <c r="D1442" s="115"/>
      <c r="E1442" s="158"/>
      <c r="F1442" s="267"/>
      <c r="G1442" s="267"/>
      <c r="H1442" s="267"/>
      <c r="I1442" s="250"/>
      <c r="J1442" s="267"/>
      <c r="K1442" s="137"/>
      <c r="L1442" s="137"/>
      <c r="M1442" s="137"/>
      <c r="N1442" s="138"/>
      <c r="O1442" s="167"/>
      <c r="P1442" s="111"/>
      <c r="Q1442" s="111"/>
      <c r="R1442" s="111"/>
      <c r="S1442" s="111"/>
      <c r="T1442" s="111"/>
      <c r="U1442" s="111"/>
      <c r="V1442" s="111"/>
      <c r="W1442" s="111"/>
      <c r="X1442" s="111"/>
      <c r="Y1442" s="111"/>
      <c r="Z1442" s="111"/>
      <c r="AA1442" s="111"/>
    </row>
    <row r="1443" spans="1:27" s="118" customFormat="1" x14ac:dyDescent="0.2">
      <c r="A1443" s="10"/>
      <c r="B1443" s="10"/>
      <c r="C1443" s="190"/>
      <c r="D1443" s="110"/>
      <c r="E1443" s="158"/>
      <c r="F1443" s="267"/>
      <c r="G1443" s="267"/>
      <c r="H1443" s="267"/>
      <c r="I1443" s="250"/>
      <c r="J1443" s="338"/>
      <c r="K1443" s="137"/>
      <c r="L1443" s="137"/>
      <c r="M1443" s="137"/>
      <c r="N1443" s="138"/>
      <c r="O1443" s="167"/>
      <c r="P1443" s="111"/>
      <c r="Q1443" s="111"/>
      <c r="R1443" s="111"/>
      <c r="S1443" s="111"/>
      <c r="T1443" s="111"/>
      <c r="U1443" s="111"/>
      <c r="V1443" s="111"/>
      <c r="W1443" s="111"/>
      <c r="X1443" s="111"/>
      <c r="Y1443" s="111"/>
      <c r="Z1443" s="111"/>
      <c r="AA1443" s="111"/>
    </row>
    <row r="1444" spans="1:27" s="139" customFormat="1" x14ac:dyDescent="0.2">
      <c r="A1444" s="10"/>
      <c r="B1444" s="10"/>
      <c r="C1444" s="15"/>
      <c r="D1444" s="117"/>
      <c r="E1444" s="10"/>
      <c r="F1444" s="263"/>
      <c r="G1444" s="263"/>
      <c r="H1444" s="263"/>
      <c r="I1444" s="250"/>
      <c r="J1444" s="263"/>
      <c r="K1444" s="137"/>
      <c r="L1444" s="137"/>
      <c r="M1444" s="137"/>
      <c r="N1444" s="138"/>
      <c r="O1444" s="283"/>
      <c r="P1444" s="120"/>
      <c r="Q1444" s="120"/>
      <c r="R1444" s="120"/>
      <c r="S1444" s="120"/>
      <c r="T1444" s="120"/>
      <c r="U1444" s="120"/>
      <c r="V1444" s="120"/>
      <c r="W1444" s="120"/>
      <c r="X1444" s="120"/>
      <c r="Y1444" s="120"/>
      <c r="Z1444" s="120"/>
      <c r="AA1444" s="120"/>
    </row>
    <row r="1445" spans="1:27" s="147" customFormat="1" x14ac:dyDescent="0.2">
      <c r="A1445" s="184"/>
      <c r="B1445" s="184"/>
      <c r="C1445" s="185"/>
      <c r="D1445" s="337"/>
      <c r="E1445" s="184"/>
      <c r="F1445" s="338"/>
      <c r="G1445" s="338"/>
      <c r="H1445" s="338"/>
      <c r="I1445" s="257"/>
      <c r="J1445" s="338"/>
      <c r="K1445" s="131">
        <f>J1447</f>
        <v>0</v>
      </c>
      <c r="L1445" s="131">
        <v>116.1</v>
      </c>
      <c r="M1445" s="131">
        <f>ROUND(L1445*(1+$Q$5),2)</f>
        <v>146.9</v>
      </c>
      <c r="N1445" s="133">
        <f>TRUNC(K1445*M1445,2)</f>
        <v>0</v>
      </c>
      <c r="O1445" s="286"/>
      <c r="P1445" s="146"/>
      <c r="Q1445" s="146"/>
      <c r="R1445" s="146"/>
      <c r="S1445" s="146"/>
      <c r="T1445" s="146"/>
      <c r="U1445" s="146"/>
      <c r="V1445" s="146"/>
      <c r="W1445" s="146"/>
      <c r="X1445" s="146"/>
      <c r="Y1445" s="146"/>
      <c r="Z1445" s="146"/>
      <c r="AA1445" s="146"/>
    </row>
    <row r="1446" spans="1:27" s="118" customFormat="1" x14ac:dyDescent="0.2">
      <c r="A1446" s="10"/>
      <c r="B1446" s="10"/>
      <c r="C1446" s="191"/>
      <c r="D1446" s="115"/>
      <c r="E1446" s="158"/>
      <c r="F1446" s="267"/>
      <c r="G1446" s="267"/>
      <c r="H1446" s="267"/>
      <c r="I1446" s="250"/>
      <c r="J1446" s="267"/>
      <c r="K1446" s="137"/>
      <c r="L1446" s="137"/>
      <c r="M1446" s="137"/>
      <c r="N1446" s="138"/>
      <c r="O1446" s="167"/>
      <c r="P1446" s="111"/>
      <c r="Q1446" s="111"/>
      <c r="R1446" s="111"/>
      <c r="S1446" s="111"/>
      <c r="T1446" s="111"/>
      <c r="U1446" s="111"/>
      <c r="V1446" s="111"/>
      <c r="W1446" s="111"/>
      <c r="X1446" s="111"/>
      <c r="Y1446" s="111"/>
      <c r="Z1446" s="111"/>
      <c r="AA1446" s="111"/>
    </row>
    <row r="1447" spans="1:27" s="118" customFormat="1" x14ac:dyDescent="0.2">
      <c r="A1447" s="10"/>
      <c r="B1447" s="10"/>
      <c r="C1447" s="190"/>
      <c r="D1447" s="110"/>
      <c r="E1447" s="158"/>
      <c r="F1447" s="267"/>
      <c r="G1447" s="267"/>
      <c r="H1447" s="267"/>
      <c r="I1447" s="250"/>
      <c r="J1447" s="338"/>
      <c r="K1447" s="137"/>
      <c r="L1447" s="137"/>
      <c r="M1447" s="137"/>
      <c r="N1447" s="138"/>
      <c r="O1447" s="167"/>
      <c r="P1447" s="111"/>
      <c r="Q1447" s="111"/>
      <c r="R1447" s="111"/>
      <c r="S1447" s="111"/>
      <c r="T1447" s="111"/>
      <c r="U1447" s="111"/>
      <c r="V1447" s="111"/>
      <c r="W1447" s="111"/>
      <c r="X1447" s="111"/>
      <c r="Y1447" s="111"/>
      <c r="Z1447" s="111"/>
      <c r="AA1447" s="111"/>
    </row>
    <row r="1448" spans="1:27" s="139" customFormat="1" x14ac:dyDescent="0.2">
      <c r="A1448" s="10"/>
      <c r="B1448" s="10"/>
      <c r="C1448" s="15"/>
      <c r="D1448" s="117"/>
      <c r="E1448" s="10"/>
      <c r="F1448" s="263"/>
      <c r="G1448" s="263"/>
      <c r="H1448" s="263"/>
      <c r="I1448" s="250"/>
      <c r="J1448" s="263"/>
      <c r="K1448" s="137"/>
      <c r="L1448" s="137"/>
      <c r="M1448" s="137"/>
      <c r="N1448" s="138"/>
      <c r="O1448" s="283"/>
      <c r="P1448" s="120"/>
      <c r="Q1448" s="120"/>
      <c r="R1448" s="120"/>
      <c r="S1448" s="120"/>
      <c r="T1448" s="120"/>
      <c r="U1448" s="120"/>
      <c r="V1448" s="120"/>
      <c r="W1448" s="120"/>
      <c r="X1448" s="120"/>
      <c r="Y1448" s="120"/>
      <c r="Z1448" s="120"/>
      <c r="AA1448" s="120"/>
    </row>
    <row r="1449" spans="1:27" s="147" customFormat="1" x14ac:dyDescent="0.2">
      <c r="A1449" s="184"/>
      <c r="B1449" s="184"/>
      <c r="C1449" s="185"/>
      <c r="D1449" s="337"/>
      <c r="E1449" s="184"/>
      <c r="F1449" s="338"/>
      <c r="G1449" s="338"/>
      <c r="H1449" s="338"/>
      <c r="I1449" s="257"/>
      <c r="J1449" s="338"/>
      <c r="K1449" s="131">
        <f>J1452</f>
        <v>0</v>
      </c>
      <c r="L1449" s="106">
        <v>410.89</v>
      </c>
      <c r="M1449" s="131">
        <f>ROUND(L1449*(1+$Q$5),2)</f>
        <v>519.9</v>
      </c>
      <c r="N1449" s="133">
        <f>TRUNC(K1449*M1449,2)</f>
        <v>0</v>
      </c>
      <c r="O1449" s="286"/>
      <c r="P1449" s="146"/>
      <c r="Q1449" s="146"/>
      <c r="R1449" s="146"/>
      <c r="S1449" s="146"/>
      <c r="T1449" s="146"/>
      <c r="U1449" s="146"/>
      <c r="V1449" s="146"/>
      <c r="W1449" s="146"/>
      <c r="X1449" s="146"/>
      <c r="Y1449" s="146"/>
      <c r="Z1449" s="146"/>
      <c r="AA1449" s="146"/>
    </row>
    <row r="1450" spans="1:27" s="118" customFormat="1" x14ac:dyDescent="0.2">
      <c r="A1450" s="10"/>
      <c r="B1450" s="10"/>
      <c r="C1450" s="191"/>
      <c r="D1450" s="115"/>
      <c r="E1450" s="158"/>
      <c r="F1450" s="267"/>
      <c r="G1450" s="267"/>
      <c r="H1450" s="267"/>
      <c r="I1450" s="250"/>
      <c r="J1450" s="267"/>
      <c r="K1450" s="137"/>
      <c r="L1450" s="137"/>
      <c r="M1450" s="137"/>
      <c r="N1450" s="138"/>
      <c r="O1450" s="167"/>
      <c r="P1450" s="111"/>
      <c r="Q1450" s="111" t="s">
        <v>313</v>
      </c>
      <c r="R1450" s="111"/>
      <c r="S1450" s="111"/>
      <c r="T1450" s="111"/>
      <c r="U1450" s="111"/>
      <c r="V1450" s="111"/>
      <c r="W1450" s="111"/>
      <c r="X1450" s="111"/>
      <c r="Y1450" s="111"/>
      <c r="Z1450" s="111"/>
      <c r="AA1450" s="111"/>
    </row>
    <row r="1451" spans="1:27" s="118" customFormat="1" x14ac:dyDescent="0.2">
      <c r="A1451" s="10"/>
      <c r="B1451" s="10"/>
      <c r="C1451" s="191"/>
      <c r="D1451" s="115"/>
      <c r="E1451" s="158"/>
      <c r="F1451" s="267"/>
      <c r="G1451" s="267"/>
      <c r="H1451" s="267"/>
      <c r="I1451" s="250"/>
      <c r="J1451" s="267"/>
      <c r="K1451" s="137"/>
      <c r="L1451" s="137"/>
      <c r="M1451" s="137"/>
      <c r="N1451" s="138"/>
      <c r="O1451" s="167"/>
      <c r="P1451" s="111"/>
      <c r="Q1451" s="111"/>
      <c r="R1451" s="111"/>
      <c r="S1451" s="111"/>
      <c r="T1451" s="111"/>
      <c r="U1451" s="111"/>
      <c r="V1451" s="111"/>
      <c r="W1451" s="111"/>
      <c r="X1451" s="111"/>
      <c r="Y1451" s="111"/>
      <c r="Z1451" s="111"/>
      <c r="AA1451" s="111"/>
    </row>
    <row r="1452" spans="1:27" s="118" customFormat="1" x14ac:dyDescent="0.2">
      <c r="A1452" s="10"/>
      <c r="B1452" s="10"/>
      <c r="C1452" s="190"/>
      <c r="D1452" s="110"/>
      <c r="E1452" s="158"/>
      <c r="F1452" s="267"/>
      <c r="G1452" s="267"/>
      <c r="H1452" s="267"/>
      <c r="I1452" s="250"/>
      <c r="J1452" s="338"/>
      <c r="K1452" s="137"/>
      <c r="L1452" s="137"/>
      <c r="M1452" s="137"/>
      <c r="N1452" s="138"/>
      <c r="O1452" s="167"/>
      <c r="P1452" s="111"/>
      <c r="Q1452" s="111"/>
      <c r="R1452" s="111"/>
      <c r="S1452" s="111"/>
      <c r="T1452" s="111"/>
      <c r="U1452" s="111"/>
      <c r="V1452" s="111"/>
      <c r="W1452" s="111"/>
      <c r="X1452" s="111"/>
      <c r="Y1452" s="111"/>
      <c r="Z1452" s="111"/>
      <c r="AA1452" s="111"/>
    </row>
    <row r="1453" spans="1:27" s="139" customFormat="1" x14ac:dyDescent="0.2">
      <c r="A1453" s="10"/>
      <c r="B1453" s="10"/>
      <c r="C1453" s="15"/>
      <c r="D1453" s="117"/>
      <c r="E1453" s="10"/>
      <c r="F1453" s="263"/>
      <c r="G1453" s="263"/>
      <c r="H1453" s="263"/>
      <c r="I1453" s="250"/>
      <c r="J1453" s="263"/>
      <c r="K1453" s="137"/>
      <c r="L1453" s="137"/>
      <c r="M1453" s="137"/>
      <c r="N1453" s="138"/>
      <c r="O1453" s="283"/>
      <c r="P1453" s="120"/>
      <c r="Q1453" s="120"/>
      <c r="R1453" s="120"/>
      <c r="S1453" s="120"/>
      <c r="T1453" s="120"/>
      <c r="U1453" s="120"/>
      <c r="V1453" s="120"/>
      <c r="W1453" s="120"/>
      <c r="X1453" s="120"/>
      <c r="Y1453" s="120"/>
      <c r="Z1453" s="120"/>
      <c r="AA1453" s="120"/>
    </row>
    <row r="1454" spans="1:27" s="145" customFormat="1" x14ac:dyDescent="0.2">
      <c r="A1454" s="192"/>
      <c r="B1454" s="192"/>
      <c r="C1454" s="193"/>
      <c r="D1454" s="336"/>
      <c r="E1454" s="192"/>
      <c r="F1454" s="269"/>
      <c r="G1454" s="269"/>
      <c r="H1454" s="269"/>
      <c r="I1454" s="254"/>
      <c r="J1454" s="269"/>
      <c r="K1454" s="142"/>
      <c r="L1454" s="142"/>
      <c r="M1454" s="142"/>
      <c r="N1454" s="143">
        <f>SUM(N1456:N1460)</f>
        <v>0</v>
      </c>
      <c r="O1454" s="285"/>
      <c r="P1454" s="144"/>
      <c r="Q1454" s="144"/>
      <c r="R1454" s="144"/>
      <c r="S1454" s="144"/>
      <c r="T1454" s="144"/>
      <c r="U1454" s="144"/>
      <c r="V1454" s="144"/>
      <c r="W1454" s="144"/>
      <c r="X1454" s="144"/>
      <c r="Y1454" s="144"/>
      <c r="Z1454" s="144"/>
      <c r="AA1454" s="144"/>
    </row>
    <row r="1455" spans="1:27" s="139" customFormat="1" x14ac:dyDescent="0.2">
      <c r="A1455" s="10"/>
      <c r="B1455" s="10"/>
      <c r="C1455" s="15"/>
      <c r="D1455" s="117"/>
      <c r="E1455" s="10"/>
      <c r="F1455" s="263"/>
      <c r="G1455" s="263"/>
      <c r="H1455" s="263"/>
      <c r="I1455" s="250"/>
      <c r="J1455" s="263"/>
      <c r="K1455" s="137"/>
      <c r="L1455" s="137"/>
      <c r="M1455" s="137"/>
      <c r="N1455" s="138"/>
      <c r="O1455" s="283"/>
      <c r="P1455" s="120"/>
      <c r="Q1455" s="120"/>
      <c r="R1455" s="120"/>
      <c r="S1455" s="120"/>
      <c r="T1455" s="120"/>
      <c r="U1455" s="120"/>
      <c r="V1455" s="120"/>
      <c r="W1455" s="120"/>
      <c r="X1455" s="120"/>
      <c r="Y1455" s="120"/>
      <c r="Z1455" s="120"/>
      <c r="AA1455" s="120"/>
    </row>
    <row r="1456" spans="1:27" s="147" customFormat="1" x14ac:dyDescent="0.2">
      <c r="A1456" s="184"/>
      <c r="B1456" s="184"/>
      <c r="C1456" s="185"/>
      <c r="D1456" s="337"/>
      <c r="E1456" s="346"/>
      <c r="F1456" s="338"/>
      <c r="G1456" s="338"/>
      <c r="H1456" s="338"/>
      <c r="I1456" s="257"/>
      <c r="J1456" s="338"/>
      <c r="K1456" s="131">
        <f>J1461</f>
        <v>0</v>
      </c>
      <c r="L1456" s="131">
        <v>13.42</v>
      </c>
      <c r="M1456" s="131">
        <f>ROUND(L1456*(1+$Q$5),2)</f>
        <v>16.98</v>
      </c>
      <c r="N1456" s="133">
        <f>TRUNC(K1456*M1456,2)</f>
        <v>0</v>
      </c>
      <c r="O1456" s="286"/>
      <c r="P1456" s="146"/>
      <c r="Q1456" s="146"/>
      <c r="R1456" s="146"/>
      <c r="S1456" s="146"/>
      <c r="T1456" s="146"/>
      <c r="U1456" s="146"/>
      <c r="V1456" s="146"/>
      <c r="W1456" s="146"/>
      <c r="X1456" s="146"/>
      <c r="Y1456" s="146"/>
      <c r="Z1456" s="146"/>
      <c r="AA1456" s="146"/>
    </row>
    <row r="1457" spans="1:27" s="118" customFormat="1" x14ac:dyDescent="0.2">
      <c r="A1457" s="10"/>
      <c r="B1457" s="10"/>
      <c r="C1457" s="191"/>
      <c r="D1457" s="343"/>
      <c r="E1457" s="158"/>
      <c r="F1457" s="267"/>
      <c r="G1457" s="267"/>
      <c r="H1457" s="267"/>
      <c r="I1457" s="339"/>
      <c r="J1457" s="267"/>
      <c r="K1457" s="137"/>
      <c r="L1457" s="137"/>
      <c r="M1457" s="137"/>
      <c r="N1457" s="138"/>
      <c r="O1457" s="167"/>
      <c r="P1457" s="111"/>
      <c r="Q1457" s="111"/>
      <c r="R1457" s="111"/>
      <c r="S1457" s="111"/>
      <c r="T1457" s="111"/>
      <c r="U1457" s="111"/>
      <c r="V1457" s="111"/>
      <c r="W1457" s="111"/>
      <c r="X1457" s="111"/>
      <c r="Y1457" s="111"/>
      <c r="Z1457" s="111"/>
      <c r="AA1457" s="111"/>
    </row>
    <row r="1458" spans="1:27" s="118" customFormat="1" x14ac:dyDescent="0.2">
      <c r="A1458" s="10"/>
      <c r="B1458" s="10"/>
      <c r="C1458" s="191"/>
      <c r="D1458" s="115"/>
      <c r="E1458" s="158"/>
      <c r="F1458" s="267"/>
      <c r="G1458" s="267"/>
      <c r="H1458" s="267"/>
      <c r="I1458" s="339"/>
      <c r="J1458" s="267"/>
      <c r="K1458" s="137"/>
      <c r="L1458" s="137"/>
      <c r="M1458" s="137"/>
      <c r="N1458" s="138"/>
      <c r="O1458" s="167"/>
      <c r="P1458" s="111"/>
      <c r="Q1458" s="111"/>
      <c r="R1458" s="111"/>
      <c r="S1458" s="111"/>
      <c r="T1458" s="111"/>
      <c r="U1458" s="111"/>
      <c r="V1458" s="111"/>
      <c r="W1458" s="111"/>
      <c r="X1458" s="111"/>
      <c r="Y1458" s="111"/>
      <c r="Z1458" s="111"/>
      <c r="AA1458" s="111"/>
    </row>
    <row r="1459" spans="1:27" s="118" customFormat="1" x14ac:dyDescent="0.2">
      <c r="A1459" s="10"/>
      <c r="B1459" s="10"/>
      <c r="C1459" s="191"/>
      <c r="D1459" s="115"/>
      <c r="E1459" s="158"/>
      <c r="F1459" s="267"/>
      <c r="G1459" s="267"/>
      <c r="H1459" s="267"/>
      <c r="I1459" s="339"/>
      <c r="J1459" s="267"/>
      <c r="K1459" s="137"/>
      <c r="L1459" s="137"/>
      <c r="M1459" s="137"/>
      <c r="N1459" s="138"/>
      <c r="O1459" s="167"/>
      <c r="P1459" s="111"/>
      <c r="Q1459" s="111"/>
      <c r="R1459" s="111"/>
      <c r="S1459" s="111"/>
      <c r="T1459" s="111"/>
      <c r="U1459" s="111"/>
      <c r="V1459" s="111"/>
      <c r="W1459" s="111"/>
      <c r="X1459" s="111"/>
      <c r="Y1459" s="111"/>
      <c r="Z1459" s="111"/>
      <c r="AA1459" s="111"/>
    </row>
    <row r="1460" spans="1:27" s="118" customFormat="1" x14ac:dyDescent="0.2">
      <c r="A1460" s="10"/>
      <c r="B1460" s="10"/>
      <c r="C1460" s="191"/>
      <c r="D1460" s="115"/>
      <c r="E1460" s="158"/>
      <c r="F1460" s="267"/>
      <c r="G1460" s="267"/>
      <c r="H1460" s="267"/>
      <c r="I1460" s="339"/>
      <c r="J1460" s="267"/>
      <c r="K1460" s="137"/>
      <c r="L1460" s="137"/>
      <c r="M1460" s="137"/>
      <c r="N1460" s="138"/>
      <c r="O1460" s="167"/>
      <c r="P1460" s="111"/>
      <c r="Q1460" s="111"/>
      <c r="R1460" s="111"/>
      <c r="S1460" s="111"/>
      <c r="T1460" s="111"/>
      <c r="U1460" s="111"/>
      <c r="V1460" s="111"/>
      <c r="W1460" s="111"/>
      <c r="X1460" s="111"/>
      <c r="Y1460" s="111"/>
      <c r="Z1460" s="111"/>
      <c r="AA1460" s="111"/>
    </row>
    <row r="1461" spans="1:27" s="118" customFormat="1" x14ac:dyDescent="0.2">
      <c r="A1461" s="10"/>
      <c r="B1461" s="10"/>
      <c r="C1461" s="190"/>
      <c r="D1461" s="110"/>
      <c r="E1461" s="158"/>
      <c r="F1461" s="267"/>
      <c r="G1461" s="267"/>
      <c r="H1461" s="267"/>
      <c r="I1461" s="250"/>
      <c r="J1461" s="338"/>
      <c r="K1461" s="137"/>
      <c r="L1461" s="137"/>
      <c r="M1461" s="137"/>
      <c r="N1461" s="138"/>
      <c r="O1461" s="167"/>
      <c r="P1461" s="111"/>
      <c r="Q1461" s="111"/>
      <c r="R1461" s="111"/>
      <c r="S1461" s="111"/>
      <c r="T1461" s="111"/>
      <c r="U1461" s="111"/>
      <c r="V1461" s="111"/>
      <c r="W1461" s="111"/>
      <c r="X1461" s="111"/>
      <c r="Y1461" s="111"/>
      <c r="Z1461" s="111"/>
      <c r="AA1461" s="111"/>
    </row>
    <row r="1462" spans="1:27" s="118" customFormat="1" x14ac:dyDescent="0.2">
      <c r="A1462" s="10"/>
      <c r="B1462" s="10"/>
      <c r="C1462" s="190"/>
      <c r="D1462" s="110"/>
      <c r="E1462" s="158"/>
      <c r="F1462" s="267"/>
      <c r="G1462" s="267"/>
      <c r="H1462" s="267"/>
      <c r="I1462" s="250"/>
      <c r="J1462" s="250"/>
      <c r="K1462" s="137"/>
      <c r="L1462" s="137"/>
      <c r="M1462" s="137"/>
      <c r="N1462" s="138"/>
      <c r="O1462" s="167"/>
      <c r="P1462" s="111"/>
      <c r="Q1462" s="111"/>
      <c r="R1462" s="111"/>
      <c r="S1462" s="111"/>
      <c r="T1462" s="111"/>
      <c r="U1462" s="111"/>
      <c r="V1462" s="111"/>
      <c r="W1462" s="111"/>
      <c r="X1462" s="111"/>
      <c r="Y1462" s="111"/>
      <c r="Z1462" s="111"/>
      <c r="AA1462" s="111"/>
    </row>
    <row r="1463" spans="1:27" s="145" customFormat="1" x14ac:dyDescent="0.2">
      <c r="A1463" s="192"/>
      <c r="B1463" s="192"/>
      <c r="C1463" s="193"/>
      <c r="D1463" s="336"/>
      <c r="E1463" s="192"/>
      <c r="F1463" s="269"/>
      <c r="G1463" s="269"/>
      <c r="H1463" s="269"/>
      <c r="I1463" s="254"/>
      <c r="J1463" s="269"/>
      <c r="K1463" s="142"/>
      <c r="L1463" s="142"/>
      <c r="M1463" s="142"/>
      <c r="N1463" s="143">
        <f>SUM(N1465:N1469)</f>
        <v>0</v>
      </c>
      <c r="O1463" s="285"/>
      <c r="P1463" s="144"/>
      <c r="Q1463" s="144"/>
      <c r="R1463" s="144"/>
      <c r="S1463" s="144"/>
      <c r="T1463" s="144"/>
      <c r="U1463" s="144"/>
      <c r="V1463" s="144"/>
      <c r="W1463" s="144"/>
      <c r="X1463" s="144"/>
      <c r="Y1463" s="144"/>
      <c r="Z1463" s="144"/>
      <c r="AA1463" s="144"/>
    </row>
    <row r="1464" spans="1:27" s="118" customFormat="1" x14ac:dyDescent="0.2">
      <c r="A1464" s="10"/>
      <c r="B1464" s="10"/>
      <c r="C1464" s="190"/>
      <c r="D1464" s="110"/>
      <c r="E1464" s="158"/>
      <c r="F1464" s="267"/>
      <c r="G1464" s="267"/>
      <c r="H1464" s="267"/>
      <c r="I1464" s="250"/>
      <c r="J1464" s="250"/>
      <c r="K1464" s="137"/>
      <c r="L1464" s="137"/>
      <c r="M1464" s="137"/>
      <c r="N1464" s="138"/>
      <c r="O1464" s="167"/>
      <c r="P1464" s="111"/>
      <c r="Q1464" s="111"/>
      <c r="R1464" s="111"/>
      <c r="S1464" s="111"/>
      <c r="T1464" s="111"/>
      <c r="U1464" s="111"/>
      <c r="V1464" s="111"/>
      <c r="W1464" s="111"/>
      <c r="X1464" s="111"/>
      <c r="Y1464" s="111"/>
      <c r="Z1464" s="111"/>
      <c r="AA1464" s="111"/>
    </row>
    <row r="1465" spans="1:27" s="147" customFormat="1" x14ac:dyDescent="0.2">
      <c r="A1465" s="184"/>
      <c r="B1465" s="184"/>
      <c r="C1465" s="185"/>
      <c r="D1465" s="341"/>
      <c r="E1465" s="184"/>
      <c r="F1465" s="338"/>
      <c r="G1465" s="338"/>
      <c r="H1465" s="338"/>
      <c r="I1465" s="257"/>
      <c r="J1465" s="338"/>
      <c r="K1465" s="131">
        <f>J1468</f>
        <v>0</v>
      </c>
      <c r="L1465" s="131">
        <v>5.8</v>
      </c>
      <c r="M1465" s="131">
        <f>ROUND(L1465*(1+$Q$5),2)</f>
        <v>7.34</v>
      </c>
      <c r="N1465" s="133">
        <f>TRUNC(K1465*M1465,2)</f>
        <v>0</v>
      </c>
      <c r="O1465" s="286"/>
      <c r="P1465" s="146"/>
      <c r="Q1465" s="146"/>
      <c r="R1465" s="146"/>
      <c r="S1465" s="146"/>
      <c r="T1465" s="146"/>
      <c r="U1465" s="146"/>
      <c r="V1465" s="146"/>
      <c r="W1465" s="146"/>
      <c r="X1465" s="146"/>
      <c r="Y1465" s="146"/>
      <c r="Z1465" s="146"/>
      <c r="AA1465" s="146"/>
    </row>
    <row r="1466" spans="1:27" s="118" customFormat="1" x14ac:dyDescent="0.2">
      <c r="A1466" s="10"/>
      <c r="B1466" s="10"/>
      <c r="C1466" s="191"/>
      <c r="D1466" s="115"/>
      <c r="E1466" s="158"/>
      <c r="F1466" s="267"/>
      <c r="G1466" s="267"/>
      <c r="H1466" s="267"/>
      <c r="I1466" s="250"/>
      <c r="J1466" s="267"/>
      <c r="K1466" s="137"/>
      <c r="L1466" s="137"/>
      <c r="M1466" s="137"/>
      <c r="N1466" s="138"/>
      <c r="O1466" s="167"/>
      <c r="P1466" s="111"/>
      <c r="Q1466" s="111"/>
      <c r="R1466" s="111"/>
      <c r="S1466" s="111"/>
      <c r="T1466" s="111"/>
      <c r="U1466" s="111"/>
      <c r="V1466" s="111"/>
      <c r="W1466" s="111"/>
      <c r="X1466" s="111"/>
      <c r="Y1466" s="111"/>
      <c r="Z1466" s="111"/>
      <c r="AA1466" s="111"/>
    </row>
    <row r="1467" spans="1:27" s="118" customFormat="1" x14ac:dyDescent="0.2">
      <c r="A1467" s="10"/>
      <c r="B1467" s="10"/>
      <c r="C1467" s="191"/>
      <c r="D1467" s="115"/>
      <c r="E1467" s="158"/>
      <c r="F1467" s="267"/>
      <c r="G1467" s="267"/>
      <c r="H1467" s="267"/>
      <c r="I1467" s="250"/>
      <c r="J1467" s="267"/>
      <c r="K1467" s="137"/>
      <c r="L1467" s="137"/>
      <c r="M1467" s="137"/>
      <c r="N1467" s="138"/>
      <c r="O1467" s="167"/>
      <c r="P1467" s="111"/>
      <c r="Q1467" s="111"/>
      <c r="R1467" s="111"/>
      <c r="S1467" s="111"/>
      <c r="T1467" s="111"/>
      <c r="U1467" s="111"/>
      <c r="V1467" s="111"/>
      <c r="W1467" s="111"/>
      <c r="X1467" s="111"/>
      <c r="Y1467" s="111"/>
      <c r="Z1467" s="111"/>
      <c r="AA1467" s="111"/>
    </row>
    <row r="1468" spans="1:27" s="118" customFormat="1" x14ac:dyDescent="0.2">
      <c r="A1468" s="10"/>
      <c r="B1468" s="10"/>
      <c r="C1468" s="190"/>
      <c r="D1468" s="110"/>
      <c r="E1468" s="158"/>
      <c r="F1468" s="267"/>
      <c r="G1468" s="267"/>
      <c r="H1468" s="267"/>
      <c r="I1468" s="250"/>
      <c r="J1468" s="338"/>
      <c r="K1468" s="137"/>
      <c r="L1468" s="137"/>
      <c r="M1468" s="137"/>
      <c r="N1468" s="138"/>
      <c r="O1468" s="167"/>
      <c r="P1468" s="111"/>
      <c r="Q1468" s="111"/>
      <c r="R1468" s="111"/>
      <c r="S1468" s="111"/>
      <c r="T1468" s="111"/>
      <c r="U1468" s="111"/>
      <c r="V1468" s="111"/>
      <c r="W1468" s="111"/>
      <c r="X1468" s="111"/>
      <c r="Y1468" s="111"/>
      <c r="Z1468" s="111"/>
      <c r="AA1468" s="111"/>
    </row>
    <row r="1469" spans="1:27" s="118" customFormat="1" x14ac:dyDescent="0.2">
      <c r="A1469" s="10"/>
      <c r="B1469" s="10"/>
      <c r="C1469" s="157"/>
      <c r="D1469" s="110"/>
      <c r="E1469" s="158"/>
      <c r="F1469" s="267"/>
      <c r="G1469" s="267"/>
      <c r="H1469" s="267"/>
      <c r="I1469" s="250"/>
      <c r="J1469" s="266"/>
      <c r="K1469" s="137"/>
      <c r="L1469" s="137"/>
      <c r="M1469" s="137"/>
      <c r="N1469" s="138"/>
      <c r="O1469" s="167"/>
      <c r="P1469" s="111"/>
      <c r="Q1469" s="111"/>
      <c r="R1469" s="111"/>
      <c r="S1469" s="111"/>
      <c r="T1469" s="111"/>
      <c r="U1469" s="111"/>
      <c r="V1469" s="111"/>
      <c r="W1469" s="111"/>
      <c r="X1469" s="111"/>
      <c r="Y1469" s="111"/>
      <c r="Z1469" s="111"/>
      <c r="AA1469" s="111"/>
    </row>
    <row r="1470" spans="1:27" s="241" customFormat="1" ht="13.2" x14ac:dyDescent="0.25">
      <c r="A1470" s="331"/>
      <c r="B1470" s="331"/>
      <c r="C1470" s="332"/>
      <c r="D1470" s="333"/>
      <c r="E1470" s="331"/>
      <c r="F1470" s="334"/>
      <c r="G1470" s="334"/>
      <c r="H1470" s="334"/>
      <c r="I1470" s="335"/>
      <c r="J1470" s="334"/>
      <c r="K1470" s="238"/>
      <c r="L1470" s="238"/>
      <c r="M1470" s="238"/>
      <c r="N1470" s="239" t="e">
        <f>N1472+N1510+N1520+N1532+N1546+N1553</f>
        <v>#VALUE!</v>
      </c>
      <c r="O1470" s="284" t="e">
        <f>N1470/$N$1660</f>
        <v>#VALUE!</v>
      </c>
      <c r="P1470" s="240"/>
      <c r="Q1470" s="240" t="s">
        <v>533</v>
      </c>
      <c r="R1470" s="240"/>
      <c r="S1470" s="240"/>
      <c r="T1470" s="240"/>
      <c r="U1470" s="240"/>
      <c r="V1470" s="240"/>
      <c r="W1470" s="240"/>
      <c r="X1470" s="240"/>
      <c r="Y1470" s="240"/>
      <c r="Z1470" s="240"/>
      <c r="AA1470" s="240"/>
    </row>
    <row r="1471" spans="1:27" s="118" customFormat="1" x14ac:dyDescent="0.2">
      <c r="A1471" s="10"/>
      <c r="B1471" s="10"/>
      <c r="C1471" s="157"/>
      <c r="D1471" s="110"/>
      <c r="E1471" s="158"/>
      <c r="F1471" s="267"/>
      <c r="G1471" s="267"/>
      <c r="H1471" s="267"/>
      <c r="I1471" s="250"/>
      <c r="J1471" s="266"/>
      <c r="K1471" s="137"/>
      <c r="L1471" s="137"/>
      <c r="M1471" s="137"/>
      <c r="N1471" s="138"/>
      <c r="O1471" s="167"/>
      <c r="P1471" s="111"/>
      <c r="Q1471" s="111"/>
      <c r="R1471" s="111"/>
      <c r="S1471" s="111"/>
      <c r="T1471" s="111"/>
      <c r="U1471" s="111"/>
      <c r="V1471" s="111"/>
      <c r="W1471" s="111"/>
      <c r="X1471" s="111"/>
      <c r="Y1471" s="111"/>
      <c r="Z1471" s="111"/>
      <c r="AA1471" s="111"/>
    </row>
    <row r="1472" spans="1:27" s="145" customFormat="1" x14ac:dyDescent="0.2">
      <c r="A1472" s="192"/>
      <c r="B1472" s="192"/>
      <c r="C1472" s="193"/>
      <c r="D1472" s="336"/>
      <c r="E1472" s="192"/>
      <c r="F1472" s="269"/>
      <c r="G1472" s="269"/>
      <c r="H1472" s="269"/>
      <c r="I1472" s="254"/>
      <c r="J1472" s="269"/>
      <c r="K1472" s="142"/>
      <c r="L1472" s="142"/>
      <c r="M1472" s="142"/>
      <c r="N1472" s="143" t="e">
        <f>SUM(N1474:N1508)</f>
        <v>#VALUE!</v>
      </c>
      <c r="O1472" s="285"/>
      <c r="P1472" s="144"/>
      <c r="Q1472" s="144"/>
      <c r="R1472" s="144"/>
      <c r="S1472" s="144"/>
      <c r="T1472" s="144"/>
      <c r="U1472" s="144"/>
      <c r="V1472" s="144"/>
      <c r="W1472" s="144"/>
      <c r="X1472" s="144"/>
      <c r="Y1472" s="144"/>
      <c r="Z1472" s="144"/>
      <c r="AA1472" s="144"/>
    </row>
    <row r="1473" spans="1:27" s="118" customFormat="1" x14ac:dyDescent="0.2">
      <c r="A1473" s="10"/>
      <c r="B1473" s="10"/>
      <c r="C1473" s="157"/>
      <c r="D1473" s="110"/>
      <c r="E1473" s="158"/>
      <c r="F1473" s="267"/>
      <c r="G1473" s="267"/>
      <c r="H1473" s="267"/>
      <c r="I1473" s="250"/>
      <c r="J1473" s="266"/>
      <c r="K1473" s="137"/>
      <c r="L1473" s="137"/>
      <c r="M1473" s="137"/>
      <c r="N1473" s="138"/>
      <c r="O1473" s="167"/>
      <c r="P1473" s="111"/>
      <c r="Q1473" s="111"/>
      <c r="R1473" s="111"/>
      <c r="S1473" s="111"/>
      <c r="T1473" s="111"/>
      <c r="U1473" s="111"/>
      <c r="V1473" s="111"/>
      <c r="W1473" s="111"/>
      <c r="X1473" s="111"/>
      <c r="Y1473" s="111"/>
      <c r="Z1473" s="111"/>
      <c r="AA1473" s="111"/>
    </row>
    <row r="1474" spans="1:27" s="147" customFormat="1" x14ac:dyDescent="0.2">
      <c r="A1474" s="184"/>
      <c r="B1474" s="184"/>
      <c r="C1474" s="185"/>
      <c r="D1474" s="337"/>
      <c r="E1474" s="184"/>
      <c r="F1474" s="338"/>
      <c r="G1474" s="338"/>
      <c r="H1474" s="338"/>
      <c r="I1474" s="257"/>
      <c r="J1474" s="338"/>
      <c r="K1474" s="131">
        <f>J1480</f>
        <v>0</v>
      </c>
      <c r="L1474" s="131" t="e">
        <f>'COMPOSICOES - SINAPI COM DESON'!G36</f>
        <v>#VALUE!</v>
      </c>
      <c r="M1474" s="131" t="e">
        <f>ROUND(L1474*(1+$Q$5),2)</f>
        <v>#VALUE!</v>
      </c>
      <c r="N1474" s="133" t="e">
        <f>TRUNC(K1474*M1474,2)</f>
        <v>#VALUE!</v>
      </c>
      <c r="O1474" s="286"/>
      <c r="P1474" s="146"/>
      <c r="Q1474" s="146"/>
      <c r="R1474" s="146"/>
      <c r="S1474" s="146"/>
      <c r="T1474" s="146"/>
      <c r="U1474" s="146"/>
      <c r="V1474" s="146"/>
      <c r="W1474" s="146"/>
      <c r="X1474" s="146"/>
      <c r="Y1474" s="146"/>
      <c r="Z1474" s="146"/>
      <c r="AA1474" s="146"/>
    </row>
    <row r="1475" spans="1:27" s="118" customFormat="1" x14ac:dyDescent="0.2">
      <c r="A1475" s="10"/>
      <c r="B1475" s="10"/>
      <c r="C1475" s="191"/>
      <c r="D1475" s="115"/>
      <c r="E1475" s="158"/>
      <c r="F1475" s="267"/>
      <c r="G1475" s="267"/>
      <c r="H1475" s="267"/>
      <c r="I1475" s="250"/>
      <c r="J1475" s="267"/>
      <c r="K1475" s="137"/>
      <c r="L1475" s="137"/>
      <c r="M1475" s="137"/>
      <c r="N1475" s="138"/>
      <c r="O1475" s="167"/>
      <c r="P1475" s="111"/>
      <c r="Q1475" s="111"/>
      <c r="R1475" s="111"/>
      <c r="S1475" s="111"/>
      <c r="T1475" s="111"/>
      <c r="U1475" s="111"/>
      <c r="V1475" s="111"/>
      <c r="W1475" s="111"/>
      <c r="X1475" s="111"/>
      <c r="Y1475" s="111"/>
      <c r="Z1475" s="111"/>
      <c r="AA1475" s="111"/>
    </row>
    <row r="1476" spans="1:27" s="118" customFormat="1" x14ac:dyDescent="0.2">
      <c r="A1476" s="10"/>
      <c r="B1476" s="10"/>
      <c r="C1476" s="191"/>
      <c r="D1476" s="115"/>
      <c r="E1476" s="158"/>
      <c r="F1476" s="267"/>
      <c r="G1476" s="267"/>
      <c r="H1476" s="267"/>
      <c r="I1476" s="250"/>
      <c r="J1476" s="267"/>
      <c r="K1476" s="137"/>
      <c r="L1476" s="137"/>
      <c r="M1476" s="137"/>
      <c r="N1476" s="138"/>
      <c r="O1476" s="167"/>
      <c r="P1476" s="111"/>
      <c r="Q1476" s="111"/>
      <c r="R1476" s="111"/>
      <c r="S1476" s="111"/>
      <c r="T1476" s="111"/>
      <c r="U1476" s="111"/>
      <c r="V1476" s="111"/>
      <c r="W1476" s="111"/>
      <c r="X1476" s="111"/>
      <c r="Y1476" s="111"/>
      <c r="Z1476" s="111"/>
      <c r="AA1476" s="111"/>
    </row>
    <row r="1477" spans="1:27" s="118" customFormat="1" x14ac:dyDescent="0.2">
      <c r="A1477" s="10"/>
      <c r="B1477" s="10"/>
      <c r="C1477" s="191"/>
      <c r="D1477" s="115"/>
      <c r="E1477" s="158"/>
      <c r="F1477" s="267"/>
      <c r="G1477" s="267"/>
      <c r="H1477" s="267"/>
      <c r="I1477" s="250"/>
      <c r="J1477" s="267"/>
      <c r="K1477" s="137"/>
      <c r="L1477" s="137"/>
      <c r="M1477" s="137"/>
      <c r="N1477" s="138"/>
      <c r="O1477" s="167"/>
      <c r="P1477" s="111"/>
      <c r="Q1477" s="111"/>
      <c r="R1477" s="111"/>
      <c r="S1477" s="111"/>
      <c r="T1477" s="111"/>
      <c r="U1477" s="111"/>
      <c r="V1477" s="111"/>
      <c r="W1477" s="111"/>
      <c r="X1477" s="111"/>
      <c r="Y1477" s="111"/>
      <c r="Z1477" s="111"/>
      <c r="AA1477" s="111"/>
    </row>
    <row r="1478" spans="1:27" s="118" customFormat="1" x14ac:dyDescent="0.2">
      <c r="A1478" s="10"/>
      <c r="B1478" s="10"/>
      <c r="C1478" s="191"/>
      <c r="D1478" s="115"/>
      <c r="E1478" s="158"/>
      <c r="F1478" s="267"/>
      <c r="G1478" s="267"/>
      <c r="H1478" s="267"/>
      <c r="I1478" s="250"/>
      <c r="J1478" s="267"/>
      <c r="K1478" s="137"/>
      <c r="L1478" s="137"/>
      <c r="M1478" s="137"/>
      <c r="N1478" s="138"/>
      <c r="O1478" s="167"/>
      <c r="P1478" s="111"/>
      <c r="Q1478" s="111"/>
      <c r="R1478" s="111"/>
      <c r="S1478" s="111"/>
      <c r="T1478" s="111"/>
      <c r="U1478" s="111"/>
      <c r="V1478" s="111"/>
      <c r="W1478" s="111"/>
      <c r="X1478" s="111"/>
      <c r="Y1478" s="111"/>
      <c r="Z1478" s="111"/>
      <c r="AA1478" s="111"/>
    </row>
    <row r="1479" spans="1:27" s="118" customFormat="1" x14ac:dyDescent="0.2">
      <c r="A1479" s="10"/>
      <c r="B1479" s="10"/>
      <c r="C1479" s="191"/>
      <c r="D1479" s="115"/>
      <c r="E1479" s="158"/>
      <c r="F1479" s="267"/>
      <c r="G1479" s="267"/>
      <c r="H1479" s="267"/>
      <c r="I1479" s="250"/>
      <c r="J1479" s="267"/>
      <c r="K1479" s="137"/>
      <c r="L1479" s="137"/>
      <c r="M1479" s="137"/>
      <c r="N1479" s="138"/>
      <c r="O1479" s="167"/>
      <c r="P1479" s="111"/>
      <c r="Q1479" s="111"/>
      <c r="R1479" s="111"/>
      <c r="S1479" s="111"/>
      <c r="T1479" s="111"/>
      <c r="U1479" s="111"/>
      <c r="V1479" s="111"/>
      <c r="W1479" s="111"/>
      <c r="X1479" s="111"/>
      <c r="Y1479" s="111"/>
      <c r="Z1479" s="111"/>
      <c r="AA1479" s="111"/>
    </row>
    <row r="1480" spans="1:27" s="118" customFormat="1" x14ac:dyDescent="0.2">
      <c r="A1480" s="10"/>
      <c r="B1480" s="10"/>
      <c r="C1480" s="190"/>
      <c r="D1480" s="110"/>
      <c r="E1480" s="158"/>
      <c r="F1480" s="267"/>
      <c r="G1480" s="267"/>
      <c r="H1480" s="267"/>
      <c r="I1480" s="250"/>
      <c r="J1480" s="338"/>
      <c r="K1480" s="137"/>
      <c r="L1480" s="137"/>
      <c r="M1480" s="137"/>
      <c r="N1480" s="138"/>
      <c r="O1480" s="167"/>
      <c r="P1480" s="111"/>
      <c r="Q1480" s="111"/>
      <c r="R1480" s="111"/>
      <c r="S1480" s="111"/>
      <c r="T1480" s="111"/>
      <c r="U1480" s="111"/>
      <c r="V1480" s="111"/>
      <c r="W1480" s="111"/>
      <c r="X1480" s="111"/>
      <c r="Y1480" s="111"/>
      <c r="Z1480" s="111"/>
      <c r="AA1480" s="111"/>
    </row>
    <row r="1481" spans="1:27" s="139" customFormat="1" x14ac:dyDescent="0.2">
      <c r="A1481" s="10"/>
      <c r="B1481" s="10"/>
      <c r="C1481" s="15"/>
      <c r="D1481" s="117"/>
      <c r="E1481" s="10"/>
      <c r="F1481" s="263"/>
      <c r="G1481" s="263"/>
      <c r="H1481" s="263"/>
      <c r="I1481" s="250"/>
      <c r="J1481" s="263"/>
      <c r="K1481" s="137"/>
      <c r="L1481" s="137"/>
      <c r="M1481" s="137"/>
      <c r="N1481" s="138"/>
      <c r="O1481" s="283"/>
      <c r="P1481" s="120"/>
      <c r="Q1481" s="120"/>
      <c r="R1481" s="120"/>
      <c r="S1481" s="120"/>
      <c r="T1481" s="120"/>
      <c r="U1481" s="120"/>
      <c r="V1481" s="120"/>
      <c r="W1481" s="120"/>
      <c r="X1481" s="120"/>
      <c r="Y1481" s="120"/>
      <c r="Z1481" s="120"/>
      <c r="AA1481" s="120"/>
    </row>
    <row r="1482" spans="1:27" s="147" customFormat="1" x14ac:dyDescent="0.2">
      <c r="A1482" s="184"/>
      <c r="B1482" s="184"/>
      <c r="C1482" s="185"/>
      <c r="D1482" s="337"/>
      <c r="E1482" s="184"/>
      <c r="F1482" s="338"/>
      <c r="G1482" s="338"/>
      <c r="H1482" s="338"/>
      <c r="I1482" s="257"/>
      <c r="J1482" s="338"/>
      <c r="K1482" s="131">
        <f>J1488</f>
        <v>0</v>
      </c>
      <c r="L1482" s="131">
        <v>116.08</v>
      </c>
      <c r="M1482" s="131">
        <f>ROUND(L1482*(1+$Q$5),2)</f>
        <v>146.88</v>
      </c>
      <c r="N1482" s="133">
        <f>TRUNC(K1482*M1482,2)</f>
        <v>0</v>
      </c>
      <c r="O1482" s="286"/>
      <c r="P1482" s="146"/>
      <c r="Q1482" s="146"/>
      <c r="R1482" s="146"/>
      <c r="S1482" s="146"/>
      <c r="T1482" s="146"/>
      <c r="U1482" s="146"/>
      <c r="V1482" s="146"/>
      <c r="W1482" s="146"/>
      <c r="X1482" s="146"/>
      <c r="Y1482" s="146"/>
      <c r="Z1482" s="146"/>
      <c r="AA1482" s="146"/>
    </row>
    <row r="1483" spans="1:27" s="118" customFormat="1" x14ac:dyDescent="0.2">
      <c r="A1483" s="10"/>
      <c r="B1483" s="10"/>
      <c r="C1483" s="191"/>
      <c r="D1483" s="115"/>
      <c r="E1483" s="158"/>
      <c r="F1483" s="267"/>
      <c r="G1483" s="267"/>
      <c r="H1483" s="267"/>
      <c r="I1483" s="250"/>
      <c r="J1483" s="267"/>
      <c r="K1483" s="137"/>
      <c r="L1483" s="137"/>
      <c r="M1483" s="137"/>
      <c r="N1483" s="138"/>
      <c r="O1483" s="167"/>
      <c r="P1483" s="111"/>
      <c r="Q1483" s="111"/>
      <c r="R1483" s="111"/>
      <c r="S1483" s="111"/>
      <c r="T1483" s="111"/>
      <c r="U1483" s="111"/>
      <c r="V1483" s="111"/>
      <c r="W1483" s="111"/>
      <c r="X1483" s="111"/>
      <c r="Y1483" s="111"/>
      <c r="Z1483" s="111"/>
      <c r="AA1483" s="111"/>
    </row>
    <row r="1484" spans="1:27" s="118" customFormat="1" x14ac:dyDescent="0.2">
      <c r="A1484" s="10"/>
      <c r="B1484" s="10"/>
      <c r="C1484" s="191"/>
      <c r="D1484" s="115"/>
      <c r="E1484" s="158"/>
      <c r="F1484" s="267"/>
      <c r="G1484" s="267"/>
      <c r="H1484" s="267"/>
      <c r="I1484" s="250"/>
      <c r="J1484" s="267"/>
      <c r="K1484" s="137"/>
      <c r="L1484" s="137"/>
      <c r="M1484" s="137"/>
      <c r="N1484" s="138"/>
      <c r="O1484" s="167"/>
      <c r="P1484" s="111"/>
      <c r="Q1484" s="111"/>
      <c r="R1484" s="111"/>
      <c r="S1484" s="111"/>
      <c r="T1484" s="111"/>
      <c r="U1484" s="111"/>
      <c r="V1484" s="111"/>
      <c r="W1484" s="111"/>
      <c r="X1484" s="111"/>
      <c r="Y1484" s="111"/>
      <c r="Z1484" s="111"/>
      <c r="AA1484" s="111"/>
    </row>
    <row r="1485" spans="1:27" s="118" customFormat="1" x14ac:dyDescent="0.2">
      <c r="A1485" s="10"/>
      <c r="B1485" s="10"/>
      <c r="C1485" s="191"/>
      <c r="D1485" s="115"/>
      <c r="E1485" s="158"/>
      <c r="F1485" s="267"/>
      <c r="G1485" s="267"/>
      <c r="H1485" s="267"/>
      <c r="I1485" s="250"/>
      <c r="J1485" s="267"/>
      <c r="K1485" s="137"/>
      <c r="L1485" s="137"/>
      <c r="M1485" s="137"/>
      <c r="N1485" s="138"/>
      <c r="O1485" s="167"/>
      <c r="P1485" s="111"/>
      <c r="Q1485" s="111"/>
      <c r="R1485" s="111"/>
      <c r="S1485" s="111"/>
      <c r="T1485" s="111"/>
      <c r="U1485" s="111"/>
      <c r="V1485" s="111"/>
      <c r="W1485" s="111"/>
      <c r="X1485" s="111"/>
      <c r="Y1485" s="111"/>
      <c r="Z1485" s="111"/>
      <c r="AA1485" s="111"/>
    </row>
    <row r="1486" spans="1:27" s="118" customFormat="1" x14ac:dyDescent="0.2">
      <c r="A1486" s="10"/>
      <c r="B1486" s="10"/>
      <c r="C1486" s="191"/>
      <c r="D1486" s="115"/>
      <c r="E1486" s="158"/>
      <c r="F1486" s="267"/>
      <c r="G1486" s="267"/>
      <c r="H1486" s="267"/>
      <c r="I1486" s="250"/>
      <c r="J1486" s="267"/>
      <c r="K1486" s="137"/>
      <c r="L1486" s="137"/>
      <c r="M1486" s="137"/>
      <c r="N1486" s="138"/>
      <c r="O1486" s="167"/>
      <c r="P1486" s="111"/>
      <c r="Q1486" s="111"/>
      <c r="R1486" s="111"/>
      <c r="S1486" s="111"/>
      <c r="T1486" s="111"/>
      <c r="U1486" s="111"/>
      <c r="V1486" s="111"/>
      <c r="W1486" s="111"/>
      <c r="X1486" s="111"/>
      <c r="Y1486" s="111"/>
      <c r="Z1486" s="111"/>
      <c r="AA1486" s="111"/>
    </row>
    <row r="1487" spans="1:27" s="118" customFormat="1" x14ac:dyDescent="0.2">
      <c r="A1487" s="10"/>
      <c r="B1487" s="10"/>
      <c r="C1487" s="191"/>
      <c r="D1487" s="115"/>
      <c r="E1487" s="158"/>
      <c r="F1487" s="267"/>
      <c r="G1487" s="267"/>
      <c r="H1487" s="267"/>
      <c r="I1487" s="250"/>
      <c r="J1487" s="267"/>
      <c r="K1487" s="137"/>
      <c r="L1487" s="137"/>
      <c r="M1487" s="137"/>
      <c r="N1487" s="138"/>
      <c r="O1487" s="167"/>
      <c r="P1487" s="111"/>
      <c r="Q1487" s="111"/>
      <c r="R1487" s="111"/>
      <c r="S1487" s="111"/>
      <c r="T1487" s="111"/>
      <c r="U1487" s="111"/>
      <c r="V1487" s="111"/>
      <c r="W1487" s="111"/>
      <c r="X1487" s="111"/>
      <c r="Y1487" s="111"/>
      <c r="Z1487" s="111"/>
      <c r="AA1487" s="111"/>
    </row>
    <row r="1488" spans="1:27" s="118" customFormat="1" x14ac:dyDescent="0.2">
      <c r="A1488" s="10"/>
      <c r="B1488" s="10"/>
      <c r="C1488" s="190"/>
      <c r="D1488" s="110"/>
      <c r="E1488" s="158"/>
      <c r="F1488" s="267"/>
      <c r="G1488" s="267"/>
      <c r="H1488" s="267"/>
      <c r="I1488" s="250"/>
      <c r="J1488" s="338"/>
      <c r="K1488" s="137"/>
      <c r="L1488" s="137"/>
      <c r="M1488" s="137"/>
      <c r="N1488" s="138"/>
      <c r="O1488" s="167"/>
      <c r="P1488" s="111"/>
      <c r="Q1488" s="111"/>
      <c r="R1488" s="111"/>
      <c r="S1488" s="111"/>
      <c r="T1488" s="111"/>
      <c r="U1488" s="111"/>
      <c r="V1488" s="111"/>
      <c r="W1488" s="111"/>
      <c r="X1488" s="111"/>
      <c r="Y1488" s="111"/>
      <c r="Z1488" s="111"/>
      <c r="AA1488" s="111"/>
    </row>
    <row r="1489" spans="1:27" s="139" customFormat="1" x14ac:dyDescent="0.2">
      <c r="A1489" s="10"/>
      <c r="B1489" s="10"/>
      <c r="C1489" s="15"/>
      <c r="D1489" s="117"/>
      <c r="E1489" s="10"/>
      <c r="F1489" s="263"/>
      <c r="G1489" s="263"/>
      <c r="H1489" s="263"/>
      <c r="I1489" s="250"/>
      <c r="J1489" s="263"/>
      <c r="K1489" s="137"/>
      <c r="L1489" s="137"/>
      <c r="M1489" s="137"/>
      <c r="N1489" s="138"/>
      <c r="O1489" s="283"/>
      <c r="P1489" s="120"/>
      <c r="Q1489" s="120"/>
      <c r="R1489" s="120"/>
      <c r="S1489" s="120"/>
      <c r="T1489" s="120"/>
      <c r="U1489" s="120"/>
      <c r="V1489" s="120"/>
      <c r="W1489" s="120"/>
      <c r="X1489" s="120"/>
      <c r="Y1489" s="120"/>
      <c r="Z1489" s="120"/>
      <c r="AA1489" s="120"/>
    </row>
    <row r="1490" spans="1:27" s="147" customFormat="1" x14ac:dyDescent="0.2">
      <c r="A1490" s="184"/>
      <c r="B1490" s="184"/>
      <c r="C1490" s="185"/>
      <c r="D1490" s="337"/>
      <c r="E1490" s="184"/>
      <c r="F1490" s="338"/>
      <c r="G1490" s="338"/>
      <c r="H1490" s="338"/>
      <c r="I1490" s="257"/>
      <c r="J1490" s="338"/>
      <c r="K1490" s="131">
        <f>J1500</f>
        <v>0</v>
      </c>
      <c r="L1490" s="131">
        <f>'COMPOSICOES - SINAPI COM DESON'!G50</f>
        <v>104.48</v>
      </c>
      <c r="M1490" s="131">
        <f>ROUND(L1490*(1+$Q$5),2)</f>
        <v>132.19999999999999</v>
      </c>
      <c r="N1490" s="133">
        <f>TRUNC(K1490*M1490,2)</f>
        <v>0</v>
      </c>
      <c r="O1490" s="286"/>
      <c r="P1490" s="146"/>
      <c r="Q1490" s="146"/>
      <c r="R1490" s="146"/>
      <c r="S1490" s="146"/>
      <c r="T1490" s="146"/>
      <c r="U1490" s="146"/>
      <c r="V1490" s="146"/>
      <c r="W1490" s="146"/>
      <c r="X1490" s="146"/>
      <c r="Y1490" s="146"/>
      <c r="Z1490" s="146"/>
      <c r="AA1490" s="146"/>
    </row>
    <row r="1491" spans="1:27" s="174" customFormat="1" x14ac:dyDescent="0.2">
      <c r="A1491" s="177"/>
      <c r="B1491" s="177"/>
      <c r="C1491" s="178"/>
      <c r="D1491" s="115"/>
      <c r="E1491" s="177"/>
      <c r="F1491" s="267"/>
      <c r="G1491" s="267"/>
      <c r="H1491" s="267"/>
      <c r="I1491" s="339"/>
      <c r="J1491" s="267"/>
      <c r="K1491" s="172"/>
      <c r="L1491" s="172"/>
      <c r="M1491" s="172"/>
      <c r="N1491" s="173"/>
      <c r="O1491" s="287"/>
      <c r="P1491" s="23"/>
      <c r="Q1491" s="23"/>
      <c r="R1491" s="23"/>
      <c r="S1491" s="23"/>
      <c r="T1491" s="23"/>
      <c r="U1491" s="23"/>
      <c r="V1491" s="23"/>
      <c r="W1491" s="23"/>
      <c r="X1491" s="23"/>
      <c r="Y1491" s="23"/>
      <c r="Z1491" s="23"/>
      <c r="AA1491" s="23"/>
    </row>
    <row r="1492" spans="1:27" s="174" customFormat="1" x14ac:dyDescent="0.2">
      <c r="A1492" s="177"/>
      <c r="B1492" s="177"/>
      <c r="C1492" s="178"/>
      <c r="D1492" s="115"/>
      <c r="E1492" s="177"/>
      <c r="F1492" s="267"/>
      <c r="G1492" s="267"/>
      <c r="H1492" s="267"/>
      <c r="I1492" s="339"/>
      <c r="J1492" s="267"/>
      <c r="K1492" s="172"/>
      <c r="L1492" s="172"/>
      <c r="M1492" s="172"/>
      <c r="N1492" s="173"/>
      <c r="O1492" s="287"/>
      <c r="P1492" s="23"/>
      <c r="Q1492" s="23"/>
      <c r="R1492" s="23"/>
      <c r="S1492" s="23"/>
      <c r="T1492" s="23"/>
      <c r="U1492" s="23"/>
      <c r="V1492" s="23"/>
      <c r="W1492" s="23"/>
      <c r="X1492" s="23"/>
      <c r="Y1492" s="23"/>
      <c r="Z1492" s="23"/>
      <c r="AA1492" s="23"/>
    </row>
    <row r="1493" spans="1:27" s="174" customFormat="1" x14ac:dyDescent="0.2">
      <c r="A1493" s="177"/>
      <c r="B1493" s="177"/>
      <c r="C1493" s="178"/>
      <c r="D1493" s="115"/>
      <c r="E1493" s="177"/>
      <c r="F1493" s="267"/>
      <c r="G1493" s="267"/>
      <c r="H1493" s="267"/>
      <c r="I1493" s="339"/>
      <c r="J1493" s="267"/>
      <c r="K1493" s="172"/>
      <c r="L1493" s="172"/>
      <c r="M1493" s="172"/>
      <c r="N1493" s="173"/>
      <c r="O1493" s="287"/>
      <c r="P1493" s="23"/>
      <c r="Q1493" s="23"/>
      <c r="R1493" s="23"/>
      <c r="S1493" s="23"/>
      <c r="T1493" s="23"/>
      <c r="U1493" s="23"/>
      <c r="V1493" s="23"/>
      <c r="W1493" s="23"/>
      <c r="X1493" s="23"/>
      <c r="Y1493" s="23"/>
      <c r="Z1493" s="23"/>
      <c r="AA1493" s="23"/>
    </row>
    <row r="1494" spans="1:27" s="174" customFormat="1" x14ac:dyDescent="0.2">
      <c r="A1494" s="177"/>
      <c r="B1494" s="177"/>
      <c r="C1494" s="178"/>
      <c r="D1494" s="115"/>
      <c r="E1494" s="177"/>
      <c r="F1494" s="267"/>
      <c r="G1494" s="267"/>
      <c r="H1494" s="267"/>
      <c r="I1494" s="339"/>
      <c r="J1494" s="267"/>
      <c r="K1494" s="172"/>
      <c r="L1494" s="172"/>
      <c r="M1494" s="172"/>
      <c r="N1494" s="173"/>
      <c r="O1494" s="287"/>
      <c r="P1494" s="23"/>
      <c r="Q1494" s="23"/>
      <c r="R1494" s="23"/>
      <c r="S1494" s="23"/>
      <c r="T1494" s="23"/>
      <c r="U1494" s="23"/>
      <c r="V1494" s="23"/>
      <c r="W1494" s="23"/>
      <c r="X1494" s="23"/>
      <c r="Y1494" s="23"/>
      <c r="Z1494" s="23"/>
      <c r="AA1494" s="23"/>
    </row>
    <row r="1495" spans="1:27" s="174" customFormat="1" x14ac:dyDescent="0.2">
      <c r="A1495" s="177"/>
      <c r="B1495" s="177"/>
      <c r="C1495" s="178"/>
      <c r="D1495" s="115"/>
      <c r="E1495" s="177"/>
      <c r="F1495" s="267"/>
      <c r="G1495" s="267"/>
      <c r="H1495" s="267"/>
      <c r="I1495" s="339"/>
      <c r="J1495" s="267"/>
      <c r="K1495" s="172"/>
      <c r="L1495" s="172"/>
      <c r="M1495" s="172"/>
      <c r="N1495" s="173"/>
      <c r="O1495" s="287"/>
      <c r="P1495" s="23"/>
      <c r="Q1495" s="23"/>
      <c r="R1495" s="23"/>
      <c r="S1495" s="23"/>
      <c r="T1495" s="23"/>
      <c r="U1495" s="23"/>
      <c r="V1495" s="23"/>
      <c r="W1495" s="23"/>
      <c r="X1495" s="23"/>
      <c r="Y1495" s="23"/>
      <c r="Z1495" s="23"/>
      <c r="AA1495" s="23"/>
    </row>
    <row r="1496" spans="1:27" s="174" customFormat="1" x14ac:dyDescent="0.2">
      <c r="A1496" s="177"/>
      <c r="B1496" s="177"/>
      <c r="C1496" s="178"/>
      <c r="D1496" s="115"/>
      <c r="E1496" s="177"/>
      <c r="F1496" s="267"/>
      <c r="G1496" s="267"/>
      <c r="H1496" s="267"/>
      <c r="I1496" s="339"/>
      <c r="J1496" s="267"/>
      <c r="K1496" s="172"/>
      <c r="L1496" s="172"/>
      <c r="M1496" s="172"/>
      <c r="N1496" s="173"/>
      <c r="O1496" s="287"/>
      <c r="P1496" s="23"/>
      <c r="Q1496" s="23"/>
      <c r="R1496" s="23"/>
      <c r="S1496" s="23"/>
      <c r="T1496" s="23"/>
      <c r="U1496" s="23"/>
      <c r="V1496" s="23"/>
      <c r="W1496" s="23"/>
      <c r="X1496" s="23"/>
      <c r="Y1496" s="23"/>
      <c r="Z1496" s="23"/>
      <c r="AA1496" s="23"/>
    </row>
    <row r="1497" spans="1:27" s="174" customFormat="1" x14ac:dyDescent="0.2">
      <c r="A1497" s="177"/>
      <c r="B1497" s="177"/>
      <c r="C1497" s="178"/>
      <c r="D1497" s="115"/>
      <c r="E1497" s="177"/>
      <c r="F1497" s="267"/>
      <c r="G1497" s="267"/>
      <c r="H1497" s="267"/>
      <c r="I1497" s="339"/>
      <c r="J1497" s="267"/>
      <c r="K1497" s="172"/>
      <c r="L1497" s="172"/>
      <c r="M1497" s="172"/>
      <c r="N1497" s="173"/>
      <c r="O1497" s="287"/>
      <c r="P1497" s="23"/>
      <c r="Q1497" s="23"/>
      <c r="R1497" s="23"/>
      <c r="S1497" s="23"/>
      <c r="T1497" s="23"/>
      <c r="U1497" s="23"/>
      <c r="V1497" s="23"/>
      <c r="W1497" s="23"/>
      <c r="X1497" s="23"/>
      <c r="Y1497" s="23"/>
      <c r="Z1497" s="23"/>
      <c r="AA1497" s="23"/>
    </row>
    <row r="1498" spans="1:27" s="174" customFormat="1" x14ac:dyDescent="0.2">
      <c r="A1498" s="177"/>
      <c r="B1498" s="177"/>
      <c r="C1498" s="178"/>
      <c r="D1498" s="115"/>
      <c r="E1498" s="177"/>
      <c r="F1498" s="267"/>
      <c r="G1498" s="267"/>
      <c r="H1498" s="267"/>
      <c r="I1498" s="339"/>
      <c r="J1498" s="267"/>
      <c r="K1498" s="172"/>
      <c r="L1498" s="172"/>
      <c r="M1498" s="172"/>
      <c r="N1498" s="173"/>
      <c r="O1498" s="287"/>
      <c r="P1498" s="23"/>
      <c r="Q1498" s="23"/>
      <c r="R1498" s="23"/>
      <c r="S1498" s="23"/>
      <c r="T1498" s="23"/>
      <c r="U1498" s="23"/>
      <c r="V1498" s="23"/>
      <c r="W1498" s="23"/>
      <c r="X1498" s="23"/>
      <c r="Y1498" s="23"/>
      <c r="Z1498" s="23"/>
      <c r="AA1498" s="23"/>
    </row>
    <row r="1499" spans="1:27" s="174" customFormat="1" x14ac:dyDescent="0.2">
      <c r="A1499" s="177"/>
      <c r="B1499" s="177"/>
      <c r="C1499" s="178"/>
      <c r="D1499" s="115"/>
      <c r="E1499" s="177"/>
      <c r="F1499" s="267"/>
      <c r="G1499" s="267"/>
      <c r="H1499" s="267"/>
      <c r="I1499" s="339"/>
      <c r="J1499" s="267"/>
      <c r="K1499" s="172"/>
      <c r="L1499" s="172"/>
      <c r="M1499" s="172"/>
      <c r="N1499" s="173"/>
      <c r="O1499" s="287"/>
      <c r="P1499" s="23"/>
      <c r="Q1499" s="23"/>
      <c r="R1499" s="23"/>
      <c r="S1499" s="23"/>
      <c r="T1499" s="23"/>
      <c r="U1499" s="23"/>
      <c r="V1499" s="23"/>
      <c r="W1499" s="23"/>
      <c r="X1499" s="23"/>
      <c r="Y1499" s="23"/>
      <c r="Z1499" s="23"/>
      <c r="AA1499" s="23"/>
    </row>
    <row r="1500" spans="1:27" s="174" customFormat="1" x14ac:dyDescent="0.2">
      <c r="A1500" s="177"/>
      <c r="B1500" s="177"/>
      <c r="C1500" s="178"/>
      <c r="D1500" s="179"/>
      <c r="E1500" s="180"/>
      <c r="F1500" s="265"/>
      <c r="G1500" s="265"/>
      <c r="H1500" s="265"/>
      <c r="I1500" s="252"/>
      <c r="J1500" s="338"/>
      <c r="K1500" s="172"/>
      <c r="L1500" s="172"/>
      <c r="M1500" s="172"/>
      <c r="N1500" s="173"/>
      <c r="O1500" s="287"/>
      <c r="P1500" s="23"/>
      <c r="Q1500" s="23"/>
      <c r="R1500" s="23"/>
      <c r="S1500" s="23"/>
      <c r="T1500" s="23"/>
      <c r="U1500" s="23"/>
      <c r="V1500" s="23"/>
      <c r="W1500" s="23"/>
      <c r="X1500" s="23"/>
      <c r="Y1500" s="23"/>
      <c r="Z1500" s="23"/>
      <c r="AA1500" s="23"/>
    </row>
    <row r="1501" spans="1:27" s="174" customFormat="1" x14ac:dyDescent="0.2">
      <c r="A1501" s="177"/>
      <c r="B1501" s="177"/>
      <c r="C1501" s="178"/>
      <c r="D1501" s="179"/>
      <c r="E1501" s="180"/>
      <c r="F1501" s="265"/>
      <c r="G1501" s="265"/>
      <c r="H1501" s="265"/>
      <c r="I1501" s="252"/>
      <c r="J1501" s="266"/>
      <c r="K1501" s="172"/>
      <c r="L1501" s="172"/>
      <c r="M1501" s="172"/>
      <c r="N1501" s="173"/>
      <c r="O1501" s="287"/>
      <c r="P1501" s="23"/>
      <c r="Q1501" s="23"/>
      <c r="R1501" s="23"/>
      <c r="S1501" s="23"/>
      <c r="T1501" s="23"/>
      <c r="U1501" s="23"/>
      <c r="V1501" s="23"/>
      <c r="W1501" s="23"/>
      <c r="X1501" s="23"/>
      <c r="Y1501" s="23"/>
      <c r="Z1501" s="23"/>
      <c r="AA1501" s="23"/>
    </row>
    <row r="1502" spans="1:27" s="147" customFormat="1" x14ac:dyDescent="0.2">
      <c r="A1502" s="184"/>
      <c r="B1502" s="184"/>
      <c r="C1502" s="185"/>
      <c r="D1502" s="337"/>
      <c r="E1502" s="184"/>
      <c r="F1502" s="338"/>
      <c r="G1502" s="338"/>
      <c r="H1502" s="338"/>
      <c r="I1502" s="257"/>
      <c r="J1502" s="338"/>
      <c r="K1502" s="131">
        <f>J1504</f>
        <v>0</v>
      </c>
      <c r="L1502" s="131">
        <v>65.69</v>
      </c>
      <c r="M1502" s="131">
        <f>ROUND(L1502*(1+$Q$5),2)</f>
        <v>83.12</v>
      </c>
      <c r="N1502" s="133">
        <f>TRUNC(K1502*M1502,2)</f>
        <v>0</v>
      </c>
      <c r="O1502" s="286"/>
      <c r="P1502" s="146"/>
      <c r="Q1502" s="146"/>
      <c r="R1502" s="146"/>
      <c r="S1502" s="146"/>
      <c r="T1502" s="146"/>
      <c r="U1502" s="146"/>
      <c r="V1502" s="146"/>
      <c r="W1502" s="146"/>
      <c r="X1502" s="146"/>
      <c r="Y1502" s="146"/>
      <c r="Z1502" s="146"/>
      <c r="AA1502" s="146"/>
    </row>
    <row r="1503" spans="1:27" s="118" customFormat="1" x14ac:dyDescent="0.2">
      <c r="A1503" s="10"/>
      <c r="B1503" s="10"/>
      <c r="C1503" s="10"/>
      <c r="D1503" s="115"/>
      <c r="E1503" s="158"/>
      <c r="F1503" s="267"/>
      <c r="G1503" s="267"/>
      <c r="H1503" s="267"/>
      <c r="I1503" s="250"/>
      <c r="J1503" s="267"/>
      <c r="K1503" s="137"/>
      <c r="L1503" s="137"/>
      <c r="M1503" s="137"/>
      <c r="N1503" s="138"/>
      <c r="O1503" s="167"/>
      <c r="P1503" s="111"/>
      <c r="Q1503" s="111"/>
      <c r="R1503" s="111"/>
      <c r="S1503" s="111"/>
      <c r="T1503" s="111"/>
      <c r="U1503" s="111"/>
      <c r="V1503" s="111"/>
      <c r="W1503" s="111"/>
      <c r="X1503" s="111"/>
      <c r="Y1503" s="111"/>
      <c r="Z1503" s="111"/>
      <c r="AA1503" s="111"/>
    </row>
    <row r="1504" spans="1:27" s="118" customFormat="1" x14ac:dyDescent="0.2">
      <c r="A1504" s="10"/>
      <c r="B1504" s="10"/>
      <c r="C1504" s="190"/>
      <c r="D1504" s="110"/>
      <c r="E1504" s="158"/>
      <c r="F1504" s="267"/>
      <c r="G1504" s="267"/>
      <c r="H1504" s="267"/>
      <c r="I1504" s="250"/>
      <c r="J1504" s="338"/>
      <c r="K1504" s="137"/>
      <c r="L1504" s="137"/>
      <c r="M1504" s="137"/>
      <c r="N1504" s="138"/>
      <c r="O1504" s="167"/>
      <c r="P1504" s="111"/>
      <c r="Q1504" s="111"/>
      <c r="R1504" s="111"/>
      <c r="S1504" s="111"/>
      <c r="T1504" s="111"/>
      <c r="U1504" s="111"/>
      <c r="V1504" s="111"/>
      <c r="W1504" s="111"/>
      <c r="X1504" s="111"/>
      <c r="Y1504" s="111"/>
      <c r="Z1504" s="111"/>
      <c r="AA1504" s="111"/>
    </row>
    <row r="1505" spans="1:27" s="118" customFormat="1" x14ac:dyDescent="0.2">
      <c r="A1505" s="10"/>
      <c r="B1505" s="10"/>
      <c r="C1505" s="191"/>
      <c r="D1505" s="110"/>
      <c r="E1505" s="158"/>
      <c r="F1505" s="267"/>
      <c r="G1505" s="267"/>
      <c r="H1505" s="267"/>
      <c r="I1505" s="250"/>
      <c r="J1505" s="263"/>
      <c r="K1505" s="137"/>
      <c r="L1505" s="137"/>
      <c r="M1505" s="137"/>
      <c r="N1505" s="138"/>
      <c r="O1505" s="167"/>
      <c r="P1505" s="111"/>
      <c r="Q1505" s="111"/>
      <c r="R1505" s="111"/>
      <c r="S1505" s="111"/>
      <c r="T1505" s="111"/>
      <c r="U1505" s="111"/>
      <c r="V1505" s="111"/>
      <c r="W1505" s="111"/>
      <c r="X1505" s="111"/>
      <c r="Y1505" s="111"/>
      <c r="Z1505" s="111"/>
      <c r="AA1505" s="111"/>
    </row>
    <row r="1506" spans="1:27" s="147" customFormat="1" x14ac:dyDescent="0.2">
      <c r="A1506" s="184"/>
      <c r="B1506" s="184"/>
      <c r="C1506" s="185"/>
      <c r="D1506" s="337"/>
      <c r="E1506" s="184"/>
      <c r="F1506" s="338"/>
      <c r="G1506" s="338"/>
      <c r="H1506" s="338"/>
      <c r="I1506" s="257"/>
      <c r="J1506" s="338"/>
      <c r="K1506" s="131">
        <f>J1508</f>
        <v>0</v>
      </c>
      <c r="L1506" s="131">
        <v>14.55</v>
      </c>
      <c r="M1506" s="131">
        <f>ROUND(L1506*(1+$Q$5),2)</f>
        <v>18.41</v>
      </c>
      <c r="N1506" s="133">
        <f>TRUNC(K1506*M1506,2)</f>
        <v>0</v>
      </c>
      <c r="O1506" s="286"/>
      <c r="P1506" s="146"/>
      <c r="Q1506" s="146"/>
      <c r="R1506" s="146"/>
      <c r="S1506" s="146"/>
      <c r="T1506" s="146"/>
      <c r="U1506" s="146"/>
      <c r="V1506" s="146"/>
      <c r="W1506" s="146"/>
      <c r="X1506" s="146"/>
      <c r="Y1506" s="146"/>
      <c r="Z1506" s="146"/>
      <c r="AA1506" s="146"/>
    </row>
    <row r="1507" spans="1:27" s="118" customFormat="1" x14ac:dyDescent="0.2">
      <c r="A1507" s="10"/>
      <c r="B1507" s="10"/>
      <c r="C1507" s="10"/>
      <c r="D1507" s="115"/>
      <c r="E1507" s="158"/>
      <c r="F1507" s="267"/>
      <c r="G1507" s="267"/>
      <c r="H1507" s="267"/>
      <c r="I1507" s="250"/>
      <c r="J1507" s="267"/>
      <c r="K1507" s="137"/>
      <c r="L1507" s="137"/>
      <c r="M1507" s="137"/>
      <c r="N1507" s="138"/>
      <c r="O1507" s="167"/>
      <c r="P1507" s="111"/>
      <c r="Q1507" s="111"/>
      <c r="R1507" s="111"/>
      <c r="S1507" s="111"/>
      <c r="T1507" s="111"/>
      <c r="U1507" s="111"/>
      <c r="V1507" s="111"/>
      <c r="W1507" s="111"/>
      <c r="X1507" s="111"/>
      <c r="Y1507" s="111"/>
      <c r="Z1507" s="111"/>
      <c r="AA1507" s="111"/>
    </row>
    <row r="1508" spans="1:27" s="118" customFormat="1" x14ac:dyDescent="0.2">
      <c r="A1508" s="10"/>
      <c r="B1508" s="10"/>
      <c r="C1508" s="190"/>
      <c r="D1508" s="110"/>
      <c r="E1508" s="158"/>
      <c r="F1508" s="267"/>
      <c r="G1508" s="267"/>
      <c r="H1508" s="267"/>
      <c r="I1508" s="250"/>
      <c r="J1508" s="338"/>
      <c r="K1508" s="137"/>
      <c r="L1508" s="137"/>
      <c r="M1508" s="137"/>
      <c r="N1508" s="138"/>
      <c r="O1508" s="167"/>
      <c r="P1508" s="111"/>
      <c r="Q1508" s="111"/>
      <c r="R1508" s="111"/>
      <c r="S1508" s="111"/>
      <c r="T1508" s="111"/>
      <c r="U1508" s="111"/>
      <c r="V1508" s="111"/>
      <c r="W1508" s="111"/>
      <c r="X1508" s="111"/>
      <c r="Y1508" s="111"/>
      <c r="Z1508" s="111"/>
      <c r="AA1508" s="111"/>
    </row>
    <row r="1509" spans="1:27" s="118" customFormat="1" x14ac:dyDescent="0.2">
      <c r="A1509" s="10"/>
      <c r="B1509" s="10"/>
      <c r="C1509" s="191"/>
      <c r="D1509" s="110"/>
      <c r="E1509" s="158"/>
      <c r="F1509" s="267"/>
      <c r="G1509" s="267"/>
      <c r="H1509" s="267"/>
      <c r="I1509" s="250"/>
      <c r="J1509" s="263"/>
      <c r="K1509" s="137"/>
      <c r="L1509" s="137"/>
      <c r="M1509" s="137"/>
      <c r="N1509" s="138"/>
      <c r="O1509" s="167"/>
      <c r="P1509" s="111"/>
      <c r="Q1509" s="111"/>
      <c r="R1509" s="111"/>
      <c r="S1509" s="111"/>
      <c r="T1509" s="111"/>
      <c r="U1509" s="111"/>
      <c r="V1509" s="111"/>
      <c r="W1509" s="111"/>
      <c r="X1509" s="111"/>
      <c r="Y1509" s="111"/>
      <c r="Z1509" s="111"/>
      <c r="AA1509" s="111"/>
    </row>
    <row r="1510" spans="1:27" s="145" customFormat="1" x14ac:dyDescent="0.2">
      <c r="A1510" s="192"/>
      <c r="B1510" s="192"/>
      <c r="C1510" s="193"/>
      <c r="D1510" s="336"/>
      <c r="E1510" s="192"/>
      <c r="F1510" s="269"/>
      <c r="G1510" s="269"/>
      <c r="H1510" s="269"/>
      <c r="I1510" s="254"/>
      <c r="J1510" s="269"/>
      <c r="K1510" s="142"/>
      <c r="L1510" s="142"/>
      <c r="M1510" s="142"/>
      <c r="N1510" s="143">
        <f>SUM(N1512:N1517)</f>
        <v>0</v>
      </c>
      <c r="O1510" s="285"/>
      <c r="P1510" s="144"/>
      <c r="Q1510" s="144"/>
      <c r="R1510" s="144"/>
      <c r="S1510" s="144"/>
      <c r="T1510" s="144"/>
      <c r="U1510" s="144"/>
      <c r="V1510" s="144"/>
      <c r="W1510" s="144"/>
      <c r="X1510" s="144"/>
      <c r="Y1510" s="144"/>
      <c r="Z1510" s="144"/>
      <c r="AA1510" s="144"/>
    </row>
    <row r="1511" spans="1:27" s="118" customFormat="1" x14ac:dyDescent="0.2">
      <c r="A1511" s="10"/>
      <c r="B1511" s="10"/>
      <c r="C1511" s="191"/>
      <c r="D1511" s="110"/>
      <c r="E1511" s="158"/>
      <c r="F1511" s="267"/>
      <c r="G1511" s="267"/>
      <c r="H1511" s="267"/>
      <c r="I1511" s="250"/>
      <c r="J1511" s="263"/>
      <c r="K1511" s="137"/>
      <c r="L1511" s="137"/>
      <c r="M1511" s="137"/>
      <c r="N1511" s="138"/>
      <c r="O1511" s="167"/>
      <c r="P1511" s="111"/>
      <c r="Q1511" s="111"/>
      <c r="R1511" s="111"/>
      <c r="S1511" s="111"/>
      <c r="T1511" s="111"/>
      <c r="U1511" s="111"/>
      <c r="V1511" s="111"/>
      <c r="W1511" s="111"/>
      <c r="X1511" s="111"/>
      <c r="Y1511" s="111"/>
      <c r="Z1511" s="111"/>
      <c r="AA1511" s="111"/>
    </row>
    <row r="1512" spans="1:27" s="147" customFormat="1" x14ac:dyDescent="0.2">
      <c r="A1512" s="184"/>
      <c r="B1512" s="184"/>
      <c r="C1512" s="185"/>
      <c r="D1512" s="337"/>
      <c r="E1512" s="184"/>
      <c r="F1512" s="338"/>
      <c r="G1512" s="338"/>
      <c r="H1512" s="338"/>
      <c r="I1512" s="257"/>
      <c r="J1512" s="338"/>
      <c r="K1512" s="131">
        <f>J1514</f>
        <v>0</v>
      </c>
      <c r="L1512" s="131">
        <v>116.1</v>
      </c>
      <c r="M1512" s="131">
        <f>ROUND(L1512*(1+$Q$5),2)</f>
        <v>146.9</v>
      </c>
      <c r="N1512" s="133">
        <f>TRUNC(K1512*M1512,2)</f>
        <v>0</v>
      </c>
      <c r="O1512" s="286"/>
      <c r="P1512" s="146"/>
      <c r="Q1512" s="146"/>
      <c r="R1512" s="146"/>
      <c r="S1512" s="146"/>
      <c r="T1512" s="146"/>
      <c r="U1512" s="146"/>
      <c r="V1512" s="146"/>
      <c r="W1512" s="146"/>
      <c r="X1512" s="146"/>
      <c r="Y1512" s="146"/>
      <c r="Z1512" s="146"/>
      <c r="AA1512" s="146"/>
    </row>
    <row r="1513" spans="1:27" s="118" customFormat="1" x14ac:dyDescent="0.2">
      <c r="A1513" s="10"/>
      <c r="B1513" s="10"/>
      <c r="C1513" s="191"/>
      <c r="D1513" s="115"/>
      <c r="E1513" s="158"/>
      <c r="F1513" s="267"/>
      <c r="G1513" s="267"/>
      <c r="H1513" s="267"/>
      <c r="I1513" s="250"/>
      <c r="J1513" s="267"/>
      <c r="K1513" s="137"/>
      <c r="L1513" s="137"/>
      <c r="M1513" s="137"/>
      <c r="N1513" s="138"/>
      <c r="O1513" s="167"/>
      <c r="P1513" s="111"/>
      <c r="Q1513" s="111"/>
      <c r="R1513" s="111"/>
      <c r="S1513" s="111"/>
      <c r="T1513" s="111"/>
      <c r="U1513" s="111"/>
      <c r="V1513" s="111"/>
      <c r="W1513" s="111"/>
      <c r="X1513" s="111"/>
      <c r="Y1513" s="111"/>
      <c r="Z1513" s="111"/>
      <c r="AA1513" s="111"/>
    </row>
    <row r="1514" spans="1:27" s="118" customFormat="1" x14ac:dyDescent="0.2">
      <c r="A1514" s="10"/>
      <c r="B1514" s="10"/>
      <c r="C1514" s="190"/>
      <c r="D1514" s="110"/>
      <c r="E1514" s="158"/>
      <c r="F1514" s="267"/>
      <c r="G1514" s="267"/>
      <c r="H1514" s="267"/>
      <c r="I1514" s="250"/>
      <c r="J1514" s="338"/>
      <c r="K1514" s="137"/>
      <c r="L1514" s="137"/>
      <c r="M1514" s="137"/>
      <c r="N1514" s="138"/>
      <c r="O1514" s="167"/>
      <c r="P1514" s="111"/>
      <c r="Q1514" s="111"/>
      <c r="R1514" s="111"/>
      <c r="S1514" s="111"/>
      <c r="T1514" s="111"/>
      <c r="U1514" s="111"/>
      <c r="V1514" s="111"/>
      <c r="W1514" s="111"/>
      <c r="X1514" s="111"/>
      <c r="Y1514" s="111"/>
      <c r="Z1514" s="111"/>
      <c r="AA1514" s="111"/>
    </row>
    <row r="1515" spans="1:27" s="139" customFormat="1" x14ac:dyDescent="0.2">
      <c r="A1515" s="10"/>
      <c r="B1515" s="10"/>
      <c r="C1515" s="15"/>
      <c r="D1515" s="117"/>
      <c r="E1515" s="10"/>
      <c r="F1515" s="263"/>
      <c r="G1515" s="263"/>
      <c r="H1515" s="263"/>
      <c r="I1515" s="250"/>
      <c r="J1515" s="263"/>
      <c r="K1515" s="137"/>
      <c r="L1515" s="137"/>
      <c r="M1515" s="137"/>
      <c r="N1515" s="138"/>
      <c r="O1515" s="283"/>
      <c r="P1515" s="120"/>
      <c r="Q1515" s="120"/>
      <c r="R1515" s="120"/>
      <c r="S1515" s="120"/>
      <c r="T1515" s="120"/>
      <c r="U1515" s="120"/>
      <c r="V1515" s="120"/>
      <c r="W1515" s="120"/>
      <c r="X1515" s="120"/>
      <c r="Y1515" s="120"/>
      <c r="Z1515" s="120"/>
      <c r="AA1515" s="120"/>
    </row>
    <row r="1516" spans="1:27" s="147" customFormat="1" x14ac:dyDescent="0.2">
      <c r="A1516" s="184"/>
      <c r="B1516" s="184"/>
      <c r="C1516" s="185"/>
      <c r="D1516" s="337"/>
      <c r="E1516" s="184"/>
      <c r="F1516" s="338"/>
      <c r="G1516" s="338"/>
      <c r="H1516" s="338"/>
      <c r="I1516" s="257"/>
      <c r="J1516" s="338"/>
      <c r="K1516" s="131">
        <f>J1518</f>
        <v>0</v>
      </c>
      <c r="L1516" s="131">
        <v>64.06</v>
      </c>
      <c r="M1516" s="131">
        <f>ROUND(L1516*(1+$Q$5),2)</f>
        <v>81.06</v>
      </c>
      <c r="N1516" s="133">
        <f>TRUNC(K1516*M1516,2)</f>
        <v>0</v>
      </c>
      <c r="O1516" s="286"/>
      <c r="P1516" s="146"/>
      <c r="Q1516" s="146"/>
      <c r="R1516" s="146"/>
      <c r="S1516" s="146"/>
      <c r="T1516" s="146"/>
      <c r="U1516" s="146"/>
      <c r="V1516" s="146"/>
      <c r="W1516" s="146"/>
      <c r="X1516" s="146"/>
      <c r="Y1516" s="146"/>
      <c r="Z1516" s="146"/>
      <c r="AA1516" s="146"/>
    </row>
    <row r="1517" spans="1:27" s="118" customFormat="1" x14ac:dyDescent="0.2">
      <c r="A1517" s="10"/>
      <c r="B1517" s="10"/>
      <c r="C1517" s="191"/>
      <c r="D1517" s="115"/>
      <c r="E1517" s="158"/>
      <c r="F1517" s="267"/>
      <c r="G1517" s="267"/>
      <c r="H1517" s="267"/>
      <c r="I1517" s="250"/>
      <c r="J1517" s="267"/>
      <c r="K1517" s="137"/>
      <c r="L1517" s="137"/>
      <c r="M1517" s="137"/>
      <c r="N1517" s="138"/>
      <c r="O1517" s="167"/>
      <c r="P1517" s="111"/>
      <c r="Q1517" s="111"/>
      <c r="R1517" s="111"/>
      <c r="S1517" s="111"/>
      <c r="T1517" s="111"/>
      <c r="U1517" s="111"/>
      <c r="V1517" s="111"/>
      <c r="W1517" s="111"/>
      <c r="X1517" s="111"/>
      <c r="Y1517" s="111"/>
      <c r="Z1517" s="111"/>
      <c r="AA1517" s="111"/>
    </row>
    <row r="1518" spans="1:27" s="118" customFormat="1" x14ac:dyDescent="0.2">
      <c r="A1518" s="10"/>
      <c r="B1518" s="10"/>
      <c r="C1518" s="190"/>
      <c r="D1518" s="110"/>
      <c r="E1518" s="158"/>
      <c r="F1518" s="267"/>
      <c r="G1518" s="267"/>
      <c r="H1518" s="267"/>
      <c r="I1518" s="250"/>
      <c r="J1518" s="338"/>
      <c r="K1518" s="137"/>
      <c r="L1518" s="137"/>
      <c r="M1518" s="137"/>
      <c r="N1518" s="138"/>
      <c r="O1518" s="167"/>
      <c r="P1518" s="111"/>
      <c r="Q1518" s="111"/>
      <c r="R1518" s="111"/>
      <c r="S1518" s="111"/>
      <c r="T1518" s="111"/>
      <c r="U1518" s="111"/>
      <c r="V1518" s="111"/>
      <c r="W1518" s="111"/>
      <c r="X1518" s="111"/>
      <c r="Y1518" s="111"/>
      <c r="Z1518" s="111"/>
      <c r="AA1518" s="111"/>
    </row>
    <row r="1519" spans="1:27" s="139" customFormat="1" x14ac:dyDescent="0.2">
      <c r="A1519" s="10"/>
      <c r="B1519" s="10"/>
      <c r="C1519" s="15"/>
      <c r="D1519" s="117"/>
      <c r="E1519" s="10"/>
      <c r="F1519" s="263"/>
      <c r="G1519" s="263"/>
      <c r="H1519" s="263"/>
      <c r="I1519" s="250"/>
      <c r="J1519" s="263"/>
      <c r="K1519" s="137"/>
      <c r="L1519" s="137"/>
      <c r="M1519" s="137"/>
      <c r="N1519" s="138"/>
      <c r="O1519" s="283"/>
      <c r="P1519" s="120"/>
      <c r="Q1519" s="120"/>
      <c r="R1519" s="120"/>
      <c r="S1519" s="120"/>
      <c r="T1519" s="120"/>
      <c r="U1519" s="120"/>
      <c r="V1519" s="120"/>
      <c r="W1519" s="120"/>
      <c r="X1519" s="120"/>
      <c r="Y1519" s="120"/>
      <c r="Z1519" s="120"/>
      <c r="AA1519" s="120"/>
    </row>
    <row r="1520" spans="1:27" s="145" customFormat="1" x14ac:dyDescent="0.2">
      <c r="A1520" s="192"/>
      <c r="B1520" s="192"/>
      <c r="C1520" s="193"/>
      <c r="D1520" s="336"/>
      <c r="E1520" s="192"/>
      <c r="F1520" s="269"/>
      <c r="G1520" s="269"/>
      <c r="H1520" s="269"/>
      <c r="I1520" s="254"/>
      <c r="J1520" s="269"/>
      <c r="K1520" s="142"/>
      <c r="L1520" s="142"/>
      <c r="M1520" s="142"/>
      <c r="N1520" s="143">
        <f>SUM(N1522:N1529)</f>
        <v>0</v>
      </c>
      <c r="O1520" s="285"/>
      <c r="P1520" s="144"/>
      <c r="Q1520" s="144"/>
      <c r="R1520" s="144"/>
      <c r="S1520" s="144"/>
      <c r="T1520" s="144"/>
      <c r="U1520" s="144"/>
      <c r="V1520" s="144"/>
      <c r="W1520" s="144"/>
      <c r="X1520" s="144"/>
      <c r="Y1520" s="144"/>
      <c r="Z1520" s="144"/>
      <c r="AA1520" s="144"/>
    </row>
    <row r="1521" spans="1:28" s="139" customFormat="1" x14ac:dyDescent="0.2">
      <c r="A1521" s="10"/>
      <c r="B1521" s="10"/>
      <c r="C1521" s="15"/>
      <c r="D1521" s="117"/>
      <c r="E1521" s="10"/>
      <c r="F1521" s="263"/>
      <c r="G1521" s="263"/>
      <c r="H1521" s="263"/>
      <c r="I1521" s="250"/>
      <c r="J1521" s="263"/>
      <c r="K1521" s="137"/>
      <c r="L1521" s="137"/>
      <c r="M1521" s="137"/>
      <c r="N1521" s="138"/>
      <c r="O1521" s="283"/>
      <c r="P1521" s="120"/>
      <c r="Q1521" s="120"/>
      <c r="R1521" s="120"/>
      <c r="S1521" s="120"/>
      <c r="T1521" s="120"/>
      <c r="U1521" s="120"/>
      <c r="V1521" s="120"/>
      <c r="W1521" s="120"/>
      <c r="X1521" s="120"/>
      <c r="Y1521" s="120"/>
      <c r="Z1521" s="120"/>
      <c r="AA1521" s="120"/>
    </row>
    <row r="1522" spans="1:28" s="147" customFormat="1" x14ac:dyDescent="0.2">
      <c r="A1522" s="184"/>
      <c r="B1522" s="184"/>
      <c r="C1522" s="185"/>
      <c r="D1522" s="337"/>
      <c r="E1522" s="184"/>
      <c r="F1522" s="338"/>
      <c r="G1522" s="338"/>
      <c r="H1522" s="338"/>
      <c r="I1522" s="257"/>
      <c r="J1522" s="338"/>
      <c r="K1522" s="131">
        <f>J1524</f>
        <v>0</v>
      </c>
      <c r="L1522" s="131">
        <v>5.8</v>
      </c>
      <c r="M1522" s="131">
        <f>ROUND(L1522*(1+$Q$5),2)</f>
        <v>7.34</v>
      </c>
      <c r="N1522" s="133">
        <f>TRUNC(K1522*M1522,2)</f>
        <v>0</v>
      </c>
      <c r="O1522" s="286"/>
      <c r="P1522" s="146"/>
      <c r="Q1522" s="146"/>
      <c r="R1522" s="146"/>
      <c r="S1522" s="146"/>
      <c r="T1522" s="146"/>
      <c r="U1522" s="146"/>
      <c r="V1522" s="146"/>
      <c r="W1522" s="146"/>
      <c r="X1522" s="146"/>
      <c r="Y1522" s="146"/>
      <c r="Z1522" s="146"/>
      <c r="AA1522" s="146"/>
    </row>
    <row r="1523" spans="1:28" s="118" customFormat="1" x14ac:dyDescent="0.2">
      <c r="A1523" s="10"/>
      <c r="B1523" s="10"/>
      <c r="C1523" s="191"/>
      <c r="D1523" s="353"/>
      <c r="E1523" s="191"/>
      <c r="F1523" s="342"/>
      <c r="G1523" s="353"/>
      <c r="H1523" s="267"/>
      <c r="I1523" s="339"/>
      <c r="J1523" s="267"/>
      <c r="K1523" s="137"/>
      <c r="L1523" s="137"/>
      <c r="M1523" s="137"/>
      <c r="N1523" s="138"/>
      <c r="O1523" s="167"/>
      <c r="P1523" s="111"/>
      <c r="Q1523" s="111"/>
      <c r="R1523" s="111"/>
      <c r="S1523" s="111"/>
      <c r="T1523" s="111"/>
      <c r="U1523" s="111"/>
      <c r="V1523" s="111"/>
      <c r="W1523" s="111"/>
      <c r="X1523" s="111"/>
      <c r="Y1523" s="111"/>
      <c r="Z1523" s="111"/>
      <c r="AA1523" s="111"/>
    </row>
    <row r="1524" spans="1:28" s="118" customFormat="1" x14ac:dyDescent="0.2">
      <c r="A1524" s="10"/>
      <c r="B1524" s="10"/>
      <c r="C1524" s="190"/>
      <c r="D1524" s="110"/>
      <c r="E1524" s="158"/>
      <c r="F1524" s="267"/>
      <c r="G1524" s="267"/>
      <c r="H1524" s="267"/>
      <c r="I1524" s="250"/>
      <c r="J1524" s="338"/>
      <c r="K1524" s="137"/>
      <c r="L1524" s="137"/>
      <c r="M1524" s="137"/>
      <c r="N1524" s="138"/>
      <c r="O1524" s="167"/>
      <c r="P1524" s="111"/>
      <c r="Q1524" s="111"/>
      <c r="R1524" s="111"/>
      <c r="S1524" s="111"/>
      <c r="T1524" s="111"/>
      <c r="U1524" s="111"/>
      <c r="V1524" s="111"/>
      <c r="W1524" s="111"/>
      <c r="X1524" s="111"/>
      <c r="Y1524" s="111"/>
      <c r="Z1524" s="111"/>
      <c r="AA1524" s="111"/>
    </row>
    <row r="1525" spans="1:28" s="118" customFormat="1" x14ac:dyDescent="0.2">
      <c r="A1525" s="10"/>
      <c r="B1525" s="10"/>
      <c r="C1525" s="191"/>
      <c r="D1525" s="110"/>
      <c r="E1525" s="158"/>
      <c r="F1525" s="267"/>
      <c r="G1525" s="267"/>
      <c r="H1525" s="267"/>
      <c r="I1525" s="250"/>
      <c r="J1525" s="263"/>
      <c r="K1525" s="137"/>
      <c r="L1525" s="137"/>
      <c r="M1525" s="137"/>
      <c r="N1525" s="138"/>
      <c r="O1525" s="167"/>
      <c r="P1525" s="111"/>
      <c r="Q1525" s="111"/>
      <c r="R1525" s="111"/>
      <c r="S1525" s="111"/>
      <c r="T1525" s="111"/>
      <c r="U1525" s="111"/>
      <c r="V1525" s="111"/>
      <c r="W1525" s="111"/>
      <c r="X1525" s="111"/>
      <c r="Y1525" s="111"/>
      <c r="Z1525" s="111"/>
      <c r="AA1525" s="111"/>
    </row>
    <row r="1526" spans="1:28" s="147" customFormat="1" x14ac:dyDescent="0.2">
      <c r="A1526" s="184"/>
      <c r="B1526" s="184"/>
      <c r="C1526" s="344"/>
      <c r="D1526" s="337"/>
      <c r="E1526" s="184"/>
      <c r="F1526" s="338"/>
      <c r="G1526" s="338"/>
      <c r="H1526" s="338"/>
      <c r="I1526" s="257"/>
      <c r="J1526" s="338"/>
      <c r="K1526" s="131">
        <f>J1530</f>
        <v>0</v>
      </c>
      <c r="L1526" s="131">
        <v>59.97</v>
      </c>
      <c r="M1526" s="131">
        <f>ROUND(L1526*(1+$Q$5),2)</f>
        <v>75.88</v>
      </c>
      <c r="N1526" s="133">
        <f>TRUNC(K1526*M1526,2)</f>
        <v>0</v>
      </c>
      <c r="O1526" s="286"/>
      <c r="P1526" s="146"/>
      <c r="Q1526" s="146"/>
      <c r="R1526" s="146"/>
      <c r="S1526" s="146"/>
      <c r="T1526" s="146"/>
      <c r="U1526" s="146"/>
      <c r="V1526" s="146"/>
      <c r="W1526" s="146"/>
      <c r="X1526" s="146"/>
      <c r="Y1526" s="146"/>
      <c r="Z1526" s="146"/>
      <c r="AA1526" s="146"/>
    </row>
    <row r="1527" spans="1:28" s="118" customFormat="1" x14ac:dyDescent="0.2">
      <c r="A1527" s="10"/>
      <c r="B1527" s="10"/>
      <c r="C1527" s="191"/>
      <c r="D1527" s="353"/>
      <c r="E1527" s="191"/>
      <c r="F1527" s="342"/>
      <c r="G1527" s="267"/>
      <c r="H1527" s="267"/>
      <c r="I1527" s="339"/>
      <c r="J1527" s="267"/>
      <c r="K1527" s="137"/>
      <c r="L1527" s="137"/>
      <c r="M1527" s="137"/>
      <c r="N1527" s="138"/>
      <c r="O1527" s="167"/>
      <c r="P1527" s="111"/>
      <c r="Q1527" s="111"/>
      <c r="R1527" s="111"/>
      <c r="S1527" s="111"/>
      <c r="T1527" s="111"/>
      <c r="U1527" s="111"/>
      <c r="V1527" s="111"/>
      <c r="W1527" s="111"/>
      <c r="X1527" s="111"/>
      <c r="Y1527" s="111"/>
      <c r="Z1527" s="111"/>
      <c r="AA1527" s="111"/>
    </row>
    <row r="1528" spans="1:28" s="118" customFormat="1" x14ac:dyDescent="0.2">
      <c r="A1528" s="10"/>
      <c r="B1528" s="10"/>
      <c r="C1528" s="191"/>
      <c r="D1528" s="353"/>
      <c r="E1528" s="191"/>
      <c r="F1528" s="342"/>
      <c r="G1528" s="267"/>
      <c r="H1528" s="267"/>
      <c r="I1528" s="339"/>
      <c r="J1528" s="267"/>
      <c r="K1528" s="137"/>
      <c r="L1528" s="137"/>
      <c r="M1528" s="137"/>
      <c r="N1528" s="138"/>
      <c r="O1528" s="167"/>
      <c r="P1528" s="111"/>
      <c r="Q1528" s="111"/>
      <c r="R1528" s="111"/>
      <c r="S1528" s="111"/>
      <c r="T1528" s="111"/>
      <c r="U1528" s="111"/>
      <c r="V1528" s="111"/>
      <c r="W1528" s="111"/>
      <c r="X1528" s="111"/>
      <c r="Y1528" s="111"/>
      <c r="Z1528" s="111"/>
      <c r="AA1528" s="111"/>
    </row>
    <row r="1529" spans="1:28" s="118" customFormat="1" x14ac:dyDescent="0.2">
      <c r="A1529" s="10"/>
      <c r="B1529" s="10"/>
      <c r="C1529" s="191"/>
      <c r="D1529" s="353"/>
      <c r="E1529" s="191"/>
      <c r="F1529" s="342"/>
      <c r="G1529" s="267"/>
      <c r="H1529" s="267"/>
      <c r="I1529" s="339"/>
      <c r="J1529" s="267"/>
      <c r="K1529" s="137"/>
      <c r="L1529" s="137"/>
      <c r="M1529" s="137"/>
      <c r="N1529" s="138"/>
      <c r="O1529" s="167"/>
      <c r="P1529" s="111"/>
      <c r="Q1529" s="111"/>
      <c r="R1529" s="111"/>
      <c r="S1529" s="111"/>
      <c r="T1529" s="111"/>
      <c r="U1529" s="111"/>
      <c r="V1529" s="111"/>
      <c r="W1529" s="111"/>
      <c r="X1529" s="111"/>
      <c r="Y1529" s="111"/>
      <c r="Z1529" s="111"/>
      <c r="AA1529" s="111"/>
    </row>
    <row r="1530" spans="1:28" s="118" customFormat="1" x14ac:dyDescent="0.2">
      <c r="A1530" s="10"/>
      <c r="B1530" s="10"/>
      <c r="C1530" s="190"/>
      <c r="D1530" s="110"/>
      <c r="E1530" s="158"/>
      <c r="F1530" s="267"/>
      <c r="G1530" s="267"/>
      <c r="H1530" s="267"/>
      <c r="I1530" s="250"/>
      <c r="J1530" s="338"/>
      <c r="K1530" s="137"/>
      <c r="L1530" s="137"/>
      <c r="M1530" s="137"/>
      <c r="N1530" s="138"/>
      <c r="O1530" s="167"/>
      <c r="P1530" s="111"/>
      <c r="Q1530" s="111"/>
      <c r="R1530" s="111"/>
      <c r="S1530" s="111"/>
      <c r="T1530" s="111"/>
      <c r="U1530" s="111"/>
      <c r="V1530" s="111"/>
      <c r="W1530" s="111"/>
      <c r="X1530" s="111"/>
      <c r="Y1530" s="111"/>
      <c r="Z1530" s="111"/>
      <c r="AA1530" s="111"/>
    </row>
    <row r="1531" spans="1:28" s="161" customFormat="1" x14ac:dyDescent="0.2">
      <c r="A1531" s="10"/>
      <c r="B1531" s="10"/>
      <c r="C1531" s="157"/>
      <c r="D1531" s="115"/>
      <c r="E1531" s="158"/>
      <c r="F1531" s="267"/>
      <c r="G1531" s="267"/>
      <c r="H1531" s="267"/>
      <c r="I1531" s="250"/>
      <c r="J1531" s="266"/>
      <c r="K1531" s="151"/>
      <c r="L1531" s="151"/>
      <c r="M1531" s="159"/>
      <c r="N1531" s="160"/>
      <c r="O1531" s="167"/>
      <c r="P1531" s="114"/>
      <c r="Q1531" s="103"/>
      <c r="R1531" s="114"/>
      <c r="S1531" s="114"/>
      <c r="T1531" s="114"/>
      <c r="U1531" s="114"/>
      <c r="V1531" s="114"/>
      <c r="W1531" s="114"/>
      <c r="X1531" s="114"/>
      <c r="Y1531" s="114"/>
      <c r="Z1531" s="114"/>
      <c r="AA1531" s="114"/>
      <c r="AB1531" s="114"/>
    </row>
    <row r="1532" spans="1:28" s="145" customFormat="1" x14ac:dyDescent="0.2">
      <c r="A1532" s="192"/>
      <c r="B1532" s="192"/>
      <c r="C1532" s="193"/>
      <c r="D1532" s="336"/>
      <c r="E1532" s="192"/>
      <c r="F1532" s="269"/>
      <c r="G1532" s="269"/>
      <c r="H1532" s="269"/>
      <c r="I1532" s="254"/>
      <c r="J1532" s="269"/>
      <c r="K1532" s="142"/>
      <c r="L1532" s="142"/>
      <c r="M1532" s="142"/>
      <c r="N1532" s="143">
        <f>SUM(N1534:N1543)</f>
        <v>0</v>
      </c>
      <c r="O1532" s="285"/>
      <c r="P1532" s="144"/>
      <c r="Q1532" s="144"/>
      <c r="R1532" s="144"/>
      <c r="S1532" s="144"/>
      <c r="T1532" s="144"/>
      <c r="U1532" s="144"/>
      <c r="V1532" s="144"/>
      <c r="W1532" s="144"/>
      <c r="X1532" s="144"/>
      <c r="Y1532" s="144"/>
      <c r="Z1532" s="144"/>
      <c r="AA1532" s="144"/>
    </row>
    <row r="1533" spans="1:28" s="161" customFormat="1" x14ac:dyDescent="0.2">
      <c r="A1533" s="10"/>
      <c r="B1533" s="10"/>
      <c r="C1533" s="157"/>
      <c r="D1533" s="115"/>
      <c r="E1533" s="158"/>
      <c r="F1533" s="267"/>
      <c r="G1533" s="267"/>
      <c r="H1533" s="267"/>
      <c r="I1533" s="250"/>
      <c r="J1533" s="266"/>
      <c r="K1533" s="151"/>
      <c r="L1533" s="151"/>
      <c r="M1533" s="159"/>
      <c r="N1533" s="160"/>
      <c r="O1533" s="167"/>
      <c r="P1533" s="114"/>
      <c r="Q1533" s="103"/>
      <c r="R1533" s="114"/>
      <c r="S1533" s="114"/>
      <c r="T1533" s="114"/>
      <c r="U1533" s="114"/>
      <c r="V1533" s="114"/>
      <c r="W1533" s="114"/>
      <c r="X1533" s="114"/>
      <c r="Y1533" s="114"/>
      <c r="Z1533" s="114"/>
      <c r="AA1533" s="114"/>
      <c r="AB1533" s="114"/>
    </row>
    <row r="1534" spans="1:28" s="147" customFormat="1" x14ac:dyDescent="0.2">
      <c r="A1534" s="184"/>
      <c r="B1534" s="184"/>
      <c r="C1534" s="185"/>
      <c r="D1534" s="337"/>
      <c r="E1534" s="184"/>
      <c r="F1534" s="338"/>
      <c r="G1534" s="338"/>
      <c r="H1534" s="338"/>
      <c r="I1534" s="257"/>
      <c r="J1534" s="338"/>
      <c r="K1534" s="131">
        <f>J1536</f>
        <v>0</v>
      </c>
      <c r="L1534" s="131">
        <v>287.51</v>
      </c>
      <c r="M1534" s="131">
        <f>ROUND(L1534*(1+$Q$5),2)</f>
        <v>363.79</v>
      </c>
      <c r="N1534" s="133">
        <f>TRUNC(K1534*M1534,2)</f>
        <v>0</v>
      </c>
      <c r="O1534" s="286"/>
      <c r="P1534" s="146"/>
      <c r="Q1534" s="146"/>
      <c r="R1534" s="146"/>
      <c r="S1534" s="146"/>
      <c r="T1534" s="146"/>
      <c r="U1534" s="146"/>
      <c r="V1534" s="146"/>
      <c r="W1534" s="146"/>
      <c r="X1534" s="146"/>
      <c r="Y1534" s="146"/>
      <c r="Z1534" s="146"/>
      <c r="AA1534" s="146"/>
    </row>
    <row r="1535" spans="1:28" s="118" customFormat="1" x14ac:dyDescent="0.2">
      <c r="A1535" s="10"/>
      <c r="B1535" s="10"/>
      <c r="C1535" s="191"/>
      <c r="D1535" s="115"/>
      <c r="E1535" s="158"/>
      <c r="F1535" s="267"/>
      <c r="G1535" s="267"/>
      <c r="H1535" s="267"/>
      <c r="I1535" s="339"/>
      <c r="J1535" s="267"/>
      <c r="K1535" s="137"/>
      <c r="L1535" s="137"/>
      <c r="M1535" s="137"/>
      <c r="N1535" s="138"/>
      <c r="O1535" s="167"/>
      <c r="P1535" s="111"/>
      <c r="Q1535" s="111"/>
      <c r="R1535" s="111"/>
      <c r="S1535" s="111"/>
      <c r="T1535" s="111"/>
      <c r="U1535" s="111"/>
      <c r="V1535" s="111"/>
      <c r="W1535" s="111"/>
      <c r="X1535" s="111"/>
      <c r="Y1535" s="111"/>
      <c r="Z1535" s="111"/>
      <c r="AA1535" s="111"/>
    </row>
    <row r="1536" spans="1:28" s="118" customFormat="1" x14ac:dyDescent="0.2">
      <c r="A1536" s="10"/>
      <c r="B1536" s="10"/>
      <c r="C1536" s="190"/>
      <c r="D1536" s="110"/>
      <c r="E1536" s="158"/>
      <c r="F1536" s="267"/>
      <c r="G1536" s="267"/>
      <c r="H1536" s="267"/>
      <c r="I1536" s="250"/>
      <c r="J1536" s="338"/>
      <c r="K1536" s="137"/>
      <c r="L1536" s="137"/>
      <c r="M1536" s="137"/>
      <c r="N1536" s="138"/>
      <c r="O1536" s="167"/>
      <c r="P1536" s="111"/>
      <c r="Q1536" s="111"/>
      <c r="R1536" s="111"/>
      <c r="S1536" s="111"/>
      <c r="T1536" s="111"/>
      <c r="U1536" s="111"/>
      <c r="V1536" s="111"/>
      <c r="W1536" s="111"/>
      <c r="X1536" s="111"/>
      <c r="Y1536" s="111"/>
      <c r="Z1536" s="111"/>
      <c r="AA1536" s="111"/>
    </row>
    <row r="1537" spans="1:27" s="161" customFormat="1" x14ac:dyDescent="0.2">
      <c r="A1537" s="10"/>
      <c r="B1537" s="10"/>
      <c r="C1537" s="190"/>
      <c r="D1537" s="110"/>
      <c r="E1537" s="158"/>
      <c r="F1537" s="267"/>
      <c r="G1537" s="267"/>
      <c r="H1537" s="267"/>
      <c r="I1537" s="250"/>
      <c r="J1537" s="250"/>
      <c r="K1537" s="151"/>
      <c r="L1537" s="151"/>
      <c r="M1537" s="151"/>
      <c r="N1537" s="152"/>
      <c r="O1537" s="167"/>
      <c r="P1537" s="114"/>
      <c r="Q1537" s="114"/>
      <c r="R1537" s="114"/>
      <c r="S1537" s="114"/>
      <c r="T1537" s="114"/>
      <c r="U1537" s="114"/>
      <c r="V1537" s="114"/>
      <c r="W1537" s="114"/>
      <c r="X1537" s="114"/>
      <c r="Y1537" s="114"/>
      <c r="Z1537" s="114"/>
      <c r="AA1537" s="114"/>
    </row>
    <row r="1538" spans="1:27" s="147" customFormat="1" x14ac:dyDescent="0.2">
      <c r="A1538" s="184"/>
      <c r="B1538" s="184"/>
      <c r="C1538" s="185"/>
      <c r="D1538" s="337"/>
      <c r="E1538" s="184"/>
      <c r="F1538" s="338"/>
      <c r="G1538" s="338"/>
      <c r="H1538" s="338"/>
      <c r="I1538" s="257"/>
      <c r="J1538" s="338"/>
      <c r="K1538" s="131">
        <f>J1540</f>
        <v>0</v>
      </c>
      <c r="L1538" s="131">
        <v>221.95</v>
      </c>
      <c r="M1538" s="131">
        <f>ROUND(L1538*(1+$Q$5),2)</f>
        <v>280.83</v>
      </c>
      <c r="N1538" s="133">
        <f>TRUNC(K1538*M1538,2)</f>
        <v>0</v>
      </c>
      <c r="O1538" s="286"/>
      <c r="P1538" s="146"/>
      <c r="Q1538" s="146"/>
      <c r="R1538" s="146"/>
      <c r="S1538" s="146"/>
      <c r="T1538" s="146"/>
      <c r="U1538" s="146"/>
      <c r="V1538" s="146"/>
      <c r="W1538" s="146"/>
      <c r="X1538" s="146"/>
      <c r="Y1538" s="146"/>
      <c r="Z1538" s="146"/>
      <c r="AA1538" s="146"/>
    </row>
    <row r="1539" spans="1:27" s="118" customFormat="1" x14ac:dyDescent="0.2">
      <c r="A1539" s="10"/>
      <c r="B1539" s="10"/>
      <c r="C1539" s="191"/>
      <c r="D1539" s="115"/>
      <c r="E1539" s="158"/>
      <c r="F1539" s="267"/>
      <c r="G1539" s="267"/>
      <c r="H1539" s="267"/>
      <c r="I1539" s="339"/>
      <c r="J1539" s="267"/>
      <c r="K1539" s="137"/>
      <c r="L1539" s="137"/>
      <c r="M1539" s="137"/>
      <c r="N1539" s="138"/>
      <c r="O1539" s="167"/>
      <c r="P1539" s="111"/>
      <c r="Q1539" s="111"/>
      <c r="R1539" s="111"/>
      <c r="S1539" s="111"/>
      <c r="T1539" s="111"/>
      <c r="U1539" s="111"/>
      <c r="V1539" s="111"/>
      <c r="W1539" s="111"/>
      <c r="X1539" s="111"/>
      <c r="Y1539" s="111"/>
      <c r="Z1539" s="111"/>
      <c r="AA1539" s="111"/>
    </row>
    <row r="1540" spans="1:27" s="118" customFormat="1" x14ac:dyDescent="0.2">
      <c r="A1540" s="10"/>
      <c r="B1540" s="10"/>
      <c r="C1540" s="190"/>
      <c r="D1540" s="110"/>
      <c r="E1540" s="158"/>
      <c r="F1540" s="267"/>
      <c r="G1540" s="267"/>
      <c r="H1540" s="267"/>
      <c r="I1540" s="250"/>
      <c r="J1540" s="338"/>
      <c r="K1540" s="137"/>
      <c r="L1540" s="137"/>
      <c r="M1540" s="137"/>
      <c r="N1540" s="138"/>
      <c r="O1540" s="167"/>
      <c r="P1540" s="111"/>
      <c r="Q1540" s="111"/>
      <c r="R1540" s="111"/>
      <c r="S1540" s="111"/>
      <c r="T1540" s="111"/>
      <c r="U1540" s="111"/>
      <c r="V1540" s="111"/>
      <c r="W1540" s="111"/>
      <c r="X1540" s="111"/>
      <c r="Y1540" s="111"/>
      <c r="Z1540" s="111"/>
      <c r="AA1540" s="111"/>
    </row>
    <row r="1541" spans="1:27" s="118" customFormat="1" x14ac:dyDescent="0.2">
      <c r="A1541" s="10"/>
      <c r="B1541" s="10"/>
      <c r="C1541" s="191"/>
      <c r="D1541" s="110"/>
      <c r="E1541" s="158"/>
      <c r="F1541" s="267"/>
      <c r="G1541" s="267"/>
      <c r="H1541" s="267"/>
      <c r="I1541" s="250"/>
      <c r="J1541" s="263"/>
      <c r="K1541" s="137"/>
      <c r="L1541" s="137"/>
      <c r="M1541" s="137"/>
      <c r="N1541" s="138"/>
      <c r="O1541" s="167"/>
      <c r="P1541" s="111"/>
      <c r="Q1541" s="111"/>
      <c r="R1541" s="111"/>
      <c r="S1541" s="111"/>
      <c r="T1541" s="111"/>
      <c r="U1541" s="111"/>
      <c r="V1541" s="111"/>
      <c r="W1541" s="111"/>
      <c r="X1541" s="111"/>
      <c r="Y1541" s="111"/>
      <c r="Z1541" s="111"/>
      <c r="AA1541" s="111"/>
    </row>
    <row r="1542" spans="1:27" s="147" customFormat="1" x14ac:dyDescent="0.2">
      <c r="A1542" s="184"/>
      <c r="B1542" s="184"/>
      <c r="C1542" s="185"/>
      <c r="D1542" s="337"/>
      <c r="E1542" s="184"/>
      <c r="F1542" s="338"/>
      <c r="G1542" s="338"/>
      <c r="H1542" s="338"/>
      <c r="I1542" s="257"/>
      <c r="J1542" s="338"/>
      <c r="K1542" s="131">
        <f>J1544</f>
        <v>0</v>
      </c>
      <c r="L1542" s="131">
        <v>105</v>
      </c>
      <c r="M1542" s="131">
        <f>ROUND(L1542*(1+$Q$5),2)</f>
        <v>132.86000000000001</v>
      </c>
      <c r="N1542" s="133">
        <f>TRUNC(K1542*M1542,2)</f>
        <v>0</v>
      </c>
      <c r="O1542" s="286"/>
      <c r="P1542" s="146"/>
      <c r="Q1542" s="146"/>
      <c r="R1542" s="146"/>
      <c r="S1542" s="146"/>
      <c r="T1542" s="146"/>
      <c r="U1542" s="146"/>
      <c r="V1542" s="146"/>
      <c r="W1542" s="146"/>
      <c r="X1542" s="146"/>
      <c r="Y1542" s="146"/>
      <c r="Z1542" s="146"/>
      <c r="AA1542" s="146"/>
    </row>
    <row r="1543" spans="1:27" s="118" customFormat="1" x14ac:dyDescent="0.2">
      <c r="A1543" s="10"/>
      <c r="B1543" s="10"/>
      <c r="C1543" s="191"/>
      <c r="D1543" s="115"/>
      <c r="E1543" s="158"/>
      <c r="F1543" s="267"/>
      <c r="G1543" s="267"/>
      <c r="H1543" s="267"/>
      <c r="I1543" s="339"/>
      <c r="J1543" s="267"/>
      <c r="K1543" s="137"/>
      <c r="L1543" s="137"/>
      <c r="M1543" s="137"/>
      <c r="N1543" s="138"/>
      <c r="O1543" s="167"/>
      <c r="P1543" s="111"/>
      <c r="Q1543" s="111"/>
      <c r="R1543" s="111"/>
      <c r="S1543" s="111"/>
      <c r="T1543" s="111"/>
      <c r="U1543" s="111"/>
      <c r="V1543" s="111"/>
      <c r="W1543" s="111"/>
      <c r="X1543" s="111"/>
      <c r="Y1543" s="111"/>
      <c r="Z1543" s="111"/>
      <c r="AA1543" s="111"/>
    </row>
    <row r="1544" spans="1:27" s="118" customFormat="1" x14ac:dyDescent="0.2">
      <c r="A1544" s="10"/>
      <c r="B1544" s="10"/>
      <c r="C1544" s="190"/>
      <c r="D1544" s="110"/>
      <c r="E1544" s="158"/>
      <c r="F1544" s="267"/>
      <c r="G1544" s="267"/>
      <c r="H1544" s="267"/>
      <c r="I1544" s="250"/>
      <c r="J1544" s="338"/>
      <c r="K1544" s="137"/>
      <c r="L1544" s="137"/>
      <c r="M1544" s="137"/>
      <c r="N1544" s="138"/>
      <c r="O1544" s="167"/>
      <c r="P1544" s="111"/>
      <c r="Q1544" s="111"/>
      <c r="R1544" s="111"/>
      <c r="S1544" s="111"/>
      <c r="T1544" s="111"/>
      <c r="U1544" s="111"/>
      <c r="V1544" s="111"/>
      <c r="W1544" s="111"/>
      <c r="X1544" s="111"/>
      <c r="Y1544" s="111"/>
      <c r="Z1544" s="111"/>
      <c r="AA1544" s="111"/>
    </row>
    <row r="1545" spans="1:27" s="118" customFormat="1" x14ac:dyDescent="0.2">
      <c r="A1545" s="10"/>
      <c r="B1545" s="10"/>
      <c r="C1545" s="191"/>
      <c r="D1545" s="110"/>
      <c r="E1545" s="158"/>
      <c r="F1545" s="267"/>
      <c r="G1545" s="267"/>
      <c r="H1545" s="267"/>
      <c r="I1545" s="250"/>
      <c r="J1545" s="263"/>
      <c r="K1545" s="137"/>
      <c r="L1545" s="137"/>
      <c r="M1545" s="137"/>
      <c r="N1545" s="138"/>
      <c r="O1545" s="167"/>
      <c r="P1545" s="111"/>
      <c r="Q1545" s="111"/>
      <c r="R1545" s="111"/>
      <c r="S1545" s="111"/>
      <c r="T1545" s="111"/>
      <c r="U1545" s="111"/>
      <c r="V1545" s="111"/>
      <c r="W1545" s="111"/>
      <c r="X1545" s="111"/>
      <c r="Y1545" s="111"/>
      <c r="Z1545" s="111"/>
      <c r="AA1545" s="111"/>
    </row>
    <row r="1546" spans="1:27" s="145" customFormat="1" x14ac:dyDescent="0.2">
      <c r="A1546" s="192"/>
      <c r="B1546" s="192"/>
      <c r="C1546" s="193"/>
      <c r="D1546" s="336"/>
      <c r="E1546" s="192"/>
      <c r="F1546" s="269"/>
      <c r="G1546" s="269"/>
      <c r="H1546" s="269"/>
      <c r="I1546" s="254"/>
      <c r="J1546" s="269"/>
      <c r="K1546" s="142"/>
      <c r="L1546" s="142"/>
      <c r="M1546" s="142"/>
      <c r="N1546" s="143">
        <f>SUM(N1548:N1551)</f>
        <v>0</v>
      </c>
      <c r="O1546" s="285"/>
      <c r="P1546" s="144"/>
      <c r="Q1546" s="144"/>
      <c r="R1546" s="144"/>
      <c r="S1546" s="144"/>
      <c r="T1546" s="144"/>
      <c r="U1546" s="144"/>
      <c r="V1546" s="144"/>
      <c r="W1546" s="144"/>
      <c r="X1546" s="144"/>
      <c r="Y1546" s="144"/>
      <c r="Z1546" s="144"/>
      <c r="AA1546" s="144"/>
    </row>
    <row r="1547" spans="1:27" s="118" customFormat="1" x14ac:dyDescent="0.2">
      <c r="A1547" s="10"/>
      <c r="B1547" s="10"/>
      <c r="C1547" s="191"/>
      <c r="D1547" s="110"/>
      <c r="E1547" s="158"/>
      <c r="F1547" s="267"/>
      <c r="G1547" s="267"/>
      <c r="H1547" s="267"/>
      <c r="I1547" s="250"/>
      <c r="J1547" s="263"/>
      <c r="K1547" s="137"/>
      <c r="L1547" s="137"/>
      <c r="M1547" s="137"/>
      <c r="N1547" s="138"/>
      <c r="O1547" s="167"/>
      <c r="P1547" s="111"/>
      <c r="Q1547" s="111"/>
      <c r="R1547" s="111"/>
      <c r="S1547" s="111"/>
      <c r="T1547" s="111"/>
      <c r="U1547" s="111"/>
      <c r="V1547" s="111"/>
      <c r="W1547" s="111"/>
      <c r="X1547" s="111"/>
      <c r="Y1547" s="111"/>
      <c r="Z1547" s="111"/>
      <c r="AA1547" s="111"/>
    </row>
    <row r="1548" spans="1:27" s="147" customFormat="1" x14ac:dyDescent="0.2">
      <c r="A1548" s="184"/>
      <c r="B1548" s="184"/>
      <c r="C1548" s="185"/>
      <c r="D1548" s="337"/>
      <c r="E1548" s="346"/>
      <c r="F1548" s="338"/>
      <c r="G1548" s="338"/>
      <c r="H1548" s="338"/>
      <c r="I1548" s="257"/>
      <c r="J1548" s="338"/>
      <c r="K1548" s="131">
        <f>J1551</f>
        <v>0</v>
      </c>
      <c r="L1548" s="131">
        <v>13.42</v>
      </c>
      <c r="M1548" s="131">
        <f>ROUND(L1548*(1+$Q$5),2)</f>
        <v>16.98</v>
      </c>
      <c r="N1548" s="133">
        <f>TRUNC(K1548*M1548,2)</f>
        <v>0</v>
      </c>
      <c r="O1548" s="286"/>
      <c r="P1548" s="146"/>
      <c r="Q1548" s="146"/>
      <c r="R1548" s="146"/>
      <c r="S1548" s="146"/>
      <c r="T1548" s="146"/>
      <c r="U1548" s="146"/>
      <c r="V1548" s="146"/>
      <c r="W1548" s="146"/>
      <c r="X1548" s="146"/>
      <c r="Y1548" s="146"/>
      <c r="Z1548" s="146"/>
      <c r="AA1548" s="146"/>
    </row>
    <row r="1549" spans="1:27" s="118" customFormat="1" x14ac:dyDescent="0.2">
      <c r="A1549" s="10"/>
      <c r="B1549" s="10"/>
      <c r="C1549" s="191"/>
      <c r="D1549" s="343"/>
      <c r="E1549" s="158"/>
      <c r="F1549" s="267"/>
      <c r="G1549" s="267"/>
      <c r="H1549" s="267"/>
      <c r="I1549" s="339"/>
      <c r="J1549" s="267"/>
      <c r="K1549" s="137"/>
      <c r="L1549" s="137"/>
      <c r="M1549" s="137"/>
      <c r="N1549" s="138"/>
      <c r="O1549" s="167"/>
      <c r="P1549" s="111"/>
      <c r="Q1549" s="111"/>
      <c r="R1549" s="111"/>
      <c r="S1549" s="111"/>
      <c r="T1549" s="111"/>
      <c r="U1549" s="111"/>
      <c r="V1549" s="111"/>
      <c r="W1549" s="111"/>
      <c r="X1549" s="111"/>
      <c r="Y1549" s="111"/>
      <c r="Z1549" s="111"/>
      <c r="AA1549" s="111"/>
    </row>
    <row r="1550" spans="1:27" s="118" customFormat="1" x14ac:dyDescent="0.2">
      <c r="A1550" s="10"/>
      <c r="B1550" s="10"/>
      <c r="C1550" s="191"/>
      <c r="D1550" s="115"/>
      <c r="E1550" s="158"/>
      <c r="F1550" s="267"/>
      <c r="G1550" s="267"/>
      <c r="H1550" s="267"/>
      <c r="I1550" s="339"/>
      <c r="J1550" s="267"/>
      <c r="K1550" s="137"/>
      <c r="L1550" s="137"/>
      <c r="M1550" s="137"/>
      <c r="N1550" s="138"/>
      <c r="O1550" s="167"/>
      <c r="P1550" s="111"/>
      <c r="Q1550" s="111"/>
      <c r="R1550" s="111"/>
      <c r="S1550" s="111"/>
      <c r="T1550" s="111"/>
      <c r="U1550" s="111"/>
      <c r="V1550" s="111"/>
      <c r="W1550" s="111"/>
      <c r="X1550" s="111"/>
      <c r="Y1550" s="111"/>
      <c r="Z1550" s="111"/>
      <c r="AA1550" s="111"/>
    </row>
    <row r="1551" spans="1:27" s="118" customFormat="1" x14ac:dyDescent="0.2">
      <c r="A1551" s="10"/>
      <c r="B1551" s="10"/>
      <c r="C1551" s="190"/>
      <c r="D1551" s="110"/>
      <c r="E1551" s="158"/>
      <c r="F1551" s="267"/>
      <c r="G1551" s="267"/>
      <c r="H1551" s="267"/>
      <c r="I1551" s="250"/>
      <c r="J1551" s="338"/>
      <c r="K1551" s="137"/>
      <c r="L1551" s="137"/>
      <c r="M1551" s="137"/>
      <c r="N1551" s="138"/>
      <c r="O1551" s="167"/>
      <c r="P1551" s="111"/>
      <c r="Q1551" s="111"/>
      <c r="R1551" s="111"/>
      <c r="S1551" s="111"/>
      <c r="T1551" s="111"/>
      <c r="U1551" s="111"/>
      <c r="V1551" s="111"/>
      <c r="W1551" s="111"/>
      <c r="X1551" s="111"/>
      <c r="Y1551" s="111"/>
      <c r="Z1551" s="111"/>
      <c r="AA1551" s="111"/>
    </row>
    <row r="1552" spans="1:27" s="118" customFormat="1" x14ac:dyDescent="0.2">
      <c r="A1552" s="10"/>
      <c r="B1552" s="10"/>
      <c r="C1552" s="190"/>
      <c r="D1552" s="110"/>
      <c r="E1552" s="158"/>
      <c r="F1552" s="267"/>
      <c r="G1552" s="267"/>
      <c r="H1552" s="267"/>
      <c r="I1552" s="250"/>
      <c r="J1552" s="250"/>
      <c r="K1552" s="137"/>
      <c r="L1552" s="137"/>
      <c r="M1552" s="137"/>
      <c r="N1552" s="138"/>
      <c r="O1552" s="167"/>
      <c r="P1552" s="111"/>
      <c r="Q1552" s="111"/>
      <c r="R1552" s="111"/>
      <c r="S1552" s="111"/>
      <c r="T1552" s="111"/>
      <c r="U1552" s="111"/>
      <c r="V1552" s="111"/>
      <c r="W1552" s="111"/>
      <c r="X1552" s="111"/>
      <c r="Y1552" s="111"/>
      <c r="Z1552" s="111"/>
      <c r="AA1552" s="111"/>
    </row>
    <row r="1553" spans="1:27" s="145" customFormat="1" x14ac:dyDescent="0.2">
      <c r="A1553" s="192"/>
      <c r="B1553" s="192"/>
      <c r="C1553" s="193"/>
      <c r="D1553" s="336"/>
      <c r="E1553" s="192"/>
      <c r="F1553" s="269"/>
      <c r="G1553" s="269"/>
      <c r="H1553" s="269"/>
      <c r="I1553" s="254"/>
      <c r="J1553" s="269"/>
      <c r="K1553" s="142"/>
      <c r="L1553" s="142"/>
      <c r="M1553" s="142"/>
      <c r="N1553" s="143">
        <f>SUM(N1555:N1560)</f>
        <v>0</v>
      </c>
      <c r="O1553" s="285"/>
      <c r="P1553" s="144"/>
      <c r="Q1553" s="144"/>
      <c r="R1553" s="144"/>
      <c r="S1553" s="144"/>
      <c r="T1553" s="144"/>
      <c r="U1553" s="144"/>
      <c r="V1553" s="144"/>
      <c r="W1553" s="144"/>
      <c r="X1553" s="144"/>
      <c r="Y1553" s="144"/>
      <c r="Z1553" s="144"/>
      <c r="AA1553" s="144"/>
    </row>
    <row r="1554" spans="1:27" s="118" customFormat="1" x14ac:dyDescent="0.2">
      <c r="A1554" s="10"/>
      <c r="B1554" s="10"/>
      <c r="C1554" s="190"/>
      <c r="D1554" s="110"/>
      <c r="E1554" s="158"/>
      <c r="F1554" s="267"/>
      <c r="G1554" s="267"/>
      <c r="H1554" s="267"/>
      <c r="I1554" s="250"/>
      <c r="J1554" s="250"/>
      <c r="K1554" s="137"/>
      <c r="L1554" s="137"/>
      <c r="M1554" s="137"/>
      <c r="N1554" s="138"/>
      <c r="O1554" s="167"/>
      <c r="P1554" s="111"/>
      <c r="Q1554" s="111"/>
      <c r="R1554" s="111"/>
      <c r="S1554" s="111"/>
      <c r="T1554" s="111"/>
      <c r="U1554" s="111"/>
      <c r="V1554" s="111"/>
      <c r="W1554" s="111"/>
      <c r="X1554" s="111"/>
      <c r="Y1554" s="111"/>
      <c r="Z1554" s="111"/>
      <c r="AA1554" s="111"/>
    </row>
    <row r="1555" spans="1:27" s="147" customFormat="1" x14ac:dyDescent="0.2">
      <c r="A1555" s="184"/>
      <c r="B1555" s="184"/>
      <c r="C1555" s="185"/>
      <c r="D1555" s="341"/>
      <c r="E1555" s="184"/>
      <c r="F1555" s="338"/>
      <c r="G1555" s="338"/>
      <c r="H1555" s="338"/>
      <c r="I1555" s="257"/>
      <c r="J1555" s="338"/>
      <c r="K1555" s="131">
        <f>J1557</f>
        <v>0</v>
      </c>
      <c r="L1555" s="106">
        <v>37.07</v>
      </c>
      <c r="M1555" s="131">
        <f>ROUND(L1555*(1+$Q$5),2)</f>
        <v>46.9</v>
      </c>
      <c r="N1555" s="133">
        <f>TRUNC(K1555*M1555,2)</f>
        <v>0</v>
      </c>
      <c r="O1555" s="286"/>
      <c r="P1555" s="146"/>
      <c r="Q1555" s="146"/>
      <c r="R1555" s="146"/>
      <c r="S1555" s="146"/>
      <c r="T1555" s="146"/>
      <c r="U1555" s="146"/>
      <c r="V1555" s="146"/>
      <c r="W1555" s="146"/>
      <c r="X1555" s="146"/>
      <c r="Y1555" s="146"/>
      <c r="Z1555" s="146"/>
      <c r="AA1555" s="146"/>
    </row>
    <row r="1556" spans="1:27" s="118" customFormat="1" x14ac:dyDescent="0.2">
      <c r="A1556" s="10"/>
      <c r="B1556" s="10"/>
      <c r="C1556" s="191"/>
      <c r="D1556" s="115"/>
      <c r="E1556" s="158"/>
      <c r="F1556" s="267"/>
      <c r="G1556" s="267"/>
      <c r="H1556" s="267"/>
      <c r="I1556" s="339"/>
      <c r="J1556" s="267"/>
      <c r="K1556" s="137"/>
      <c r="L1556" s="137"/>
      <c r="M1556" s="137"/>
      <c r="N1556" s="138"/>
      <c r="O1556" s="167"/>
      <c r="P1556" s="111"/>
      <c r="Q1556" s="111"/>
      <c r="R1556" s="111"/>
      <c r="S1556" s="111"/>
      <c r="T1556" s="111"/>
      <c r="U1556" s="111"/>
      <c r="V1556" s="111"/>
      <c r="W1556" s="111"/>
      <c r="X1556" s="111"/>
      <c r="Y1556" s="111"/>
      <c r="Z1556" s="111"/>
      <c r="AA1556" s="111"/>
    </row>
    <row r="1557" spans="1:27" s="118" customFormat="1" x14ac:dyDescent="0.2">
      <c r="A1557" s="10"/>
      <c r="B1557" s="10"/>
      <c r="C1557" s="190"/>
      <c r="D1557" s="110"/>
      <c r="E1557" s="158"/>
      <c r="F1557" s="267"/>
      <c r="G1557" s="267"/>
      <c r="H1557" s="267"/>
      <c r="I1557" s="250"/>
      <c r="J1557" s="338"/>
      <c r="K1557" s="137"/>
      <c r="L1557" s="137"/>
      <c r="M1557" s="137"/>
      <c r="N1557" s="138"/>
      <c r="O1557" s="167"/>
      <c r="P1557" s="111"/>
      <c r="Q1557" s="111"/>
      <c r="R1557" s="111"/>
      <c r="S1557" s="111"/>
      <c r="T1557" s="111"/>
      <c r="U1557" s="111"/>
      <c r="V1557" s="111"/>
      <c r="W1557" s="111"/>
      <c r="X1557" s="111"/>
      <c r="Y1557" s="111"/>
      <c r="Z1557" s="111"/>
      <c r="AA1557" s="111"/>
    </row>
    <row r="1558" spans="1:27" s="118" customFormat="1" x14ac:dyDescent="0.2">
      <c r="A1558" s="10"/>
      <c r="B1558" s="10"/>
      <c r="C1558" s="157"/>
      <c r="D1558" s="110"/>
      <c r="E1558" s="158"/>
      <c r="F1558" s="267"/>
      <c r="G1558" s="267"/>
      <c r="H1558" s="267"/>
      <c r="I1558" s="250"/>
      <c r="J1558" s="266"/>
      <c r="K1558" s="137"/>
      <c r="L1558" s="137"/>
      <c r="M1558" s="137"/>
      <c r="N1558" s="138"/>
      <c r="O1558" s="167"/>
      <c r="P1558" s="111"/>
      <c r="Q1558" s="111"/>
      <c r="R1558" s="111"/>
      <c r="S1558" s="111"/>
      <c r="T1558" s="111"/>
      <c r="U1558" s="111"/>
      <c r="V1558" s="111"/>
      <c r="W1558" s="111"/>
      <c r="X1558" s="111"/>
      <c r="Y1558" s="111"/>
      <c r="Z1558" s="111"/>
      <c r="AA1558" s="111"/>
    </row>
    <row r="1559" spans="1:27" s="147" customFormat="1" x14ac:dyDescent="0.2">
      <c r="A1559" s="184"/>
      <c r="B1559" s="184"/>
      <c r="C1559" s="185"/>
      <c r="D1559" s="341"/>
      <c r="E1559" s="184"/>
      <c r="F1559" s="338"/>
      <c r="G1559" s="338"/>
      <c r="H1559" s="338"/>
      <c r="I1559" s="257"/>
      <c r="J1559" s="338"/>
      <c r="K1559" s="131">
        <f>J1561</f>
        <v>0</v>
      </c>
      <c r="L1559" s="106">
        <v>5.98</v>
      </c>
      <c r="M1559" s="131">
        <f>ROUND(L1559*(1+$Q$5),2)</f>
        <v>7.57</v>
      </c>
      <c r="N1559" s="133">
        <f>TRUNC(K1559*M1559,2)</f>
        <v>0</v>
      </c>
      <c r="O1559" s="286"/>
      <c r="P1559" s="146"/>
      <c r="Q1559" s="146"/>
      <c r="R1559" s="146"/>
      <c r="S1559" s="146"/>
      <c r="T1559" s="146"/>
      <c r="U1559" s="146"/>
      <c r="V1559" s="146"/>
      <c r="W1559" s="146"/>
      <c r="X1559" s="146"/>
      <c r="Y1559" s="146"/>
      <c r="Z1559" s="146"/>
      <c r="AA1559" s="146"/>
    </row>
    <row r="1560" spans="1:27" s="118" customFormat="1" x14ac:dyDescent="0.2">
      <c r="A1560" s="10"/>
      <c r="B1560" s="10"/>
      <c r="C1560" s="191"/>
      <c r="D1560" s="115"/>
      <c r="E1560" s="158"/>
      <c r="F1560" s="267"/>
      <c r="G1560" s="267"/>
      <c r="H1560" s="267"/>
      <c r="I1560" s="339"/>
      <c r="J1560" s="267"/>
      <c r="K1560" s="137"/>
      <c r="L1560" s="137"/>
      <c r="M1560" s="137"/>
      <c r="N1560" s="138"/>
      <c r="O1560" s="167"/>
      <c r="P1560" s="111"/>
      <c r="Q1560" s="111"/>
      <c r="R1560" s="111"/>
      <c r="S1560" s="111"/>
      <c r="T1560" s="111"/>
      <c r="U1560" s="111"/>
      <c r="V1560" s="111"/>
      <c r="W1560" s="111"/>
      <c r="X1560" s="111"/>
      <c r="Y1560" s="111"/>
      <c r="Z1560" s="111"/>
      <c r="AA1560" s="111"/>
    </row>
    <row r="1561" spans="1:27" s="118" customFormat="1" x14ac:dyDescent="0.2">
      <c r="A1561" s="10"/>
      <c r="B1561" s="10"/>
      <c r="C1561" s="190"/>
      <c r="D1561" s="110"/>
      <c r="E1561" s="158"/>
      <c r="F1561" s="267"/>
      <c r="G1561" s="267"/>
      <c r="H1561" s="267"/>
      <c r="I1561" s="250"/>
      <c r="J1561" s="338"/>
      <c r="K1561" s="137"/>
      <c r="L1561" s="137"/>
      <c r="M1561" s="137"/>
      <c r="N1561" s="138"/>
      <c r="O1561" s="167"/>
      <c r="P1561" s="111"/>
      <c r="Q1561" s="111"/>
      <c r="R1561" s="111"/>
      <c r="S1561" s="111"/>
      <c r="T1561" s="111"/>
      <c r="U1561" s="111"/>
      <c r="V1561" s="111"/>
      <c r="W1561" s="111"/>
      <c r="X1561" s="111"/>
      <c r="Y1561" s="111"/>
      <c r="Z1561" s="111"/>
      <c r="AA1561" s="111"/>
    </row>
    <row r="1562" spans="1:27" s="118" customFormat="1" x14ac:dyDescent="0.2">
      <c r="A1562" s="10"/>
      <c r="B1562" s="10"/>
      <c r="C1562" s="157"/>
      <c r="D1562" s="110"/>
      <c r="E1562" s="158"/>
      <c r="F1562" s="267"/>
      <c r="G1562" s="267"/>
      <c r="H1562" s="267"/>
      <c r="I1562" s="250"/>
      <c r="J1562" s="266"/>
      <c r="K1562" s="137"/>
      <c r="L1562" s="137"/>
      <c r="M1562" s="137"/>
      <c r="N1562" s="138"/>
      <c r="O1562" s="167"/>
      <c r="P1562" s="111"/>
      <c r="Q1562" s="111"/>
      <c r="R1562" s="111"/>
      <c r="S1562" s="111"/>
      <c r="T1562" s="111"/>
      <c r="U1562" s="111"/>
      <c r="V1562" s="111"/>
      <c r="W1562" s="111"/>
      <c r="X1562" s="111"/>
      <c r="Y1562" s="111"/>
      <c r="Z1562" s="111"/>
      <c r="AA1562" s="111"/>
    </row>
    <row r="1563" spans="1:27" s="241" customFormat="1" ht="13.2" x14ac:dyDescent="0.25">
      <c r="A1563" s="331"/>
      <c r="B1563" s="331"/>
      <c r="C1563" s="332"/>
      <c r="D1563" s="333"/>
      <c r="E1563" s="331"/>
      <c r="F1563" s="334"/>
      <c r="G1563" s="334"/>
      <c r="H1563" s="334"/>
      <c r="I1563" s="335"/>
      <c r="J1563" s="334"/>
      <c r="K1563" s="238"/>
      <c r="L1563" s="238"/>
      <c r="M1563" s="238"/>
      <c r="N1563" s="239">
        <f>N1565+N1594+N1613</f>
        <v>0</v>
      </c>
      <c r="O1563" s="284" t="e">
        <f>N1563/$N$1660</f>
        <v>#REF!</v>
      </c>
      <c r="P1563" s="240"/>
      <c r="Q1563" s="240" t="s">
        <v>533</v>
      </c>
      <c r="R1563" s="240"/>
      <c r="S1563" s="240"/>
      <c r="T1563" s="240"/>
      <c r="U1563" s="240"/>
      <c r="V1563" s="240"/>
      <c r="W1563" s="240"/>
      <c r="X1563" s="240"/>
      <c r="Y1563" s="240"/>
      <c r="Z1563" s="240"/>
      <c r="AA1563" s="240"/>
    </row>
    <row r="1564" spans="1:27" s="118" customFormat="1" x14ac:dyDescent="0.2">
      <c r="A1564" s="10"/>
      <c r="B1564" s="10"/>
      <c r="C1564" s="157"/>
      <c r="D1564" s="110"/>
      <c r="E1564" s="158"/>
      <c r="F1564" s="267"/>
      <c r="G1564" s="267"/>
      <c r="H1564" s="267"/>
      <c r="I1564" s="250"/>
      <c r="J1564" s="266"/>
      <c r="K1564" s="137"/>
      <c r="L1564" s="137"/>
      <c r="M1564" s="137"/>
      <c r="N1564" s="138"/>
      <c r="O1564" s="167"/>
      <c r="P1564" s="111"/>
      <c r="Q1564" s="111"/>
      <c r="R1564" s="111"/>
      <c r="S1564" s="111"/>
      <c r="T1564" s="111"/>
      <c r="U1564" s="111"/>
      <c r="V1564" s="111"/>
      <c r="W1564" s="111"/>
      <c r="X1564" s="111"/>
      <c r="Y1564" s="111"/>
      <c r="Z1564" s="111"/>
      <c r="AA1564" s="111"/>
    </row>
    <row r="1565" spans="1:27" s="145" customFormat="1" x14ac:dyDescent="0.2">
      <c r="A1565" s="192"/>
      <c r="B1565" s="192"/>
      <c r="C1565" s="193"/>
      <c r="D1565" s="336"/>
      <c r="E1565" s="192"/>
      <c r="F1565" s="269"/>
      <c r="G1565" s="269"/>
      <c r="H1565" s="269"/>
      <c r="I1565" s="254"/>
      <c r="J1565" s="269"/>
      <c r="K1565" s="142"/>
      <c r="L1565" s="142"/>
      <c r="M1565" s="142"/>
      <c r="N1565" s="143">
        <f>SUM(N1567:N1593)</f>
        <v>0</v>
      </c>
      <c r="O1565" s="285"/>
      <c r="P1565" s="144"/>
      <c r="Q1565" s="144"/>
      <c r="R1565" s="144"/>
      <c r="S1565" s="144"/>
      <c r="T1565" s="144"/>
      <c r="U1565" s="144"/>
      <c r="V1565" s="144"/>
      <c r="W1565" s="144"/>
      <c r="X1565" s="144"/>
      <c r="Y1565" s="144"/>
      <c r="Z1565" s="144"/>
      <c r="AA1565" s="144"/>
    </row>
    <row r="1566" spans="1:27" s="118" customFormat="1" x14ac:dyDescent="0.2">
      <c r="A1566" s="10"/>
      <c r="B1566" s="10"/>
      <c r="C1566" s="157"/>
      <c r="D1566" s="110"/>
      <c r="E1566" s="158"/>
      <c r="F1566" s="267"/>
      <c r="G1566" s="267"/>
      <c r="H1566" s="267"/>
      <c r="I1566" s="250"/>
      <c r="J1566" s="266"/>
      <c r="K1566" s="137"/>
      <c r="L1566" s="137"/>
      <c r="M1566" s="137"/>
      <c r="N1566" s="138"/>
      <c r="O1566" s="167"/>
      <c r="P1566" s="111"/>
      <c r="Q1566" s="111"/>
      <c r="R1566" s="111"/>
      <c r="S1566" s="111"/>
      <c r="T1566" s="111"/>
      <c r="U1566" s="111"/>
      <c r="V1566" s="111"/>
      <c r="W1566" s="111"/>
      <c r="X1566" s="111"/>
      <c r="Y1566" s="111"/>
      <c r="Z1566" s="111"/>
      <c r="AA1566" s="111"/>
    </row>
    <row r="1567" spans="1:27" s="147" customFormat="1" x14ac:dyDescent="0.2">
      <c r="A1567" s="184"/>
      <c r="B1567" s="184"/>
      <c r="C1567" s="185"/>
      <c r="D1567" s="337"/>
      <c r="E1567" s="184"/>
      <c r="F1567" s="338"/>
      <c r="G1567" s="338"/>
      <c r="H1567" s="338"/>
      <c r="I1567" s="257"/>
      <c r="J1567" s="338"/>
      <c r="K1567" s="131">
        <f>J1574</f>
        <v>0</v>
      </c>
      <c r="L1567" s="131">
        <v>73.44</v>
      </c>
      <c r="M1567" s="131">
        <f>ROUND(L1567*(1+$Q$5),2)</f>
        <v>92.92</v>
      </c>
      <c r="N1567" s="133">
        <f>TRUNC(K1567*M1567,2)</f>
        <v>0</v>
      </c>
      <c r="O1567" s="286"/>
      <c r="P1567" s="146"/>
      <c r="Q1567" s="146"/>
      <c r="R1567" s="146"/>
      <c r="S1567" s="146"/>
      <c r="T1567" s="146"/>
      <c r="U1567" s="146"/>
      <c r="V1567" s="146"/>
      <c r="W1567" s="146"/>
      <c r="X1567" s="146"/>
      <c r="Y1567" s="146"/>
      <c r="Z1567" s="146"/>
      <c r="AA1567" s="146"/>
    </row>
    <row r="1568" spans="1:27" s="174" customFormat="1" x14ac:dyDescent="0.2">
      <c r="A1568" s="177"/>
      <c r="B1568" s="177"/>
      <c r="C1568" s="178"/>
      <c r="D1568" s="115"/>
      <c r="E1568" s="10"/>
      <c r="F1568" s="267"/>
      <c r="G1568" s="267"/>
      <c r="H1568" s="267"/>
      <c r="I1568" s="339"/>
      <c r="J1568" s="267"/>
      <c r="K1568" s="172"/>
      <c r="L1568" s="172"/>
      <c r="M1568" s="172"/>
      <c r="N1568" s="173"/>
      <c r="O1568" s="287"/>
      <c r="P1568" s="23"/>
      <c r="Q1568" s="23"/>
      <c r="R1568" s="23"/>
      <c r="S1568" s="23"/>
      <c r="T1568" s="23"/>
      <c r="U1568" s="23"/>
      <c r="V1568" s="23"/>
      <c r="W1568" s="23"/>
      <c r="X1568" s="23"/>
      <c r="Y1568" s="23"/>
      <c r="Z1568" s="23"/>
      <c r="AA1568" s="23"/>
    </row>
    <row r="1569" spans="1:27" s="174" customFormat="1" x14ac:dyDescent="0.2">
      <c r="A1569" s="177"/>
      <c r="B1569" s="177"/>
      <c r="C1569" s="178"/>
      <c r="D1569" s="115"/>
      <c r="E1569" s="10"/>
      <c r="F1569" s="267"/>
      <c r="G1569" s="267"/>
      <c r="H1569" s="267"/>
      <c r="I1569" s="339"/>
      <c r="J1569" s="267"/>
      <c r="K1569" s="172"/>
      <c r="L1569" s="172"/>
      <c r="M1569" s="172"/>
      <c r="N1569" s="173"/>
      <c r="O1569" s="287"/>
      <c r="P1569" s="23"/>
      <c r="Q1569" s="23"/>
      <c r="R1569" s="23"/>
      <c r="S1569" s="23"/>
      <c r="T1569" s="23"/>
      <c r="U1569" s="23"/>
      <c r="V1569" s="23"/>
      <c r="W1569" s="23"/>
      <c r="X1569" s="23"/>
      <c r="Y1569" s="23"/>
      <c r="Z1569" s="23"/>
      <c r="AA1569" s="23"/>
    </row>
    <row r="1570" spans="1:27" s="174" customFormat="1" x14ac:dyDescent="0.2">
      <c r="A1570" s="177"/>
      <c r="B1570" s="177"/>
      <c r="C1570" s="178"/>
      <c r="D1570" s="115"/>
      <c r="E1570" s="10"/>
      <c r="F1570" s="267"/>
      <c r="G1570" s="267"/>
      <c r="H1570" s="267"/>
      <c r="I1570" s="339"/>
      <c r="J1570" s="267"/>
      <c r="K1570" s="172"/>
      <c r="L1570" s="172"/>
      <c r="M1570" s="172"/>
      <c r="N1570" s="173"/>
      <c r="O1570" s="287"/>
      <c r="P1570" s="23"/>
      <c r="Q1570" s="23"/>
      <c r="R1570" s="23"/>
      <c r="S1570" s="23"/>
      <c r="T1570" s="23"/>
      <c r="U1570" s="23"/>
      <c r="V1570" s="23"/>
      <c r="W1570" s="23"/>
      <c r="X1570" s="23"/>
      <c r="Y1570" s="23"/>
      <c r="Z1570" s="23"/>
      <c r="AA1570" s="23"/>
    </row>
    <row r="1571" spans="1:27" s="174" customFormat="1" x14ac:dyDescent="0.2">
      <c r="A1571" s="177"/>
      <c r="B1571" s="177"/>
      <c r="C1571" s="178"/>
      <c r="D1571" s="115"/>
      <c r="E1571" s="10"/>
      <c r="F1571" s="267"/>
      <c r="G1571" s="267"/>
      <c r="H1571" s="267"/>
      <c r="I1571" s="339"/>
      <c r="J1571" s="267"/>
      <c r="K1571" s="172"/>
      <c r="L1571" s="172"/>
      <c r="M1571" s="172"/>
      <c r="N1571" s="173"/>
      <c r="O1571" s="287"/>
      <c r="P1571" s="23"/>
      <c r="Q1571" s="23"/>
      <c r="R1571" s="23"/>
      <c r="S1571" s="23"/>
      <c r="T1571" s="23"/>
      <c r="U1571" s="23"/>
      <c r="V1571" s="23"/>
      <c r="W1571" s="23"/>
      <c r="X1571" s="23"/>
      <c r="Y1571" s="23"/>
      <c r="Z1571" s="23"/>
      <c r="AA1571" s="23"/>
    </row>
    <row r="1572" spans="1:27" s="174" customFormat="1" x14ac:dyDescent="0.2">
      <c r="A1572" s="177"/>
      <c r="B1572" s="177"/>
      <c r="C1572" s="178"/>
      <c r="D1572" s="115"/>
      <c r="E1572" s="10"/>
      <c r="F1572" s="267"/>
      <c r="G1572" s="267"/>
      <c r="H1572" s="267"/>
      <c r="I1572" s="339"/>
      <c r="J1572" s="267"/>
      <c r="K1572" s="172"/>
      <c r="L1572" s="172"/>
      <c r="M1572" s="172"/>
      <c r="N1572" s="173"/>
      <c r="O1572" s="287"/>
      <c r="P1572" s="23"/>
      <c r="Q1572" s="23"/>
      <c r="R1572" s="23"/>
      <c r="S1572" s="23"/>
      <c r="T1572" s="23"/>
      <c r="U1572" s="23"/>
      <c r="V1572" s="23"/>
      <c r="W1572" s="23"/>
      <c r="X1572" s="23"/>
      <c r="Y1572" s="23"/>
      <c r="Z1572" s="23"/>
      <c r="AA1572" s="23"/>
    </row>
    <row r="1573" spans="1:27" s="174" customFormat="1" x14ac:dyDescent="0.2">
      <c r="A1573" s="177"/>
      <c r="B1573" s="177"/>
      <c r="C1573" s="178"/>
      <c r="D1573" s="115"/>
      <c r="E1573" s="10"/>
      <c r="F1573" s="267"/>
      <c r="G1573" s="267"/>
      <c r="H1573" s="267"/>
      <c r="I1573" s="339"/>
      <c r="J1573" s="267"/>
      <c r="K1573" s="172"/>
      <c r="L1573" s="172"/>
      <c r="M1573" s="172"/>
      <c r="N1573" s="173"/>
      <c r="O1573" s="287"/>
      <c r="P1573" s="23"/>
      <c r="Q1573" s="23"/>
      <c r="R1573" s="23"/>
      <c r="S1573" s="23"/>
      <c r="T1573" s="23"/>
      <c r="U1573" s="23"/>
      <c r="V1573" s="23"/>
      <c r="W1573" s="23"/>
      <c r="X1573" s="23"/>
      <c r="Y1573" s="23"/>
      <c r="Z1573" s="23"/>
      <c r="AA1573" s="23"/>
    </row>
    <row r="1574" spans="1:27" s="174" customFormat="1" x14ac:dyDescent="0.2">
      <c r="A1574" s="177"/>
      <c r="B1574" s="177"/>
      <c r="C1574" s="178"/>
      <c r="D1574" s="179"/>
      <c r="E1574" s="180"/>
      <c r="F1574" s="265"/>
      <c r="G1574" s="265"/>
      <c r="H1574" s="265"/>
      <c r="I1574" s="252"/>
      <c r="J1574" s="338"/>
      <c r="K1574" s="172"/>
      <c r="L1574" s="172"/>
      <c r="M1574" s="172"/>
      <c r="N1574" s="173"/>
      <c r="O1574" s="287"/>
      <c r="P1574" s="23"/>
      <c r="Q1574" s="23"/>
      <c r="R1574" s="23"/>
      <c r="S1574" s="23"/>
      <c r="T1574" s="23"/>
      <c r="U1574" s="23"/>
      <c r="V1574" s="23"/>
      <c r="W1574" s="23"/>
      <c r="X1574" s="23"/>
      <c r="Y1574" s="23"/>
      <c r="Z1574" s="23"/>
      <c r="AA1574" s="23"/>
    </row>
    <row r="1575" spans="1:27" s="174" customFormat="1" x14ac:dyDescent="0.2">
      <c r="A1575" s="177"/>
      <c r="B1575" s="177"/>
      <c r="C1575" s="178"/>
      <c r="D1575" s="179"/>
      <c r="E1575" s="180"/>
      <c r="F1575" s="265"/>
      <c r="G1575" s="265"/>
      <c r="H1575" s="265"/>
      <c r="I1575" s="252"/>
      <c r="J1575" s="266"/>
      <c r="K1575" s="172"/>
      <c r="L1575" s="172"/>
      <c r="M1575" s="172"/>
      <c r="N1575" s="173"/>
      <c r="O1575" s="287"/>
      <c r="P1575" s="23"/>
      <c r="Q1575" s="23"/>
      <c r="R1575" s="23"/>
      <c r="S1575" s="23"/>
      <c r="T1575" s="23"/>
      <c r="U1575" s="23"/>
      <c r="V1575" s="23"/>
      <c r="W1575" s="23"/>
      <c r="X1575" s="23"/>
      <c r="Y1575" s="23"/>
      <c r="Z1575" s="23"/>
      <c r="AA1575" s="23"/>
    </row>
    <row r="1576" spans="1:27" s="147" customFormat="1" x14ac:dyDescent="0.2">
      <c r="A1576" s="184"/>
      <c r="B1576" s="184"/>
      <c r="C1576" s="185"/>
      <c r="D1576" s="337"/>
      <c r="E1576" s="184"/>
      <c r="F1576" s="338"/>
      <c r="G1576" s="338"/>
      <c r="H1576" s="338"/>
      <c r="I1576" s="257"/>
      <c r="J1576" s="338"/>
      <c r="K1576" s="131">
        <f>J1584</f>
        <v>0</v>
      </c>
      <c r="L1576" s="131">
        <f>'COMPOSICOES - SINAPI COM DESON'!G50</f>
        <v>104.48</v>
      </c>
      <c r="M1576" s="131">
        <f>ROUND(L1576*(1+$Q$5),2)</f>
        <v>132.19999999999999</v>
      </c>
      <c r="N1576" s="133">
        <f>TRUNC(K1576*M1576,2)</f>
        <v>0</v>
      </c>
      <c r="O1576" s="286"/>
      <c r="P1576" s="146"/>
      <c r="Q1576" s="146"/>
      <c r="R1576" s="146"/>
      <c r="S1576" s="146"/>
      <c r="T1576" s="146"/>
      <c r="U1576" s="146"/>
      <c r="V1576" s="146"/>
      <c r="W1576" s="146"/>
      <c r="X1576" s="146"/>
      <c r="Y1576" s="146"/>
      <c r="Z1576" s="146"/>
      <c r="AA1576" s="146"/>
    </row>
    <row r="1577" spans="1:27" s="174" customFormat="1" x14ac:dyDescent="0.2">
      <c r="A1577" s="177"/>
      <c r="B1577" s="177"/>
      <c r="C1577" s="178"/>
      <c r="D1577" s="115"/>
      <c r="E1577" s="10"/>
      <c r="F1577" s="267"/>
      <c r="G1577" s="267"/>
      <c r="H1577" s="267"/>
      <c r="I1577" s="339"/>
      <c r="J1577" s="267"/>
      <c r="K1577" s="172"/>
      <c r="L1577" s="172"/>
      <c r="M1577" s="172"/>
      <c r="N1577" s="173"/>
      <c r="O1577" s="287"/>
      <c r="P1577" s="23"/>
      <c r="Q1577" s="23"/>
      <c r="R1577" s="23"/>
      <c r="S1577" s="23"/>
      <c r="T1577" s="23"/>
      <c r="U1577" s="23"/>
      <c r="V1577" s="23"/>
      <c r="W1577" s="23"/>
      <c r="X1577" s="23"/>
      <c r="Y1577" s="23"/>
      <c r="Z1577" s="23"/>
      <c r="AA1577" s="23"/>
    </row>
    <row r="1578" spans="1:27" s="174" customFormat="1" x14ac:dyDescent="0.2">
      <c r="A1578" s="177"/>
      <c r="B1578" s="177"/>
      <c r="C1578" s="178"/>
      <c r="D1578" s="115"/>
      <c r="E1578" s="10"/>
      <c r="F1578" s="267"/>
      <c r="G1578" s="267"/>
      <c r="H1578" s="267"/>
      <c r="I1578" s="339"/>
      <c r="J1578" s="267"/>
      <c r="K1578" s="172"/>
      <c r="L1578" s="172"/>
      <c r="M1578" s="172"/>
      <c r="N1578" s="173"/>
      <c r="O1578" s="287"/>
      <c r="P1578" s="23"/>
      <c r="Q1578" s="23"/>
      <c r="R1578" s="23"/>
      <c r="S1578" s="23"/>
      <c r="T1578" s="23"/>
      <c r="U1578" s="23"/>
      <c r="V1578" s="23"/>
      <c r="W1578" s="23"/>
      <c r="X1578" s="23"/>
      <c r="Y1578" s="23"/>
      <c r="Z1578" s="23"/>
      <c r="AA1578" s="23"/>
    </row>
    <row r="1579" spans="1:27" s="174" customFormat="1" x14ac:dyDescent="0.2">
      <c r="A1579" s="177"/>
      <c r="B1579" s="177"/>
      <c r="C1579" s="178"/>
      <c r="D1579" s="115"/>
      <c r="E1579" s="10"/>
      <c r="F1579" s="267"/>
      <c r="G1579" s="267"/>
      <c r="H1579" s="267"/>
      <c r="I1579" s="339"/>
      <c r="J1579" s="267"/>
      <c r="K1579" s="172"/>
      <c r="L1579" s="172"/>
      <c r="M1579" s="172"/>
      <c r="N1579" s="173"/>
      <c r="O1579" s="287"/>
      <c r="P1579" s="23"/>
      <c r="Q1579" s="23"/>
      <c r="R1579" s="23"/>
      <c r="S1579" s="23"/>
      <c r="T1579" s="23"/>
      <c r="U1579" s="23"/>
      <c r="V1579" s="23"/>
      <c r="W1579" s="23"/>
      <c r="X1579" s="23"/>
      <c r="Y1579" s="23"/>
      <c r="Z1579" s="23"/>
      <c r="AA1579" s="23"/>
    </row>
    <row r="1580" spans="1:27" s="174" customFormat="1" x14ac:dyDescent="0.2">
      <c r="A1580" s="177"/>
      <c r="B1580" s="177"/>
      <c r="C1580" s="178"/>
      <c r="D1580" s="115"/>
      <c r="E1580" s="10"/>
      <c r="F1580" s="267"/>
      <c r="G1580" s="267"/>
      <c r="H1580" s="267"/>
      <c r="I1580" s="339"/>
      <c r="J1580" s="267"/>
      <c r="K1580" s="172"/>
      <c r="L1580" s="172"/>
      <c r="M1580" s="172"/>
      <c r="N1580" s="173"/>
      <c r="O1580" s="287"/>
      <c r="P1580" s="23"/>
      <c r="Q1580" s="23"/>
      <c r="R1580" s="23"/>
      <c r="S1580" s="23"/>
      <c r="T1580" s="23"/>
      <c r="U1580" s="23"/>
      <c r="V1580" s="23"/>
      <c r="W1580" s="23"/>
      <c r="X1580" s="23"/>
      <c r="Y1580" s="23"/>
      <c r="Z1580" s="23"/>
      <c r="AA1580" s="23"/>
    </row>
    <row r="1581" spans="1:27" s="174" customFormat="1" x14ac:dyDescent="0.2">
      <c r="A1581" s="177"/>
      <c r="B1581" s="177"/>
      <c r="C1581" s="178"/>
      <c r="D1581" s="115"/>
      <c r="E1581" s="10"/>
      <c r="F1581" s="267"/>
      <c r="G1581" s="267"/>
      <c r="H1581" s="267"/>
      <c r="I1581" s="339"/>
      <c r="J1581" s="267"/>
      <c r="K1581" s="172"/>
      <c r="L1581" s="172"/>
      <c r="M1581" s="172"/>
      <c r="N1581" s="173"/>
      <c r="O1581" s="287"/>
      <c r="P1581" s="23"/>
      <c r="Q1581" s="23"/>
      <c r="R1581" s="23"/>
      <c r="S1581" s="23"/>
      <c r="T1581" s="23"/>
      <c r="U1581" s="23"/>
      <c r="V1581" s="23"/>
      <c r="W1581" s="23"/>
      <c r="X1581" s="23"/>
      <c r="Y1581" s="23"/>
      <c r="Z1581" s="23"/>
      <c r="AA1581" s="23"/>
    </row>
    <row r="1582" spans="1:27" s="174" customFormat="1" x14ac:dyDescent="0.2">
      <c r="A1582" s="177"/>
      <c r="B1582" s="177"/>
      <c r="C1582" s="178"/>
      <c r="D1582" s="115"/>
      <c r="E1582" s="10"/>
      <c r="F1582" s="267"/>
      <c r="G1582" s="267"/>
      <c r="H1582" s="267"/>
      <c r="I1582" s="339"/>
      <c r="J1582" s="267"/>
      <c r="K1582" s="172"/>
      <c r="L1582" s="172"/>
      <c r="M1582" s="172"/>
      <c r="N1582" s="173"/>
      <c r="O1582" s="287"/>
      <c r="P1582" s="23"/>
      <c r="Q1582" s="23"/>
      <c r="R1582" s="23"/>
      <c r="S1582" s="23"/>
      <c r="T1582" s="23"/>
      <c r="U1582" s="23"/>
      <c r="V1582" s="23"/>
      <c r="W1582" s="23"/>
      <c r="X1582" s="23"/>
      <c r="Y1582" s="23"/>
      <c r="Z1582" s="23"/>
      <c r="AA1582" s="23"/>
    </row>
    <row r="1583" spans="1:27" s="174" customFormat="1" x14ac:dyDescent="0.2">
      <c r="A1583" s="177"/>
      <c r="B1583" s="177"/>
      <c r="C1583" s="178"/>
      <c r="D1583" s="115"/>
      <c r="E1583" s="10"/>
      <c r="F1583" s="267"/>
      <c r="G1583" s="267"/>
      <c r="H1583" s="267"/>
      <c r="I1583" s="339"/>
      <c r="J1583" s="267"/>
      <c r="K1583" s="172"/>
      <c r="L1583" s="172"/>
      <c r="M1583" s="172"/>
      <c r="N1583" s="173"/>
      <c r="O1583" s="287"/>
      <c r="P1583" s="23"/>
      <c r="Q1583" s="23"/>
      <c r="R1583" s="23"/>
      <c r="S1583" s="23"/>
      <c r="T1583" s="23"/>
      <c r="U1583" s="23"/>
      <c r="V1583" s="23"/>
      <c r="W1583" s="23"/>
      <c r="X1583" s="23"/>
      <c r="Y1583" s="23"/>
      <c r="Z1583" s="23"/>
      <c r="AA1583" s="23"/>
    </row>
    <row r="1584" spans="1:27" s="118" customFormat="1" x14ac:dyDescent="0.2">
      <c r="A1584" s="10"/>
      <c r="B1584" s="10"/>
      <c r="C1584" s="190"/>
      <c r="D1584" s="110"/>
      <c r="E1584" s="158"/>
      <c r="F1584" s="267"/>
      <c r="G1584" s="267"/>
      <c r="H1584" s="267"/>
      <c r="I1584" s="250"/>
      <c r="J1584" s="338"/>
      <c r="K1584" s="137"/>
      <c r="L1584" s="137"/>
      <c r="M1584" s="137"/>
      <c r="N1584" s="138"/>
      <c r="O1584" s="167"/>
      <c r="P1584" s="111"/>
      <c r="Q1584" s="111"/>
      <c r="R1584" s="111"/>
      <c r="S1584" s="111"/>
      <c r="T1584" s="111"/>
      <c r="U1584" s="111"/>
      <c r="V1584" s="111"/>
      <c r="W1584" s="111"/>
      <c r="X1584" s="111"/>
      <c r="Y1584" s="111"/>
      <c r="Z1584" s="111"/>
      <c r="AA1584" s="111"/>
    </row>
    <row r="1585" spans="1:27" s="161" customFormat="1" x14ac:dyDescent="0.2">
      <c r="A1585" s="10"/>
      <c r="B1585" s="10"/>
      <c r="C1585" s="15"/>
      <c r="D1585" s="117"/>
      <c r="E1585" s="10"/>
      <c r="F1585" s="263"/>
      <c r="G1585" s="263"/>
      <c r="H1585" s="263"/>
      <c r="I1585" s="250"/>
      <c r="J1585" s="263"/>
      <c r="K1585" s="151"/>
      <c r="L1585" s="151"/>
      <c r="M1585" s="151"/>
      <c r="N1585" s="198"/>
      <c r="O1585" s="167"/>
      <c r="P1585" s="114"/>
      <c r="Q1585" s="114"/>
      <c r="R1585" s="114"/>
      <c r="S1585" s="114"/>
      <c r="T1585" s="114"/>
      <c r="U1585" s="114"/>
      <c r="V1585" s="114"/>
      <c r="W1585" s="114"/>
      <c r="X1585" s="114"/>
      <c r="Y1585" s="114"/>
      <c r="Z1585" s="114"/>
      <c r="AA1585" s="114"/>
    </row>
    <row r="1586" spans="1:27" s="147" customFormat="1" x14ac:dyDescent="0.2">
      <c r="A1586" s="184"/>
      <c r="B1586" s="184"/>
      <c r="C1586" s="185"/>
      <c r="D1586" s="337"/>
      <c r="E1586" s="184"/>
      <c r="F1586" s="338"/>
      <c r="G1586" s="338"/>
      <c r="H1586" s="338"/>
      <c r="I1586" s="257"/>
      <c r="J1586" s="338"/>
      <c r="K1586" s="131">
        <f>J1588</f>
        <v>0</v>
      </c>
      <c r="L1586" s="131">
        <v>54</v>
      </c>
      <c r="M1586" s="131">
        <f>ROUND(L1586*(1+$Q$5),2)</f>
        <v>68.33</v>
      </c>
      <c r="N1586" s="133">
        <f>TRUNC(K1586*M1586,2)</f>
        <v>0</v>
      </c>
      <c r="O1586" s="286"/>
      <c r="P1586" s="146"/>
      <c r="Q1586" s="146"/>
      <c r="R1586" s="146"/>
      <c r="S1586" s="146"/>
      <c r="T1586" s="146"/>
      <c r="U1586" s="146"/>
      <c r="V1586" s="146"/>
      <c r="W1586" s="146"/>
      <c r="X1586" s="146"/>
      <c r="Y1586" s="146"/>
      <c r="Z1586" s="146"/>
      <c r="AA1586" s="146"/>
    </row>
    <row r="1587" spans="1:27" s="118" customFormat="1" x14ac:dyDescent="0.2">
      <c r="A1587" s="10"/>
      <c r="B1587" s="10"/>
      <c r="C1587" s="191"/>
      <c r="D1587" s="115"/>
      <c r="E1587" s="158"/>
      <c r="F1587" s="267"/>
      <c r="G1587" s="267"/>
      <c r="H1587" s="267"/>
      <c r="I1587" s="250"/>
      <c r="J1587" s="267"/>
      <c r="K1587" s="137"/>
      <c r="L1587" s="137"/>
      <c r="M1587" s="137"/>
      <c r="N1587" s="138"/>
      <c r="O1587" s="167"/>
      <c r="P1587" s="111"/>
      <c r="Q1587" s="111"/>
      <c r="R1587" s="111"/>
      <c r="S1587" s="111"/>
      <c r="T1587" s="111"/>
      <c r="U1587" s="111"/>
      <c r="V1587" s="111"/>
      <c r="W1587" s="111"/>
      <c r="X1587" s="111"/>
      <c r="Y1587" s="111"/>
      <c r="Z1587" s="111"/>
      <c r="AA1587" s="111"/>
    </row>
    <row r="1588" spans="1:27" s="118" customFormat="1" x14ac:dyDescent="0.2">
      <c r="A1588" s="10"/>
      <c r="B1588" s="10"/>
      <c r="C1588" s="190"/>
      <c r="D1588" s="110"/>
      <c r="E1588" s="158"/>
      <c r="F1588" s="267"/>
      <c r="G1588" s="267"/>
      <c r="H1588" s="267"/>
      <c r="I1588" s="250"/>
      <c r="J1588" s="338"/>
      <c r="K1588" s="137"/>
      <c r="L1588" s="137"/>
      <c r="M1588" s="137"/>
      <c r="N1588" s="138"/>
      <c r="O1588" s="167"/>
      <c r="P1588" s="111"/>
      <c r="Q1588" s="111"/>
      <c r="R1588" s="111"/>
      <c r="S1588" s="111"/>
      <c r="T1588" s="111"/>
      <c r="U1588" s="111"/>
      <c r="V1588" s="111"/>
      <c r="W1588" s="111"/>
      <c r="X1588" s="111"/>
      <c r="Y1588" s="111"/>
      <c r="Z1588" s="111"/>
      <c r="AA1588" s="111"/>
    </row>
    <row r="1589" spans="1:27" s="118" customFormat="1" x14ac:dyDescent="0.2">
      <c r="A1589" s="10"/>
      <c r="B1589" s="10"/>
      <c r="C1589" s="191"/>
      <c r="D1589" s="110"/>
      <c r="E1589" s="158"/>
      <c r="F1589" s="267"/>
      <c r="G1589" s="267"/>
      <c r="H1589" s="267"/>
      <c r="I1589" s="250"/>
      <c r="J1589" s="263"/>
      <c r="K1589" s="137"/>
      <c r="L1589" s="137"/>
      <c r="M1589" s="137"/>
      <c r="N1589" s="138"/>
      <c r="O1589" s="167"/>
      <c r="P1589" s="111"/>
      <c r="Q1589" s="111"/>
      <c r="R1589" s="111"/>
      <c r="S1589" s="111"/>
      <c r="T1589" s="111"/>
      <c r="U1589" s="111"/>
      <c r="V1589" s="111"/>
      <c r="W1589" s="111"/>
      <c r="X1589" s="111"/>
      <c r="Y1589" s="111"/>
      <c r="Z1589" s="111"/>
      <c r="AA1589" s="111"/>
    </row>
    <row r="1590" spans="1:27" s="147" customFormat="1" x14ac:dyDescent="0.2">
      <c r="A1590" s="184"/>
      <c r="B1590" s="184"/>
      <c r="C1590" s="185"/>
      <c r="D1590" s="337"/>
      <c r="E1590" s="184"/>
      <c r="F1590" s="338"/>
      <c r="G1590" s="338"/>
      <c r="H1590" s="338"/>
      <c r="I1590" s="257"/>
      <c r="J1590" s="338"/>
      <c r="K1590" s="131">
        <f>J1592</f>
        <v>0</v>
      </c>
      <c r="L1590" s="131">
        <v>14.55</v>
      </c>
      <c r="M1590" s="131">
        <f>ROUND(L1590*(1+$Q$5),2)</f>
        <v>18.41</v>
      </c>
      <c r="N1590" s="133">
        <f>TRUNC(K1590*M1590,2)</f>
        <v>0</v>
      </c>
      <c r="O1590" s="286"/>
      <c r="P1590" s="146"/>
      <c r="Q1590" s="146"/>
      <c r="R1590" s="146"/>
      <c r="S1590" s="146"/>
      <c r="T1590" s="146"/>
      <c r="U1590" s="146"/>
      <c r="V1590" s="146"/>
      <c r="W1590" s="146"/>
      <c r="X1590" s="146"/>
      <c r="Y1590" s="146"/>
      <c r="Z1590" s="146"/>
      <c r="AA1590" s="146"/>
    </row>
    <row r="1591" spans="1:27" s="118" customFormat="1" x14ac:dyDescent="0.2">
      <c r="A1591" s="10"/>
      <c r="B1591" s="10"/>
      <c r="C1591" s="191"/>
      <c r="D1591" s="115"/>
      <c r="E1591" s="158"/>
      <c r="F1591" s="267"/>
      <c r="G1591" s="267"/>
      <c r="H1591" s="267"/>
      <c r="I1591" s="250"/>
      <c r="J1591" s="267"/>
      <c r="K1591" s="137"/>
      <c r="L1591" s="137"/>
      <c r="M1591" s="137"/>
      <c r="N1591" s="138"/>
      <c r="O1591" s="167"/>
      <c r="P1591" s="111"/>
      <c r="Q1591" s="111"/>
      <c r="R1591" s="111"/>
      <c r="S1591" s="111"/>
      <c r="T1591" s="111"/>
      <c r="U1591" s="111"/>
      <c r="V1591" s="111"/>
      <c r="W1591" s="111"/>
      <c r="X1591" s="111"/>
      <c r="Y1591" s="111"/>
      <c r="Z1591" s="111"/>
      <c r="AA1591" s="111"/>
    </row>
    <row r="1592" spans="1:27" s="118" customFormat="1" x14ac:dyDescent="0.2">
      <c r="A1592" s="10"/>
      <c r="B1592" s="10"/>
      <c r="C1592" s="190"/>
      <c r="D1592" s="110"/>
      <c r="E1592" s="158"/>
      <c r="F1592" s="267"/>
      <c r="G1592" s="267"/>
      <c r="H1592" s="267"/>
      <c r="I1592" s="250"/>
      <c r="J1592" s="338"/>
      <c r="K1592" s="137"/>
      <c r="L1592" s="137"/>
      <c r="M1592" s="137"/>
      <c r="N1592" s="138"/>
      <c r="O1592" s="167"/>
      <c r="P1592" s="111"/>
      <c r="Q1592" s="111"/>
      <c r="R1592" s="111"/>
      <c r="S1592" s="111"/>
      <c r="T1592" s="111"/>
      <c r="U1592" s="111"/>
      <c r="V1592" s="111"/>
      <c r="W1592" s="111"/>
      <c r="X1592" s="111"/>
      <c r="Y1592" s="111"/>
      <c r="Z1592" s="111"/>
      <c r="AA1592" s="111"/>
    </row>
    <row r="1593" spans="1:27" s="118" customFormat="1" x14ac:dyDescent="0.2">
      <c r="A1593" s="10"/>
      <c r="B1593" s="10"/>
      <c r="C1593" s="191"/>
      <c r="D1593" s="110"/>
      <c r="E1593" s="158"/>
      <c r="F1593" s="267"/>
      <c r="G1593" s="267"/>
      <c r="H1593" s="267"/>
      <c r="I1593" s="250"/>
      <c r="J1593" s="263"/>
      <c r="K1593" s="137"/>
      <c r="L1593" s="137"/>
      <c r="M1593" s="137"/>
      <c r="N1593" s="138"/>
      <c r="O1593" s="167"/>
      <c r="P1593" s="111"/>
      <c r="Q1593" s="111"/>
      <c r="R1593" s="111"/>
      <c r="S1593" s="111"/>
      <c r="T1593" s="111"/>
      <c r="U1593" s="111"/>
      <c r="V1593" s="111"/>
      <c r="W1593" s="111"/>
      <c r="X1593" s="111"/>
      <c r="Y1593" s="111"/>
      <c r="Z1593" s="111"/>
      <c r="AA1593" s="111"/>
    </row>
    <row r="1594" spans="1:27" s="145" customFormat="1" x14ac:dyDescent="0.2">
      <c r="A1594" s="192"/>
      <c r="B1594" s="192"/>
      <c r="C1594" s="193"/>
      <c r="D1594" s="336"/>
      <c r="E1594" s="192"/>
      <c r="F1594" s="269"/>
      <c r="G1594" s="269"/>
      <c r="H1594" s="269"/>
      <c r="I1594" s="254"/>
      <c r="J1594" s="269"/>
      <c r="K1594" s="142"/>
      <c r="L1594" s="142"/>
      <c r="M1594" s="142"/>
      <c r="N1594" s="143">
        <f>SUM(N1596:N1611)</f>
        <v>0</v>
      </c>
      <c r="O1594" s="285"/>
      <c r="P1594" s="144"/>
      <c r="Q1594" s="144"/>
      <c r="R1594" s="144"/>
      <c r="S1594" s="144"/>
      <c r="T1594" s="144"/>
      <c r="U1594" s="144"/>
      <c r="V1594" s="144"/>
      <c r="W1594" s="144"/>
      <c r="X1594" s="144"/>
      <c r="Y1594" s="144"/>
      <c r="Z1594" s="144"/>
      <c r="AA1594" s="144"/>
    </row>
    <row r="1595" spans="1:27" s="118" customFormat="1" x14ac:dyDescent="0.2">
      <c r="A1595" s="10"/>
      <c r="B1595" s="10"/>
      <c r="C1595" s="191"/>
      <c r="D1595" s="110"/>
      <c r="E1595" s="158"/>
      <c r="F1595" s="267"/>
      <c r="G1595" s="267"/>
      <c r="H1595" s="267"/>
      <c r="I1595" s="250"/>
      <c r="J1595" s="263"/>
      <c r="K1595" s="137"/>
      <c r="L1595" s="137"/>
      <c r="M1595" s="137"/>
      <c r="N1595" s="138"/>
      <c r="O1595" s="167"/>
      <c r="P1595" s="111"/>
      <c r="Q1595" s="111"/>
      <c r="R1595" s="111"/>
      <c r="S1595" s="111"/>
      <c r="T1595" s="111"/>
      <c r="U1595" s="111"/>
      <c r="V1595" s="111"/>
      <c r="W1595" s="111"/>
      <c r="X1595" s="111"/>
      <c r="Y1595" s="111"/>
      <c r="Z1595" s="111"/>
      <c r="AA1595" s="111"/>
    </row>
    <row r="1596" spans="1:27" s="147" customFormat="1" x14ac:dyDescent="0.2">
      <c r="A1596" s="184"/>
      <c r="B1596" s="184"/>
      <c r="C1596" s="185"/>
      <c r="D1596" s="337"/>
      <c r="E1596" s="184"/>
      <c r="F1596" s="338"/>
      <c r="G1596" s="338"/>
      <c r="H1596" s="338"/>
      <c r="I1596" s="257"/>
      <c r="J1596" s="338"/>
      <c r="K1596" s="131">
        <f>J1599</f>
        <v>0</v>
      </c>
      <c r="L1596" s="131">
        <f>'COMPOSICOES - SINAPI COM DESON'!G18</f>
        <v>5.79</v>
      </c>
      <c r="M1596" s="131">
        <f>ROUND(L1596*(1+$Q$5),2)</f>
        <v>7.33</v>
      </c>
      <c r="N1596" s="133">
        <f>TRUNC(K1596*M1596,2)</f>
        <v>0</v>
      </c>
      <c r="O1596" s="286"/>
      <c r="P1596" s="146"/>
      <c r="Q1596" s="146"/>
      <c r="R1596" s="146"/>
      <c r="S1596" s="146"/>
      <c r="T1596" s="146"/>
      <c r="U1596" s="146"/>
      <c r="V1596" s="146"/>
      <c r="W1596" s="146"/>
      <c r="X1596" s="146"/>
      <c r="Y1596" s="146"/>
      <c r="Z1596" s="146"/>
      <c r="AA1596" s="146"/>
    </row>
    <row r="1597" spans="1:27" s="118" customFormat="1" x14ac:dyDescent="0.2">
      <c r="A1597" s="10"/>
      <c r="B1597" s="10"/>
      <c r="C1597" s="191"/>
      <c r="D1597" s="353"/>
      <c r="E1597" s="191"/>
      <c r="F1597" s="354"/>
      <c r="G1597" s="354"/>
      <c r="H1597" s="339"/>
      <c r="I1597" s="339"/>
      <c r="J1597" s="267"/>
      <c r="K1597" s="137"/>
      <c r="L1597" s="137"/>
      <c r="M1597" s="137"/>
      <c r="N1597" s="138"/>
      <c r="O1597" s="167"/>
      <c r="P1597" s="111"/>
      <c r="Q1597" s="111"/>
      <c r="R1597" s="111"/>
      <c r="S1597" s="111"/>
      <c r="T1597" s="111"/>
      <c r="U1597" s="111"/>
      <c r="V1597" s="111"/>
      <c r="W1597" s="111"/>
      <c r="X1597" s="111"/>
      <c r="Y1597" s="111"/>
      <c r="Z1597" s="111"/>
      <c r="AA1597" s="111"/>
    </row>
    <row r="1598" spans="1:27" s="118" customFormat="1" x14ac:dyDescent="0.2">
      <c r="A1598" s="10"/>
      <c r="B1598" s="10"/>
      <c r="C1598" s="191"/>
      <c r="D1598" s="353"/>
      <c r="E1598" s="191"/>
      <c r="F1598" s="354"/>
      <c r="G1598" s="354"/>
      <c r="H1598" s="339"/>
      <c r="I1598" s="339"/>
      <c r="J1598" s="267"/>
      <c r="K1598" s="137"/>
      <c r="L1598" s="137"/>
      <c r="M1598" s="137"/>
      <c r="N1598" s="138"/>
      <c r="O1598" s="167"/>
      <c r="P1598" s="111"/>
      <c r="Q1598" s="111"/>
      <c r="R1598" s="111"/>
      <c r="S1598" s="111"/>
      <c r="T1598" s="111"/>
      <c r="U1598" s="111"/>
      <c r="V1598" s="111"/>
      <c r="W1598" s="111"/>
      <c r="X1598" s="111"/>
      <c r="Y1598" s="111"/>
      <c r="Z1598" s="111"/>
      <c r="AA1598" s="111"/>
    </row>
    <row r="1599" spans="1:27" s="118" customFormat="1" x14ac:dyDescent="0.2">
      <c r="A1599" s="10"/>
      <c r="B1599" s="10"/>
      <c r="C1599" s="190"/>
      <c r="D1599" s="110"/>
      <c r="E1599" s="158"/>
      <c r="F1599" s="267"/>
      <c r="G1599" s="267"/>
      <c r="H1599" s="267"/>
      <c r="I1599" s="250"/>
      <c r="J1599" s="338"/>
      <c r="K1599" s="137"/>
      <c r="L1599" s="137"/>
      <c r="M1599" s="137"/>
      <c r="N1599" s="138"/>
      <c r="O1599" s="167"/>
      <c r="P1599" s="111"/>
      <c r="Q1599" s="111"/>
      <c r="R1599" s="111"/>
      <c r="S1599" s="111"/>
      <c r="T1599" s="111"/>
      <c r="U1599" s="111"/>
      <c r="V1599" s="111"/>
      <c r="W1599" s="111"/>
      <c r="X1599" s="111"/>
      <c r="Y1599" s="111"/>
      <c r="Z1599" s="111"/>
      <c r="AA1599" s="111"/>
    </row>
    <row r="1600" spans="1:27" s="118" customFormat="1" x14ac:dyDescent="0.2">
      <c r="A1600" s="10"/>
      <c r="B1600" s="10"/>
      <c r="C1600" s="191"/>
      <c r="D1600" s="110"/>
      <c r="E1600" s="158"/>
      <c r="F1600" s="267"/>
      <c r="G1600" s="267"/>
      <c r="H1600" s="267"/>
      <c r="I1600" s="250"/>
      <c r="J1600" s="263"/>
      <c r="K1600" s="137"/>
      <c r="L1600" s="137"/>
      <c r="M1600" s="137"/>
      <c r="N1600" s="138"/>
      <c r="O1600" s="167"/>
      <c r="P1600" s="111"/>
      <c r="Q1600" s="111"/>
      <c r="R1600" s="111"/>
      <c r="S1600" s="111"/>
      <c r="T1600" s="111"/>
      <c r="U1600" s="111"/>
      <c r="V1600" s="111"/>
      <c r="W1600" s="111"/>
      <c r="X1600" s="111"/>
      <c r="Y1600" s="111"/>
      <c r="Z1600" s="111"/>
      <c r="AA1600" s="111"/>
    </row>
    <row r="1601" spans="1:27" s="147" customFormat="1" x14ac:dyDescent="0.2">
      <c r="A1601" s="184"/>
      <c r="B1601" s="184"/>
      <c r="C1601" s="344"/>
      <c r="D1601" s="337"/>
      <c r="E1601" s="184"/>
      <c r="F1601" s="338"/>
      <c r="G1601" s="338"/>
      <c r="H1601" s="338"/>
      <c r="I1601" s="257"/>
      <c r="J1601" s="338"/>
      <c r="K1601" s="131">
        <f>J1611</f>
        <v>0</v>
      </c>
      <c r="L1601" s="131">
        <v>59.97</v>
      </c>
      <c r="M1601" s="131">
        <f>ROUND(L1601*(1+$Q$5),2)</f>
        <v>75.88</v>
      </c>
      <c r="N1601" s="133">
        <f>TRUNC(K1601*M1601,2)</f>
        <v>0</v>
      </c>
      <c r="O1601" s="286"/>
      <c r="P1601" s="146"/>
      <c r="Q1601" s="146"/>
      <c r="R1601" s="146"/>
      <c r="S1601" s="146"/>
      <c r="T1601" s="146"/>
      <c r="U1601" s="146"/>
      <c r="V1601" s="146"/>
      <c r="W1601" s="146"/>
      <c r="X1601" s="146"/>
      <c r="Y1601" s="146"/>
      <c r="Z1601" s="146"/>
      <c r="AA1601" s="146"/>
    </row>
    <row r="1602" spans="1:27" s="118" customFormat="1" x14ac:dyDescent="0.2">
      <c r="A1602" s="10"/>
      <c r="B1602" s="10"/>
      <c r="C1602" s="191"/>
      <c r="D1602" s="191"/>
      <c r="E1602" s="191"/>
      <c r="F1602" s="354"/>
      <c r="G1602" s="353"/>
      <c r="H1602" s="267"/>
      <c r="I1602" s="339"/>
      <c r="J1602" s="267"/>
      <c r="K1602" s="137"/>
      <c r="L1602" s="137"/>
      <c r="M1602" s="137"/>
      <c r="N1602" s="138"/>
      <c r="O1602" s="167"/>
      <c r="P1602" s="111"/>
      <c r="Q1602" s="111"/>
      <c r="R1602" s="111"/>
      <c r="S1602" s="111"/>
      <c r="T1602" s="111"/>
      <c r="U1602" s="111"/>
      <c r="V1602" s="111"/>
      <c r="W1602" s="111"/>
      <c r="X1602" s="111"/>
      <c r="Y1602" s="111"/>
      <c r="Z1602" s="111"/>
      <c r="AA1602" s="111"/>
    </row>
    <row r="1603" spans="1:27" s="118" customFormat="1" x14ac:dyDescent="0.2">
      <c r="A1603" s="10"/>
      <c r="B1603" s="10"/>
      <c r="C1603" s="191"/>
      <c r="D1603" s="191"/>
      <c r="E1603" s="191"/>
      <c r="F1603" s="354"/>
      <c r="G1603" s="353"/>
      <c r="H1603" s="267"/>
      <c r="I1603" s="339"/>
      <c r="J1603" s="267"/>
      <c r="K1603" s="137"/>
      <c r="L1603" s="137"/>
      <c r="M1603" s="137"/>
      <c r="N1603" s="138"/>
      <c r="O1603" s="167"/>
      <c r="P1603" s="111"/>
      <c r="Q1603" s="111"/>
      <c r="R1603" s="111"/>
      <c r="S1603" s="111"/>
      <c r="T1603" s="111"/>
      <c r="U1603" s="111"/>
      <c r="V1603" s="111"/>
      <c r="W1603" s="111"/>
      <c r="X1603" s="111"/>
      <c r="Y1603" s="111"/>
      <c r="Z1603" s="111"/>
      <c r="AA1603" s="111"/>
    </row>
    <row r="1604" spans="1:27" s="118" customFormat="1" x14ac:dyDescent="0.2">
      <c r="A1604" s="10"/>
      <c r="B1604" s="10"/>
      <c r="C1604" s="191"/>
      <c r="D1604" s="342"/>
      <c r="E1604" s="191"/>
      <c r="F1604" s="354"/>
      <c r="G1604" s="354"/>
      <c r="H1604" s="339"/>
      <c r="I1604" s="339"/>
      <c r="J1604" s="267"/>
      <c r="K1604" s="137"/>
      <c r="L1604" s="137"/>
      <c r="M1604" s="137"/>
      <c r="N1604" s="138"/>
      <c r="O1604" s="167"/>
      <c r="P1604" s="111"/>
      <c r="Q1604" s="111"/>
      <c r="R1604" s="111"/>
      <c r="S1604" s="111"/>
      <c r="T1604" s="111"/>
      <c r="U1604" s="111"/>
      <c r="V1604" s="111"/>
      <c r="W1604" s="111"/>
      <c r="X1604" s="111"/>
      <c r="Y1604" s="111"/>
      <c r="Z1604" s="111"/>
      <c r="AA1604" s="111"/>
    </row>
    <row r="1605" spans="1:27" s="118" customFormat="1" x14ac:dyDescent="0.2">
      <c r="A1605" s="10"/>
      <c r="B1605" s="10"/>
      <c r="C1605" s="191"/>
      <c r="D1605" s="355"/>
      <c r="E1605" s="191"/>
      <c r="F1605" s="354"/>
      <c r="G1605" s="354"/>
      <c r="H1605" s="339"/>
      <c r="I1605" s="339"/>
      <c r="J1605" s="267"/>
      <c r="K1605" s="137"/>
      <c r="L1605" s="137"/>
      <c r="M1605" s="137"/>
      <c r="N1605" s="138"/>
      <c r="O1605" s="167"/>
      <c r="P1605" s="111"/>
      <c r="Q1605" s="111"/>
      <c r="R1605" s="111"/>
      <c r="S1605" s="111"/>
      <c r="T1605" s="111"/>
      <c r="U1605" s="111"/>
      <c r="V1605" s="111"/>
      <c r="W1605" s="111"/>
      <c r="X1605" s="111"/>
      <c r="Y1605" s="111"/>
      <c r="Z1605" s="111"/>
      <c r="AA1605" s="111"/>
    </row>
    <row r="1606" spans="1:27" s="118" customFormat="1" x14ac:dyDescent="0.2">
      <c r="A1606" s="10"/>
      <c r="B1606" s="10"/>
      <c r="C1606" s="191"/>
      <c r="D1606" s="355"/>
      <c r="E1606" s="191"/>
      <c r="F1606" s="354"/>
      <c r="G1606" s="354"/>
      <c r="H1606" s="339"/>
      <c r="I1606" s="339"/>
      <c r="J1606" s="267"/>
      <c r="K1606" s="137"/>
      <c r="L1606" s="137"/>
      <c r="M1606" s="137"/>
      <c r="N1606" s="138"/>
      <c r="O1606" s="167"/>
      <c r="P1606" s="111"/>
      <c r="Q1606" s="111"/>
      <c r="R1606" s="111"/>
      <c r="S1606" s="111"/>
      <c r="T1606" s="111"/>
      <c r="U1606" s="111"/>
      <c r="V1606" s="111"/>
      <c r="W1606" s="111"/>
      <c r="X1606" s="111"/>
      <c r="Y1606" s="111"/>
      <c r="Z1606" s="111"/>
      <c r="AA1606" s="111"/>
    </row>
    <row r="1607" spans="1:27" s="118" customFormat="1" x14ac:dyDescent="0.2">
      <c r="A1607" s="10"/>
      <c r="B1607" s="10"/>
      <c r="C1607" s="191"/>
      <c r="D1607" s="355"/>
      <c r="E1607" s="191"/>
      <c r="F1607" s="354"/>
      <c r="G1607" s="354"/>
      <c r="H1607" s="339"/>
      <c r="I1607" s="339"/>
      <c r="J1607" s="267"/>
      <c r="K1607" s="137"/>
      <c r="L1607" s="137"/>
      <c r="M1607" s="137"/>
      <c r="N1607" s="138"/>
      <c r="O1607" s="167"/>
      <c r="P1607" s="111"/>
      <c r="Q1607" s="111"/>
      <c r="R1607" s="111"/>
      <c r="S1607" s="111"/>
      <c r="T1607" s="111"/>
      <c r="U1607" s="111"/>
      <c r="V1607" s="111"/>
      <c r="W1607" s="111"/>
      <c r="X1607" s="111"/>
      <c r="Y1607" s="111"/>
      <c r="Z1607" s="111"/>
      <c r="AA1607" s="111"/>
    </row>
    <row r="1608" spans="1:27" s="118" customFormat="1" x14ac:dyDescent="0.2">
      <c r="A1608" s="10"/>
      <c r="B1608" s="10"/>
      <c r="C1608" s="191"/>
      <c r="D1608" s="355"/>
      <c r="E1608" s="191"/>
      <c r="F1608" s="354"/>
      <c r="G1608" s="354"/>
      <c r="H1608" s="339"/>
      <c r="I1608" s="339"/>
      <c r="J1608" s="267"/>
      <c r="K1608" s="137"/>
      <c r="L1608" s="137"/>
      <c r="M1608" s="137"/>
      <c r="N1608" s="138"/>
      <c r="O1608" s="167"/>
      <c r="P1608" s="111"/>
      <c r="Q1608" s="111"/>
      <c r="R1608" s="111"/>
      <c r="S1608" s="111"/>
      <c r="T1608" s="111"/>
      <c r="U1608" s="111"/>
      <c r="V1608" s="111"/>
      <c r="W1608" s="111"/>
      <c r="X1608" s="111"/>
      <c r="Y1608" s="111"/>
      <c r="Z1608" s="111"/>
      <c r="AA1608" s="111"/>
    </row>
    <row r="1609" spans="1:27" s="118" customFormat="1" x14ac:dyDescent="0.2">
      <c r="A1609" s="10"/>
      <c r="B1609" s="10"/>
      <c r="C1609" s="191"/>
      <c r="D1609" s="355"/>
      <c r="E1609" s="191"/>
      <c r="F1609" s="354"/>
      <c r="G1609" s="354"/>
      <c r="H1609" s="339"/>
      <c r="I1609" s="339"/>
      <c r="J1609" s="267"/>
      <c r="K1609" s="137"/>
      <c r="L1609" s="137"/>
      <c r="M1609" s="137"/>
      <c r="N1609" s="138"/>
      <c r="O1609" s="167"/>
      <c r="P1609" s="111"/>
      <c r="Q1609" s="111"/>
      <c r="R1609" s="111"/>
      <c r="S1609" s="111"/>
      <c r="T1609" s="111"/>
      <c r="U1609" s="111"/>
      <c r="V1609" s="111"/>
      <c r="W1609" s="111"/>
      <c r="X1609" s="111"/>
      <c r="Y1609" s="111"/>
      <c r="Z1609" s="111"/>
      <c r="AA1609" s="111"/>
    </row>
    <row r="1610" spans="1:27" s="118" customFormat="1" x14ac:dyDescent="0.2">
      <c r="A1610" s="10"/>
      <c r="B1610" s="10"/>
      <c r="C1610" s="191"/>
      <c r="D1610" s="355"/>
      <c r="E1610" s="191"/>
      <c r="F1610" s="354"/>
      <c r="G1610" s="354"/>
      <c r="H1610" s="339"/>
      <c r="I1610" s="339"/>
      <c r="J1610" s="267"/>
      <c r="K1610" s="137"/>
      <c r="L1610" s="137"/>
      <c r="M1610" s="137"/>
      <c r="N1610" s="138"/>
      <c r="O1610" s="167"/>
      <c r="P1610" s="111"/>
      <c r="Q1610" s="111"/>
      <c r="R1610" s="111"/>
      <c r="S1610" s="111"/>
      <c r="T1610" s="111"/>
      <c r="U1610" s="111"/>
      <c r="V1610" s="111"/>
      <c r="W1610" s="111"/>
      <c r="X1610" s="111"/>
      <c r="Y1610" s="111"/>
      <c r="Z1610" s="111"/>
      <c r="AA1610" s="111"/>
    </row>
    <row r="1611" spans="1:27" s="118" customFormat="1" x14ac:dyDescent="0.2">
      <c r="A1611" s="10"/>
      <c r="B1611" s="10"/>
      <c r="C1611" s="190"/>
      <c r="D1611" s="110"/>
      <c r="E1611" s="158"/>
      <c r="F1611" s="339"/>
      <c r="G1611" s="267"/>
      <c r="H1611" s="267"/>
      <c r="I1611" s="250"/>
      <c r="J1611" s="338"/>
      <c r="K1611" s="137"/>
      <c r="L1611" s="137"/>
      <c r="M1611" s="137"/>
      <c r="N1611" s="138"/>
      <c r="O1611" s="167"/>
      <c r="P1611" s="111"/>
      <c r="Q1611" s="111"/>
      <c r="R1611" s="111"/>
      <c r="S1611" s="111"/>
      <c r="T1611" s="111"/>
      <c r="U1611" s="111"/>
      <c r="V1611" s="111"/>
      <c r="W1611" s="111"/>
      <c r="X1611" s="111"/>
      <c r="Y1611" s="111"/>
      <c r="Z1611" s="111"/>
      <c r="AA1611" s="111"/>
    </row>
    <row r="1612" spans="1:27" s="161" customFormat="1" x14ac:dyDescent="0.2">
      <c r="A1612" s="10"/>
      <c r="B1612" s="10"/>
      <c r="C1612" s="157"/>
      <c r="D1612" s="110"/>
      <c r="E1612" s="158"/>
      <c r="F1612" s="267"/>
      <c r="G1612" s="267"/>
      <c r="H1612" s="267"/>
      <c r="I1612" s="250"/>
      <c r="J1612" s="266"/>
      <c r="K1612" s="151"/>
      <c r="L1612" s="151"/>
      <c r="M1612" s="151"/>
      <c r="N1612" s="152"/>
      <c r="O1612" s="167"/>
      <c r="P1612" s="114"/>
      <c r="Q1612" s="114"/>
      <c r="R1612" s="114"/>
      <c r="S1612" s="114"/>
      <c r="T1612" s="114"/>
      <c r="U1612" s="114"/>
      <c r="V1612" s="114"/>
      <c r="W1612" s="114"/>
      <c r="X1612" s="114"/>
      <c r="Y1612" s="114"/>
      <c r="Z1612" s="114"/>
      <c r="AA1612" s="114"/>
    </row>
    <row r="1613" spans="1:27" s="145" customFormat="1" x14ac:dyDescent="0.2">
      <c r="A1613" s="192"/>
      <c r="B1613" s="192"/>
      <c r="C1613" s="193"/>
      <c r="D1613" s="336"/>
      <c r="E1613" s="192"/>
      <c r="F1613" s="269"/>
      <c r="G1613" s="269"/>
      <c r="H1613" s="269"/>
      <c r="I1613" s="254"/>
      <c r="J1613" s="269"/>
      <c r="K1613" s="142"/>
      <c r="L1613" s="142"/>
      <c r="M1613" s="142"/>
      <c r="N1613" s="143">
        <f>SUM(N1614:N1659)</f>
        <v>0</v>
      </c>
      <c r="O1613" s="306"/>
      <c r="P1613" s="144"/>
      <c r="Q1613" s="144"/>
      <c r="R1613" s="144"/>
      <c r="S1613" s="144"/>
      <c r="T1613" s="144"/>
      <c r="U1613" s="144"/>
      <c r="V1613" s="144"/>
      <c r="W1613" s="144"/>
      <c r="X1613" s="144"/>
      <c r="Y1613" s="144"/>
      <c r="Z1613" s="144"/>
      <c r="AA1613" s="144"/>
    </row>
    <row r="1614" spans="1:27" s="118" customFormat="1" x14ac:dyDescent="0.2">
      <c r="A1614" s="10"/>
      <c r="B1614" s="10"/>
      <c r="C1614" s="157"/>
      <c r="D1614" s="110"/>
      <c r="E1614" s="158"/>
      <c r="F1614" s="267"/>
      <c r="G1614" s="267"/>
      <c r="H1614" s="267"/>
      <c r="I1614" s="250"/>
      <c r="J1614" s="266"/>
      <c r="K1614" s="137"/>
      <c r="L1614" s="137"/>
      <c r="M1614" s="137"/>
      <c r="N1614" s="138"/>
      <c r="O1614" s="123"/>
      <c r="P1614" s="111"/>
      <c r="Q1614" s="111"/>
      <c r="R1614" s="111"/>
      <c r="S1614" s="111"/>
      <c r="T1614" s="111"/>
      <c r="U1614" s="111"/>
      <c r="V1614" s="111"/>
      <c r="W1614" s="111"/>
      <c r="X1614" s="111"/>
      <c r="Y1614" s="111"/>
      <c r="Z1614" s="111"/>
      <c r="AA1614" s="111"/>
    </row>
    <row r="1615" spans="1:27" s="233" customFormat="1" x14ac:dyDescent="0.2">
      <c r="A1615" s="348"/>
      <c r="B1615" s="348"/>
      <c r="C1615" s="349"/>
      <c r="D1615" s="350"/>
      <c r="E1615" s="348"/>
      <c r="F1615" s="351"/>
      <c r="G1615" s="351"/>
      <c r="H1615" s="351"/>
      <c r="I1615" s="352"/>
      <c r="J1615" s="351"/>
      <c r="K1615" s="230"/>
      <c r="L1615" s="230"/>
      <c r="M1615" s="230"/>
      <c r="N1615" s="231"/>
      <c r="O1615" s="290" t="s">
        <v>955</v>
      </c>
      <c r="P1615" s="232"/>
      <c r="Q1615" s="232"/>
      <c r="R1615" s="232"/>
      <c r="S1615" s="232"/>
      <c r="T1615" s="232"/>
      <c r="U1615" s="232"/>
      <c r="V1615" s="232"/>
      <c r="W1615" s="232"/>
      <c r="X1615" s="232"/>
      <c r="Y1615" s="232"/>
      <c r="Z1615" s="232"/>
      <c r="AA1615" s="232"/>
    </row>
    <row r="1616" spans="1:27" s="118" customFormat="1" x14ac:dyDescent="0.2">
      <c r="A1616" s="10"/>
      <c r="B1616" s="10"/>
      <c r="C1616" s="157"/>
      <c r="D1616" s="110"/>
      <c r="E1616" s="158"/>
      <c r="F1616" s="267"/>
      <c r="G1616" s="267"/>
      <c r="H1616" s="267"/>
      <c r="I1616" s="250"/>
      <c r="J1616" s="266"/>
      <c r="K1616" s="137"/>
      <c r="L1616" s="137"/>
      <c r="M1616" s="137"/>
      <c r="N1616" s="138"/>
      <c r="O1616" s="123"/>
      <c r="P1616" s="111"/>
      <c r="Q1616" s="111"/>
      <c r="R1616" s="111"/>
      <c r="S1616" s="111"/>
      <c r="T1616" s="111"/>
      <c r="U1616" s="111"/>
      <c r="V1616" s="111"/>
      <c r="W1616" s="111"/>
      <c r="X1616" s="111"/>
      <c r="Y1616" s="111"/>
      <c r="Z1616" s="111"/>
      <c r="AA1616" s="111"/>
    </row>
    <row r="1617" spans="1:27" s="147" customFormat="1" x14ac:dyDescent="0.2">
      <c r="A1617" s="184"/>
      <c r="B1617" s="184"/>
      <c r="C1617" s="185"/>
      <c r="D1617" s="337"/>
      <c r="E1617" s="184"/>
      <c r="F1617" s="338"/>
      <c r="G1617" s="338"/>
      <c r="H1617" s="338"/>
      <c r="I1617" s="257"/>
      <c r="J1617" s="338"/>
      <c r="K1617" s="131">
        <f>J1620</f>
        <v>0</v>
      </c>
      <c r="L1617" s="106">
        <v>18.440000000000001</v>
      </c>
      <c r="M1617" s="131">
        <f>ROUND(L1617*(1+$Q$5),2)</f>
        <v>23.33</v>
      </c>
      <c r="N1617" s="133">
        <f>TRUNC(K1617*M1617,2)</f>
        <v>0</v>
      </c>
      <c r="O1617" s="291"/>
      <c r="P1617" s="146"/>
      <c r="Q1617" s="146"/>
      <c r="R1617" s="146"/>
      <c r="S1617" s="146"/>
      <c r="T1617" s="146"/>
      <c r="U1617" s="146"/>
      <c r="V1617" s="146"/>
      <c r="W1617" s="146"/>
      <c r="X1617" s="146"/>
      <c r="Y1617" s="146"/>
      <c r="Z1617" s="146"/>
      <c r="AA1617" s="146"/>
    </row>
    <row r="1618" spans="1:27" s="118" customFormat="1" x14ac:dyDescent="0.2">
      <c r="A1618" s="10"/>
      <c r="B1618" s="10"/>
      <c r="C1618" s="191"/>
      <c r="D1618" s="115"/>
      <c r="E1618" s="158"/>
      <c r="F1618" s="267"/>
      <c r="G1618" s="267"/>
      <c r="H1618" s="267"/>
      <c r="I1618" s="339"/>
      <c r="J1618" s="267"/>
      <c r="K1618" s="137"/>
      <c r="L1618" s="137"/>
      <c r="M1618" s="137"/>
      <c r="N1618" s="138"/>
      <c r="O1618" s="123"/>
      <c r="P1618" s="111"/>
      <c r="Q1618" s="111"/>
      <c r="R1618" s="111"/>
      <c r="S1618" s="111"/>
      <c r="T1618" s="111"/>
      <c r="U1618" s="111"/>
      <c r="V1618" s="111"/>
      <c r="W1618" s="111"/>
      <c r="X1618" s="111"/>
      <c r="Y1618" s="111"/>
      <c r="Z1618" s="111"/>
      <c r="AA1618" s="111"/>
    </row>
    <row r="1619" spans="1:27" s="118" customFormat="1" x14ac:dyDescent="0.2">
      <c r="A1619" s="10"/>
      <c r="B1619" s="10"/>
      <c r="C1619" s="191"/>
      <c r="D1619" s="115"/>
      <c r="E1619" s="158"/>
      <c r="F1619" s="267"/>
      <c r="G1619" s="267"/>
      <c r="H1619" s="267"/>
      <c r="I1619" s="339"/>
      <c r="J1619" s="267"/>
      <c r="K1619" s="137"/>
      <c r="L1619" s="137"/>
      <c r="M1619" s="137"/>
      <c r="N1619" s="138"/>
      <c r="O1619" s="123"/>
      <c r="P1619" s="111"/>
      <c r="Q1619" s="111"/>
      <c r="R1619" s="111"/>
      <c r="S1619" s="111"/>
      <c r="T1619" s="111"/>
      <c r="U1619" s="111"/>
      <c r="V1619" s="111"/>
      <c r="W1619" s="111"/>
      <c r="X1619" s="111"/>
      <c r="Y1619" s="111"/>
      <c r="Z1619" s="111"/>
      <c r="AA1619" s="111"/>
    </row>
    <row r="1620" spans="1:27" s="118" customFormat="1" x14ac:dyDescent="0.2">
      <c r="A1620" s="10"/>
      <c r="B1620" s="10"/>
      <c r="C1620" s="190"/>
      <c r="D1620" s="110"/>
      <c r="E1620" s="158"/>
      <c r="F1620" s="267"/>
      <c r="G1620" s="267"/>
      <c r="H1620" s="267"/>
      <c r="I1620" s="250"/>
      <c r="J1620" s="338"/>
      <c r="K1620" s="137"/>
      <c r="L1620" s="137"/>
      <c r="M1620" s="137"/>
      <c r="N1620" s="138"/>
      <c r="O1620" s="123"/>
      <c r="P1620" s="111"/>
      <c r="Q1620" s="111"/>
      <c r="R1620" s="111"/>
      <c r="S1620" s="111"/>
      <c r="T1620" s="111"/>
      <c r="U1620" s="111"/>
      <c r="V1620" s="111"/>
      <c r="W1620" s="111"/>
      <c r="X1620" s="111"/>
      <c r="Y1620" s="111"/>
      <c r="Z1620" s="111"/>
      <c r="AA1620" s="111"/>
    </row>
    <row r="1621" spans="1:27" s="118" customFormat="1" x14ac:dyDescent="0.2">
      <c r="A1621" s="10"/>
      <c r="B1621" s="10"/>
      <c r="C1621" s="157"/>
      <c r="D1621" s="110"/>
      <c r="E1621" s="158"/>
      <c r="F1621" s="267"/>
      <c r="G1621" s="267"/>
      <c r="H1621" s="267"/>
      <c r="I1621" s="250"/>
      <c r="J1621" s="266"/>
      <c r="K1621" s="137"/>
      <c r="L1621" s="137"/>
      <c r="M1621" s="137"/>
      <c r="N1621" s="138"/>
      <c r="O1621" s="123"/>
      <c r="P1621" s="111"/>
      <c r="Q1621" s="111"/>
      <c r="R1621" s="111"/>
      <c r="S1621" s="111"/>
      <c r="T1621" s="111"/>
      <c r="U1621" s="111"/>
      <c r="V1621" s="111"/>
      <c r="W1621" s="111"/>
      <c r="X1621" s="111"/>
      <c r="Y1621" s="111"/>
      <c r="Z1621" s="111"/>
      <c r="AA1621" s="111"/>
    </row>
    <row r="1622" spans="1:27" s="147" customFormat="1" x14ac:dyDescent="0.2">
      <c r="A1622" s="184"/>
      <c r="B1622" s="184"/>
      <c r="C1622" s="185"/>
      <c r="D1622" s="337"/>
      <c r="E1622" s="184"/>
      <c r="F1622" s="338"/>
      <c r="G1622" s="338"/>
      <c r="H1622" s="338"/>
      <c r="I1622" s="257"/>
      <c r="J1622" s="338"/>
      <c r="K1622" s="131">
        <f>J1626</f>
        <v>0</v>
      </c>
      <c r="L1622" s="106">
        <v>25.14</v>
      </c>
      <c r="M1622" s="131">
        <f>ROUND(L1622*(1+$Q$5),2)</f>
        <v>31.81</v>
      </c>
      <c r="N1622" s="133">
        <f>TRUNC(K1622*M1622,2)</f>
        <v>0</v>
      </c>
      <c r="O1622" s="291"/>
      <c r="P1622" s="146"/>
      <c r="Q1622" s="146"/>
      <c r="R1622" s="146"/>
      <c r="S1622" s="146"/>
      <c r="T1622" s="146"/>
      <c r="U1622" s="146"/>
      <c r="V1622" s="146"/>
      <c r="W1622" s="146"/>
      <c r="X1622" s="146"/>
      <c r="Y1622" s="146"/>
      <c r="Z1622" s="146"/>
      <c r="AA1622" s="146"/>
    </row>
    <row r="1623" spans="1:27" s="118" customFormat="1" x14ac:dyDescent="0.2">
      <c r="A1623" s="10"/>
      <c r="B1623" s="10"/>
      <c r="C1623" s="191"/>
      <c r="D1623" s="115"/>
      <c r="E1623" s="158"/>
      <c r="F1623" s="267"/>
      <c r="G1623" s="267"/>
      <c r="H1623" s="267"/>
      <c r="I1623" s="339"/>
      <c r="J1623" s="267"/>
      <c r="K1623" s="137"/>
      <c r="L1623" s="137"/>
      <c r="M1623" s="137"/>
      <c r="N1623" s="138"/>
      <c r="O1623" s="123"/>
      <c r="P1623" s="111"/>
      <c r="Q1623" s="111"/>
      <c r="R1623" s="111"/>
      <c r="S1623" s="111"/>
      <c r="T1623" s="111"/>
      <c r="U1623" s="111"/>
      <c r="V1623" s="111"/>
      <c r="W1623" s="111"/>
      <c r="X1623" s="111"/>
      <c r="Y1623" s="111"/>
      <c r="Z1623" s="111"/>
      <c r="AA1623" s="111"/>
    </row>
    <row r="1624" spans="1:27" s="118" customFormat="1" x14ac:dyDescent="0.2">
      <c r="A1624" s="10"/>
      <c r="B1624" s="10"/>
      <c r="C1624" s="191"/>
      <c r="D1624" s="115"/>
      <c r="E1624" s="158"/>
      <c r="F1624" s="267"/>
      <c r="G1624" s="267"/>
      <c r="H1624" s="267"/>
      <c r="I1624" s="339"/>
      <c r="J1624" s="267"/>
      <c r="K1624" s="137"/>
      <c r="L1624" s="137"/>
      <c r="M1624" s="137"/>
      <c r="N1624" s="138"/>
      <c r="O1624" s="123"/>
      <c r="P1624" s="111"/>
      <c r="Q1624" s="111"/>
      <c r="R1624" s="111"/>
      <c r="S1624" s="111"/>
      <c r="T1624" s="111"/>
      <c r="U1624" s="111"/>
      <c r="V1624" s="111"/>
      <c r="W1624" s="111"/>
      <c r="X1624" s="111"/>
      <c r="Y1624" s="111"/>
      <c r="Z1624" s="111"/>
      <c r="AA1624" s="111"/>
    </row>
    <row r="1625" spans="1:27" s="118" customFormat="1" x14ac:dyDescent="0.2">
      <c r="A1625" s="10"/>
      <c r="B1625" s="10"/>
      <c r="C1625" s="191"/>
      <c r="D1625" s="115"/>
      <c r="E1625" s="158"/>
      <c r="F1625" s="267"/>
      <c r="G1625" s="267"/>
      <c r="H1625" s="267"/>
      <c r="I1625" s="339"/>
      <c r="J1625" s="267"/>
      <c r="K1625" s="137"/>
      <c r="L1625" s="137"/>
      <c r="M1625" s="137"/>
      <c r="N1625" s="138"/>
      <c r="O1625" s="123"/>
      <c r="P1625" s="111"/>
      <c r="Q1625" s="111"/>
      <c r="R1625" s="111"/>
      <c r="S1625" s="111"/>
      <c r="T1625" s="111"/>
      <c r="U1625" s="111"/>
      <c r="V1625" s="111"/>
      <c r="W1625" s="111"/>
      <c r="X1625" s="111"/>
      <c r="Y1625" s="111"/>
      <c r="Z1625" s="111"/>
      <c r="AA1625" s="111"/>
    </row>
    <row r="1626" spans="1:27" s="118" customFormat="1" x14ac:dyDescent="0.2">
      <c r="A1626" s="10"/>
      <c r="B1626" s="10"/>
      <c r="C1626" s="190"/>
      <c r="D1626" s="110"/>
      <c r="E1626" s="158"/>
      <c r="F1626" s="267"/>
      <c r="G1626" s="267"/>
      <c r="H1626" s="267"/>
      <c r="I1626" s="250"/>
      <c r="J1626" s="338"/>
      <c r="K1626" s="137"/>
      <c r="L1626" s="137"/>
      <c r="M1626" s="137"/>
      <c r="N1626" s="138"/>
      <c r="O1626" s="123"/>
      <c r="P1626" s="111"/>
      <c r="Q1626" s="111"/>
      <c r="R1626" s="111"/>
      <c r="S1626" s="111"/>
      <c r="T1626" s="111"/>
      <c r="U1626" s="111"/>
      <c r="V1626" s="111"/>
      <c r="W1626" s="111"/>
      <c r="X1626" s="111"/>
      <c r="Y1626" s="111"/>
      <c r="Z1626" s="111"/>
      <c r="AA1626" s="111"/>
    </row>
    <row r="1627" spans="1:27" s="118" customFormat="1" x14ac:dyDescent="0.2">
      <c r="A1627" s="10"/>
      <c r="B1627" s="10"/>
      <c r="C1627" s="157"/>
      <c r="D1627" s="110"/>
      <c r="E1627" s="158"/>
      <c r="F1627" s="267"/>
      <c r="G1627" s="267"/>
      <c r="H1627" s="267"/>
      <c r="I1627" s="250"/>
      <c r="J1627" s="266"/>
      <c r="K1627" s="137"/>
      <c r="L1627" s="137"/>
      <c r="M1627" s="137"/>
      <c r="N1627" s="138"/>
      <c r="O1627" s="123"/>
      <c r="P1627" s="111"/>
      <c r="Q1627" s="111"/>
      <c r="R1627" s="111"/>
      <c r="S1627" s="111"/>
      <c r="T1627" s="111"/>
      <c r="U1627" s="111"/>
      <c r="V1627" s="111"/>
      <c r="W1627" s="111"/>
      <c r="X1627" s="111"/>
      <c r="Y1627" s="111"/>
      <c r="Z1627" s="111"/>
      <c r="AA1627" s="111"/>
    </row>
    <row r="1628" spans="1:27" s="147" customFormat="1" x14ac:dyDescent="0.2">
      <c r="A1628" s="184"/>
      <c r="B1628" s="184"/>
      <c r="C1628" s="185"/>
      <c r="D1628" s="337"/>
      <c r="E1628" s="184"/>
      <c r="F1628" s="338"/>
      <c r="G1628" s="338"/>
      <c r="H1628" s="338"/>
      <c r="I1628" s="257"/>
      <c r="J1628" s="338"/>
      <c r="K1628" s="131">
        <f>J1631</f>
        <v>0</v>
      </c>
      <c r="L1628" s="106">
        <v>375.94</v>
      </c>
      <c r="M1628" s="131">
        <f>ROUND(L1628*(1+$Q$5),2)</f>
        <v>475.68</v>
      </c>
      <c r="N1628" s="133">
        <f>TRUNC(K1628*M1628,2)</f>
        <v>0</v>
      </c>
      <c r="O1628" s="291"/>
      <c r="P1628" s="146"/>
      <c r="Q1628" s="146"/>
      <c r="R1628" s="146"/>
      <c r="S1628" s="146"/>
      <c r="T1628" s="146"/>
      <c r="U1628" s="146"/>
      <c r="V1628" s="146"/>
      <c r="W1628" s="146"/>
      <c r="X1628" s="146"/>
      <c r="Y1628" s="146"/>
      <c r="Z1628" s="146"/>
      <c r="AA1628" s="146"/>
    </row>
    <row r="1629" spans="1:27" s="118" customFormat="1" x14ac:dyDescent="0.2">
      <c r="A1629" s="10"/>
      <c r="B1629" s="10"/>
      <c r="C1629" s="191"/>
      <c r="D1629" s="115"/>
      <c r="E1629" s="158"/>
      <c r="F1629" s="267"/>
      <c r="G1629" s="267"/>
      <c r="H1629" s="267"/>
      <c r="I1629" s="339"/>
      <c r="J1629" s="267"/>
      <c r="K1629" s="137"/>
      <c r="L1629" s="137"/>
      <c r="M1629" s="137"/>
      <c r="N1629" s="138"/>
      <c r="O1629" s="123"/>
      <c r="P1629" s="111"/>
      <c r="Q1629" s="111"/>
      <c r="R1629" s="111"/>
      <c r="S1629" s="111"/>
      <c r="T1629" s="111"/>
      <c r="U1629" s="111"/>
      <c r="V1629" s="111"/>
      <c r="W1629" s="111"/>
      <c r="X1629" s="111"/>
      <c r="Y1629" s="111"/>
      <c r="Z1629" s="111"/>
      <c r="AA1629" s="111"/>
    </row>
    <row r="1630" spans="1:27" s="118" customFormat="1" x14ac:dyDescent="0.2">
      <c r="A1630" s="10"/>
      <c r="B1630" s="10"/>
      <c r="C1630" s="191"/>
      <c r="D1630" s="115"/>
      <c r="E1630" s="158"/>
      <c r="F1630" s="267"/>
      <c r="G1630" s="267"/>
      <c r="H1630" s="267"/>
      <c r="I1630" s="339"/>
      <c r="J1630" s="267"/>
      <c r="K1630" s="137"/>
      <c r="L1630" s="137"/>
      <c r="M1630" s="137"/>
      <c r="N1630" s="138"/>
      <c r="O1630" s="123"/>
      <c r="P1630" s="111"/>
      <c r="Q1630" s="111"/>
      <c r="R1630" s="111"/>
      <c r="S1630" s="111"/>
      <c r="T1630" s="111"/>
      <c r="U1630" s="111"/>
      <c r="V1630" s="111"/>
      <c r="W1630" s="111"/>
      <c r="X1630" s="111"/>
      <c r="Y1630" s="111"/>
      <c r="Z1630" s="111"/>
      <c r="AA1630" s="111"/>
    </row>
    <row r="1631" spans="1:27" s="118" customFormat="1" x14ac:dyDescent="0.2">
      <c r="A1631" s="10"/>
      <c r="B1631" s="10"/>
      <c r="C1631" s="190"/>
      <c r="D1631" s="110"/>
      <c r="E1631" s="158"/>
      <c r="F1631" s="267"/>
      <c r="G1631" s="267"/>
      <c r="H1631" s="267"/>
      <c r="I1631" s="250"/>
      <c r="J1631" s="338"/>
      <c r="K1631" s="137"/>
      <c r="L1631" s="137"/>
      <c r="M1631" s="137"/>
      <c r="N1631" s="138"/>
      <c r="O1631" s="123"/>
      <c r="P1631" s="111"/>
      <c r="Q1631" s="111"/>
      <c r="R1631" s="111"/>
      <c r="S1631" s="111"/>
      <c r="T1631" s="111"/>
      <c r="U1631" s="111"/>
      <c r="V1631" s="111"/>
      <c r="W1631" s="111"/>
      <c r="X1631" s="111"/>
      <c r="Y1631" s="111"/>
      <c r="Z1631" s="111"/>
      <c r="AA1631" s="111"/>
    </row>
    <row r="1632" spans="1:27" s="118" customFormat="1" x14ac:dyDescent="0.2">
      <c r="A1632" s="10"/>
      <c r="B1632" s="10"/>
      <c r="C1632" s="157"/>
      <c r="D1632" s="110"/>
      <c r="E1632" s="158"/>
      <c r="F1632" s="267"/>
      <c r="G1632" s="267"/>
      <c r="H1632" s="267"/>
      <c r="I1632" s="250"/>
      <c r="J1632" s="266"/>
      <c r="K1632" s="137"/>
      <c r="L1632" s="137"/>
      <c r="M1632" s="137"/>
      <c r="N1632" s="138"/>
      <c r="O1632" s="123"/>
      <c r="P1632" s="111"/>
      <c r="Q1632" s="111"/>
      <c r="R1632" s="111"/>
      <c r="S1632" s="111"/>
      <c r="T1632" s="111"/>
      <c r="U1632" s="111"/>
      <c r="V1632" s="111"/>
      <c r="W1632" s="111"/>
      <c r="X1632" s="111"/>
      <c r="Y1632" s="111"/>
      <c r="Z1632" s="111"/>
      <c r="AA1632" s="111"/>
    </row>
    <row r="1633" spans="1:27" s="147" customFormat="1" ht="35.25" customHeight="1" x14ac:dyDescent="0.2">
      <c r="A1633" s="184"/>
      <c r="B1633" s="184"/>
      <c r="C1633" s="185"/>
      <c r="D1633" s="337"/>
      <c r="E1633" s="184"/>
      <c r="F1633" s="338"/>
      <c r="G1633" s="338"/>
      <c r="H1633" s="338"/>
      <c r="I1633" s="257"/>
      <c r="J1633" s="338"/>
      <c r="K1633" s="131">
        <f>J1637</f>
        <v>0</v>
      </c>
      <c r="L1633" s="106">
        <v>1396.31</v>
      </c>
      <c r="M1633" s="131">
        <f>ROUND(L1633*(1+$Q$5),2)</f>
        <v>1766.75</v>
      </c>
      <c r="N1633" s="133">
        <f>TRUNC(K1633*M1633,2)</f>
        <v>0</v>
      </c>
      <c r="O1633" s="291"/>
      <c r="P1633" s="146"/>
      <c r="Q1633" s="146"/>
      <c r="R1633" s="146"/>
      <c r="S1633" s="146"/>
      <c r="T1633" s="146"/>
      <c r="U1633" s="146"/>
      <c r="V1633" s="146"/>
      <c r="W1633" s="146"/>
      <c r="X1633" s="146"/>
      <c r="Y1633" s="146"/>
      <c r="Z1633" s="146"/>
      <c r="AA1633" s="146"/>
    </row>
    <row r="1634" spans="1:27" s="118" customFormat="1" x14ac:dyDescent="0.2">
      <c r="A1634" s="10"/>
      <c r="B1634" s="10"/>
      <c r="C1634" s="191"/>
      <c r="D1634" s="115"/>
      <c r="E1634" s="158"/>
      <c r="F1634" s="267"/>
      <c r="G1634" s="267"/>
      <c r="H1634" s="267"/>
      <c r="I1634" s="339"/>
      <c r="J1634" s="267"/>
      <c r="K1634" s="137"/>
      <c r="L1634" s="137"/>
      <c r="M1634" s="137"/>
      <c r="N1634" s="138"/>
      <c r="O1634" s="123"/>
      <c r="P1634" s="111"/>
      <c r="Q1634" s="111"/>
      <c r="R1634" s="111"/>
      <c r="S1634" s="111"/>
      <c r="T1634" s="111"/>
      <c r="U1634" s="111"/>
      <c r="V1634" s="111"/>
      <c r="W1634" s="111"/>
      <c r="X1634" s="111"/>
      <c r="Y1634" s="111"/>
      <c r="Z1634" s="111"/>
      <c r="AA1634" s="111"/>
    </row>
    <row r="1635" spans="1:27" s="118" customFormat="1" x14ac:dyDescent="0.2">
      <c r="A1635" s="10"/>
      <c r="B1635" s="10"/>
      <c r="C1635" s="191"/>
      <c r="D1635" s="115"/>
      <c r="E1635" s="158"/>
      <c r="F1635" s="267"/>
      <c r="G1635" s="267"/>
      <c r="H1635" s="267"/>
      <c r="I1635" s="339"/>
      <c r="J1635" s="267"/>
      <c r="K1635" s="137"/>
      <c r="L1635" s="137"/>
      <c r="M1635" s="137"/>
      <c r="N1635" s="138"/>
      <c r="O1635" s="123"/>
      <c r="P1635" s="111"/>
      <c r="Q1635" s="111"/>
      <c r="R1635" s="111"/>
      <c r="S1635" s="111"/>
      <c r="T1635" s="111"/>
      <c r="U1635" s="111"/>
      <c r="V1635" s="111"/>
      <c r="W1635" s="111"/>
      <c r="X1635" s="111"/>
      <c r="Y1635" s="111"/>
      <c r="Z1635" s="111"/>
      <c r="AA1635" s="111"/>
    </row>
    <row r="1636" spans="1:27" s="118" customFormat="1" x14ac:dyDescent="0.2">
      <c r="A1636" s="10"/>
      <c r="B1636" s="10"/>
      <c r="C1636" s="191"/>
      <c r="D1636" s="115"/>
      <c r="E1636" s="158"/>
      <c r="F1636" s="267"/>
      <c r="G1636" s="267"/>
      <c r="H1636" s="267"/>
      <c r="I1636" s="339"/>
      <c r="J1636" s="267"/>
      <c r="K1636" s="137"/>
      <c r="L1636" s="137"/>
      <c r="M1636" s="137"/>
      <c r="N1636" s="138"/>
      <c r="O1636" s="123"/>
      <c r="P1636" s="111"/>
      <c r="Q1636" s="111"/>
      <c r="R1636" s="111"/>
      <c r="S1636" s="111"/>
      <c r="T1636" s="111"/>
      <c r="U1636" s="111"/>
      <c r="V1636" s="111"/>
      <c r="W1636" s="111"/>
      <c r="X1636" s="111"/>
      <c r="Y1636" s="111"/>
      <c r="Z1636" s="111"/>
      <c r="AA1636" s="111"/>
    </row>
    <row r="1637" spans="1:27" s="118" customFormat="1" x14ac:dyDescent="0.2">
      <c r="A1637" s="10"/>
      <c r="B1637" s="10"/>
      <c r="C1637" s="190"/>
      <c r="D1637" s="110"/>
      <c r="E1637" s="158"/>
      <c r="F1637" s="267"/>
      <c r="G1637" s="267"/>
      <c r="H1637" s="267"/>
      <c r="I1637" s="250"/>
      <c r="J1637" s="338"/>
      <c r="K1637" s="137"/>
      <c r="L1637" s="137"/>
      <c r="M1637" s="137"/>
      <c r="N1637" s="138"/>
      <c r="O1637" s="123"/>
      <c r="P1637" s="111"/>
      <c r="Q1637" s="111"/>
      <c r="R1637" s="111"/>
      <c r="S1637" s="111"/>
      <c r="T1637" s="111"/>
      <c r="U1637" s="111"/>
      <c r="V1637" s="111"/>
      <c r="W1637" s="111"/>
      <c r="X1637" s="111"/>
      <c r="Y1637" s="111"/>
      <c r="Z1637" s="111"/>
      <c r="AA1637" s="111"/>
    </row>
    <row r="1638" spans="1:27" s="118" customFormat="1" x14ac:dyDescent="0.2">
      <c r="A1638" s="10"/>
      <c r="B1638" s="10"/>
      <c r="C1638" s="157"/>
      <c r="D1638" s="110"/>
      <c r="E1638" s="158"/>
      <c r="F1638" s="267"/>
      <c r="G1638" s="267"/>
      <c r="H1638" s="267"/>
      <c r="I1638" s="250"/>
      <c r="J1638" s="266"/>
      <c r="K1638" s="137"/>
      <c r="L1638" s="137"/>
      <c r="M1638" s="137"/>
      <c r="N1638" s="138"/>
      <c r="O1638" s="123"/>
      <c r="P1638" s="111"/>
      <c r="Q1638" s="111"/>
      <c r="R1638" s="111"/>
      <c r="S1638" s="111"/>
      <c r="T1638" s="111"/>
      <c r="U1638" s="111"/>
      <c r="V1638" s="111"/>
      <c r="W1638" s="111"/>
      <c r="X1638" s="111"/>
      <c r="Y1638" s="111"/>
      <c r="Z1638" s="111"/>
      <c r="AA1638" s="111"/>
    </row>
    <row r="1639" spans="1:27" s="147" customFormat="1" ht="35.25" customHeight="1" x14ac:dyDescent="0.2">
      <c r="A1639" s="184"/>
      <c r="B1639" s="184"/>
      <c r="C1639" s="185"/>
      <c r="D1639" s="337"/>
      <c r="E1639" s="184"/>
      <c r="F1639" s="338"/>
      <c r="G1639" s="338"/>
      <c r="H1639" s="338"/>
      <c r="I1639" s="257"/>
      <c r="J1639" s="338"/>
      <c r="K1639" s="131">
        <f>J1641</f>
        <v>0</v>
      </c>
      <c r="L1639" s="106">
        <v>2349.37</v>
      </c>
      <c r="M1639" s="131">
        <f>ROUND(L1639*(1+$Q$5),2)</f>
        <v>2972.66</v>
      </c>
      <c r="N1639" s="133">
        <f>TRUNC(K1639*M1639,2)</f>
        <v>0</v>
      </c>
      <c r="O1639" s="291"/>
      <c r="P1639" s="146"/>
      <c r="Q1639" s="146"/>
      <c r="R1639" s="146"/>
      <c r="S1639" s="146"/>
      <c r="T1639" s="146"/>
      <c r="U1639" s="146"/>
      <c r="V1639" s="146"/>
      <c r="W1639" s="146"/>
      <c r="X1639" s="146"/>
      <c r="Y1639" s="146"/>
      <c r="Z1639" s="146"/>
      <c r="AA1639" s="146"/>
    </row>
    <row r="1640" spans="1:27" s="118" customFormat="1" x14ac:dyDescent="0.2">
      <c r="A1640" s="10"/>
      <c r="B1640" s="10"/>
      <c r="C1640" s="191"/>
      <c r="D1640" s="115"/>
      <c r="E1640" s="158"/>
      <c r="F1640" s="267"/>
      <c r="G1640" s="267"/>
      <c r="H1640" s="267"/>
      <c r="I1640" s="339"/>
      <c r="J1640" s="267"/>
      <c r="K1640" s="137"/>
      <c r="L1640" s="137"/>
      <c r="M1640" s="137"/>
      <c r="N1640" s="138"/>
      <c r="O1640" s="123"/>
      <c r="P1640" s="111"/>
      <c r="Q1640" s="111"/>
      <c r="R1640" s="111"/>
      <c r="S1640" s="111"/>
      <c r="T1640" s="111"/>
      <c r="U1640" s="111"/>
      <c r="V1640" s="111"/>
      <c r="W1640" s="111"/>
      <c r="X1640" s="111"/>
      <c r="Y1640" s="111"/>
      <c r="Z1640" s="111"/>
      <c r="AA1640" s="111"/>
    </row>
    <row r="1641" spans="1:27" s="118" customFormat="1" x14ac:dyDescent="0.2">
      <c r="A1641" s="10"/>
      <c r="B1641" s="10"/>
      <c r="C1641" s="190"/>
      <c r="D1641" s="110"/>
      <c r="E1641" s="158"/>
      <c r="F1641" s="267"/>
      <c r="G1641" s="267"/>
      <c r="H1641" s="267"/>
      <c r="I1641" s="250"/>
      <c r="J1641" s="338"/>
      <c r="K1641" s="137"/>
      <c r="L1641" s="137"/>
      <c r="M1641" s="137"/>
      <c r="N1641" s="138"/>
      <c r="O1641" s="123"/>
      <c r="P1641" s="111"/>
      <c r="Q1641" s="111"/>
      <c r="R1641" s="111"/>
      <c r="S1641" s="111"/>
      <c r="T1641" s="111"/>
      <c r="U1641" s="111"/>
      <c r="V1641" s="111"/>
      <c r="W1641" s="111"/>
      <c r="X1641" s="111"/>
      <c r="Y1641" s="111"/>
      <c r="Z1641" s="111"/>
      <c r="AA1641" s="111"/>
    </row>
    <row r="1642" spans="1:27" s="118" customFormat="1" x14ac:dyDescent="0.2">
      <c r="A1642" s="10"/>
      <c r="B1642" s="10"/>
      <c r="C1642" s="157"/>
      <c r="D1642" s="110"/>
      <c r="E1642" s="158"/>
      <c r="F1642" s="267"/>
      <c r="G1642" s="267"/>
      <c r="H1642" s="267"/>
      <c r="I1642" s="250"/>
      <c r="J1642" s="266"/>
      <c r="K1642" s="137"/>
      <c r="L1642" s="137"/>
      <c r="M1642" s="137"/>
      <c r="N1642" s="138"/>
      <c r="O1642" s="123"/>
      <c r="P1642" s="111"/>
      <c r="Q1642" s="111"/>
      <c r="R1642" s="111"/>
      <c r="S1642" s="111"/>
      <c r="T1642" s="111"/>
      <c r="U1642" s="111"/>
      <c r="V1642" s="111"/>
      <c r="W1642" s="111"/>
      <c r="X1642" s="111"/>
      <c r="Y1642" s="111"/>
      <c r="Z1642" s="111"/>
      <c r="AA1642" s="111"/>
    </row>
    <row r="1643" spans="1:27" s="147" customFormat="1" ht="35.25" customHeight="1" x14ac:dyDescent="0.2">
      <c r="A1643" s="184"/>
      <c r="B1643" s="184"/>
      <c r="C1643" s="185"/>
      <c r="D1643" s="337"/>
      <c r="E1643" s="184"/>
      <c r="F1643" s="338"/>
      <c r="G1643" s="338"/>
      <c r="H1643" s="338"/>
      <c r="I1643" s="257"/>
      <c r="J1643" s="338"/>
      <c r="K1643" s="131">
        <f>J1645</f>
        <v>0</v>
      </c>
      <c r="L1643" s="106">
        <v>2023.72</v>
      </c>
      <c r="M1643" s="131">
        <f>ROUND(L1643*(1+$Q$5),2)</f>
        <v>2560.61</v>
      </c>
      <c r="N1643" s="133">
        <f>TRUNC(K1643*M1643,2)</f>
        <v>0</v>
      </c>
      <c r="O1643" s="291"/>
      <c r="P1643" s="146"/>
      <c r="Q1643" s="146"/>
      <c r="R1643" s="146"/>
      <c r="S1643" s="146"/>
      <c r="T1643" s="146"/>
      <c r="U1643" s="146"/>
      <c r="V1643" s="146"/>
      <c r="W1643" s="146"/>
      <c r="X1643" s="146"/>
      <c r="Y1643" s="146"/>
      <c r="Z1643" s="146"/>
      <c r="AA1643" s="146"/>
    </row>
    <row r="1644" spans="1:27" s="118" customFormat="1" x14ac:dyDescent="0.2">
      <c r="A1644" s="10"/>
      <c r="B1644" s="10"/>
      <c r="C1644" s="191"/>
      <c r="D1644" s="115"/>
      <c r="E1644" s="158"/>
      <c r="F1644" s="267"/>
      <c r="G1644" s="267"/>
      <c r="H1644" s="267"/>
      <c r="I1644" s="339"/>
      <c r="J1644" s="267"/>
      <c r="K1644" s="137"/>
      <c r="L1644" s="137"/>
      <c r="M1644" s="137"/>
      <c r="N1644" s="138"/>
      <c r="O1644" s="123"/>
      <c r="P1644" s="111"/>
      <c r="Q1644" s="111"/>
      <c r="R1644" s="111"/>
      <c r="S1644" s="111"/>
      <c r="T1644" s="111"/>
      <c r="U1644" s="111"/>
      <c r="V1644" s="111"/>
      <c r="W1644" s="111"/>
      <c r="X1644" s="111"/>
      <c r="Y1644" s="111"/>
      <c r="Z1644" s="111"/>
      <c r="AA1644" s="111"/>
    </row>
    <row r="1645" spans="1:27" s="118" customFormat="1" x14ac:dyDescent="0.2">
      <c r="A1645" s="10"/>
      <c r="B1645" s="10"/>
      <c r="C1645" s="190"/>
      <c r="D1645" s="110"/>
      <c r="E1645" s="158"/>
      <c r="F1645" s="267"/>
      <c r="G1645" s="267"/>
      <c r="H1645" s="267"/>
      <c r="I1645" s="250"/>
      <c r="J1645" s="338"/>
      <c r="K1645" s="137"/>
      <c r="L1645" s="137"/>
      <c r="M1645" s="137"/>
      <c r="N1645" s="138"/>
      <c r="O1645" s="123"/>
      <c r="P1645" s="111"/>
      <c r="Q1645" s="111"/>
      <c r="R1645" s="111"/>
      <c r="S1645" s="111"/>
      <c r="T1645" s="111"/>
      <c r="U1645" s="111"/>
      <c r="V1645" s="111"/>
      <c r="W1645" s="111"/>
      <c r="X1645" s="111"/>
      <c r="Y1645" s="111"/>
      <c r="Z1645" s="111"/>
      <c r="AA1645" s="111"/>
    </row>
    <row r="1646" spans="1:27" s="118" customFormat="1" x14ac:dyDescent="0.2">
      <c r="A1646" s="10"/>
      <c r="B1646" s="10"/>
      <c r="C1646" s="157"/>
      <c r="D1646" s="110"/>
      <c r="E1646" s="158"/>
      <c r="F1646" s="267"/>
      <c r="G1646" s="267"/>
      <c r="H1646" s="267"/>
      <c r="I1646" s="250"/>
      <c r="J1646" s="266"/>
      <c r="K1646" s="137"/>
      <c r="L1646" s="137"/>
      <c r="M1646" s="137"/>
      <c r="N1646" s="138"/>
      <c r="O1646" s="123"/>
      <c r="P1646" s="111"/>
      <c r="Q1646" s="111"/>
      <c r="R1646" s="111"/>
      <c r="S1646" s="111"/>
      <c r="T1646" s="111"/>
      <c r="U1646" s="111"/>
      <c r="V1646" s="111"/>
      <c r="W1646" s="111"/>
      <c r="X1646" s="111"/>
      <c r="Y1646" s="111"/>
      <c r="Z1646" s="111"/>
      <c r="AA1646" s="111"/>
    </row>
    <row r="1647" spans="1:27" s="147" customFormat="1" x14ac:dyDescent="0.2">
      <c r="A1647" s="184"/>
      <c r="B1647" s="184"/>
      <c r="C1647" s="185"/>
      <c r="D1647" s="341"/>
      <c r="E1647" s="184"/>
      <c r="F1647" s="338"/>
      <c r="G1647" s="338"/>
      <c r="H1647" s="338"/>
      <c r="I1647" s="257"/>
      <c r="J1647" s="338"/>
      <c r="K1647" s="131">
        <f>J1651</f>
        <v>0</v>
      </c>
      <c r="L1647" s="106">
        <v>5.98</v>
      </c>
      <c r="M1647" s="131">
        <f>ROUND(L1647*(1+$Q$5),2)</f>
        <v>7.57</v>
      </c>
      <c r="N1647" s="133">
        <f>TRUNC(K1647*M1647,2)</f>
        <v>0</v>
      </c>
      <c r="O1647" s="291"/>
      <c r="P1647" s="146"/>
      <c r="Q1647" s="146"/>
      <c r="R1647" s="146"/>
      <c r="S1647" s="146"/>
      <c r="T1647" s="146"/>
      <c r="U1647" s="146"/>
      <c r="V1647" s="146"/>
      <c r="W1647" s="146"/>
      <c r="X1647" s="146"/>
      <c r="Y1647" s="146"/>
      <c r="Z1647" s="146"/>
      <c r="AA1647" s="146"/>
    </row>
    <row r="1648" spans="1:27" s="118" customFormat="1" x14ac:dyDescent="0.2">
      <c r="A1648" s="10"/>
      <c r="B1648" s="10"/>
      <c r="C1648" s="191"/>
      <c r="D1648" s="115"/>
      <c r="E1648" s="158"/>
      <c r="F1648" s="267"/>
      <c r="G1648" s="267"/>
      <c r="H1648" s="267"/>
      <c r="I1648" s="339"/>
      <c r="J1648" s="267"/>
      <c r="K1648" s="137"/>
      <c r="L1648" s="137"/>
      <c r="M1648" s="137"/>
      <c r="N1648" s="138"/>
      <c r="O1648" s="123"/>
      <c r="P1648" s="111"/>
      <c r="Q1648" s="111"/>
      <c r="R1648" s="111"/>
      <c r="S1648" s="111"/>
      <c r="T1648" s="111"/>
      <c r="U1648" s="111"/>
      <c r="V1648" s="111"/>
      <c r="W1648" s="111"/>
      <c r="X1648" s="111"/>
      <c r="Y1648" s="111"/>
      <c r="Z1648" s="111"/>
      <c r="AA1648" s="111"/>
    </row>
    <row r="1649" spans="1:28" s="118" customFormat="1" x14ac:dyDescent="0.2">
      <c r="A1649" s="10"/>
      <c r="B1649" s="10"/>
      <c r="C1649" s="191"/>
      <c r="D1649" s="115"/>
      <c r="E1649" s="158"/>
      <c r="F1649" s="267"/>
      <c r="G1649" s="267"/>
      <c r="H1649" s="267"/>
      <c r="I1649" s="339"/>
      <c r="J1649" s="267"/>
      <c r="K1649" s="137"/>
      <c r="L1649" s="137"/>
      <c r="M1649" s="137"/>
      <c r="N1649" s="138"/>
      <c r="O1649" s="123"/>
      <c r="P1649" s="111"/>
      <c r="Q1649" s="111"/>
      <c r="R1649" s="111"/>
      <c r="S1649" s="111"/>
      <c r="T1649" s="111"/>
      <c r="U1649" s="111"/>
      <c r="V1649" s="111"/>
      <c r="W1649" s="111"/>
      <c r="X1649" s="111"/>
      <c r="Y1649" s="111"/>
      <c r="Z1649" s="111"/>
      <c r="AA1649" s="111"/>
    </row>
    <row r="1650" spans="1:28" s="118" customFormat="1" x14ac:dyDescent="0.2">
      <c r="A1650" s="10"/>
      <c r="B1650" s="10"/>
      <c r="C1650" s="191"/>
      <c r="D1650" s="115"/>
      <c r="E1650" s="158"/>
      <c r="F1650" s="267"/>
      <c r="G1650" s="267"/>
      <c r="H1650" s="267"/>
      <c r="I1650" s="339"/>
      <c r="J1650" s="267"/>
      <c r="K1650" s="137"/>
      <c r="L1650" s="137"/>
      <c r="M1650" s="137"/>
      <c r="N1650" s="138"/>
      <c r="O1650" s="123"/>
      <c r="P1650" s="111"/>
      <c r="Q1650" s="111"/>
      <c r="R1650" s="111"/>
      <c r="S1650" s="111"/>
      <c r="T1650" s="111"/>
      <c r="U1650" s="111"/>
      <c r="V1650" s="111"/>
      <c r="W1650" s="111"/>
      <c r="X1650" s="111"/>
      <c r="Y1650" s="111"/>
      <c r="Z1650" s="111"/>
      <c r="AA1650" s="111"/>
    </row>
    <row r="1651" spans="1:28" s="118" customFormat="1" x14ac:dyDescent="0.2">
      <c r="A1651" s="10"/>
      <c r="B1651" s="10"/>
      <c r="C1651" s="190"/>
      <c r="D1651" s="110"/>
      <c r="E1651" s="158"/>
      <c r="F1651" s="267"/>
      <c r="G1651" s="267"/>
      <c r="H1651" s="267"/>
      <c r="I1651" s="250"/>
      <c r="J1651" s="338"/>
      <c r="K1651" s="137"/>
      <c r="L1651" s="137"/>
      <c r="M1651" s="137"/>
      <c r="N1651" s="138"/>
      <c r="O1651" s="123"/>
      <c r="P1651" s="111"/>
      <c r="Q1651" s="111"/>
      <c r="R1651" s="111"/>
      <c r="S1651" s="111"/>
      <c r="T1651" s="111"/>
      <c r="U1651" s="111"/>
      <c r="V1651" s="111"/>
      <c r="W1651" s="111"/>
      <c r="X1651" s="111"/>
      <c r="Y1651" s="111"/>
      <c r="Z1651" s="111"/>
      <c r="AA1651" s="111"/>
    </row>
    <row r="1652" spans="1:28" s="118" customFormat="1" x14ac:dyDescent="0.2">
      <c r="A1652" s="10"/>
      <c r="B1652" s="10"/>
      <c r="C1652" s="157"/>
      <c r="D1652" s="110"/>
      <c r="E1652" s="158"/>
      <c r="F1652" s="267"/>
      <c r="G1652" s="267"/>
      <c r="H1652" s="267"/>
      <c r="I1652" s="250"/>
      <c r="J1652" s="266"/>
      <c r="K1652" s="137"/>
      <c r="L1652" s="137"/>
      <c r="M1652" s="137"/>
      <c r="N1652" s="138"/>
      <c r="O1652" s="123"/>
      <c r="P1652" s="111"/>
      <c r="Q1652" s="111"/>
      <c r="R1652" s="111"/>
      <c r="S1652" s="111"/>
      <c r="T1652" s="111"/>
      <c r="U1652" s="111"/>
      <c r="V1652" s="111"/>
      <c r="W1652" s="111"/>
      <c r="X1652" s="111"/>
      <c r="Y1652" s="111"/>
      <c r="Z1652" s="111"/>
      <c r="AA1652" s="111"/>
    </row>
    <row r="1653" spans="1:28" s="147" customFormat="1" x14ac:dyDescent="0.2">
      <c r="A1653" s="184"/>
      <c r="B1653" s="184"/>
      <c r="C1653" s="185"/>
      <c r="D1653" s="341"/>
      <c r="E1653" s="184"/>
      <c r="F1653" s="338"/>
      <c r="G1653" s="338"/>
      <c r="H1653" s="338"/>
      <c r="I1653" s="257"/>
      <c r="J1653" s="338"/>
      <c r="K1653" s="131">
        <f>J1657</f>
        <v>0</v>
      </c>
      <c r="L1653" s="106">
        <v>22.25</v>
      </c>
      <c r="M1653" s="131">
        <f>ROUND(L1653*(1+$Q$5),2)</f>
        <v>28.15</v>
      </c>
      <c r="N1653" s="133">
        <f>TRUNC(K1653*M1653,2)</f>
        <v>0</v>
      </c>
      <c r="O1653" s="291"/>
      <c r="P1653" s="146"/>
      <c r="Q1653" s="146"/>
      <c r="R1653" s="146"/>
      <c r="S1653" s="146"/>
      <c r="T1653" s="146"/>
      <c r="U1653" s="146"/>
      <c r="V1653" s="146"/>
      <c r="W1653" s="146"/>
      <c r="X1653" s="146"/>
      <c r="Y1653" s="146"/>
      <c r="Z1653" s="146"/>
      <c r="AA1653" s="146"/>
    </row>
    <row r="1654" spans="1:28" s="118" customFormat="1" x14ac:dyDescent="0.2">
      <c r="A1654" s="10"/>
      <c r="B1654" s="10"/>
      <c r="C1654" s="191"/>
      <c r="D1654" s="115"/>
      <c r="E1654" s="158"/>
      <c r="F1654" s="267"/>
      <c r="G1654" s="267"/>
      <c r="H1654" s="267"/>
      <c r="I1654" s="339"/>
      <c r="J1654" s="267"/>
      <c r="K1654" s="137"/>
      <c r="L1654" s="137"/>
      <c r="M1654" s="137"/>
      <c r="N1654" s="138"/>
      <c r="O1654" s="123"/>
      <c r="P1654" s="111"/>
      <c r="Q1654" s="111"/>
      <c r="R1654" s="111"/>
      <c r="S1654" s="111"/>
      <c r="T1654" s="111"/>
      <c r="U1654" s="111"/>
      <c r="V1654" s="111"/>
      <c r="W1654" s="111"/>
      <c r="X1654" s="111"/>
      <c r="Y1654" s="111"/>
      <c r="Z1654" s="111"/>
      <c r="AA1654" s="111"/>
    </row>
    <row r="1655" spans="1:28" s="118" customFormat="1" x14ac:dyDescent="0.2">
      <c r="A1655" s="10"/>
      <c r="B1655" s="10"/>
      <c r="C1655" s="191"/>
      <c r="D1655" s="115"/>
      <c r="E1655" s="158"/>
      <c r="F1655" s="267"/>
      <c r="G1655" s="267"/>
      <c r="H1655" s="267"/>
      <c r="I1655" s="339"/>
      <c r="J1655" s="267"/>
      <c r="K1655" s="137"/>
      <c r="L1655" s="137"/>
      <c r="M1655" s="137"/>
      <c r="N1655" s="138"/>
      <c r="O1655" s="123"/>
      <c r="P1655" s="111"/>
      <c r="Q1655" s="111"/>
      <c r="R1655" s="111"/>
      <c r="S1655" s="111"/>
      <c r="T1655" s="111"/>
      <c r="U1655" s="111"/>
      <c r="V1655" s="111"/>
      <c r="W1655" s="111"/>
      <c r="X1655" s="111"/>
      <c r="Y1655" s="111"/>
      <c r="Z1655" s="111"/>
      <c r="AA1655" s="111"/>
    </row>
    <row r="1656" spans="1:28" s="118" customFormat="1" x14ac:dyDescent="0.2">
      <c r="A1656" s="10"/>
      <c r="B1656" s="10"/>
      <c r="C1656" s="191"/>
      <c r="D1656" s="115"/>
      <c r="E1656" s="158"/>
      <c r="F1656" s="267"/>
      <c r="G1656" s="267"/>
      <c r="H1656" s="267"/>
      <c r="I1656" s="339"/>
      <c r="J1656" s="267"/>
      <c r="K1656" s="137"/>
      <c r="L1656" s="137"/>
      <c r="M1656" s="137"/>
      <c r="N1656" s="138"/>
      <c r="O1656" s="123"/>
      <c r="P1656" s="111"/>
      <c r="Q1656" s="111"/>
      <c r="R1656" s="111"/>
      <c r="S1656" s="111"/>
      <c r="T1656" s="111"/>
      <c r="U1656" s="111"/>
      <c r="V1656" s="111"/>
      <c r="W1656" s="111"/>
      <c r="X1656" s="111"/>
      <c r="Y1656" s="111"/>
      <c r="Z1656" s="111"/>
      <c r="AA1656" s="111"/>
    </row>
    <row r="1657" spans="1:28" s="118" customFormat="1" x14ac:dyDescent="0.2">
      <c r="A1657" s="10"/>
      <c r="B1657" s="10"/>
      <c r="C1657" s="190"/>
      <c r="D1657" s="110"/>
      <c r="E1657" s="158"/>
      <c r="F1657" s="267"/>
      <c r="G1657" s="267"/>
      <c r="H1657" s="267"/>
      <c r="I1657" s="250"/>
      <c r="J1657" s="338"/>
      <c r="K1657" s="137"/>
      <c r="L1657" s="137"/>
      <c r="M1657" s="137"/>
      <c r="N1657" s="138"/>
      <c r="O1657" s="123"/>
      <c r="P1657" s="111"/>
      <c r="Q1657" s="111"/>
      <c r="R1657" s="111"/>
      <c r="S1657" s="111"/>
      <c r="T1657" s="111"/>
      <c r="U1657" s="111"/>
      <c r="V1657" s="111"/>
      <c r="W1657" s="111"/>
      <c r="X1657" s="111"/>
      <c r="Y1657" s="111"/>
      <c r="Z1657" s="111"/>
      <c r="AA1657" s="111"/>
    </row>
    <row r="1658" spans="1:28" s="118" customFormat="1" x14ac:dyDescent="0.2">
      <c r="A1658" s="10"/>
      <c r="B1658" s="10"/>
      <c r="C1658" s="157"/>
      <c r="D1658" s="115"/>
      <c r="E1658" s="158"/>
      <c r="F1658" s="267"/>
      <c r="G1658" s="267"/>
      <c r="H1658" s="267"/>
      <c r="I1658" s="250"/>
      <c r="J1658" s="266"/>
      <c r="K1658" s="137"/>
      <c r="L1658" s="137"/>
      <c r="M1658" s="292"/>
      <c r="N1658" s="293"/>
      <c r="O1658" s="123"/>
      <c r="P1658" s="111"/>
      <c r="Q1658" s="16"/>
      <c r="R1658" s="111"/>
      <c r="S1658" s="111"/>
      <c r="T1658" s="111"/>
      <c r="U1658" s="111"/>
      <c r="V1658" s="111"/>
      <c r="W1658" s="111"/>
      <c r="X1658" s="111"/>
      <c r="Y1658" s="111"/>
      <c r="Z1658" s="111"/>
      <c r="AA1658" s="111"/>
      <c r="AB1658" s="111"/>
    </row>
    <row r="1659" spans="1:28" s="118" customFormat="1" hidden="1" x14ac:dyDescent="0.2">
      <c r="A1659" s="294"/>
      <c r="B1659" s="294"/>
      <c r="C1659" s="295"/>
      <c r="D1659" s="296"/>
      <c r="E1659" s="297"/>
      <c r="F1659" s="298"/>
      <c r="G1659" s="298"/>
      <c r="H1659" s="298"/>
      <c r="I1659" s="299"/>
      <c r="J1659" s="300"/>
      <c r="K1659" s="292"/>
      <c r="L1659" s="292"/>
      <c r="M1659" s="292"/>
      <c r="N1659" s="293"/>
      <c r="O1659" s="123"/>
      <c r="P1659" s="111"/>
      <c r="Q1659" s="16"/>
      <c r="R1659" s="111"/>
      <c r="S1659" s="111"/>
      <c r="T1659" s="111"/>
      <c r="U1659" s="111"/>
      <c r="V1659" s="111"/>
      <c r="W1659" s="111"/>
      <c r="X1659" s="111"/>
      <c r="Y1659" s="111"/>
      <c r="Z1659" s="111"/>
      <c r="AA1659" s="111"/>
      <c r="AB1659" s="111"/>
    </row>
    <row r="1660" spans="1:28" s="304" customFormat="1" ht="13.8" hidden="1" x14ac:dyDescent="0.25">
      <c r="A1660" s="600" t="s">
        <v>750</v>
      </c>
      <c r="B1660" s="600"/>
      <c r="C1660" s="600"/>
      <c r="D1660" s="600"/>
      <c r="E1660" s="600"/>
      <c r="F1660" s="600"/>
      <c r="G1660" s="600"/>
      <c r="H1660" s="600"/>
      <c r="I1660" s="600"/>
      <c r="J1660" s="600"/>
      <c r="K1660" s="600"/>
      <c r="L1660" s="600"/>
      <c r="M1660" s="600"/>
      <c r="N1660" s="301" t="e">
        <f>N10+N18+N73+N198+#REF!+N242+#REF!+N367+N447+N480+#REF!+N564+N631+N735+N800+N962+N1070+N1150+N1213+N1352+N1382+N1470+N1563</f>
        <v>#REF!</v>
      </c>
      <c r="O1660" s="284" t="e">
        <f>N1660/$N$1660</f>
        <v>#REF!</v>
      </c>
      <c r="P1660" s="302"/>
      <c r="Q1660" s="303"/>
      <c r="R1660" s="302"/>
      <c r="S1660" s="302"/>
      <c r="T1660" s="302"/>
      <c r="U1660" s="302"/>
      <c r="V1660" s="302"/>
      <c r="W1660" s="302"/>
      <c r="X1660" s="302"/>
      <c r="Y1660" s="302"/>
      <c r="Z1660" s="302"/>
      <c r="AA1660" s="302"/>
      <c r="AB1660" s="302"/>
    </row>
    <row r="1661" spans="1:28" x14ac:dyDescent="0.2">
      <c r="N1661" s="305" t="e">
        <f>ROUND(SUM(N9:N1659)/3-N1660,0)</f>
        <v>#REF!</v>
      </c>
    </row>
    <row r="1663" spans="1:28" x14ac:dyDescent="0.2">
      <c r="Q1663" s="166"/>
    </row>
    <row r="1669" spans="1:27" s="189" customFormat="1" ht="30.6" hidden="1" x14ac:dyDescent="0.2">
      <c r="A1669" s="184" t="s">
        <v>597</v>
      </c>
      <c r="B1669" s="184" t="s">
        <v>89</v>
      </c>
      <c r="C1669" s="185">
        <v>92541</v>
      </c>
      <c r="D1669" s="235" t="s">
        <v>674</v>
      </c>
      <c r="E1669" s="184" t="s">
        <v>9</v>
      </c>
      <c r="F1669" s="186"/>
      <c r="G1669" s="186"/>
      <c r="H1669" s="186"/>
      <c r="I1669" s="257"/>
      <c r="J1669" s="186"/>
      <c r="K1669" s="186">
        <f>J1672</f>
        <v>0</v>
      </c>
      <c r="L1669" s="186">
        <v>54.84</v>
      </c>
      <c r="M1669" s="186">
        <f>ROUND(L1669*(1+$Q$5),2)</f>
        <v>69.39</v>
      </c>
      <c r="N1669" s="187">
        <f>TRUNC(K1669*M1669,2)</f>
        <v>0</v>
      </c>
      <c r="O1669" s="286"/>
      <c r="P1669" s="188"/>
      <c r="Q1669" s="188"/>
      <c r="R1669" s="188"/>
      <c r="S1669" s="188"/>
      <c r="T1669" s="188"/>
      <c r="U1669" s="188"/>
      <c r="V1669" s="188"/>
      <c r="W1669" s="188"/>
      <c r="X1669" s="188"/>
      <c r="Y1669" s="188"/>
      <c r="Z1669" s="188"/>
      <c r="AA1669" s="188"/>
    </row>
  </sheetData>
  <mergeCells count="4">
    <mergeCell ref="A1:J1"/>
    <mergeCell ref="A2:J2"/>
    <mergeCell ref="D4:J4"/>
    <mergeCell ref="A1660:M1660"/>
  </mergeCells>
  <phoneticPr fontId="10" type="noConversion"/>
  <dataValidations disablePrompts="1" count="1">
    <dataValidation allowBlank="1" showInputMessage="1" showErrorMessage="1" promptTitle="Atenção!!!" prompt="Inserir o BDI em valor percentual." sqref="Q5:R5" xr:uid="{00000000-0002-0000-0200-000000000000}"/>
  </dataValidations>
  <printOptions horizontalCentered="1"/>
  <pageMargins left="0.59055118110236227" right="0.39370078740157483" top="1.5354330708661419" bottom="0.59055118110236227" header="0.39370078740157483" footer="0.39370078740157483"/>
  <pageSetup paperSize="9" scale="73" orientation="portrait" r:id="rId1"/>
  <headerFooter>
    <oddHeader>&amp;C&amp;G</oddHeader>
    <oddFooter>&amp;R&amp;"Arial,Normal"&amp;8Pág. &amp;P de &amp;N</oddFooter>
  </headerFooter>
  <rowBreaks count="2" manualBreakCount="2">
    <brk id="355" max="19" man="1"/>
    <brk id="426" max="19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G20"/>
  <sheetViews>
    <sheetView view="pageBreakPreview" zoomScaleSheetLayoutView="100" workbookViewId="0">
      <selection sqref="A1:D1"/>
    </sheetView>
  </sheetViews>
  <sheetFormatPr defaultColWidth="9.109375" defaultRowHeight="10.199999999999999" x14ac:dyDescent="0.2"/>
  <cols>
    <col min="1" max="1" width="30.5546875" style="52" customWidth="1"/>
    <col min="2" max="2" width="15.33203125" style="54" customWidth="1"/>
    <col min="3" max="3" width="23.6640625" style="54" customWidth="1"/>
    <col min="4" max="4" width="26.44140625" style="55" customWidth="1"/>
    <col min="5" max="5" width="9.109375" style="55"/>
    <col min="6" max="6" width="10.44140625" style="55" bestFit="1" customWidth="1"/>
    <col min="7" max="16384" width="9.109375" style="55"/>
  </cols>
  <sheetData>
    <row r="1" spans="1:7" s="25" customFormat="1" ht="18" x14ac:dyDescent="0.35">
      <c r="A1" s="608" t="s">
        <v>98</v>
      </c>
      <c r="B1" s="609"/>
      <c r="C1" s="609"/>
      <c r="D1" s="609"/>
    </row>
    <row r="2" spans="1:7" s="25" customFormat="1" ht="15.6" x14ac:dyDescent="0.3">
      <c r="A2" s="610" t="s">
        <v>99</v>
      </c>
      <c r="B2" s="610"/>
      <c r="C2" s="610"/>
      <c r="D2" s="610"/>
    </row>
    <row r="3" spans="1:7" s="25" customFormat="1" x14ac:dyDescent="0.2">
      <c r="A3" s="8"/>
      <c r="B3" s="5"/>
      <c r="C3" s="5"/>
      <c r="D3" s="5"/>
    </row>
    <row r="4" spans="1:7" s="26" customFormat="1" ht="24" customHeight="1" x14ac:dyDescent="0.3">
      <c r="A4" s="611" t="str">
        <f>'(PLANILHA GERAL COM DESON)'!B6</f>
        <v>OBRA: EXECUÇÃO DE REPAROS EMERGENCIAIS E REFORMA DOS PRÉDIOS DAS ESCOLAS MUNICIPAIS E DA SEDE DA SECRETARIA DE EDUCAÇÃO DO MUNICÍPIO DE LIMOEIRO/PE</v>
      </c>
      <c r="B4" s="612"/>
      <c r="C4" s="612"/>
      <c r="D4" s="613"/>
    </row>
    <row r="5" spans="1:7" s="26" customFormat="1" ht="13.8" x14ac:dyDescent="0.3">
      <c r="A5" s="27" t="str">
        <f>'(PLANILHA GERAL COM DESON)'!B7</f>
        <v>LOCALIZAÇÃO: DIVERSAS LOCALIDADES, LIMOEIRO - PE</v>
      </c>
      <c r="B5" s="28"/>
      <c r="C5" s="28"/>
      <c r="D5" s="29"/>
    </row>
    <row r="6" spans="1:7" s="25" customFormat="1" ht="13.2" x14ac:dyDescent="0.2">
      <c r="A6" s="30" t="str">
        <f>'(PLANILHA GERAL COM DESON)'!B9</f>
        <v>DATA: JULHO/2017</v>
      </c>
      <c r="B6" s="31"/>
      <c r="C6" s="31"/>
      <c r="D6" s="32"/>
    </row>
    <row r="7" spans="1:7" s="25" customFormat="1" ht="13.2" x14ac:dyDescent="0.2">
      <c r="A7" s="12"/>
      <c r="B7" s="4"/>
      <c r="C7" s="4"/>
      <c r="D7" s="4"/>
    </row>
    <row r="8" spans="1:7" s="35" customFormat="1" ht="40.799999999999997" x14ac:dyDescent="0.3">
      <c r="A8" s="33"/>
      <c r="B8" s="34" t="s">
        <v>100</v>
      </c>
      <c r="C8" s="34" t="s">
        <v>101</v>
      </c>
      <c r="D8" s="34" t="s">
        <v>102</v>
      </c>
    </row>
    <row r="9" spans="1:7" s="39" customFormat="1" x14ac:dyDescent="0.2">
      <c r="A9" s="36"/>
      <c r="B9" s="37"/>
      <c r="C9" s="38"/>
      <c r="D9" s="38"/>
    </row>
    <row r="10" spans="1:7" s="44" customFormat="1" ht="12" x14ac:dyDescent="0.3">
      <c r="A10" s="40" t="s">
        <v>103</v>
      </c>
      <c r="B10" s="41" t="e">
        <f>'(PLANILHA GERAL COM DESON)'!N2057</f>
        <v>#VALUE!</v>
      </c>
      <c r="C10" s="42" t="s">
        <v>153</v>
      </c>
      <c r="D10" s="43" t="s">
        <v>104</v>
      </c>
    </row>
    <row r="11" spans="1:7" s="48" customFormat="1" ht="12" x14ac:dyDescent="0.25">
      <c r="A11" s="45"/>
      <c r="B11" s="46"/>
      <c r="C11" s="47"/>
      <c r="D11" s="24"/>
    </row>
    <row r="12" spans="1:7" s="44" customFormat="1" ht="12" x14ac:dyDescent="0.3">
      <c r="A12" s="40" t="s">
        <v>105</v>
      </c>
      <c r="B12" s="41" t="e">
        <f>'ORÇAMENTO SEM DESON'!#REF!</f>
        <v>#REF!</v>
      </c>
      <c r="C12" s="42" t="s">
        <v>154</v>
      </c>
      <c r="D12" s="43" t="s">
        <v>106</v>
      </c>
      <c r="F12" s="320" t="e">
        <f>B12-B10</f>
        <v>#REF!</v>
      </c>
      <c r="G12" s="319" t="e">
        <f>IF(B12&lt;B10,"mais vantajoso SEM DESONERAÇÃO","mais vantajoso COM DESONERAÇÃO")</f>
        <v>#REF!</v>
      </c>
    </row>
    <row r="13" spans="1:7" s="51" customFormat="1" x14ac:dyDescent="0.2">
      <c r="A13" s="49"/>
      <c r="B13" s="50"/>
      <c r="C13" s="50"/>
      <c r="D13" s="50"/>
    </row>
    <row r="14" spans="1:7" s="25" customFormat="1" hidden="1" x14ac:dyDescent="0.2">
      <c r="A14" s="614" t="s">
        <v>107</v>
      </c>
      <c r="B14" s="614"/>
      <c r="C14" s="614"/>
      <c r="D14" s="614"/>
    </row>
    <row r="15" spans="1:7" s="25" customFormat="1" ht="13.8" hidden="1" x14ac:dyDescent="0.2">
      <c r="A15" s="615" t="s">
        <v>108</v>
      </c>
      <c r="B15" s="615"/>
      <c r="C15" s="615"/>
      <c r="D15" s="615"/>
    </row>
    <row r="16" spans="1:7" s="25" customFormat="1" hidden="1" x14ac:dyDescent="0.2">
      <c r="A16" s="52"/>
      <c r="B16" s="51"/>
      <c r="C16" s="51"/>
    </row>
    <row r="17" spans="1:4" s="25" customFormat="1" x14ac:dyDescent="0.2">
      <c r="A17" s="52"/>
      <c r="B17" s="51"/>
      <c r="C17" s="51"/>
    </row>
    <row r="18" spans="1:4" s="51" customFormat="1" ht="13.8" x14ac:dyDescent="0.2">
      <c r="A18" s="56" t="s">
        <v>109</v>
      </c>
      <c r="D18" s="25"/>
    </row>
    <row r="19" spans="1:4" s="51" customFormat="1" ht="15.6" x14ac:dyDescent="0.2">
      <c r="A19" s="53" t="s">
        <v>960</v>
      </c>
      <c r="D19" s="25"/>
    </row>
    <row r="20" spans="1:4" s="25" customFormat="1" x14ac:dyDescent="0.2">
      <c r="A20" s="52"/>
      <c r="B20" s="51"/>
      <c r="C20" s="51"/>
    </row>
  </sheetData>
  <mergeCells count="5">
    <mergeCell ref="A1:D1"/>
    <mergeCell ref="A2:D2"/>
    <mergeCell ref="A4:D4"/>
    <mergeCell ref="A14:D14"/>
    <mergeCell ref="A15:D15"/>
  </mergeCells>
  <printOptions horizontalCentered="1"/>
  <pageMargins left="0.59055118110236227" right="0.39370078740157483" top="1.9685039370078741" bottom="0.59055118110236227" header="0.39370078740157483" footer="0.39370078740157483"/>
  <pageSetup paperSize="9" scale="96" fitToHeight="0" orientation="portrait" horizontalDpi="300" verticalDpi="300" r:id="rId1"/>
  <headerFooter>
    <oddHeader>&amp;C&amp;G</oddHeader>
    <oddFooter>&amp;R&amp;"Arial,Normal"&amp;8Pág. &amp;P de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AB2066"/>
  <sheetViews>
    <sheetView view="pageBreakPreview" topLeftCell="A11" zoomScaleNormal="100" zoomScaleSheetLayoutView="100" workbookViewId="0">
      <pane ySplit="744" activePane="bottomLeft"/>
      <selection activeCell="P11" sqref="P11"/>
      <selection pane="bottomLeft" sqref="A1:N1"/>
    </sheetView>
  </sheetViews>
  <sheetFormatPr defaultColWidth="9.109375" defaultRowHeight="10.199999999999999" x14ac:dyDescent="0.2"/>
  <cols>
    <col min="1" max="1" width="6.44140625" style="162" customWidth="1"/>
    <col min="2" max="2" width="12" style="162" customWidth="1"/>
    <col min="3" max="3" width="10" style="163" bestFit="1" customWidth="1"/>
    <col min="4" max="4" width="45.6640625" style="164" customWidth="1"/>
    <col min="5" max="5" width="4.88671875" style="162" bestFit="1" customWidth="1"/>
    <col min="6" max="6" width="10" style="165" customWidth="1"/>
    <col min="7" max="8" width="10" style="162" customWidth="1"/>
    <col min="9" max="9" width="10" style="256" customWidth="1"/>
    <col min="10" max="10" width="10" style="162" customWidth="1"/>
    <col min="11" max="11" width="7.5546875" style="162" customWidth="1"/>
    <col min="12" max="12" width="9.6640625" style="162" customWidth="1"/>
    <col min="13" max="13" width="9.44140625" style="162" customWidth="1"/>
    <col min="14" max="14" width="13.6640625" style="162" customWidth="1"/>
    <col min="15" max="15" width="5" style="167" bestFit="1" customWidth="1"/>
    <col min="16" max="16" width="4.109375" style="114" customWidth="1"/>
    <col min="17" max="17" width="12.6640625" style="167" bestFit="1" customWidth="1"/>
    <col min="18" max="18" width="13.109375" style="114" bestFit="1" customWidth="1"/>
    <col min="19" max="16384" width="9.109375" style="114"/>
  </cols>
  <sheetData>
    <row r="1" spans="1:28" s="111" customFormat="1" ht="18.600000000000001" thickTop="1" thickBot="1" x14ac:dyDescent="0.35">
      <c r="A1" s="616" t="s">
        <v>23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  <c r="L1" s="617"/>
      <c r="M1" s="617"/>
      <c r="N1" s="618"/>
      <c r="O1" s="167"/>
      <c r="Q1" s="104"/>
    </row>
    <row r="2" spans="1:28" s="111" customFormat="1" ht="18.600000000000001" thickTop="1" thickBot="1" x14ac:dyDescent="0.35">
      <c r="A2" s="617"/>
      <c r="B2" s="617"/>
      <c r="C2" s="617"/>
      <c r="D2" s="617"/>
      <c r="E2" s="617"/>
      <c r="F2" s="617"/>
      <c r="G2" s="617"/>
      <c r="H2" s="617"/>
      <c r="I2" s="617"/>
      <c r="J2" s="617"/>
      <c r="K2" s="168"/>
      <c r="L2" s="168"/>
      <c r="M2" s="168"/>
      <c r="N2" s="168"/>
      <c r="O2" s="167"/>
    </row>
    <row r="3" spans="1:28" s="111" customFormat="1" ht="18" thickTop="1" x14ac:dyDescent="0.3">
      <c r="A3" s="601" t="s">
        <v>58</v>
      </c>
      <c r="B3" s="602"/>
      <c r="C3" s="602"/>
      <c r="D3" s="602"/>
      <c r="E3" s="602"/>
      <c r="F3" s="602"/>
      <c r="G3" s="602"/>
      <c r="H3" s="602"/>
      <c r="I3" s="602"/>
      <c r="J3" s="603"/>
      <c r="K3" s="168"/>
      <c r="L3" s="168"/>
      <c r="M3" s="168"/>
      <c r="N3" s="168"/>
      <c r="O3" s="167"/>
    </row>
    <row r="4" spans="1:28" s="111" customFormat="1" ht="18" thickBot="1" x14ac:dyDescent="0.35">
      <c r="A4" s="604" t="s">
        <v>0</v>
      </c>
      <c r="B4" s="605"/>
      <c r="C4" s="605"/>
      <c r="D4" s="605"/>
      <c r="E4" s="605"/>
      <c r="F4" s="605"/>
      <c r="G4" s="605"/>
      <c r="H4" s="605"/>
      <c r="I4" s="605"/>
      <c r="J4" s="606"/>
      <c r="K4" s="168"/>
      <c r="L4" s="168"/>
      <c r="M4" s="168"/>
      <c r="N4" s="168"/>
      <c r="O4" s="167"/>
      <c r="Q4" s="123"/>
    </row>
    <row r="5" spans="1:28" s="111" customFormat="1" ht="10.8" thickTop="1" x14ac:dyDescent="0.2">
      <c r="A5" s="8"/>
      <c r="B5" s="8"/>
      <c r="C5" s="124"/>
      <c r="D5" s="125"/>
      <c r="E5" s="8"/>
      <c r="F5" s="126"/>
      <c r="G5" s="8"/>
      <c r="H5" s="8"/>
      <c r="I5" s="242"/>
      <c r="J5" s="8"/>
      <c r="K5" s="8"/>
      <c r="L5" s="8"/>
      <c r="M5" s="8"/>
      <c r="N5" s="8"/>
      <c r="O5" s="167"/>
      <c r="Q5" s="123"/>
    </row>
    <row r="6" spans="1:28" s="119" customFormat="1" ht="13.2" x14ac:dyDescent="0.25">
      <c r="A6" s="8"/>
      <c r="B6" s="12" t="s">
        <v>721</v>
      </c>
      <c r="D6" s="273"/>
      <c r="E6" s="273"/>
      <c r="F6" s="273"/>
      <c r="G6" s="273"/>
      <c r="H6" s="273"/>
      <c r="I6" s="273"/>
      <c r="J6" s="273"/>
      <c r="K6" s="273"/>
      <c r="L6" s="273"/>
      <c r="M6" s="273"/>
      <c r="N6" s="273"/>
      <c r="O6" s="281"/>
      <c r="Q6" s="275" t="s">
        <v>722</v>
      </c>
      <c r="R6" s="275" t="s">
        <v>723</v>
      </c>
    </row>
    <row r="7" spans="1:28" s="119" customFormat="1" ht="13.8" x14ac:dyDescent="0.25">
      <c r="A7" s="8"/>
      <c r="B7" s="12" t="s">
        <v>81</v>
      </c>
      <c r="D7" s="127"/>
      <c r="E7" s="8"/>
      <c r="F7" s="126"/>
      <c r="G7" s="8"/>
      <c r="H7" s="8"/>
      <c r="I7" s="243"/>
      <c r="J7" s="8"/>
      <c r="K7" s="8"/>
      <c r="L7" s="8"/>
      <c r="M7" s="8"/>
      <c r="N7" s="8"/>
      <c r="O7" s="281"/>
      <c r="Q7" s="274">
        <v>0.26529999999999998</v>
      </c>
      <c r="R7" s="274">
        <v>0.20499999999999999</v>
      </c>
    </row>
    <row r="8" spans="1:28" s="119" customFormat="1" ht="13.2" x14ac:dyDescent="0.25">
      <c r="A8" s="8"/>
      <c r="B8" s="225" t="s">
        <v>956</v>
      </c>
      <c r="D8" s="127"/>
      <c r="E8" s="8"/>
      <c r="F8" s="126"/>
      <c r="G8" s="8"/>
      <c r="H8" s="8"/>
      <c r="I8" s="242"/>
      <c r="J8" s="8"/>
      <c r="K8" s="8"/>
      <c r="L8" s="8"/>
      <c r="M8" s="8"/>
      <c r="N8" s="8"/>
      <c r="O8" s="281"/>
      <c r="Q8" s="128"/>
    </row>
    <row r="9" spans="1:28" s="119" customFormat="1" ht="15" customHeight="1" x14ac:dyDescent="0.25">
      <c r="A9" s="8"/>
      <c r="B9" s="12" t="s">
        <v>737</v>
      </c>
      <c r="D9" s="127"/>
      <c r="E9" s="8"/>
      <c r="F9" s="126"/>
      <c r="G9" s="8"/>
      <c r="H9" s="8"/>
      <c r="I9" s="242"/>
      <c r="J9" s="8"/>
      <c r="K9" s="8"/>
      <c r="L9" s="8"/>
      <c r="M9" s="8"/>
      <c r="N9" s="8"/>
      <c r="O9" s="281"/>
      <c r="Q9" s="128"/>
    </row>
    <row r="10" spans="1:28" s="111" customFormat="1" ht="13.2" x14ac:dyDescent="0.25">
      <c r="A10" s="8"/>
      <c r="B10" s="8"/>
      <c r="C10" s="11"/>
      <c r="D10" s="105"/>
      <c r="E10" s="11"/>
      <c r="F10" s="11"/>
      <c r="G10" s="11"/>
      <c r="H10" s="11"/>
      <c r="I10" s="244"/>
      <c r="J10" s="11"/>
      <c r="K10" s="11"/>
      <c r="L10" s="129"/>
      <c r="M10" s="129"/>
      <c r="N10" s="129"/>
      <c r="O10" s="167"/>
      <c r="Q10" s="130"/>
    </row>
    <row r="11" spans="1:28" s="135" customFormat="1" ht="20.399999999999999" x14ac:dyDescent="0.2">
      <c r="A11" s="9" t="s">
        <v>1</v>
      </c>
      <c r="B11" s="9" t="s">
        <v>87</v>
      </c>
      <c r="C11" s="13" t="s">
        <v>22</v>
      </c>
      <c r="D11" s="9" t="s">
        <v>88</v>
      </c>
      <c r="E11" s="9" t="s">
        <v>2</v>
      </c>
      <c r="F11" s="131" t="s">
        <v>3</v>
      </c>
      <c r="G11" s="131" t="s">
        <v>85</v>
      </c>
      <c r="H11" s="131" t="s">
        <v>86</v>
      </c>
      <c r="I11" s="132" t="s">
        <v>4</v>
      </c>
      <c r="J11" s="131" t="s">
        <v>5</v>
      </c>
      <c r="K11" s="131" t="s">
        <v>720</v>
      </c>
      <c r="L11" s="226" t="s">
        <v>254</v>
      </c>
      <c r="M11" s="226" t="s">
        <v>255</v>
      </c>
      <c r="N11" s="169" t="s">
        <v>162</v>
      </c>
      <c r="O11" s="282"/>
      <c r="P11" s="134" t="s">
        <v>774</v>
      </c>
      <c r="Q11" s="272" t="s">
        <v>775</v>
      </c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</row>
    <row r="12" spans="1:28" s="139" customFormat="1" x14ac:dyDescent="0.2">
      <c r="A12" s="6"/>
      <c r="B12" s="6"/>
      <c r="C12" s="7"/>
      <c r="D12" s="116"/>
      <c r="E12" s="6"/>
      <c r="F12" s="258"/>
      <c r="G12" s="258"/>
      <c r="H12" s="258"/>
      <c r="I12" s="246"/>
      <c r="J12" s="258"/>
      <c r="K12" s="137"/>
      <c r="L12" s="137"/>
      <c r="M12" s="137"/>
      <c r="N12" s="138"/>
      <c r="O12" s="283"/>
      <c r="P12" s="120"/>
      <c r="Q12" s="16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</row>
    <row r="13" spans="1:28" s="241" customFormat="1" ht="13.2" x14ac:dyDescent="0.25">
      <c r="A13" s="236" t="s">
        <v>6</v>
      </c>
      <c r="B13" s="236"/>
      <c r="C13" s="237"/>
      <c r="D13" s="289" t="s">
        <v>7</v>
      </c>
      <c r="E13" s="236"/>
      <c r="F13" s="259"/>
      <c r="G13" s="259"/>
      <c r="H13" s="259"/>
      <c r="I13" s="247"/>
      <c r="J13" s="259"/>
      <c r="K13" s="238"/>
      <c r="L13" s="238"/>
      <c r="M13" s="238"/>
      <c r="N13" s="239">
        <f>N15</f>
        <v>1597.59</v>
      </c>
      <c r="O13" s="284" t="e">
        <f>N13/$N$2057</f>
        <v>#VALUE!</v>
      </c>
      <c r="P13" s="240" t="s">
        <v>533</v>
      </c>
      <c r="Q13" s="240" t="s">
        <v>533</v>
      </c>
      <c r="R13" s="240"/>
      <c r="S13" s="240"/>
      <c r="T13" s="240"/>
      <c r="U13" s="240"/>
      <c r="V13" s="240"/>
      <c r="W13" s="240"/>
      <c r="X13" s="240"/>
      <c r="Y13" s="240"/>
      <c r="Z13" s="240"/>
      <c r="AA13" s="240"/>
    </row>
    <row r="14" spans="1:28" s="139" customFormat="1" x14ac:dyDescent="0.2">
      <c r="A14" s="6"/>
      <c r="B14" s="6"/>
      <c r="C14" s="7"/>
      <c r="D14" s="116"/>
      <c r="E14" s="6"/>
      <c r="F14" s="258"/>
      <c r="G14" s="258"/>
      <c r="H14" s="258"/>
      <c r="I14" s="246"/>
      <c r="J14" s="258"/>
      <c r="K14" s="137"/>
      <c r="L14" s="137"/>
      <c r="M14" s="137"/>
      <c r="N14" s="138"/>
      <c r="O14" s="283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</row>
    <row r="15" spans="1:28" s="145" customFormat="1" x14ac:dyDescent="0.2">
      <c r="A15" s="140" t="s">
        <v>8</v>
      </c>
      <c r="B15" s="140"/>
      <c r="C15" s="141"/>
      <c r="D15" s="112" t="s">
        <v>82</v>
      </c>
      <c r="E15" s="140"/>
      <c r="F15" s="260"/>
      <c r="G15" s="260"/>
      <c r="H15" s="260"/>
      <c r="I15" s="248"/>
      <c r="J15" s="260"/>
      <c r="K15" s="142"/>
      <c r="L15" s="142"/>
      <c r="M15" s="142"/>
      <c r="N15" s="143">
        <f>N17</f>
        <v>1597.59</v>
      </c>
      <c r="O15" s="285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</row>
    <row r="16" spans="1:28" s="139" customFormat="1" x14ac:dyDescent="0.2">
      <c r="A16" s="6"/>
      <c r="B16" s="6"/>
      <c r="C16" s="7"/>
      <c r="D16" s="116"/>
      <c r="E16" s="6"/>
      <c r="F16" s="258"/>
      <c r="G16" s="258"/>
      <c r="H16" s="258"/>
      <c r="I16" s="246"/>
      <c r="J16" s="258"/>
      <c r="K16" s="137"/>
      <c r="L16" s="137"/>
      <c r="M16" s="137"/>
      <c r="N16" s="138"/>
      <c r="O16" s="283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</row>
    <row r="17" spans="1:27" s="147" customFormat="1" x14ac:dyDescent="0.2">
      <c r="A17" s="9" t="s">
        <v>61</v>
      </c>
      <c r="B17" s="9" t="s">
        <v>89</v>
      </c>
      <c r="C17" s="13" t="s">
        <v>83</v>
      </c>
      <c r="D17" s="113" t="s">
        <v>65</v>
      </c>
      <c r="E17" s="9" t="s">
        <v>9</v>
      </c>
      <c r="F17" s="261"/>
      <c r="G17" s="261"/>
      <c r="H17" s="261"/>
      <c r="I17" s="245"/>
      <c r="J17" s="261"/>
      <c r="K17" s="131">
        <f>J19</f>
        <v>4.5</v>
      </c>
      <c r="L17" s="131">
        <v>280.58</v>
      </c>
      <c r="M17" s="131">
        <f>ROUND(L17*(1+$Q$7),2)</f>
        <v>355.02</v>
      </c>
      <c r="N17" s="133">
        <f>TRUNC(K17*M17,2)</f>
        <v>1597.59</v>
      </c>
      <c r="O17" s="28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</row>
    <row r="18" spans="1:27" s="118" customFormat="1" x14ac:dyDescent="0.2">
      <c r="A18" s="6"/>
      <c r="B18" s="6"/>
      <c r="C18" s="7"/>
      <c r="D18" s="2" t="s">
        <v>84</v>
      </c>
      <c r="E18" s="148"/>
      <c r="F18" s="253"/>
      <c r="G18" s="253">
        <v>3</v>
      </c>
      <c r="H18" s="253"/>
      <c r="I18" s="249">
        <v>1.5</v>
      </c>
      <c r="J18" s="253">
        <f>ROUND(PRODUCT(F18:I18),2)</f>
        <v>4.5</v>
      </c>
      <c r="K18" s="137"/>
      <c r="L18" s="137"/>
      <c r="M18" s="137"/>
      <c r="N18" s="138"/>
      <c r="O18" s="167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</row>
    <row r="19" spans="1:27" s="118" customFormat="1" x14ac:dyDescent="0.2">
      <c r="A19" s="6"/>
      <c r="B19" s="6"/>
      <c r="C19" s="7"/>
      <c r="D19" s="149"/>
      <c r="E19" s="148"/>
      <c r="F19" s="253"/>
      <c r="G19" s="253"/>
      <c r="H19" s="253"/>
      <c r="I19" s="246" t="str">
        <f>"Total item "&amp;A17</f>
        <v>Total item 1.1.1</v>
      </c>
      <c r="J19" s="261">
        <f>SUM(J18:J18)</f>
        <v>4.5</v>
      </c>
      <c r="K19" s="137"/>
      <c r="L19" s="137"/>
      <c r="M19" s="137"/>
      <c r="N19" s="138"/>
      <c r="O19" s="167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</row>
    <row r="20" spans="1:27" s="139" customFormat="1" x14ac:dyDescent="0.2">
      <c r="A20" s="6"/>
      <c r="B20" s="6"/>
      <c r="C20" s="7"/>
      <c r="D20" s="116"/>
      <c r="E20" s="6"/>
      <c r="F20" s="258"/>
      <c r="G20" s="258"/>
      <c r="H20" s="258"/>
      <c r="I20" s="246"/>
      <c r="J20" s="258"/>
      <c r="K20" s="137"/>
      <c r="L20" s="137"/>
      <c r="M20" s="137"/>
      <c r="N20" s="138"/>
      <c r="O20" s="283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</row>
    <row r="21" spans="1:27" s="241" customFormat="1" ht="13.2" x14ac:dyDescent="0.25">
      <c r="A21" s="236" t="s">
        <v>10</v>
      </c>
      <c r="B21" s="236"/>
      <c r="C21" s="237"/>
      <c r="D21" s="289" t="s">
        <v>212</v>
      </c>
      <c r="E21" s="236"/>
      <c r="F21" s="259"/>
      <c r="G21" s="259"/>
      <c r="H21" s="259"/>
      <c r="I21" s="247"/>
      <c r="J21" s="259"/>
      <c r="K21" s="238"/>
      <c r="L21" s="238"/>
      <c r="M21" s="238"/>
      <c r="N21" s="239">
        <f>N23+N36+N60+N70</f>
        <v>5106.3099999999995</v>
      </c>
      <c r="O21" s="284" t="e">
        <f>N21/$N$2057</f>
        <v>#VALUE!</v>
      </c>
      <c r="P21" s="240" t="s">
        <v>533</v>
      </c>
      <c r="Q21" s="240" t="s">
        <v>533</v>
      </c>
      <c r="R21" s="240"/>
      <c r="S21" s="240"/>
      <c r="T21" s="240"/>
      <c r="U21" s="240"/>
      <c r="V21" s="240"/>
      <c r="W21" s="240"/>
      <c r="X21" s="240"/>
      <c r="Y21" s="240"/>
      <c r="Z21" s="240"/>
      <c r="AA21" s="240"/>
    </row>
    <row r="22" spans="1:27" s="139" customFormat="1" x14ac:dyDescent="0.2">
      <c r="A22" s="6"/>
      <c r="B22" s="6"/>
      <c r="C22" s="7"/>
      <c r="D22" s="116"/>
      <c r="E22" s="6"/>
      <c r="F22" s="258"/>
      <c r="G22" s="258"/>
      <c r="H22" s="258"/>
      <c r="I22" s="246"/>
      <c r="J22" s="258"/>
      <c r="K22" s="137"/>
      <c r="L22" s="137"/>
      <c r="M22" s="137"/>
      <c r="N22" s="138"/>
      <c r="O22" s="283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</row>
    <row r="23" spans="1:27" s="145" customFormat="1" x14ac:dyDescent="0.2">
      <c r="A23" s="140" t="s">
        <v>11</v>
      </c>
      <c r="B23" s="140"/>
      <c r="C23" s="141"/>
      <c r="D23" s="112" t="s">
        <v>30</v>
      </c>
      <c r="E23" s="140"/>
      <c r="F23" s="260"/>
      <c r="G23" s="260"/>
      <c r="H23" s="260"/>
      <c r="I23" s="248"/>
      <c r="J23" s="260"/>
      <c r="K23" s="142"/>
      <c r="L23" s="142"/>
      <c r="M23" s="142"/>
      <c r="N23" s="143">
        <f>SUM(N25:N35)</f>
        <v>851.92</v>
      </c>
      <c r="O23" s="285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</row>
    <row r="24" spans="1:27" s="139" customFormat="1" x14ac:dyDescent="0.2">
      <c r="A24" s="6"/>
      <c r="B24" s="6"/>
      <c r="C24" s="7"/>
      <c r="D24" s="116"/>
      <c r="E24" s="6"/>
      <c r="F24" s="258"/>
      <c r="G24" s="258"/>
      <c r="H24" s="258"/>
      <c r="I24" s="246"/>
      <c r="J24" s="258"/>
      <c r="K24" s="137"/>
      <c r="L24" s="137"/>
      <c r="M24" s="137"/>
      <c r="N24" s="138"/>
      <c r="O24" s="283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</row>
    <row r="25" spans="1:27" s="147" customFormat="1" ht="51" x14ac:dyDescent="0.2">
      <c r="A25" s="9" t="s">
        <v>582</v>
      </c>
      <c r="B25" s="9" t="s">
        <v>163</v>
      </c>
      <c r="C25" s="13" t="s">
        <v>244</v>
      </c>
      <c r="D25" s="113" t="s">
        <v>245</v>
      </c>
      <c r="E25" s="9" t="s">
        <v>31</v>
      </c>
      <c r="F25" s="261"/>
      <c r="G25" s="261"/>
      <c r="H25" s="261"/>
      <c r="I25" s="245"/>
      <c r="J25" s="261"/>
      <c r="K25" s="131">
        <f>J29</f>
        <v>4</v>
      </c>
      <c r="L25" s="131">
        <v>116.08</v>
      </c>
      <c r="M25" s="131">
        <f>ROUND(L25*(1+$Q$7),2)</f>
        <v>146.88</v>
      </c>
      <c r="N25" s="133">
        <f>TRUNC(K25*M25,2)</f>
        <v>587.52</v>
      </c>
      <c r="O25" s="28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</row>
    <row r="26" spans="1:27" s="118" customFormat="1" x14ac:dyDescent="0.2">
      <c r="A26" s="6"/>
      <c r="B26" s="6"/>
      <c r="C26" s="155"/>
      <c r="D26" s="2" t="s">
        <v>486</v>
      </c>
      <c r="E26" s="148"/>
      <c r="F26" s="253">
        <v>2</v>
      </c>
      <c r="G26" s="253"/>
      <c r="H26" s="253"/>
      <c r="I26" s="246"/>
      <c r="J26" s="253">
        <f t="shared" ref="J26:J28" si="0">ROUND(PRODUCT(F26:I26),2)</f>
        <v>2</v>
      </c>
      <c r="K26" s="137"/>
      <c r="L26" s="137"/>
      <c r="M26" s="137"/>
      <c r="N26" s="138"/>
      <c r="O26" s="167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</row>
    <row r="27" spans="1:27" s="118" customFormat="1" x14ac:dyDescent="0.2">
      <c r="A27" s="6"/>
      <c r="B27" s="6"/>
      <c r="C27" s="155"/>
      <c r="D27" s="2" t="s">
        <v>165</v>
      </c>
      <c r="E27" s="148"/>
      <c r="F27" s="253">
        <v>1</v>
      </c>
      <c r="G27" s="253"/>
      <c r="H27" s="253"/>
      <c r="I27" s="246"/>
      <c r="J27" s="253">
        <f t="shared" si="0"/>
        <v>1</v>
      </c>
      <c r="K27" s="137"/>
      <c r="L27" s="137"/>
      <c r="M27" s="137"/>
      <c r="N27" s="138"/>
      <c r="O27" s="167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</row>
    <row r="28" spans="1:27" s="118" customFormat="1" x14ac:dyDescent="0.2">
      <c r="A28" s="6"/>
      <c r="B28" s="6"/>
      <c r="C28" s="155"/>
      <c r="D28" s="2" t="s">
        <v>487</v>
      </c>
      <c r="E28" s="2"/>
      <c r="F28" s="253">
        <v>1</v>
      </c>
      <c r="G28" s="253"/>
      <c r="H28" s="253"/>
      <c r="I28" s="246"/>
      <c r="J28" s="253">
        <f t="shared" si="0"/>
        <v>1</v>
      </c>
      <c r="K28" s="137"/>
      <c r="L28" s="137"/>
      <c r="M28" s="137"/>
      <c r="N28" s="138"/>
      <c r="O28" s="167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</row>
    <row r="29" spans="1:27" s="118" customFormat="1" x14ac:dyDescent="0.2">
      <c r="A29" s="6"/>
      <c r="B29" s="6"/>
      <c r="C29" s="156"/>
      <c r="D29" s="108"/>
      <c r="E29" s="148"/>
      <c r="F29" s="253"/>
      <c r="G29" s="253"/>
      <c r="H29" s="253"/>
      <c r="I29" s="246" t="str">
        <f>"Total item "&amp;A25</f>
        <v>Total item 2.1.1</v>
      </c>
      <c r="J29" s="261">
        <f>SUM(J26:J28)</f>
        <v>4</v>
      </c>
      <c r="K29" s="137"/>
      <c r="L29" s="137"/>
      <c r="M29" s="137"/>
      <c r="N29" s="138"/>
      <c r="O29" s="167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</row>
    <row r="30" spans="1:27" s="139" customFormat="1" x14ac:dyDescent="0.2">
      <c r="A30" s="6"/>
      <c r="B30" s="6"/>
      <c r="C30" s="7"/>
      <c r="D30" s="116"/>
      <c r="E30" s="6"/>
      <c r="F30" s="258"/>
      <c r="G30" s="258"/>
      <c r="H30" s="258"/>
      <c r="I30" s="246"/>
      <c r="J30" s="258"/>
      <c r="K30" s="137"/>
      <c r="L30" s="137"/>
      <c r="M30" s="137"/>
      <c r="N30" s="138"/>
      <c r="O30" s="283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</row>
    <row r="31" spans="1:27" s="147" customFormat="1" ht="30.6" x14ac:dyDescent="0.2">
      <c r="A31" s="9" t="s">
        <v>583</v>
      </c>
      <c r="B31" s="9" t="s">
        <v>179</v>
      </c>
      <c r="C31" s="13" t="s">
        <v>672</v>
      </c>
      <c r="D31" s="113" t="s">
        <v>567</v>
      </c>
      <c r="E31" s="9" t="s">
        <v>33</v>
      </c>
      <c r="F31" s="261"/>
      <c r="G31" s="261"/>
      <c r="H31" s="261"/>
      <c r="I31" s="245"/>
      <c r="J31" s="261"/>
      <c r="K31" s="131">
        <f>J34</f>
        <v>2</v>
      </c>
      <c r="L31" s="131">
        <f>'COMPOSICOES - SINAPI COM DESON'!G50</f>
        <v>104.48</v>
      </c>
      <c r="M31" s="131">
        <f>ROUND(L31*(1+$Q$7),2)</f>
        <v>132.19999999999999</v>
      </c>
      <c r="N31" s="133">
        <f>TRUNC(K31*M31,2)</f>
        <v>264.39999999999998</v>
      </c>
      <c r="O31" s="28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</row>
    <row r="32" spans="1:27" s="118" customFormat="1" x14ac:dyDescent="0.2">
      <c r="A32" s="6"/>
      <c r="B32" s="6"/>
      <c r="C32" s="155"/>
      <c r="D32" s="2" t="s">
        <v>486</v>
      </c>
      <c r="E32" s="148"/>
      <c r="F32" s="253">
        <v>1</v>
      </c>
      <c r="G32" s="253"/>
      <c r="H32" s="253"/>
      <c r="I32" s="246"/>
      <c r="J32" s="253">
        <f t="shared" ref="J32:J33" si="1">ROUND(PRODUCT(F32:I32),2)</f>
        <v>1</v>
      </c>
      <c r="K32" s="137"/>
      <c r="L32" s="137"/>
      <c r="M32" s="137"/>
      <c r="N32" s="138"/>
      <c r="O32" s="167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</row>
    <row r="33" spans="1:27" s="118" customFormat="1" x14ac:dyDescent="0.2">
      <c r="A33" s="6"/>
      <c r="B33" s="6"/>
      <c r="C33" s="155"/>
      <c r="D33" s="2" t="s">
        <v>446</v>
      </c>
      <c r="E33" s="148"/>
      <c r="F33" s="253">
        <v>1</v>
      </c>
      <c r="G33" s="253"/>
      <c r="H33" s="253"/>
      <c r="I33" s="246"/>
      <c r="J33" s="253">
        <f t="shared" si="1"/>
        <v>1</v>
      </c>
      <c r="K33" s="137"/>
      <c r="L33" s="137"/>
      <c r="M33" s="137"/>
      <c r="N33" s="138"/>
      <c r="O33" s="167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</row>
    <row r="34" spans="1:27" s="118" customFormat="1" x14ac:dyDescent="0.2">
      <c r="A34" s="6"/>
      <c r="B34" s="6"/>
      <c r="C34" s="156"/>
      <c r="D34" s="108"/>
      <c r="E34" s="148"/>
      <c r="F34" s="253"/>
      <c r="G34" s="253"/>
      <c r="H34" s="253"/>
      <c r="I34" s="246" t="str">
        <f>"Total item "&amp;A31</f>
        <v>Total item 2.1.2</v>
      </c>
      <c r="J34" s="261">
        <f>SUM(J32:J33)</f>
        <v>2</v>
      </c>
      <c r="K34" s="137"/>
      <c r="L34" s="137"/>
      <c r="M34" s="137"/>
      <c r="N34" s="138"/>
      <c r="O34" s="167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</row>
    <row r="35" spans="1:27" s="139" customFormat="1" x14ac:dyDescent="0.2">
      <c r="A35" s="6"/>
      <c r="B35" s="6"/>
      <c r="C35" s="7"/>
      <c r="D35" s="116"/>
      <c r="E35" s="6"/>
      <c r="F35" s="258"/>
      <c r="G35" s="258"/>
      <c r="H35" s="258"/>
      <c r="I35" s="246"/>
      <c r="J35" s="258"/>
      <c r="K35" s="137"/>
      <c r="L35" s="137"/>
      <c r="M35" s="137"/>
      <c r="N35" s="138"/>
      <c r="O35" s="283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</row>
    <row r="36" spans="1:27" s="145" customFormat="1" x14ac:dyDescent="0.2">
      <c r="A36" s="140" t="s">
        <v>12</v>
      </c>
      <c r="B36" s="140"/>
      <c r="C36" s="141"/>
      <c r="D36" s="112" t="s">
        <v>211</v>
      </c>
      <c r="E36" s="140"/>
      <c r="F36" s="260"/>
      <c r="G36" s="260"/>
      <c r="H36" s="260"/>
      <c r="I36" s="248"/>
      <c r="J36" s="260"/>
      <c r="K36" s="142"/>
      <c r="L36" s="142"/>
      <c r="M36" s="142"/>
      <c r="N36" s="143">
        <f>SUM(N38:N59)</f>
        <v>1414.9299999999998</v>
      </c>
      <c r="O36" s="285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</row>
    <row r="37" spans="1:27" s="139" customFormat="1" x14ac:dyDescent="0.2">
      <c r="A37" s="6"/>
      <c r="B37" s="6"/>
      <c r="C37" s="7"/>
      <c r="D37" s="116"/>
      <c r="E37" s="6"/>
      <c r="F37" s="258"/>
      <c r="G37" s="258"/>
      <c r="H37" s="258"/>
      <c r="I37" s="246"/>
      <c r="J37" s="258"/>
      <c r="K37" s="137"/>
      <c r="L37" s="137"/>
      <c r="M37" s="137"/>
      <c r="N37" s="138"/>
      <c r="O37" s="283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</row>
    <row r="38" spans="1:27" s="147" customFormat="1" ht="30.6" x14ac:dyDescent="0.2">
      <c r="A38" s="9" t="s">
        <v>584</v>
      </c>
      <c r="B38" s="9" t="s">
        <v>163</v>
      </c>
      <c r="C38" s="13" t="s">
        <v>249</v>
      </c>
      <c r="D38" s="113" t="s">
        <v>414</v>
      </c>
      <c r="E38" s="9" t="s">
        <v>33</v>
      </c>
      <c r="F38" s="261"/>
      <c r="G38" s="261"/>
      <c r="H38" s="261"/>
      <c r="I38" s="245"/>
      <c r="J38" s="261"/>
      <c r="K38" s="131">
        <f>J41</f>
        <v>3</v>
      </c>
      <c r="L38" s="131">
        <v>116.1</v>
      </c>
      <c r="M38" s="131">
        <f>ROUND(L38*(1+$Q$7),2)</f>
        <v>146.9</v>
      </c>
      <c r="N38" s="133">
        <f>TRUNC(K38*M38,2)</f>
        <v>440.7</v>
      </c>
      <c r="O38" s="28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</row>
    <row r="39" spans="1:27" s="118" customFormat="1" x14ac:dyDescent="0.2">
      <c r="A39" s="6"/>
      <c r="B39" s="6"/>
      <c r="C39" s="155"/>
      <c r="D39" s="2" t="s">
        <v>488</v>
      </c>
      <c r="E39" s="148"/>
      <c r="F39" s="253">
        <v>2</v>
      </c>
      <c r="G39" s="253"/>
      <c r="H39" s="253"/>
      <c r="I39" s="246"/>
      <c r="J39" s="253">
        <f>ROUND(PRODUCT(F39:I39),2)</f>
        <v>2</v>
      </c>
      <c r="K39" s="137"/>
      <c r="L39" s="137"/>
      <c r="M39" s="137"/>
      <c r="N39" s="138"/>
      <c r="O39" s="167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</row>
    <row r="40" spans="1:27" s="118" customFormat="1" x14ac:dyDescent="0.2">
      <c r="A40" s="6"/>
      <c r="B40" s="6"/>
      <c r="C40" s="155"/>
      <c r="D40" s="2" t="s">
        <v>580</v>
      </c>
      <c r="E40" s="148"/>
      <c r="F40" s="253">
        <v>1</v>
      </c>
      <c r="G40" s="253"/>
      <c r="H40" s="253"/>
      <c r="I40" s="246"/>
      <c r="J40" s="253">
        <f>ROUND(PRODUCT(F40:I40),2)</f>
        <v>1</v>
      </c>
      <c r="K40" s="137"/>
      <c r="L40" s="137"/>
      <c r="M40" s="137"/>
      <c r="N40" s="138"/>
      <c r="O40" s="167"/>
      <c r="P40" s="111"/>
      <c r="Q40" s="111"/>
      <c r="R40" s="111"/>
      <c r="S40" s="111"/>
      <c r="T40" s="111"/>
      <c r="U40" s="111"/>
      <c r="V40" s="111"/>
      <c r="W40" s="111"/>
      <c r="X40" s="111"/>
      <c r="Y40" s="111"/>
      <c r="Z40" s="111"/>
      <c r="AA40" s="111"/>
    </row>
    <row r="41" spans="1:27" s="118" customFormat="1" x14ac:dyDescent="0.2">
      <c r="A41" s="6"/>
      <c r="B41" s="6"/>
      <c r="C41" s="156"/>
      <c r="D41" s="108"/>
      <c r="E41" s="148"/>
      <c r="F41" s="253"/>
      <c r="G41" s="253"/>
      <c r="H41" s="253"/>
      <c r="I41" s="246" t="str">
        <f>"Total item "&amp;A38</f>
        <v>Total item 2.2.1</v>
      </c>
      <c r="J41" s="261">
        <f>SUM(J39:J40)</f>
        <v>3</v>
      </c>
      <c r="K41" s="137"/>
      <c r="L41" s="137"/>
      <c r="M41" s="137"/>
      <c r="N41" s="138"/>
      <c r="O41" s="167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</row>
    <row r="42" spans="1:27" s="139" customFormat="1" x14ac:dyDescent="0.2">
      <c r="A42" s="6"/>
      <c r="B42" s="6"/>
      <c r="C42" s="7"/>
      <c r="D42" s="116"/>
      <c r="E42" s="6"/>
      <c r="F42" s="258"/>
      <c r="G42" s="258"/>
      <c r="H42" s="258"/>
      <c r="I42" s="246"/>
      <c r="J42" s="258"/>
      <c r="K42" s="137"/>
      <c r="L42" s="137"/>
      <c r="M42" s="137"/>
      <c r="N42" s="138"/>
      <c r="O42" s="283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</row>
    <row r="43" spans="1:27" s="147" customFormat="1" ht="30.6" x14ac:dyDescent="0.2">
      <c r="A43" s="9" t="s">
        <v>585</v>
      </c>
      <c r="B43" s="9" t="s">
        <v>163</v>
      </c>
      <c r="C43" s="13" t="s">
        <v>194</v>
      </c>
      <c r="D43" s="113" t="s">
        <v>252</v>
      </c>
      <c r="E43" s="9" t="s">
        <v>31</v>
      </c>
      <c r="F43" s="261"/>
      <c r="G43" s="261"/>
      <c r="H43" s="261"/>
      <c r="I43" s="245"/>
      <c r="J43" s="261"/>
      <c r="K43" s="131">
        <f>J46</f>
        <v>2</v>
      </c>
      <c r="L43" s="131">
        <v>64.06</v>
      </c>
      <c r="M43" s="131">
        <f>ROUND(L43*(1+$Q$7),2)</f>
        <v>81.06</v>
      </c>
      <c r="N43" s="133">
        <f>TRUNC(K43*M43,2)</f>
        <v>162.12</v>
      </c>
      <c r="O43" s="28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</row>
    <row r="44" spans="1:27" s="118" customFormat="1" x14ac:dyDescent="0.2">
      <c r="A44" s="6"/>
      <c r="B44" s="6"/>
      <c r="C44" s="155"/>
      <c r="D44" s="2" t="s">
        <v>489</v>
      </c>
      <c r="E44" s="148"/>
      <c r="F44" s="253">
        <v>1</v>
      </c>
      <c r="G44" s="253"/>
      <c r="H44" s="253"/>
      <c r="I44" s="246"/>
      <c r="J44" s="253">
        <f t="shared" ref="J44:J45" si="2">ROUND(PRODUCT(F44:I44),2)</f>
        <v>1</v>
      </c>
      <c r="K44" s="137"/>
      <c r="L44" s="137"/>
      <c r="M44" s="137"/>
      <c r="N44" s="138"/>
      <c r="O44" s="167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</row>
    <row r="45" spans="1:27" s="118" customFormat="1" x14ac:dyDescent="0.2">
      <c r="A45" s="6"/>
      <c r="B45" s="6"/>
      <c r="C45" s="155"/>
      <c r="D45" s="2" t="s">
        <v>488</v>
      </c>
      <c r="E45" s="148"/>
      <c r="F45" s="253">
        <v>1</v>
      </c>
      <c r="G45" s="253"/>
      <c r="H45" s="253"/>
      <c r="I45" s="246"/>
      <c r="J45" s="253">
        <f t="shared" si="2"/>
        <v>1</v>
      </c>
      <c r="K45" s="137"/>
      <c r="L45" s="137"/>
      <c r="M45" s="137"/>
      <c r="N45" s="138"/>
      <c r="O45" s="167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</row>
    <row r="46" spans="1:27" s="118" customFormat="1" x14ac:dyDescent="0.2">
      <c r="A46" s="6"/>
      <c r="B46" s="6"/>
      <c r="C46" s="156"/>
      <c r="D46" s="108"/>
      <c r="E46" s="148"/>
      <c r="F46" s="253"/>
      <c r="G46" s="253"/>
      <c r="H46" s="253"/>
      <c r="I46" s="246" t="str">
        <f>"Total item "&amp;A43</f>
        <v>Total item 2.2.2</v>
      </c>
      <c r="J46" s="261">
        <f>SUM(J44:J45)</f>
        <v>2</v>
      </c>
      <c r="K46" s="137"/>
      <c r="L46" s="137"/>
      <c r="M46" s="137"/>
      <c r="N46" s="138"/>
      <c r="O46" s="167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</row>
    <row r="47" spans="1:27" s="139" customFormat="1" x14ac:dyDescent="0.2">
      <c r="A47" s="6"/>
      <c r="B47" s="6"/>
      <c r="C47" s="7"/>
      <c r="D47" s="116"/>
      <c r="E47" s="6"/>
      <c r="F47" s="258"/>
      <c r="G47" s="258"/>
      <c r="H47" s="258"/>
      <c r="I47" s="246"/>
      <c r="J47" s="258"/>
      <c r="K47" s="137"/>
      <c r="L47" s="137"/>
      <c r="M47" s="137"/>
      <c r="N47" s="138"/>
      <c r="O47" s="283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</row>
    <row r="48" spans="1:27" s="147" customFormat="1" ht="30.6" x14ac:dyDescent="0.2">
      <c r="A48" s="9" t="s">
        <v>586</v>
      </c>
      <c r="B48" s="9" t="s">
        <v>163</v>
      </c>
      <c r="C48" s="13" t="s">
        <v>412</v>
      </c>
      <c r="D48" s="113" t="s">
        <v>413</v>
      </c>
      <c r="E48" s="9" t="s">
        <v>31</v>
      </c>
      <c r="F48" s="261"/>
      <c r="G48" s="261"/>
      <c r="H48" s="261"/>
      <c r="I48" s="245"/>
      <c r="J48" s="261"/>
      <c r="K48" s="131">
        <f>J50</f>
        <v>1</v>
      </c>
      <c r="L48" s="131">
        <v>62.2</v>
      </c>
      <c r="M48" s="131">
        <f>ROUND(L48*(1+$Q$7),2)</f>
        <v>78.7</v>
      </c>
      <c r="N48" s="133">
        <f>TRUNC(K48*M48,2)</f>
        <v>78.7</v>
      </c>
      <c r="O48" s="28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</row>
    <row r="49" spans="1:27" s="118" customFormat="1" x14ac:dyDescent="0.2">
      <c r="A49" s="6"/>
      <c r="B49" s="6"/>
      <c r="C49" s="155"/>
      <c r="D49" s="2" t="s">
        <v>489</v>
      </c>
      <c r="E49" s="148"/>
      <c r="F49" s="253">
        <v>1</v>
      </c>
      <c r="G49" s="253"/>
      <c r="H49" s="253"/>
      <c r="I49" s="246"/>
      <c r="J49" s="253">
        <f t="shared" ref="J49" si="3">ROUND(PRODUCT(F49:I49),2)</f>
        <v>1</v>
      </c>
      <c r="K49" s="137"/>
      <c r="L49" s="137"/>
      <c r="M49" s="137"/>
      <c r="N49" s="138"/>
      <c r="O49" s="167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</row>
    <row r="50" spans="1:27" s="118" customFormat="1" x14ac:dyDescent="0.2">
      <c r="A50" s="6"/>
      <c r="B50" s="6"/>
      <c r="C50" s="156"/>
      <c r="D50" s="108"/>
      <c r="E50" s="148"/>
      <c r="F50" s="253"/>
      <c r="G50" s="253"/>
      <c r="H50" s="253"/>
      <c r="I50" s="246" t="str">
        <f>"Total item "&amp;A48</f>
        <v>Total item 2.2.3</v>
      </c>
      <c r="J50" s="261">
        <f>SUM(J49:J49)</f>
        <v>1</v>
      </c>
      <c r="K50" s="137"/>
      <c r="L50" s="137"/>
      <c r="M50" s="137"/>
      <c r="N50" s="138"/>
      <c r="O50" s="167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</row>
    <row r="51" spans="1:27" s="139" customFormat="1" x14ac:dyDescent="0.2">
      <c r="A51" s="6"/>
      <c r="B51" s="6"/>
      <c r="C51" s="7"/>
      <c r="D51" s="116"/>
      <c r="E51" s="6"/>
      <c r="F51" s="258"/>
      <c r="G51" s="258"/>
      <c r="H51" s="258"/>
      <c r="I51" s="246"/>
      <c r="J51" s="258"/>
      <c r="K51" s="137"/>
      <c r="L51" s="137"/>
      <c r="M51" s="137"/>
      <c r="N51" s="138"/>
      <c r="O51" s="283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</row>
    <row r="52" spans="1:27" s="147" customFormat="1" ht="51" x14ac:dyDescent="0.2">
      <c r="A52" s="9" t="s">
        <v>587</v>
      </c>
      <c r="B52" s="9" t="s">
        <v>89</v>
      </c>
      <c r="C52" s="13">
        <v>86942</v>
      </c>
      <c r="D52" s="113" t="s">
        <v>310</v>
      </c>
      <c r="E52" s="9" t="s">
        <v>33</v>
      </c>
      <c r="F52" s="261"/>
      <c r="G52" s="261"/>
      <c r="H52" s="261"/>
      <c r="I52" s="245"/>
      <c r="J52" s="261"/>
      <c r="K52" s="131">
        <f>J54</f>
        <v>1</v>
      </c>
      <c r="L52" s="106">
        <v>168.74</v>
      </c>
      <c r="M52" s="131">
        <f>ROUND(L52*(1+$Q$7),2)</f>
        <v>213.51</v>
      </c>
      <c r="N52" s="133">
        <f>TRUNC(K52*M52,2)</f>
        <v>213.51</v>
      </c>
      <c r="O52" s="28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</row>
    <row r="53" spans="1:27" s="118" customFormat="1" x14ac:dyDescent="0.2">
      <c r="A53" s="6"/>
      <c r="B53" s="6"/>
      <c r="C53" s="155"/>
      <c r="D53" s="2" t="s">
        <v>488</v>
      </c>
      <c r="E53" s="148"/>
      <c r="F53" s="253">
        <v>1</v>
      </c>
      <c r="G53" s="253"/>
      <c r="H53" s="253"/>
      <c r="I53" s="246"/>
      <c r="J53" s="253">
        <f t="shared" ref="J53" si="4">ROUND(PRODUCT(F53:I53),2)</f>
        <v>1</v>
      </c>
      <c r="K53" s="137"/>
      <c r="L53" s="137"/>
      <c r="M53" s="137"/>
      <c r="N53" s="138"/>
      <c r="O53" s="167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</row>
    <row r="54" spans="1:27" s="118" customFormat="1" x14ac:dyDescent="0.2">
      <c r="A54" s="6"/>
      <c r="B54" s="6"/>
      <c r="C54" s="156"/>
      <c r="D54" s="108"/>
      <c r="E54" s="148"/>
      <c r="F54" s="253"/>
      <c r="G54" s="253"/>
      <c r="H54" s="253"/>
      <c r="I54" s="246" t="str">
        <f>"Total item "&amp;A52</f>
        <v>Total item 2.2.4</v>
      </c>
      <c r="J54" s="261">
        <f>SUM(J53:J53)</f>
        <v>1</v>
      </c>
      <c r="K54" s="137"/>
      <c r="L54" s="137"/>
      <c r="M54" s="137"/>
      <c r="N54" s="138"/>
      <c r="O54" s="167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</row>
    <row r="55" spans="1:27" s="139" customFormat="1" x14ac:dyDescent="0.2">
      <c r="A55" s="6"/>
      <c r="B55" s="6"/>
      <c r="C55" s="7"/>
      <c r="D55" s="116"/>
      <c r="E55" s="6"/>
      <c r="F55" s="258"/>
      <c r="G55" s="258"/>
      <c r="H55" s="258"/>
      <c r="I55" s="246"/>
      <c r="J55" s="258"/>
      <c r="K55" s="137"/>
      <c r="L55" s="137"/>
      <c r="M55" s="137"/>
      <c r="N55" s="138"/>
      <c r="O55" s="283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</row>
    <row r="56" spans="1:27" s="147" customFormat="1" ht="51" x14ac:dyDescent="0.2">
      <c r="A56" s="9" t="s">
        <v>588</v>
      </c>
      <c r="B56" s="9" t="s">
        <v>89</v>
      </c>
      <c r="C56" s="13">
        <v>72739</v>
      </c>
      <c r="D56" s="113" t="s">
        <v>311</v>
      </c>
      <c r="E56" s="9" t="s">
        <v>33</v>
      </c>
      <c r="F56" s="261"/>
      <c r="G56" s="261"/>
      <c r="H56" s="261"/>
      <c r="I56" s="245"/>
      <c r="J56" s="261"/>
      <c r="K56" s="131">
        <f>J58</f>
        <v>1</v>
      </c>
      <c r="L56" s="106">
        <v>410.89</v>
      </c>
      <c r="M56" s="131">
        <f>ROUND(L56*(1+$Q$7),2)</f>
        <v>519.9</v>
      </c>
      <c r="N56" s="133">
        <f>TRUNC(K56*M56,2)</f>
        <v>519.9</v>
      </c>
      <c r="O56" s="28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</row>
    <row r="57" spans="1:27" s="118" customFormat="1" x14ac:dyDescent="0.2">
      <c r="A57" s="6"/>
      <c r="B57" s="6"/>
      <c r="C57" s="155"/>
      <c r="D57" s="2" t="s">
        <v>488</v>
      </c>
      <c r="E57" s="148"/>
      <c r="F57" s="253">
        <v>1</v>
      </c>
      <c r="G57" s="253"/>
      <c r="H57" s="253"/>
      <c r="I57" s="246"/>
      <c r="J57" s="253">
        <f t="shared" ref="J57" si="5">ROUND(PRODUCT(F57:I57),2)</f>
        <v>1</v>
      </c>
      <c r="K57" s="137"/>
      <c r="L57" s="137"/>
      <c r="M57" s="137"/>
      <c r="N57" s="138"/>
      <c r="O57" s="167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</row>
    <row r="58" spans="1:27" s="118" customFormat="1" x14ac:dyDescent="0.2">
      <c r="A58" s="6"/>
      <c r="B58" s="6"/>
      <c r="C58" s="156"/>
      <c r="D58" s="108"/>
      <c r="E58" s="148"/>
      <c r="F58" s="253"/>
      <c r="G58" s="253"/>
      <c r="H58" s="253"/>
      <c r="I58" s="246" t="str">
        <f>"Total item "&amp;A56</f>
        <v>Total item 2.2.5</v>
      </c>
      <c r="J58" s="261">
        <f>SUM(J57:J57)</f>
        <v>1</v>
      </c>
      <c r="K58" s="137"/>
      <c r="L58" s="137"/>
      <c r="M58" s="137"/>
      <c r="N58" s="138"/>
      <c r="O58" s="167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</row>
    <row r="59" spans="1:27" s="139" customFormat="1" x14ac:dyDescent="0.2">
      <c r="A59" s="6"/>
      <c r="B59" s="6"/>
      <c r="C59" s="7"/>
      <c r="D59" s="116"/>
      <c r="E59" s="6"/>
      <c r="F59" s="258"/>
      <c r="G59" s="258"/>
      <c r="H59" s="258"/>
      <c r="I59" s="246"/>
      <c r="J59" s="258"/>
      <c r="K59" s="137"/>
      <c r="L59" s="137"/>
      <c r="M59" s="137"/>
      <c r="N59" s="138"/>
      <c r="O59" s="283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</row>
    <row r="60" spans="1:27" s="145" customFormat="1" x14ac:dyDescent="0.2">
      <c r="A60" s="140" t="s">
        <v>59</v>
      </c>
      <c r="B60" s="140"/>
      <c r="C60" s="141"/>
      <c r="D60" s="112" t="s">
        <v>80</v>
      </c>
      <c r="E60" s="140"/>
      <c r="F60" s="260"/>
      <c r="G60" s="260"/>
      <c r="H60" s="260"/>
      <c r="I60" s="248"/>
      <c r="J60" s="260"/>
      <c r="K60" s="142"/>
      <c r="L60" s="142"/>
      <c r="M60" s="142"/>
      <c r="N60" s="143">
        <f>SUM(N62:N68)</f>
        <v>1636.5600000000002</v>
      </c>
      <c r="O60" s="285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</row>
    <row r="61" spans="1:27" s="139" customFormat="1" x14ac:dyDescent="0.2">
      <c r="A61" s="6"/>
      <c r="B61" s="6"/>
      <c r="C61" s="7"/>
      <c r="D61" s="116"/>
      <c r="E61" s="6"/>
      <c r="F61" s="258"/>
      <c r="G61" s="258"/>
      <c r="H61" s="258"/>
      <c r="I61" s="246"/>
      <c r="J61" s="258"/>
      <c r="K61" s="137"/>
      <c r="L61" s="137"/>
      <c r="M61" s="137"/>
      <c r="N61" s="138"/>
      <c r="O61" s="283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</row>
    <row r="62" spans="1:27" s="147" customFormat="1" ht="30.6" x14ac:dyDescent="0.2">
      <c r="A62" s="9" t="s">
        <v>589</v>
      </c>
      <c r="B62" s="9" t="s">
        <v>421</v>
      </c>
      <c r="C62" s="13">
        <v>11587</v>
      </c>
      <c r="D62" s="109" t="s">
        <v>581</v>
      </c>
      <c r="E62" s="9" t="s">
        <v>9</v>
      </c>
      <c r="F62" s="261"/>
      <c r="G62" s="261"/>
      <c r="H62" s="261"/>
      <c r="I62" s="245"/>
      <c r="J62" s="261"/>
      <c r="K62" s="131">
        <f>J64</f>
        <v>5.6</v>
      </c>
      <c r="L62" s="106">
        <v>59.97</v>
      </c>
      <c r="M62" s="131">
        <f>ROUND(L62*(1+$Q$7),2)</f>
        <v>75.88</v>
      </c>
      <c r="N62" s="133">
        <f>TRUNC(K62*M62,2)</f>
        <v>424.92</v>
      </c>
      <c r="O62" s="286"/>
      <c r="P62" s="146"/>
      <c r="Q62" s="146"/>
      <c r="R62" s="146"/>
      <c r="S62" s="146"/>
      <c r="T62" s="146"/>
      <c r="U62" s="146"/>
      <c r="V62" s="146"/>
      <c r="W62" s="146"/>
      <c r="X62" s="146"/>
      <c r="Y62" s="146"/>
      <c r="Z62" s="146"/>
      <c r="AA62" s="146"/>
    </row>
    <row r="63" spans="1:27" s="118" customFormat="1" x14ac:dyDescent="0.2">
      <c r="A63" s="6"/>
      <c r="B63" s="6"/>
      <c r="C63" s="155"/>
      <c r="D63" s="2" t="s">
        <v>488</v>
      </c>
      <c r="E63" s="148"/>
      <c r="F63" s="253"/>
      <c r="G63" s="253">
        <v>2.8</v>
      </c>
      <c r="H63" s="253">
        <v>2</v>
      </c>
      <c r="I63" s="246"/>
      <c r="J63" s="253">
        <f t="shared" ref="J63" si="6">ROUND(PRODUCT(F63:I63),2)</f>
        <v>5.6</v>
      </c>
      <c r="K63" s="137"/>
      <c r="L63" s="137"/>
      <c r="M63" s="137"/>
      <c r="N63" s="138"/>
      <c r="O63" s="167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</row>
    <row r="64" spans="1:27" s="118" customFormat="1" x14ac:dyDescent="0.2">
      <c r="A64" s="6"/>
      <c r="B64" s="6"/>
      <c r="C64" s="156"/>
      <c r="D64" s="108"/>
      <c r="E64" s="148"/>
      <c r="F64" s="253"/>
      <c r="G64" s="253"/>
      <c r="H64" s="253"/>
      <c r="I64" s="246" t="str">
        <f>"Total item "&amp;A62</f>
        <v>Total item 2.3.1</v>
      </c>
      <c r="J64" s="261">
        <f>SUM(J63:J63)</f>
        <v>5.6</v>
      </c>
      <c r="K64" s="137"/>
      <c r="L64" s="137"/>
      <c r="M64" s="137"/>
      <c r="N64" s="138"/>
      <c r="O64" s="167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</row>
    <row r="65" spans="1:27" s="118" customFormat="1" x14ac:dyDescent="0.2">
      <c r="A65" s="6"/>
      <c r="B65" s="6"/>
      <c r="C65" s="14"/>
      <c r="D65" s="108"/>
      <c r="E65" s="148"/>
      <c r="F65" s="253"/>
      <c r="G65" s="253"/>
      <c r="H65" s="253"/>
      <c r="I65" s="246"/>
      <c r="J65" s="262"/>
      <c r="K65" s="137"/>
      <c r="L65" s="137"/>
      <c r="M65" s="137"/>
      <c r="N65" s="138"/>
      <c r="O65" s="167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111"/>
      <c r="AA65" s="111"/>
    </row>
    <row r="66" spans="1:27" s="147" customFormat="1" x14ac:dyDescent="0.2">
      <c r="A66" s="9" t="s">
        <v>590</v>
      </c>
      <c r="B66" s="9" t="s">
        <v>179</v>
      </c>
      <c r="C66" s="13" t="s">
        <v>316</v>
      </c>
      <c r="D66" s="109" t="s">
        <v>317</v>
      </c>
      <c r="E66" s="9" t="s">
        <v>9</v>
      </c>
      <c r="F66" s="261"/>
      <c r="G66" s="261"/>
      <c r="H66" s="261"/>
      <c r="I66" s="245"/>
      <c r="J66" s="261"/>
      <c r="K66" s="131">
        <f>J68</f>
        <v>165.3</v>
      </c>
      <c r="L66" s="131">
        <f>'COMPOSICOES - SINAPI COM DESON'!G18</f>
        <v>5.79</v>
      </c>
      <c r="M66" s="131">
        <f>ROUND(L66*(1+$Q$7),2)</f>
        <v>7.33</v>
      </c>
      <c r="N66" s="133">
        <f>TRUNC(K66*M66,2)</f>
        <v>1211.6400000000001</v>
      </c>
      <c r="O66" s="28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</row>
    <row r="67" spans="1:27" s="118" customFormat="1" x14ac:dyDescent="0.2">
      <c r="A67" s="6"/>
      <c r="B67" s="6"/>
      <c r="C67" s="155"/>
      <c r="D67" s="155"/>
      <c r="E67" s="155"/>
      <c r="F67" s="202"/>
      <c r="G67" s="253">
        <v>19</v>
      </c>
      <c r="H67" s="253">
        <v>8.6999999999999993</v>
      </c>
      <c r="I67" s="246"/>
      <c r="J67" s="253">
        <f t="shared" ref="J67" si="7">ROUND(PRODUCT(F67:I67),2)</f>
        <v>165.3</v>
      </c>
      <c r="K67" s="137"/>
      <c r="L67" s="137"/>
      <c r="M67" s="137"/>
      <c r="N67" s="138"/>
      <c r="O67" s="167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111"/>
      <c r="AA67" s="111"/>
    </row>
    <row r="68" spans="1:27" s="118" customFormat="1" x14ac:dyDescent="0.2">
      <c r="A68" s="6"/>
      <c r="B68" s="6"/>
      <c r="C68" s="156"/>
      <c r="D68" s="108"/>
      <c r="E68" s="148"/>
      <c r="F68" s="253"/>
      <c r="G68" s="253"/>
      <c r="H68" s="253"/>
      <c r="I68" s="246" t="str">
        <f>"Total item "&amp;A66</f>
        <v>Total item 2.3.2</v>
      </c>
      <c r="J68" s="261">
        <f>SUM(J67:J67)</f>
        <v>165.3</v>
      </c>
      <c r="K68" s="137"/>
      <c r="L68" s="137"/>
      <c r="M68" s="137"/>
      <c r="N68" s="138"/>
      <c r="O68" s="167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111"/>
      <c r="AA68" s="111"/>
    </row>
    <row r="69" spans="1:27" s="118" customFormat="1" x14ac:dyDescent="0.2">
      <c r="A69" s="6"/>
      <c r="B69" s="6"/>
      <c r="C69" s="14"/>
      <c r="D69" s="108"/>
      <c r="E69" s="148"/>
      <c r="F69" s="253"/>
      <c r="G69" s="253"/>
      <c r="H69" s="253"/>
      <c r="I69" s="246"/>
      <c r="J69" s="262"/>
      <c r="K69" s="137"/>
      <c r="L69" s="137"/>
      <c r="M69" s="137"/>
      <c r="N69" s="138"/>
      <c r="O69" s="167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</row>
    <row r="70" spans="1:27" s="145" customFormat="1" x14ac:dyDescent="0.2">
      <c r="A70" s="140" t="s">
        <v>689</v>
      </c>
      <c r="B70" s="140"/>
      <c r="C70" s="141"/>
      <c r="D70" s="112" t="s">
        <v>267</v>
      </c>
      <c r="E70" s="140"/>
      <c r="F70" s="260"/>
      <c r="G70" s="260"/>
      <c r="H70" s="260"/>
      <c r="I70" s="248"/>
      <c r="J70" s="260"/>
      <c r="K70" s="142"/>
      <c r="L70" s="142"/>
      <c r="M70" s="142"/>
      <c r="N70" s="143">
        <f>SUM(N72:N92)</f>
        <v>1202.9000000000001</v>
      </c>
      <c r="O70" s="285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</row>
    <row r="71" spans="1:27" s="139" customFormat="1" x14ac:dyDescent="0.2">
      <c r="A71" s="6"/>
      <c r="B71" s="6"/>
      <c r="C71" s="7"/>
      <c r="D71" s="116"/>
      <c r="E71" s="6"/>
      <c r="F71" s="258"/>
      <c r="G71" s="258"/>
      <c r="H71" s="258"/>
      <c r="I71" s="246"/>
      <c r="J71" s="258"/>
      <c r="K71" s="137"/>
      <c r="L71" s="137"/>
      <c r="M71" s="137"/>
      <c r="N71" s="138"/>
      <c r="O71" s="283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</row>
    <row r="72" spans="1:27" s="147" customFormat="1" ht="20.399999999999999" x14ac:dyDescent="0.2">
      <c r="A72" s="9" t="s">
        <v>690</v>
      </c>
      <c r="B72" s="9" t="s">
        <v>163</v>
      </c>
      <c r="C72" s="13" t="s">
        <v>186</v>
      </c>
      <c r="D72" s="109" t="s">
        <v>510</v>
      </c>
      <c r="E72" s="9" t="s">
        <v>9</v>
      </c>
      <c r="F72" s="261"/>
      <c r="G72" s="261"/>
      <c r="H72" s="261"/>
      <c r="I72" s="245"/>
      <c r="J72" s="261"/>
      <c r="K72" s="131">
        <f>J76</f>
        <v>18.95</v>
      </c>
      <c r="L72" s="106">
        <v>5.98</v>
      </c>
      <c r="M72" s="131">
        <f>ROUND(L72*(1+$Q$7),2)</f>
        <v>7.57</v>
      </c>
      <c r="N72" s="133">
        <f>TRUNC(K72*M72,2)</f>
        <v>143.44999999999999</v>
      </c>
      <c r="O72" s="28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</row>
    <row r="73" spans="1:27" s="118" customFormat="1" x14ac:dyDescent="0.2">
      <c r="A73" s="6"/>
      <c r="B73" s="6"/>
      <c r="C73" s="155"/>
      <c r="D73" s="2" t="s">
        <v>724</v>
      </c>
      <c r="E73" s="148"/>
      <c r="F73" s="253"/>
      <c r="G73" s="253">
        <v>2.5</v>
      </c>
      <c r="H73" s="253">
        <v>3.5</v>
      </c>
      <c r="I73" s="249"/>
      <c r="J73" s="253">
        <f t="shared" ref="J73:J75" si="8">ROUND(PRODUCT(F73:I73),2)</f>
        <v>8.75</v>
      </c>
      <c r="K73" s="137"/>
      <c r="L73" s="137"/>
      <c r="M73" s="137"/>
      <c r="N73" s="138"/>
      <c r="O73" s="167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111"/>
      <c r="AA73" s="111"/>
    </row>
    <row r="74" spans="1:27" s="118" customFormat="1" x14ac:dyDescent="0.2">
      <c r="A74" s="6"/>
      <c r="B74" s="6"/>
      <c r="C74" s="155"/>
      <c r="D74" s="2"/>
      <c r="E74" s="148"/>
      <c r="F74" s="253"/>
      <c r="G74" s="253">
        <v>2.5</v>
      </c>
      <c r="H74" s="253"/>
      <c r="I74" s="249">
        <v>1.7</v>
      </c>
      <c r="J74" s="253">
        <f t="shared" si="8"/>
        <v>4.25</v>
      </c>
      <c r="K74" s="137"/>
      <c r="L74" s="137"/>
      <c r="M74" s="137"/>
      <c r="N74" s="138"/>
      <c r="O74" s="167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</row>
    <row r="75" spans="1:27" s="118" customFormat="1" x14ac:dyDescent="0.2">
      <c r="A75" s="6"/>
      <c r="B75" s="6"/>
      <c r="C75" s="155"/>
      <c r="D75" s="2"/>
      <c r="E75" s="148"/>
      <c r="F75" s="253"/>
      <c r="G75" s="253">
        <v>3.5</v>
      </c>
      <c r="H75" s="253"/>
      <c r="I75" s="249">
        <v>1.7</v>
      </c>
      <c r="J75" s="253">
        <f t="shared" si="8"/>
        <v>5.95</v>
      </c>
      <c r="K75" s="137"/>
      <c r="L75" s="137"/>
      <c r="M75" s="137"/>
      <c r="N75" s="138"/>
      <c r="O75" s="167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</row>
    <row r="76" spans="1:27" s="118" customFormat="1" x14ac:dyDescent="0.2">
      <c r="A76" s="6"/>
      <c r="B76" s="6"/>
      <c r="C76" s="156"/>
      <c r="D76" s="108"/>
      <c r="E76" s="148"/>
      <c r="F76" s="253"/>
      <c r="G76" s="253"/>
      <c r="H76" s="253"/>
      <c r="I76" s="246" t="str">
        <f>"Total item "&amp;A72</f>
        <v>Total item 2.4.1</v>
      </c>
      <c r="J76" s="261">
        <f>SUM(J73:J75)</f>
        <v>18.95</v>
      </c>
      <c r="K76" s="137"/>
      <c r="L76" s="137"/>
      <c r="M76" s="137"/>
      <c r="N76" s="138"/>
      <c r="O76" s="167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111"/>
      <c r="AA76" s="111"/>
    </row>
    <row r="77" spans="1:27" s="118" customFormat="1" x14ac:dyDescent="0.2">
      <c r="A77" s="6"/>
      <c r="B77" s="6"/>
      <c r="C77" s="14"/>
      <c r="D77" s="108"/>
      <c r="E77" s="148"/>
      <c r="F77" s="253"/>
      <c r="G77" s="253"/>
      <c r="H77" s="253"/>
      <c r="I77" s="246"/>
      <c r="J77" s="262"/>
      <c r="K77" s="137"/>
      <c r="L77" s="137"/>
      <c r="M77" s="137"/>
      <c r="N77" s="138"/>
      <c r="O77" s="167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</row>
    <row r="78" spans="1:27" s="147" customFormat="1" ht="35.25" customHeight="1" x14ac:dyDescent="0.2">
      <c r="A78" s="9" t="s">
        <v>693</v>
      </c>
      <c r="B78" s="9" t="s">
        <v>163</v>
      </c>
      <c r="C78" s="13" t="s">
        <v>691</v>
      </c>
      <c r="D78" s="113" t="s">
        <v>692</v>
      </c>
      <c r="E78" s="9" t="s">
        <v>9</v>
      </c>
      <c r="F78" s="261"/>
      <c r="G78" s="261"/>
      <c r="H78" s="261"/>
      <c r="I78" s="245"/>
      <c r="J78" s="261"/>
      <c r="K78" s="131">
        <f>J82</f>
        <v>18.95</v>
      </c>
      <c r="L78" s="106">
        <v>31.31</v>
      </c>
      <c r="M78" s="131">
        <f>ROUND(L78*(1+$Q$7),2)</f>
        <v>39.619999999999997</v>
      </c>
      <c r="N78" s="133">
        <f>TRUNC(K78*M78,2)</f>
        <v>750.79</v>
      </c>
      <c r="O78" s="28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</row>
    <row r="79" spans="1:27" s="118" customFormat="1" x14ac:dyDescent="0.2">
      <c r="A79" s="6"/>
      <c r="B79" s="6"/>
      <c r="C79" s="155"/>
      <c r="D79" s="2" t="s">
        <v>724</v>
      </c>
      <c r="E79" s="148"/>
      <c r="F79" s="253"/>
      <c r="G79" s="253">
        <v>2.5</v>
      </c>
      <c r="H79" s="253">
        <v>3.5</v>
      </c>
      <c r="I79" s="249"/>
      <c r="J79" s="253">
        <f t="shared" ref="J79:J81" si="9">ROUND(PRODUCT(F79:I79),2)</f>
        <v>8.75</v>
      </c>
      <c r="K79" s="137"/>
      <c r="L79" s="137"/>
      <c r="M79" s="137"/>
      <c r="N79" s="138"/>
      <c r="O79" s="167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</row>
    <row r="80" spans="1:27" s="118" customFormat="1" x14ac:dyDescent="0.2">
      <c r="A80" s="6"/>
      <c r="B80" s="6"/>
      <c r="C80" s="155"/>
      <c r="D80" s="2"/>
      <c r="E80" s="148"/>
      <c r="F80" s="253"/>
      <c r="G80" s="253">
        <v>2.5</v>
      </c>
      <c r="H80" s="253"/>
      <c r="I80" s="249">
        <v>1.7</v>
      </c>
      <c r="J80" s="253">
        <f t="shared" si="9"/>
        <v>4.25</v>
      </c>
      <c r="K80" s="137"/>
      <c r="L80" s="137"/>
      <c r="M80" s="137"/>
      <c r="N80" s="138"/>
      <c r="O80" s="167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</row>
    <row r="81" spans="1:27" s="118" customFormat="1" x14ac:dyDescent="0.2">
      <c r="A81" s="6"/>
      <c r="B81" s="6"/>
      <c r="C81" s="155"/>
      <c r="D81" s="2"/>
      <c r="E81" s="148"/>
      <c r="F81" s="253"/>
      <c r="G81" s="253">
        <v>3.5</v>
      </c>
      <c r="H81" s="253"/>
      <c r="I81" s="249">
        <v>1.7</v>
      </c>
      <c r="J81" s="253">
        <f t="shared" si="9"/>
        <v>5.95</v>
      </c>
      <c r="K81" s="137"/>
      <c r="L81" s="137"/>
      <c r="M81" s="137"/>
      <c r="N81" s="138"/>
      <c r="O81" s="167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</row>
    <row r="82" spans="1:27" s="118" customFormat="1" x14ac:dyDescent="0.2">
      <c r="A82" s="6"/>
      <c r="B82" s="6"/>
      <c r="C82" s="156"/>
      <c r="D82" s="108"/>
      <c r="E82" s="148"/>
      <c r="F82" s="253"/>
      <c r="G82" s="253"/>
      <c r="H82" s="253"/>
      <c r="I82" s="246" t="str">
        <f>"Total item "&amp;A78</f>
        <v>Total item 2.4.2</v>
      </c>
      <c r="J82" s="261">
        <f>SUM(J79:J81)</f>
        <v>18.95</v>
      </c>
      <c r="K82" s="137"/>
      <c r="L82" s="137"/>
      <c r="M82" s="137"/>
      <c r="N82" s="138"/>
      <c r="O82" s="167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</row>
    <row r="83" spans="1:27" s="118" customFormat="1" x14ac:dyDescent="0.2">
      <c r="A83" s="6"/>
      <c r="B83" s="6"/>
      <c r="C83" s="14"/>
      <c r="D83" s="108"/>
      <c r="E83" s="148"/>
      <c r="F83" s="253"/>
      <c r="G83" s="253"/>
      <c r="H83" s="253"/>
      <c r="I83" s="246"/>
      <c r="J83" s="262"/>
      <c r="K83" s="137"/>
      <c r="L83" s="137"/>
      <c r="M83" s="137"/>
      <c r="N83" s="138"/>
      <c r="O83" s="167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</row>
    <row r="84" spans="1:27" s="147" customFormat="1" x14ac:dyDescent="0.2">
      <c r="A84" s="9" t="s">
        <v>725</v>
      </c>
      <c r="B84" s="9" t="s">
        <v>163</v>
      </c>
      <c r="C84" s="13" t="s">
        <v>727</v>
      </c>
      <c r="D84" s="113" t="s">
        <v>730</v>
      </c>
      <c r="E84" s="9" t="s">
        <v>42</v>
      </c>
      <c r="F84" s="261"/>
      <c r="G84" s="261"/>
      <c r="H84" s="261"/>
      <c r="I84" s="245"/>
      <c r="J84" s="261"/>
      <c r="K84" s="131">
        <f>J87</f>
        <v>0.54</v>
      </c>
      <c r="L84" s="106">
        <v>170.86</v>
      </c>
      <c r="M84" s="131">
        <f>ROUND(L84*(1+$Q$7),2)</f>
        <v>216.19</v>
      </c>
      <c r="N84" s="133">
        <f>TRUNC(K84*M84,2)</f>
        <v>116.74</v>
      </c>
      <c r="O84" s="28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</row>
    <row r="85" spans="1:27" s="118" customFormat="1" ht="30.6" x14ac:dyDescent="0.2">
      <c r="A85" s="6"/>
      <c r="B85" s="6"/>
      <c r="C85" s="155"/>
      <c r="D85" s="2" t="s">
        <v>728</v>
      </c>
      <c r="E85" s="148"/>
      <c r="F85" s="253"/>
      <c r="G85" s="253">
        <v>2.5</v>
      </c>
      <c r="H85" s="253">
        <v>0.04</v>
      </c>
      <c r="I85" s="249">
        <v>3.5</v>
      </c>
      <c r="J85" s="253">
        <f t="shared" ref="J85:J86" si="10">ROUND(PRODUCT(F85:I85),2)</f>
        <v>0.35</v>
      </c>
      <c r="K85" s="137"/>
      <c r="L85" s="137"/>
      <c r="M85" s="137"/>
      <c r="N85" s="138"/>
      <c r="O85" s="167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</row>
    <row r="86" spans="1:27" s="118" customFormat="1" x14ac:dyDescent="0.2">
      <c r="A86" s="6"/>
      <c r="B86" s="6"/>
      <c r="C86" s="155"/>
      <c r="D86" s="2"/>
      <c r="E86" s="148"/>
      <c r="F86" s="253">
        <v>2</v>
      </c>
      <c r="G86" s="253">
        <v>0.8</v>
      </c>
      <c r="H86" s="253">
        <v>0.04</v>
      </c>
      <c r="I86" s="249">
        <v>3</v>
      </c>
      <c r="J86" s="253">
        <f t="shared" si="10"/>
        <v>0.19</v>
      </c>
      <c r="K86" s="137"/>
      <c r="L86" s="137"/>
      <c r="M86" s="137"/>
      <c r="N86" s="138"/>
      <c r="O86" s="167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</row>
    <row r="87" spans="1:27" s="118" customFormat="1" x14ac:dyDescent="0.2">
      <c r="A87" s="6"/>
      <c r="B87" s="6"/>
      <c r="C87" s="156"/>
      <c r="D87" s="108"/>
      <c r="E87" s="148"/>
      <c r="F87" s="253"/>
      <c r="G87" s="253"/>
      <c r="H87" s="253"/>
      <c r="I87" s="246" t="str">
        <f>"Total item "&amp;A84</f>
        <v>Total item 2.4.3</v>
      </c>
      <c r="J87" s="261">
        <f>SUM(J85:J86)</f>
        <v>0.54</v>
      </c>
      <c r="K87" s="137"/>
      <c r="L87" s="137"/>
      <c r="M87" s="137"/>
      <c r="N87" s="138"/>
      <c r="O87" s="167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</row>
    <row r="88" spans="1:27" s="118" customFormat="1" x14ac:dyDescent="0.2">
      <c r="A88" s="6"/>
      <c r="B88" s="6"/>
      <c r="C88" s="155"/>
      <c r="D88" s="108"/>
      <c r="E88" s="148"/>
      <c r="F88" s="253"/>
      <c r="G88" s="253"/>
      <c r="H88" s="253"/>
      <c r="I88" s="246"/>
      <c r="J88" s="258"/>
      <c r="K88" s="137"/>
      <c r="L88" s="137"/>
      <c r="M88" s="137"/>
      <c r="N88" s="138"/>
      <c r="O88" s="167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</row>
    <row r="89" spans="1:27" s="147" customFormat="1" ht="35.25" customHeight="1" x14ac:dyDescent="0.2">
      <c r="A89" s="9" t="s">
        <v>726</v>
      </c>
      <c r="B89" s="9" t="s">
        <v>89</v>
      </c>
      <c r="C89" s="13">
        <v>90280</v>
      </c>
      <c r="D89" s="113" t="s">
        <v>694</v>
      </c>
      <c r="E89" s="9" t="s">
        <v>42</v>
      </c>
      <c r="F89" s="261"/>
      <c r="G89" s="261"/>
      <c r="H89" s="261"/>
      <c r="I89" s="245"/>
      <c r="J89" s="261"/>
      <c r="K89" s="131">
        <f>J92</f>
        <v>0.54</v>
      </c>
      <c r="L89" s="106">
        <v>280.89999999999998</v>
      </c>
      <c r="M89" s="131">
        <f>ROUND(L89*(1+$Q$7),2)</f>
        <v>355.42</v>
      </c>
      <c r="N89" s="133">
        <f>TRUNC(K89*M89,2)</f>
        <v>191.92</v>
      </c>
      <c r="O89" s="286"/>
      <c r="P89" s="146"/>
      <c r="Q89" s="146"/>
      <c r="R89" s="146"/>
      <c r="S89" s="146"/>
      <c r="T89" s="146"/>
      <c r="U89" s="146"/>
      <c r="V89" s="146"/>
      <c r="W89" s="146"/>
      <c r="X89" s="146"/>
      <c r="Y89" s="146"/>
      <c r="Z89" s="146"/>
      <c r="AA89" s="146"/>
    </row>
    <row r="90" spans="1:27" s="118" customFormat="1" ht="20.399999999999999" x14ac:dyDescent="0.2">
      <c r="A90" s="6"/>
      <c r="B90" s="6"/>
      <c r="C90" s="155"/>
      <c r="D90" s="2" t="s">
        <v>729</v>
      </c>
      <c r="E90" s="148"/>
      <c r="F90" s="253"/>
      <c r="G90" s="253">
        <v>2.5</v>
      </c>
      <c r="H90" s="253">
        <v>0.04</v>
      </c>
      <c r="I90" s="249">
        <v>3.5</v>
      </c>
      <c r="J90" s="253">
        <f t="shared" ref="J90:J91" si="11">ROUND(PRODUCT(F90:I90),2)</f>
        <v>0.35</v>
      </c>
      <c r="K90" s="137"/>
      <c r="L90" s="137"/>
      <c r="M90" s="137"/>
      <c r="N90" s="138"/>
      <c r="O90" s="167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111"/>
      <c r="AA90" s="111"/>
    </row>
    <row r="91" spans="1:27" s="118" customFormat="1" x14ac:dyDescent="0.2">
      <c r="A91" s="6"/>
      <c r="B91" s="6"/>
      <c r="C91" s="155"/>
      <c r="D91" s="2"/>
      <c r="E91" s="148"/>
      <c r="F91" s="253">
        <v>2</v>
      </c>
      <c r="G91" s="253">
        <v>0.8</v>
      </c>
      <c r="H91" s="253">
        <v>0.04</v>
      </c>
      <c r="I91" s="249">
        <v>3</v>
      </c>
      <c r="J91" s="253">
        <f t="shared" si="11"/>
        <v>0.19</v>
      </c>
      <c r="K91" s="137"/>
      <c r="L91" s="137"/>
      <c r="M91" s="137"/>
      <c r="N91" s="138"/>
      <c r="O91" s="167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111"/>
      <c r="AA91" s="111"/>
    </row>
    <row r="92" spans="1:27" s="118" customFormat="1" x14ac:dyDescent="0.2">
      <c r="A92" s="6"/>
      <c r="B92" s="6"/>
      <c r="C92" s="156"/>
      <c r="D92" s="108"/>
      <c r="E92" s="148"/>
      <c r="F92" s="253"/>
      <c r="G92" s="253"/>
      <c r="H92" s="253"/>
      <c r="I92" s="246" t="str">
        <f>"Total item "&amp;A89</f>
        <v>Total item 2.4.4</v>
      </c>
      <c r="J92" s="261">
        <f>SUM(J90:J91)</f>
        <v>0.54</v>
      </c>
      <c r="K92" s="137"/>
      <c r="L92" s="137"/>
      <c r="M92" s="137"/>
      <c r="N92" s="138"/>
      <c r="O92" s="167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111"/>
      <c r="AA92" s="111"/>
    </row>
    <row r="93" spans="1:27" s="118" customFormat="1" x14ac:dyDescent="0.2">
      <c r="A93" s="6"/>
      <c r="B93" s="6"/>
      <c r="C93" s="155"/>
      <c r="D93" s="108"/>
      <c r="E93" s="148"/>
      <c r="F93" s="253"/>
      <c r="G93" s="253"/>
      <c r="H93" s="253"/>
      <c r="I93" s="246"/>
      <c r="J93" s="258"/>
      <c r="K93" s="137"/>
      <c r="L93" s="137"/>
      <c r="M93" s="137"/>
      <c r="N93" s="138"/>
      <c r="O93" s="167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111"/>
      <c r="AA93" s="111"/>
    </row>
    <row r="94" spans="1:27" s="241" customFormat="1" ht="13.2" x14ac:dyDescent="0.25">
      <c r="A94" s="236" t="s">
        <v>13</v>
      </c>
      <c r="B94" s="236"/>
      <c r="C94" s="237"/>
      <c r="D94" s="289" t="s">
        <v>213</v>
      </c>
      <c r="E94" s="236"/>
      <c r="F94" s="259"/>
      <c r="G94" s="259"/>
      <c r="H94" s="259"/>
      <c r="I94" s="247"/>
      <c r="J94" s="259"/>
      <c r="K94" s="238"/>
      <c r="L94" s="238"/>
      <c r="M94" s="238"/>
      <c r="N94" s="239" t="e">
        <f>N96+N146+N179+N186</f>
        <v>#VALUE!</v>
      </c>
      <c r="O94" s="284" t="e">
        <f>N94/$N$2057</f>
        <v>#VALUE!</v>
      </c>
      <c r="P94" s="240" t="s">
        <v>533</v>
      </c>
      <c r="Q94" s="240" t="s">
        <v>533</v>
      </c>
      <c r="R94" s="240"/>
      <c r="S94" s="240"/>
      <c r="T94" s="240"/>
      <c r="U94" s="240"/>
      <c r="V94" s="240"/>
      <c r="W94" s="240"/>
      <c r="X94" s="240"/>
      <c r="Y94" s="240"/>
      <c r="Z94" s="240"/>
      <c r="AA94" s="240"/>
    </row>
    <row r="95" spans="1:27" s="118" customFormat="1" x14ac:dyDescent="0.2">
      <c r="A95" s="6"/>
      <c r="B95" s="6"/>
      <c r="C95" s="155"/>
      <c r="D95" s="108"/>
      <c r="E95" s="148"/>
      <c r="F95" s="253"/>
      <c r="G95" s="253"/>
      <c r="H95" s="253"/>
      <c r="I95" s="246"/>
      <c r="J95" s="258"/>
      <c r="K95" s="137"/>
      <c r="L95" s="137"/>
      <c r="M95" s="137"/>
      <c r="N95" s="138"/>
      <c r="O95" s="167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</row>
    <row r="96" spans="1:27" s="145" customFormat="1" x14ac:dyDescent="0.2">
      <c r="A96" s="140" t="s">
        <v>14</v>
      </c>
      <c r="B96" s="140"/>
      <c r="C96" s="141"/>
      <c r="D96" s="112" t="s">
        <v>30</v>
      </c>
      <c r="E96" s="140"/>
      <c r="F96" s="260"/>
      <c r="G96" s="260"/>
      <c r="H96" s="260"/>
      <c r="I96" s="248"/>
      <c r="J96" s="260"/>
      <c r="K96" s="142"/>
      <c r="L96" s="142"/>
      <c r="M96" s="142"/>
      <c r="N96" s="143" t="e">
        <f>SUM(N98:N144)</f>
        <v>#VALUE!</v>
      </c>
      <c r="O96" s="285"/>
      <c r="P96" s="144"/>
      <c r="Q96" s="144"/>
      <c r="R96" s="144"/>
      <c r="S96" s="144"/>
      <c r="T96" s="144"/>
      <c r="U96" s="144"/>
      <c r="V96" s="144"/>
      <c r="W96" s="144"/>
      <c r="X96" s="144"/>
      <c r="Y96" s="144"/>
      <c r="Z96" s="144"/>
      <c r="AA96" s="144"/>
    </row>
    <row r="97" spans="1:27" s="118" customFormat="1" x14ac:dyDescent="0.2">
      <c r="A97" s="6"/>
      <c r="B97" s="6"/>
      <c r="C97" s="155"/>
      <c r="D97" s="108"/>
      <c r="E97" s="148"/>
      <c r="F97" s="253"/>
      <c r="G97" s="253"/>
      <c r="H97" s="253"/>
      <c r="I97" s="246"/>
      <c r="J97" s="258"/>
      <c r="K97" s="137"/>
      <c r="L97" s="137"/>
      <c r="M97" s="137"/>
      <c r="N97" s="138"/>
      <c r="O97" s="167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</row>
    <row r="98" spans="1:27" s="147" customFormat="1" ht="30.6" x14ac:dyDescent="0.2">
      <c r="A98" s="9" t="s">
        <v>355</v>
      </c>
      <c r="B98" s="9" t="s">
        <v>163</v>
      </c>
      <c r="C98" s="13" t="s">
        <v>240</v>
      </c>
      <c r="D98" s="113" t="s">
        <v>403</v>
      </c>
      <c r="E98" s="9" t="s">
        <v>31</v>
      </c>
      <c r="F98" s="261"/>
      <c r="G98" s="261"/>
      <c r="H98" s="261"/>
      <c r="I98" s="245"/>
      <c r="J98" s="261"/>
      <c r="K98" s="131">
        <f>J101</f>
        <v>2</v>
      </c>
      <c r="L98" s="131">
        <v>73.44</v>
      </c>
      <c r="M98" s="131">
        <f>ROUND(L98*(1+$Q$7),2)</f>
        <v>92.92</v>
      </c>
      <c r="N98" s="133">
        <f>TRUNC(K98*M98,2)</f>
        <v>185.84</v>
      </c>
      <c r="O98" s="286"/>
      <c r="P98" s="146"/>
      <c r="Q98" s="146"/>
      <c r="R98" s="146"/>
      <c r="S98" s="146"/>
      <c r="T98" s="146"/>
      <c r="U98" s="146"/>
      <c r="V98" s="146"/>
      <c r="W98" s="146"/>
      <c r="X98" s="146"/>
      <c r="Y98" s="146"/>
      <c r="Z98" s="146"/>
      <c r="AA98" s="146"/>
    </row>
    <row r="99" spans="1:27" s="118" customFormat="1" x14ac:dyDescent="0.2">
      <c r="A99" s="6"/>
      <c r="B99" s="6"/>
      <c r="C99" s="155"/>
      <c r="D99" s="2" t="s">
        <v>357</v>
      </c>
      <c r="E99" s="148"/>
      <c r="F99" s="253">
        <v>1</v>
      </c>
      <c r="G99" s="253"/>
      <c r="H99" s="253"/>
      <c r="I99" s="246"/>
      <c r="J99" s="253">
        <f>ROUND(PRODUCT(F99:I99),2)</f>
        <v>1</v>
      </c>
      <c r="K99" s="137"/>
      <c r="L99" s="137"/>
      <c r="M99" s="137"/>
      <c r="N99" s="138"/>
      <c r="O99" s="167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111"/>
      <c r="AA99" s="111"/>
    </row>
    <row r="100" spans="1:27" s="118" customFormat="1" x14ac:dyDescent="0.2">
      <c r="A100" s="6"/>
      <c r="B100" s="6"/>
      <c r="C100" s="155"/>
      <c r="D100" s="2" t="s">
        <v>358</v>
      </c>
      <c r="E100" s="148"/>
      <c r="F100" s="253">
        <v>1</v>
      </c>
      <c r="G100" s="253"/>
      <c r="H100" s="253"/>
      <c r="I100" s="246"/>
      <c r="J100" s="253">
        <f t="shared" ref="J100" si="12">ROUND(PRODUCT(F100:I100),2)</f>
        <v>1</v>
      </c>
      <c r="K100" s="137"/>
      <c r="L100" s="137"/>
      <c r="M100" s="137"/>
      <c r="N100" s="138"/>
      <c r="O100" s="167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</row>
    <row r="101" spans="1:27" s="118" customFormat="1" x14ac:dyDescent="0.2">
      <c r="A101" s="6"/>
      <c r="B101" s="6"/>
      <c r="C101" s="156"/>
      <c r="D101" s="108"/>
      <c r="E101" s="148"/>
      <c r="F101" s="253"/>
      <c r="G101" s="253"/>
      <c r="H101" s="253"/>
      <c r="I101" s="246" t="str">
        <f>"Total item "&amp;A98</f>
        <v>Total item 3.1.1</v>
      </c>
      <c r="J101" s="261">
        <f>SUM(J99:J100)</f>
        <v>2</v>
      </c>
      <c r="K101" s="137"/>
      <c r="L101" s="137"/>
      <c r="M101" s="137"/>
      <c r="N101" s="138"/>
      <c r="O101" s="167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</row>
    <row r="102" spans="1:27" s="154" customFormat="1" x14ac:dyDescent="0.2">
      <c r="A102" s="10"/>
      <c r="B102" s="10"/>
      <c r="C102" s="15"/>
      <c r="D102" s="117"/>
      <c r="E102" s="10"/>
      <c r="F102" s="263"/>
      <c r="G102" s="263"/>
      <c r="H102" s="263"/>
      <c r="I102" s="250"/>
      <c r="J102" s="263"/>
      <c r="K102" s="151"/>
      <c r="L102" s="151"/>
      <c r="M102" s="151"/>
      <c r="N102" s="152"/>
      <c r="O102" s="283"/>
      <c r="P102" s="153"/>
      <c r="Q102" s="153"/>
      <c r="R102" s="153"/>
      <c r="S102" s="153"/>
      <c r="T102" s="153"/>
      <c r="U102" s="153"/>
      <c r="V102" s="153"/>
      <c r="W102" s="153"/>
      <c r="X102" s="153"/>
      <c r="Y102" s="153"/>
      <c r="Z102" s="153"/>
      <c r="AA102" s="153"/>
    </row>
    <row r="103" spans="1:27" s="147" customFormat="1" ht="61.2" x14ac:dyDescent="0.2">
      <c r="A103" s="9" t="s">
        <v>356</v>
      </c>
      <c r="B103" s="9" t="s">
        <v>179</v>
      </c>
      <c r="C103" s="13" t="s">
        <v>417</v>
      </c>
      <c r="D103" s="113" t="s">
        <v>561</v>
      </c>
      <c r="E103" s="9" t="s">
        <v>31</v>
      </c>
      <c r="F103" s="261"/>
      <c r="G103" s="261"/>
      <c r="H103" s="261"/>
      <c r="I103" s="245"/>
      <c r="J103" s="261"/>
      <c r="K103" s="131">
        <f>J107</f>
        <v>6</v>
      </c>
      <c r="L103" s="131" t="e">
        <f>'COMPOSICOES - SINAPI COM DESON'!G36</f>
        <v>#VALUE!</v>
      </c>
      <c r="M103" s="131" t="e">
        <f>ROUND(L103*(1+$Q$7),2)</f>
        <v>#VALUE!</v>
      </c>
      <c r="N103" s="133" t="e">
        <f>TRUNC(K103*M103,2)</f>
        <v>#VALUE!</v>
      </c>
      <c r="O103" s="286"/>
      <c r="P103" s="146"/>
      <c r="Q103" s="146"/>
      <c r="R103" s="146"/>
      <c r="S103" s="146"/>
      <c r="T103" s="146"/>
      <c r="U103" s="146"/>
      <c r="V103" s="146"/>
      <c r="W103" s="146"/>
      <c r="X103" s="146"/>
      <c r="Y103" s="146"/>
      <c r="Z103" s="146"/>
      <c r="AA103" s="146"/>
    </row>
    <row r="104" spans="1:27" s="118" customFormat="1" x14ac:dyDescent="0.2">
      <c r="A104" s="6"/>
      <c r="B104" s="6"/>
      <c r="C104" s="155"/>
      <c r="D104" s="2" t="s">
        <v>63</v>
      </c>
      <c r="E104" s="148"/>
      <c r="F104" s="253">
        <v>1</v>
      </c>
      <c r="G104" s="253"/>
      <c r="H104" s="253"/>
      <c r="I104" s="246"/>
      <c r="J104" s="253">
        <f>ROUND(PRODUCT(F104:I104),2)</f>
        <v>1</v>
      </c>
      <c r="K104" s="137"/>
      <c r="L104" s="137"/>
      <c r="M104" s="137"/>
      <c r="N104" s="138"/>
      <c r="O104" s="167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111"/>
      <c r="AA104" s="111"/>
    </row>
    <row r="105" spans="1:27" s="118" customFormat="1" x14ac:dyDescent="0.2">
      <c r="A105" s="6"/>
      <c r="B105" s="6"/>
      <c r="C105" s="155"/>
      <c r="D105" s="2" t="s">
        <v>359</v>
      </c>
      <c r="E105" s="148"/>
      <c r="F105" s="253">
        <v>2</v>
      </c>
      <c r="G105" s="253"/>
      <c r="H105" s="253"/>
      <c r="I105" s="246"/>
      <c r="J105" s="253">
        <f t="shared" ref="J105:J106" si="13">ROUND(PRODUCT(F105:I105),2)</f>
        <v>2</v>
      </c>
      <c r="K105" s="137"/>
      <c r="L105" s="137"/>
      <c r="M105" s="137"/>
      <c r="N105" s="138"/>
      <c r="O105" s="167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</row>
    <row r="106" spans="1:27" s="118" customFormat="1" x14ac:dyDescent="0.2">
      <c r="A106" s="6"/>
      <c r="B106" s="6"/>
      <c r="C106" s="155"/>
      <c r="D106" s="2" t="s">
        <v>253</v>
      </c>
      <c r="E106" s="148"/>
      <c r="F106" s="253">
        <v>3</v>
      </c>
      <c r="G106" s="253"/>
      <c r="H106" s="253"/>
      <c r="I106" s="246"/>
      <c r="J106" s="253">
        <f t="shared" si="13"/>
        <v>3</v>
      </c>
      <c r="K106" s="137"/>
      <c r="L106" s="137"/>
      <c r="M106" s="137"/>
      <c r="N106" s="138"/>
      <c r="O106" s="167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111"/>
      <c r="AA106" s="111"/>
    </row>
    <row r="107" spans="1:27" s="118" customFormat="1" x14ac:dyDescent="0.2">
      <c r="A107" s="6"/>
      <c r="B107" s="6"/>
      <c r="C107" s="156"/>
      <c r="D107" s="108"/>
      <c r="E107" s="148"/>
      <c r="F107" s="253"/>
      <c r="G107" s="253"/>
      <c r="H107" s="253"/>
      <c r="I107" s="246" t="str">
        <f>"Total item "&amp;A103</f>
        <v>Total item 3.1.2</v>
      </c>
      <c r="J107" s="261">
        <f>SUM(J104:J106)</f>
        <v>6</v>
      </c>
      <c r="K107" s="137"/>
      <c r="L107" s="137"/>
      <c r="M107" s="137"/>
      <c r="N107" s="138"/>
      <c r="O107" s="167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</row>
    <row r="108" spans="1:27" s="154" customFormat="1" x14ac:dyDescent="0.2">
      <c r="A108" s="10"/>
      <c r="B108" s="10"/>
      <c r="C108" s="15"/>
      <c r="D108" s="117"/>
      <c r="E108" s="10"/>
      <c r="F108" s="263"/>
      <c r="G108" s="263"/>
      <c r="H108" s="263"/>
      <c r="I108" s="250"/>
      <c r="J108" s="263"/>
      <c r="K108" s="151"/>
      <c r="L108" s="151"/>
      <c r="M108" s="151"/>
      <c r="N108" s="152"/>
      <c r="O108" s="283"/>
      <c r="P108" s="153"/>
      <c r="Q108" s="153"/>
      <c r="R108" s="153"/>
      <c r="S108" s="153"/>
      <c r="T108" s="153"/>
      <c r="U108" s="153"/>
      <c r="V108" s="153"/>
      <c r="W108" s="153"/>
      <c r="X108" s="153"/>
      <c r="Y108" s="153"/>
      <c r="Z108" s="153"/>
      <c r="AA108" s="153"/>
    </row>
    <row r="109" spans="1:27" s="147" customFormat="1" ht="51" x14ac:dyDescent="0.2">
      <c r="A109" s="9" t="s">
        <v>363</v>
      </c>
      <c r="B109" s="9" t="s">
        <v>163</v>
      </c>
      <c r="C109" s="13" t="s">
        <v>244</v>
      </c>
      <c r="D109" s="113" t="s">
        <v>245</v>
      </c>
      <c r="E109" s="9" t="s">
        <v>31</v>
      </c>
      <c r="F109" s="261"/>
      <c r="G109" s="261"/>
      <c r="H109" s="261"/>
      <c r="I109" s="245"/>
      <c r="J109" s="261"/>
      <c r="K109" s="131">
        <f>J113</f>
        <v>4</v>
      </c>
      <c r="L109" s="131">
        <v>116.08</v>
      </c>
      <c r="M109" s="131">
        <f>ROUND(L109*(1+$Q$7),2)</f>
        <v>146.88</v>
      </c>
      <c r="N109" s="133">
        <f>TRUNC(K109*M109,2)</f>
        <v>587.52</v>
      </c>
      <c r="O109" s="286"/>
      <c r="P109" s="146"/>
      <c r="Q109" s="146"/>
      <c r="R109" s="146"/>
      <c r="S109" s="146"/>
      <c r="T109" s="146"/>
      <c r="U109" s="146"/>
      <c r="V109" s="146"/>
      <c r="W109" s="146"/>
      <c r="X109" s="146"/>
      <c r="Y109" s="146"/>
      <c r="Z109" s="146"/>
      <c r="AA109" s="146"/>
    </row>
    <row r="110" spans="1:27" s="118" customFormat="1" x14ac:dyDescent="0.2">
      <c r="A110" s="6"/>
      <c r="B110" s="6"/>
      <c r="C110" s="155"/>
      <c r="D110" s="2" t="s">
        <v>257</v>
      </c>
      <c r="E110" s="148"/>
      <c r="F110" s="253">
        <v>1</v>
      </c>
      <c r="G110" s="253"/>
      <c r="H110" s="253"/>
      <c r="I110" s="246"/>
      <c r="J110" s="253">
        <f t="shared" ref="J110:J112" si="14">ROUND(PRODUCT(F110:I110),2)</f>
        <v>1</v>
      </c>
      <c r="K110" s="137"/>
      <c r="L110" s="137"/>
      <c r="M110" s="137"/>
      <c r="N110" s="138"/>
      <c r="O110" s="167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</row>
    <row r="111" spans="1:27" s="118" customFormat="1" x14ac:dyDescent="0.2">
      <c r="A111" s="6"/>
      <c r="B111" s="6"/>
      <c r="C111" s="155"/>
      <c r="D111" s="2" t="s">
        <v>242</v>
      </c>
      <c r="E111" s="148"/>
      <c r="F111" s="253">
        <v>1</v>
      </c>
      <c r="G111" s="253"/>
      <c r="H111" s="253"/>
      <c r="I111" s="246"/>
      <c r="J111" s="253">
        <f t="shared" si="14"/>
        <v>1</v>
      </c>
      <c r="K111" s="137"/>
      <c r="L111" s="137"/>
      <c r="M111" s="137"/>
      <c r="N111" s="138"/>
      <c r="O111" s="167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</row>
    <row r="112" spans="1:27" s="118" customFormat="1" x14ac:dyDescent="0.2">
      <c r="A112" s="6"/>
      <c r="B112" s="6"/>
      <c r="C112" s="155"/>
      <c r="D112" s="2" t="s">
        <v>165</v>
      </c>
      <c r="E112" s="148"/>
      <c r="F112" s="253">
        <v>2</v>
      </c>
      <c r="G112" s="253"/>
      <c r="H112" s="253"/>
      <c r="I112" s="246"/>
      <c r="J112" s="253">
        <f t="shared" si="14"/>
        <v>2</v>
      </c>
      <c r="K112" s="137"/>
      <c r="L112" s="137"/>
      <c r="M112" s="137"/>
      <c r="N112" s="138"/>
      <c r="O112" s="167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</row>
    <row r="113" spans="1:27" s="118" customFormat="1" x14ac:dyDescent="0.2">
      <c r="A113" s="6"/>
      <c r="B113" s="6"/>
      <c r="C113" s="156"/>
      <c r="D113" s="108"/>
      <c r="E113" s="148"/>
      <c r="F113" s="253"/>
      <c r="G113" s="253"/>
      <c r="H113" s="253"/>
      <c r="I113" s="246" t="str">
        <f>"Total item "&amp;A109</f>
        <v>Total item 3.1.3</v>
      </c>
      <c r="J113" s="261">
        <f>SUM(J110:J112)</f>
        <v>4</v>
      </c>
      <c r="K113" s="137"/>
      <c r="L113" s="137"/>
      <c r="M113" s="137"/>
      <c r="N113" s="138"/>
      <c r="O113" s="167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</row>
    <row r="114" spans="1:27" s="139" customFormat="1" x14ac:dyDescent="0.2">
      <c r="A114" s="6"/>
      <c r="B114" s="6"/>
      <c r="C114" s="7"/>
      <c r="D114" s="116"/>
      <c r="E114" s="6"/>
      <c r="F114" s="258"/>
      <c r="G114" s="258"/>
      <c r="H114" s="258"/>
      <c r="I114" s="246"/>
      <c r="J114" s="258"/>
      <c r="K114" s="137"/>
      <c r="L114" s="137"/>
      <c r="M114" s="137"/>
      <c r="N114" s="138"/>
      <c r="O114" s="283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</row>
    <row r="115" spans="1:27" s="147" customFormat="1" ht="30.6" x14ac:dyDescent="0.2">
      <c r="A115" s="9" t="s">
        <v>364</v>
      </c>
      <c r="B115" s="9" t="s">
        <v>179</v>
      </c>
      <c r="C115" s="13" t="s">
        <v>556</v>
      </c>
      <c r="D115" s="109" t="s">
        <v>567</v>
      </c>
      <c r="E115" s="9" t="s">
        <v>33</v>
      </c>
      <c r="F115" s="261"/>
      <c r="G115" s="261"/>
      <c r="H115" s="261"/>
      <c r="I115" s="245"/>
      <c r="J115" s="261"/>
      <c r="K115" s="131">
        <f>J126</f>
        <v>24</v>
      </c>
      <c r="L115" s="131">
        <f>'COMPOSICOES - SINAPI COM DESON'!G50</f>
        <v>104.48</v>
      </c>
      <c r="M115" s="131">
        <f>ROUND(L115*(1+$Q$7),2)</f>
        <v>132.19999999999999</v>
      </c>
      <c r="N115" s="133">
        <f>TRUNC(K115*M115,2)</f>
        <v>3172.8</v>
      </c>
      <c r="O115" s="286"/>
      <c r="P115" s="146"/>
      <c r="Q115" s="146"/>
      <c r="R115" s="146"/>
      <c r="S115" s="146"/>
      <c r="T115" s="146"/>
      <c r="U115" s="146"/>
      <c r="V115" s="146"/>
      <c r="W115" s="146"/>
      <c r="X115" s="146"/>
      <c r="Y115" s="146"/>
      <c r="Z115" s="146"/>
      <c r="AA115" s="146"/>
    </row>
    <row r="116" spans="1:27" s="174" customFormat="1" x14ac:dyDescent="0.2">
      <c r="A116" s="170"/>
      <c r="B116" s="170"/>
      <c r="C116" s="171"/>
      <c r="D116" s="2" t="s">
        <v>63</v>
      </c>
      <c r="E116" s="148"/>
      <c r="F116" s="253">
        <v>1</v>
      </c>
      <c r="G116" s="253"/>
      <c r="H116" s="253"/>
      <c r="I116" s="249"/>
      <c r="J116" s="253">
        <f t="shared" ref="J116:J124" si="15">ROUND(PRODUCT(F116:I116),2)</f>
        <v>1</v>
      </c>
      <c r="K116" s="172"/>
      <c r="L116" s="172"/>
      <c r="M116" s="172"/>
      <c r="N116" s="173"/>
      <c r="O116" s="287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</row>
    <row r="117" spans="1:27" s="174" customFormat="1" x14ac:dyDescent="0.2">
      <c r="A117" s="170"/>
      <c r="B117" s="170"/>
      <c r="C117" s="171"/>
      <c r="D117" s="2" t="s">
        <v>359</v>
      </c>
      <c r="E117" s="148"/>
      <c r="F117" s="253">
        <v>4</v>
      </c>
      <c r="G117" s="253"/>
      <c r="H117" s="253"/>
      <c r="I117" s="249"/>
      <c r="J117" s="253">
        <f t="shared" si="15"/>
        <v>4</v>
      </c>
      <c r="K117" s="172"/>
      <c r="L117" s="172"/>
      <c r="M117" s="172"/>
      <c r="N117" s="173"/>
      <c r="O117" s="287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</row>
    <row r="118" spans="1:27" s="174" customFormat="1" x14ac:dyDescent="0.2">
      <c r="A118" s="170"/>
      <c r="B118" s="170"/>
      <c r="C118" s="171"/>
      <c r="D118" s="2" t="s">
        <v>253</v>
      </c>
      <c r="E118" s="148"/>
      <c r="F118" s="253">
        <v>4</v>
      </c>
      <c r="G118" s="253"/>
      <c r="H118" s="253"/>
      <c r="I118" s="249"/>
      <c r="J118" s="253">
        <f t="shared" si="15"/>
        <v>4</v>
      </c>
      <c r="K118" s="172"/>
      <c r="L118" s="172"/>
      <c r="M118" s="172"/>
      <c r="N118" s="173"/>
      <c r="O118" s="287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</row>
    <row r="119" spans="1:27" s="174" customFormat="1" x14ac:dyDescent="0.2">
      <c r="A119" s="170"/>
      <c r="B119" s="170"/>
      <c r="C119" s="171"/>
      <c r="D119" s="2" t="s">
        <v>257</v>
      </c>
      <c r="E119" s="148"/>
      <c r="F119" s="253">
        <v>5</v>
      </c>
      <c r="G119" s="253"/>
      <c r="H119" s="253"/>
      <c r="I119" s="249"/>
      <c r="J119" s="253">
        <f t="shared" si="15"/>
        <v>5</v>
      </c>
      <c r="K119" s="172"/>
      <c r="L119" s="172"/>
      <c r="M119" s="172"/>
      <c r="N119" s="173"/>
      <c r="O119" s="287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</row>
    <row r="120" spans="1:27" s="174" customFormat="1" x14ac:dyDescent="0.2">
      <c r="A120" s="170"/>
      <c r="B120" s="170"/>
      <c r="C120" s="171"/>
      <c r="D120" s="2" t="s">
        <v>242</v>
      </c>
      <c r="E120" s="148"/>
      <c r="F120" s="253">
        <v>2</v>
      </c>
      <c r="G120" s="253"/>
      <c r="H120" s="253"/>
      <c r="I120" s="249"/>
      <c r="J120" s="253">
        <f t="shared" si="15"/>
        <v>2</v>
      </c>
      <c r="K120" s="172"/>
      <c r="L120" s="172"/>
      <c r="M120" s="172"/>
      <c r="N120" s="173"/>
      <c r="O120" s="287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</row>
    <row r="121" spans="1:27" s="174" customFormat="1" x14ac:dyDescent="0.2">
      <c r="A121" s="170"/>
      <c r="B121" s="170"/>
      <c r="C121" s="171"/>
      <c r="D121" s="2" t="s">
        <v>165</v>
      </c>
      <c r="E121" s="148"/>
      <c r="F121" s="253">
        <v>2</v>
      </c>
      <c r="G121" s="253"/>
      <c r="H121" s="253"/>
      <c r="I121" s="249"/>
      <c r="J121" s="253">
        <f t="shared" si="15"/>
        <v>2</v>
      </c>
      <c r="K121" s="172"/>
      <c r="L121" s="172"/>
      <c r="M121" s="172"/>
      <c r="N121" s="173"/>
      <c r="O121" s="287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</row>
    <row r="122" spans="1:27" s="174" customFormat="1" x14ac:dyDescent="0.2">
      <c r="A122" s="170"/>
      <c r="B122" s="170"/>
      <c r="C122" s="171"/>
      <c r="D122" s="2" t="s">
        <v>360</v>
      </c>
      <c r="E122" s="148"/>
      <c r="F122" s="253">
        <v>2</v>
      </c>
      <c r="G122" s="253"/>
      <c r="H122" s="253"/>
      <c r="I122" s="249"/>
      <c r="J122" s="253">
        <f t="shared" si="15"/>
        <v>2</v>
      </c>
      <c r="K122" s="172"/>
      <c r="L122" s="172"/>
      <c r="M122" s="172"/>
      <c r="N122" s="173"/>
      <c r="O122" s="287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</row>
    <row r="123" spans="1:27" s="174" customFormat="1" x14ac:dyDescent="0.2">
      <c r="A123" s="170"/>
      <c r="B123" s="170"/>
      <c r="C123" s="171"/>
      <c r="D123" s="2" t="s">
        <v>361</v>
      </c>
      <c r="E123" s="170"/>
      <c r="F123" s="253">
        <v>1</v>
      </c>
      <c r="G123" s="253"/>
      <c r="H123" s="253"/>
      <c r="I123" s="249"/>
      <c r="J123" s="253">
        <f t="shared" si="15"/>
        <v>1</v>
      </c>
      <c r="K123" s="172"/>
      <c r="L123" s="172"/>
      <c r="M123" s="172"/>
      <c r="N123" s="173"/>
      <c r="O123" s="287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</row>
    <row r="124" spans="1:27" s="174" customFormat="1" x14ac:dyDescent="0.2">
      <c r="A124" s="170"/>
      <c r="B124" s="170"/>
      <c r="C124" s="171"/>
      <c r="D124" s="2" t="s">
        <v>358</v>
      </c>
      <c r="E124" s="170"/>
      <c r="F124" s="253">
        <v>1</v>
      </c>
      <c r="G124" s="253"/>
      <c r="H124" s="253"/>
      <c r="I124" s="249"/>
      <c r="J124" s="253">
        <f t="shared" si="15"/>
        <v>1</v>
      </c>
      <c r="K124" s="172"/>
      <c r="L124" s="172"/>
      <c r="M124" s="172"/>
      <c r="N124" s="173"/>
      <c r="O124" s="287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</row>
    <row r="125" spans="1:27" s="174" customFormat="1" x14ac:dyDescent="0.2">
      <c r="A125" s="170"/>
      <c r="B125" s="170"/>
      <c r="C125" s="171"/>
      <c r="D125" s="175" t="s">
        <v>362</v>
      </c>
      <c r="E125" s="176"/>
      <c r="F125" s="264">
        <v>2</v>
      </c>
      <c r="G125" s="264"/>
      <c r="H125" s="264"/>
      <c r="I125" s="249"/>
      <c r="J125" s="253">
        <f t="shared" ref="J125" si="16">ROUND(PRODUCT(F125:I125),2)</f>
        <v>2</v>
      </c>
      <c r="K125" s="172"/>
      <c r="L125" s="172"/>
      <c r="M125" s="172"/>
      <c r="N125" s="173"/>
      <c r="O125" s="287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</row>
    <row r="126" spans="1:27" s="183" customFormat="1" x14ac:dyDescent="0.2">
      <c r="A126" s="177"/>
      <c r="B126" s="177"/>
      <c r="C126" s="178"/>
      <c r="D126" s="179"/>
      <c r="E126" s="180"/>
      <c r="F126" s="265"/>
      <c r="G126" s="265"/>
      <c r="H126" s="265"/>
      <c r="I126" s="251" t="str">
        <f>"Total item "&amp;A116</f>
        <v xml:space="preserve">Total item </v>
      </c>
      <c r="J126" s="261">
        <f>SUM(J116:J125)</f>
        <v>24</v>
      </c>
      <c r="K126" s="181"/>
      <c r="L126" s="181"/>
      <c r="M126" s="181"/>
      <c r="N126" s="182"/>
      <c r="O126" s="287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</row>
    <row r="127" spans="1:27" s="183" customFormat="1" x14ac:dyDescent="0.2">
      <c r="A127" s="177"/>
      <c r="B127" s="177"/>
      <c r="C127" s="178"/>
      <c r="D127" s="179"/>
      <c r="E127" s="180"/>
      <c r="F127" s="265"/>
      <c r="G127" s="265"/>
      <c r="H127" s="265"/>
      <c r="I127" s="252"/>
      <c r="J127" s="266"/>
      <c r="K127" s="181"/>
      <c r="L127" s="181"/>
      <c r="M127" s="181"/>
      <c r="N127" s="182"/>
      <c r="O127" s="287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</row>
    <row r="128" spans="1:27" s="147" customFormat="1" ht="40.799999999999997" x14ac:dyDescent="0.2">
      <c r="A128" s="9" t="s">
        <v>731</v>
      </c>
      <c r="B128" s="9" t="s">
        <v>89</v>
      </c>
      <c r="C128" s="13">
        <v>93144</v>
      </c>
      <c r="D128" s="113" t="s">
        <v>295</v>
      </c>
      <c r="E128" s="9" t="s">
        <v>33</v>
      </c>
      <c r="F128" s="261"/>
      <c r="G128" s="261"/>
      <c r="H128" s="261"/>
      <c r="I128" s="245"/>
      <c r="J128" s="261"/>
      <c r="K128" s="131">
        <f>J131</f>
        <v>1</v>
      </c>
      <c r="L128" s="131">
        <v>166.81</v>
      </c>
      <c r="M128" s="131">
        <f>ROUND(L128*(1+$Q$7),2)</f>
        <v>211.06</v>
      </c>
      <c r="N128" s="133">
        <f>TRUNC(K128*M128,2)</f>
        <v>211.06</v>
      </c>
      <c r="O128" s="28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</row>
    <row r="129" spans="1:27" s="118" customFormat="1" x14ac:dyDescent="0.2">
      <c r="A129" s="6"/>
      <c r="B129" s="6"/>
      <c r="C129" s="155"/>
      <c r="D129" s="3" t="s">
        <v>296</v>
      </c>
      <c r="E129" s="148"/>
      <c r="F129" s="253"/>
      <c r="G129" s="253"/>
      <c r="H129" s="253"/>
      <c r="I129" s="246"/>
      <c r="J129" s="253"/>
      <c r="K129" s="137"/>
      <c r="L129" s="137"/>
      <c r="M129" s="137"/>
      <c r="N129" s="138"/>
      <c r="O129" s="167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</row>
    <row r="130" spans="1:27" s="118" customFormat="1" x14ac:dyDescent="0.2">
      <c r="A130" s="6"/>
      <c r="B130" s="6"/>
      <c r="C130" s="155"/>
      <c r="D130" s="2" t="s">
        <v>63</v>
      </c>
      <c r="E130" s="148"/>
      <c r="F130" s="253">
        <v>1</v>
      </c>
      <c r="G130" s="253"/>
      <c r="H130" s="253"/>
      <c r="I130" s="246"/>
      <c r="J130" s="253">
        <f t="shared" ref="J130" si="17">ROUND(PRODUCT(F130:I130),2)</f>
        <v>1</v>
      </c>
      <c r="K130" s="137"/>
      <c r="L130" s="137"/>
      <c r="M130" s="137"/>
      <c r="N130" s="138"/>
      <c r="O130" s="167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</row>
    <row r="131" spans="1:27" s="118" customFormat="1" x14ac:dyDescent="0.2">
      <c r="A131" s="6"/>
      <c r="B131" s="6"/>
      <c r="C131" s="156"/>
      <c r="D131" s="108"/>
      <c r="E131" s="148"/>
      <c r="F131" s="253"/>
      <c r="G131" s="253"/>
      <c r="H131" s="253"/>
      <c r="I131" s="246" t="str">
        <f>"Total item "&amp;A128</f>
        <v>Total item 3.1.5</v>
      </c>
      <c r="J131" s="261">
        <f>SUM(J129:J130)</f>
        <v>1</v>
      </c>
      <c r="K131" s="137"/>
      <c r="L131" s="137"/>
      <c r="M131" s="137"/>
      <c r="N131" s="138"/>
      <c r="O131" s="167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</row>
    <row r="132" spans="1:27" s="118" customFormat="1" x14ac:dyDescent="0.2">
      <c r="A132" s="6"/>
      <c r="B132" s="6"/>
      <c r="C132" s="155"/>
      <c r="D132" s="108"/>
      <c r="E132" s="148"/>
      <c r="F132" s="253"/>
      <c r="G132" s="253"/>
      <c r="H132" s="253"/>
      <c r="I132" s="246"/>
      <c r="J132" s="258"/>
      <c r="K132" s="137"/>
      <c r="L132" s="137"/>
      <c r="M132" s="137"/>
      <c r="N132" s="138"/>
      <c r="O132" s="167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  <c r="AA132" s="111"/>
    </row>
    <row r="133" spans="1:27" s="147" customFormat="1" ht="40.799999999999997" x14ac:dyDescent="0.2">
      <c r="A133" s="9" t="s">
        <v>732</v>
      </c>
      <c r="B133" s="9" t="s">
        <v>163</v>
      </c>
      <c r="C133" s="197" t="s">
        <v>192</v>
      </c>
      <c r="D133" s="113" t="s">
        <v>712</v>
      </c>
      <c r="E133" s="9" t="s">
        <v>31</v>
      </c>
      <c r="F133" s="261"/>
      <c r="G133" s="261"/>
      <c r="H133" s="261"/>
      <c r="I133" s="245"/>
      <c r="J133" s="261"/>
      <c r="K133" s="131">
        <f>J136</f>
        <v>1</v>
      </c>
      <c r="L133" s="131">
        <v>46.44</v>
      </c>
      <c r="M133" s="131">
        <f>ROUND(L133*(1+$Q$7),2)</f>
        <v>58.76</v>
      </c>
      <c r="N133" s="133">
        <f>TRUNC(K133*M133,2)</f>
        <v>58.76</v>
      </c>
      <c r="O133" s="286"/>
      <c r="P133" s="146"/>
      <c r="Q133" s="146"/>
      <c r="R133" s="146"/>
      <c r="S133" s="146"/>
      <c r="T133" s="146"/>
      <c r="U133" s="146"/>
      <c r="V133" s="146"/>
      <c r="W133" s="146"/>
      <c r="X133" s="146"/>
      <c r="Y133" s="146"/>
      <c r="Z133" s="146"/>
      <c r="AA133" s="146"/>
    </row>
    <row r="134" spans="1:27" s="118" customFormat="1" x14ac:dyDescent="0.2">
      <c r="A134" s="6"/>
      <c r="B134" s="6"/>
      <c r="C134" s="155"/>
      <c r="D134" s="3" t="s">
        <v>296</v>
      </c>
      <c r="E134" s="148"/>
      <c r="F134" s="253"/>
      <c r="G134" s="253"/>
      <c r="H134" s="253"/>
      <c r="I134" s="246"/>
      <c r="J134" s="253"/>
      <c r="K134" s="137"/>
      <c r="L134" s="137"/>
      <c r="M134" s="137"/>
      <c r="N134" s="138"/>
      <c r="O134" s="167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111"/>
      <c r="AA134" s="111"/>
    </row>
    <row r="135" spans="1:27" s="118" customFormat="1" x14ac:dyDescent="0.2">
      <c r="A135" s="6"/>
      <c r="B135" s="6"/>
      <c r="C135" s="155"/>
      <c r="D135" s="2" t="s">
        <v>63</v>
      </c>
      <c r="E135" s="148"/>
      <c r="F135" s="253">
        <v>1</v>
      </c>
      <c r="G135" s="253"/>
      <c r="H135" s="253"/>
      <c r="I135" s="246"/>
      <c r="J135" s="253">
        <f t="shared" ref="J135" si="18">ROUND(PRODUCT(F135:I135),2)</f>
        <v>1</v>
      </c>
      <c r="K135" s="137"/>
      <c r="L135" s="137"/>
      <c r="M135" s="137"/>
      <c r="N135" s="138"/>
      <c r="O135" s="167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</row>
    <row r="136" spans="1:27" s="118" customFormat="1" x14ac:dyDescent="0.2">
      <c r="A136" s="6"/>
      <c r="B136" s="6"/>
      <c r="C136" s="156"/>
      <c r="D136" s="108"/>
      <c r="E136" s="148"/>
      <c r="F136" s="253"/>
      <c r="G136" s="253"/>
      <c r="H136" s="253"/>
      <c r="I136" s="246" t="str">
        <f>"Total item "&amp;A133</f>
        <v>Total item 3.1.6</v>
      </c>
      <c r="J136" s="261">
        <f>SUM(J135)</f>
        <v>1</v>
      </c>
      <c r="K136" s="137"/>
      <c r="L136" s="137"/>
      <c r="M136" s="137"/>
      <c r="N136" s="138"/>
      <c r="O136" s="167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</row>
    <row r="137" spans="1:27" s="161" customFormat="1" x14ac:dyDescent="0.2">
      <c r="A137" s="10"/>
      <c r="B137" s="10"/>
      <c r="C137" s="191"/>
      <c r="D137" s="110"/>
      <c r="E137" s="158"/>
      <c r="F137" s="267"/>
      <c r="G137" s="267"/>
      <c r="H137" s="267"/>
      <c r="I137" s="250"/>
      <c r="J137" s="263"/>
      <c r="K137" s="151"/>
      <c r="L137" s="151"/>
      <c r="M137" s="151"/>
      <c r="N137" s="152"/>
      <c r="O137" s="167"/>
      <c r="P137" s="114"/>
      <c r="Q137" s="114"/>
      <c r="R137" s="114"/>
      <c r="S137" s="114"/>
      <c r="T137" s="114"/>
      <c r="U137" s="114"/>
      <c r="V137" s="114"/>
      <c r="W137" s="114"/>
      <c r="X137" s="114"/>
      <c r="Y137" s="114"/>
      <c r="Z137" s="114"/>
      <c r="AA137" s="114"/>
    </row>
    <row r="138" spans="1:27" s="147" customFormat="1" ht="40.799999999999997" x14ac:dyDescent="0.2">
      <c r="A138" s="9" t="s">
        <v>733</v>
      </c>
      <c r="B138" s="9" t="s">
        <v>163</v>
      </c>
      <c r="C138" s="13" t="s">
        <v>188</v>
      </c>
      <c r="D138" s="113" t="s">
        <v>719</v>
      </c>
      <c r="E138" s="9" t="s">
        <v>33</v>
      </c>
      <c r="F138" s="261"/>
      <c r="G138" s="261"/>
      <c r="H138" s="261"/>
      <c r="I138" s="245"/>
      <c r="J138" s="261"/>
      <c r="K138" s="131">
        <f>J140</f>
        <v>1</v>
      </c>
      <c r="L138" s="131">
        <v>65.69</v>
      </c>
      <c r="M138" s="131">
        <f>ROUND(L138*(1+$Q$7),2)</f>
        <v>83.12</v>
      </c>
      <c r="N138" s="133">
        <f>TRUNC(K138*M138,2)</f>
        <v>83.12</v>
      </c>
      <c r="O138" s="286"/>
      <c r="P138" s="146"/>
      <c r="Q138" s="146"/>
      <c r="R138" s="146"/>
      <c r="S138" s="146"/>
      <c r="T138" s="146"/>
      <c r="U138" s="146"/>
      <c r="V138" s="146"/>
      <c r="W138" s="146"/>
      <c r="X138" s="146"/>
      <c r="Y138" s="146"/>
      <c r="Z138" s="146"/>
      <c r="AA138" s="146"/>
    </row>
    <row r="139" spans="1:27" s="118" customFormat="1" x14ac:dyDescent="0.2">
      <c r="A139" s="6"/>
      <c r="B139" s="6"/>
      <c r="C139" s="6"/>
      <c r="D139" s="2"/>
      <c r="E139" s="148"/>
      <c r="F139" s="253">
        <v>1</v>
      </c>
      <c r="G139" s="253"/>
      <c r="H139" s="253"/>
      <c r="I139" s="246"/>
      <c r="J139" s="253">
        <f>ROUND(PRODUCT(F139:I139),2)</f>
        <v>1</v>
      </c>
      <c r="K139" s="137"/>
      <c r="L139" s="137"/>
      <c r="M139" s="137"/>
      <c r="N139" s="138"/>
      <c r="O139" s="167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</row>
    <row r="140" spans="1:27" s="118" customFormat="1" x14ac:dyDescent="0.2">
      <c r="A140" s="6"/>
      <c r="B140" s="6"/>
      <c r="C140" s="156"/>
      <c r="D140" s="108"/>
      <c r="E140" s="148"/>
      <c r="F140" s="253"/>
      <c r="G140" s="253"/>
      <c r="H140" s="253"/>
      <c r="I140" s="246" t="str">
        <f>"Total item "&amp;A138</f>
        <v>Total item 3.1.7</v>
      </c>
      <c r="J140" s="261">
        <f>SUM(J139:J139)</f>
        <v>1</v>
      </c>
      <c r="K140" s="137"/>
      <c r="L140" s="137"/>
      <c r="M140" s="137"/>
      <c r="N140" s="138"/>
      <c r="O140" s="167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</row>
    <row r="141" spans="1:27" s="118" customFormat="1" x14ac:dyDescent="0.2">
      <c r="A141" s="6"/>
      <c r="B141" s="6"/>
      <c r="C141" s="155"/>
      <c r="D141" s="108"/>
      <c r="E141" s="148"/>
      <c r="F141" s="253"/>
      <c r="G141" s="253"/>
      <c r="H141" s="253"/>
      <c r="I141" s="246"/>
      <c r="J141" s="258"/>
      <c r="K141" s="137"/>
      <c r="L141" s="137"/>
      <c r="M141" s="137"/>
      <c r="N141" s="138"/>
      <c r="O141" s="167"/>
      <c r="P141" s="111"/>
      <c r="Q141" s="111"/>
      <c r="R141" s="111"/>
      <c r="S141" s="111"/>
      <c r="T141" s="111"/>
      <c r="U141" s="111"/>
      <c r="V141" s="111"/>
      <c r="W141" s="111"/>
      <c r="X141" s="111"/>
      <c r="Y141" s="111"/>
      <c r="Z141" s="111"/>
      <c r="AA141" s="111"/>
    </row>
    <row r="142" spans="1:27" s="147" customFormat="1" ht="30.6" x14ac:dyDescent="0.2">
      <c r="A142" s="9" t="s">
        <v>734</v>
      </c>
      <c r="B142" s="9" t="s">
        <v>163</v>
      </c>
      <c r="C142" s="13" t="s">
        <v>190</v>
      </c>
      <c r="D142" s="113" t="s">
        <v>290</v>
      </c>
      <c r="E142" s="9" t="s">
        <v>33</v>
      </c>
      <c r="F142" s="261"/>
      <c r="G142" s="261"/>
      <c r="H142" s="261"/>
      <c r="I142" s="245"/>
      <c r="J142" s="261"/>
      <c r="K142" s="131">
        <f>J144</f>
        <v>6</v>
      </c>
      <c r="L142" s="131">
        <v>14.55</v>
      </c>
      <c r="M142" s="131">
        <f>ROUND(L142*(1+$Q$7),2)</f>
        <v>18.41</v>
      </c>
      <c r="N142" s="133">
        <f>TRUNC(K142*M142,2)</f>
        <v>110.46</v>
      </c>
      <c r="O142" s="28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</row>
    <row r="143" spans="1:27" s="118" customFormat="1" x14ac:dyDescent="0.2">
      <c r="A143" s="6"/>
      <c r="B143" s="6"/>
      <c r="C143" s="6"/>
      <c r="D143" s="2"/>
      <c r="E143" s="148"/>
      <c r="F143" s="253">
        <v>6</v>
      </c>
      <c r="G143" s="253"/>
      <c r="H143" s="253"/>
      <c r="I143" s="246"/>
      <c r="J143" s="253">
        <f>ROUND(PRODUCT(F143:I143),2)</f>
        <v>6</v>
      </c>
      <c r="K143" s="137"/>
      <c r="L143" s="137"/>
      <c r="M143" s="137"/>
      <c r="N143" s="138"/>
      <c r="O143" s="167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1"/>
    </row>
    <row r="144" spans="1:27" s="118" customFormat="1" x14ac:dyDescent="0.2">
      <c r="A144" s="6"/>
      <c r="B144" s="6"/>
      <c r="C144" s="156"/>
      <c r="D144" s="108"/>
      <c r="E144" s="148"/>
      <c r="F144" s="253"/>
      <c r="G144" s="253"/>
      <c r="H144" s="253"/>
      <c r="I144" s="246" t="str">
        <f>"Total item "&amp;A142</f>
        <v>Total item 3.1.8</v>
      </c>
      <c r="J144" s="261">
        <f>SUM(J143:J143)</f>
        <v>6</v>
      </c>
      <c r="K144" s="137"/>
      <c r="L144" s="137"/>
      <c r="M144" s="137"/>
      <c r="N144" s="138"/>
      <c r="O144" s="167"/>
      <c r="P144" s="111"/>
      <c r="Q144" s="111"/>
      <c r="R144" s="111"/>
      <c r="S144" s="111"/>
      <c r="T144" s="111"/>
      <c r="U144" s="111"/>
      <c r="V144" s="111"/>
      <c r="W144" s="111"/>
      <c r="X144" s="111"/>
      <c r="Y144" s="111"/>
      <c r="Z144" s="111"/>
      <c r="AA144" s="111"/>
    </row>
    <row r="145" spans="1:27" s="118" customFormat="1" x14ac:dyDescent="0.2">
      <c r="A145" s="6"/>
      <c r="B145" s="6"/>
      <c r="C145" s="155"/>
      <c r="D145" s="108"/>
      <c r="E145" s="148"/>
      <c r="F145" s="253"/>
      <c r="G145" s="253"/>
      <c r="H145" s="253"/>
      <c r="I145" s="246"/>
      <c r="J145" s="258"/>
      <c r="K145" s="137"/>
      <c r="L145" s="137"/>
      <c r="M145" s="137"/>
      <c r="N145" s="138"/>
      <c r="O145" s="167"/>
      <c r="P145" s="111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  <c r="AA145" s="111"/>
    </row>
    <row r="146" spans="1:27" s="145" customFormat="1" x14ac:dyDescent="0.2">
      <c r="A146" s="140" t="s">
        <v>15</v>
      </c>
      <c r="B146" s="140"/>
      <c r="C146" s="141"/>
      <c r="D146" s="112" t="s">
        <v>211</v>
      </c>
      <c r="E146" s="140"/>
      <c r="F146" s="260"/>
      <c r="G146" s="260"/>
      <c r="H146" s="260"/>
      <c r="I146" s="248"/>
      <c r="J146" s="260"/>
      <c r="K146" s="142"/>
      <c r="L146" s="142"/>
      <c r="M146" s="142"/>
      <c r="N146" s="143">
        <f>SUM(N148:N178)</f>
        <v>1358.53</v>
      </c>
      <c r="O146" s="285"/>
      <c r="P146" s="144"/>
      <c r="Q146" s="144"/>
      <c r="R146" s="144"/>
      <c r="S146" s="144"/>
      <c r="T146" s="144"/>
      <c r="U146" s="144"/>
      <c r="V146" s="144"/>
      <c r="W146" s="144"/>
      <c r="X146" s="144"/>
      <c r="Y146" s="144"/>
      <c r="Z146" s="144"/>
      <c r="AA146" s="144"/>
    </row>
    <row r="147" spans="1:27" s="118" customFormat="1" x14ac:dyDescent="0.2">
      <c r="A147" s="6"/>
      <c r="B147" s="6"/>
      <c r="C147" s="155"/>
      <c r="D147" s="108"/>
      <c r="E147" s="148"/>
      <c r="F147" s="253"/>
      <c r="G147" s="253"/>
      <c r="H147" s="253"/>
      <c r="I147" s="246"/>
      <c r="J147" s="258"/>
      <c r="K147" s="137"/>
      <c r="L147" s="137"/>
      <c r="M147" s="137"/>
      <c r="N147" s="138"/>
      <c r="O147" s="167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  <c r="AA147" s="111"/>
    </row>
    <row r="148" spans="1:27" s="147" customFormat="1" ht="30.6" x14ac:dyDescent="0.2">
      <c r="A148" s="9" t="s">
        <v>365</v>
      </c>
      <c r="B148" s="9" t="s">
        <v>163</v>
      </c>
      <c r="C148" s="13" t="s">
        <v>249</v>
      </c>
      <c r="D148" s="113" t="s">
        <v>414</v>
      </c>
      <c r="E148" s="9" t="s">
        <v>33</v>
      </c>
      <c r="F148" s="261"/>
      <c r="G148" s="261"/>
      <c r="H148" s="261"/>
      <c r="I148" s="245"/>
      <c r="J148" s="261"/>
      <c r="K148" s="131">
        <f>J151</f>
        <v>2</v>
      </c>
      <c r="L148" s="131">
        <v>116.1</v>
      </c>
      <c r="M148" s="131">
        <f>ROUND(L148*(1+$Q$7),2)</f>
        <v>146.9</v>
      </c>
      <c r="N148" s="133">
        <f>TRUNC(K148*M148,2)</f>
        <v>293.8</v>
      </c>
      <c r="O148" s="286"/>
      <c r="P148" s="146"/>
      <c r="Q148" s="146"/>
      <c r="R148" s="146"/>
      <c r="S148" s="146"/>
      <c r="T148" s="146"/>
      <c r="U148" s="146"/>
      <c r="V148" s="146"/>
      <c r="W148" s="146"/>
      <c r="X148" s="146"/>
      <c r="Y148" s="146"/>
      <c r="Z148" s="146"/>
      <c r="AA148" s="146"/>
    </row>
    <row r="149" spans="1:27" s="118" customFormat="1" x14ac:dyDescent="0.2">
      <c r="A149" s="6"/>
      <c r="B149" s="6"/>
      <c r="C149" s="155"/>
      <c r="D149" s="2" t="s">
        <v>332</v>
      </c>
      <c r="E149" s="148"/>
      <c r="F149" s="253">
        <v>1</v>
      </c>
      <c r="G149" s="253"/>
      <c r="H149" s="253"/>
      <c r="I149" s="246"/>
      <c r="J149" s="253">
        <f>ROUND(PRODUCT(F149:I149),2)</f>
        <v>1</v>
      </c>
      <c r="K149" s="137"/>
      <c r="L149" s="137"/>
      <c r="M149" s="137"/>
      <c r="N149" s="138"/>
      <c r="O149" s="167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  <c r="Z149" s="111"/>
      <c r="AA149" s="111"/>
    </row>
    <row r="150" spans="1:27" s="118" customFormat="1" x14ac:dyDescent="0.2">
      <c r="A150" s="6"/>
      <c r="B150" s="6"/>
      <c r="C150" s="155"/>
      <c r="D150" s="2" t="s">
        <v>360</v>
      </c>
      <c r="E150" s="148"/>
      <c r="F150" s="253">
        <v>1</v>
      </c>
      <c r="G150" s="253"/>
      <c r="H150" s="253"/>
      <c r="I150" s="246"/>
      <c r="J150" s="253">
        <f>ROUND(PRODUCT(F150:I150),2)</f>
        <v>1</v>
      </c>
      <c r="K150" s="137"/>
      <c r="L150" s="137"/>
      <c r="M150" s="137"/>
      <c r="N150" s="138"/>
      <c r="O150" s="167"/>
      <c r="P150" s="111"/>
      <c r="Q150" s="111"/>
      <c r="R150" s="111"/>
      <c r="S150" s="111"/>
      <c r="T150" s="111"/>
      <c r="U150" s="111"/>
      <c r="V150" s="111"/>
      <c r="W150" s="111"/>
      <c r="X150" s="111"/>
      <c r="Y150" s="111"/>
      <c r="Z150" s="111"/>
      <c r="AA150" s="111"/>
    </row>
    <row r="151" spans="1:27" s="118" customFormat="1" x14ac:dyDescent="0.2">
      <c r="A151" s="6"/>
      <c r="B151" s="6"/>
      <c r="C151" s="156"/>
      <c r="D151" s="108"/>
      <c r="E151" s="148"/>
      <c r="F151" s="253"/>
      <c r="G151" s="253"/>
      <c r="H151" s="253"/>
      <c r="I151" s="246" t="str">
        <f>"Total item "&amp;A148</f>
        <v>Total item 3.2.1</v>
      </c>
      <c r="J151" s="261">
        <f>SUM(J149:J150)</f>
        <v>2</v>
      </c>
      <c r="K151" s="137"/>
      <c r="L151" s="137"/>
      <c r="M151" s="137"/>
      <c r="N151" s="138"/>
      <c r="O151" s="167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111"/>
      <c r="AA151" s="111"/>
    </row>
    <row r="152" spans="1:27" s="139" customFormat="1" x14ac:dyDescent="0.2">
      <c r="A152" s="6"/>
      <c r="B152" s="6"/>
      <c r="C152" s="7"/>
      <c r="D152" s="116"/>
      <c r="E152" s="6"/>
      <c r="F152" s="258"/>
      <c r="G152" s="258"/>
      <c r="H152" s="258"/>
      <c r="I152" s="246"/>
      <c r="J152" s="258"/>
      <c r="K152" s="137"/>
      <c r="L152" s="137"/>
      <c r="M152" s="137"/>
      <c r="N152" s="138"/>
      <c r="O152" s="283"/>
      <c r="P152" s="120"/>
      <c r="Q152" s="120"/>
      <c r="R152" s="120"/>
      <c r="S152" s="120"/>
      <c r="T152" s="120"/>
      <c r="U152" s="120"/>
      <c r="V152" s="120"/>
      <c r="W152" s="120"/>
      <c r="X152" s="120"/>
      <c r="Y152" s="120"/>
      <c r="Z152" s="120"/>
      <c r="AA152" s="120"/>
    </row>
    <row r="153" spans="1:27" s="147" customFormat="1" x14ac:dyDescent="0.2">
      <c r="A153" s="9" t="s">
        <v>366</v>
      </c>
      <c r="B153" s="9" t="s">
        <v>89</v>
      </c>
      <c r="C153" s="197" t="s">
        <v>334</v>
      </c>
      <c r="D153" s="113" t="s">
        <v>335</v>
      </c>
      <c r="E153" s="9" t="s">
        <v>33</v>
      </c>
      <c r="F153" s="261"/>
      <c r="G153" s="261"/>
      <c r="H153" s="261"/>
      <c r="I153" s="245"/>
      <c r="J153" s="261"/>
      <c r="K153" s="131">
        <f>J156</f>
        <v>3</v>
      </c>
      <c r="L153" s="131">
        <v>22.9</v>
      </c>
      <c r="M153" s="131">
        <f>ROUND(L153*(1+$Q$7),2)</f>
        <v>28.98</v>
      </c>
      <c r="N153" s="133">
        <f>TRUNC(K153*M153,2)</f>
        <v>86.94</v>
      </c>
      <c r="O153" s="286"/>
      <c r="P153" s="146"/>
      <c r="Q153" s="146"/>
      <c r="R153" s="146"/>
      <c r="S153" s="146"/>
      <c r="T153" s="146"/>
      <c r="U153" s="146"/>
      <c r="V153" s="146"/>
      <c r="W153" s="146"/>
      <c r="X153" s="146"/>
      <c r="Y153" s="146"/>
      <c r="Z153" s="146"/>
      <c r="AA153" s="146"/>
    </row>
    <row r="154" spans="1:27" s="118" customFormat="1" x14ac:dyDescent="0.2">
      <c r="A154" s="6"/>
      <c r="B154" s="6"/>
      <c r="C154" s="155"/>
      <c r="D154" s="2" t="s">
        <v>360</v>
      </c>
      <c r="E154" s="148"/>
      <c r="F154" s="253">
        <v>2</v>
      </c>
      <c r="G154" s="253"/>
      <c r="H154" s="253"/>
      <c r="I154" s="246"/>
      <c r="J154" s="253">
        <f>ROUND(PRODUCT(F154:I154),2)</f>
        <v>2</v>
      </c>
      <c r="K154" s="137"/>
      <c r="L154" s="137"/>
      <c r="M154" s="137"/>
      <c r="N154" s="138"/>
      <c r="O154" s="167"/>
      <c r="P154" s="111"/>
      <c r="Q154" s="111"/>
      <c r="R154" s="111"/>
      <c r="S154" s="111"/>
      <c r="T154" s="111"/>
      <c r="U154" s="111"/>
      <c r="V154" s="111"/>
      <c r="W154" s="111"/>
      <c r="X154" s="111"/>
      <c r="Y154" s="111"/>
      <c r="Z154" s="111"/>
      <c r="AA154" s="111"/>
    </row>
    <row r="155" spans="1:27" s="118" customFormat="1" x14ac:dyDescent="0.2">
      <c r="A155" s="6"/>
      <c r="B155" s="6"/>
      <c r="C155" s="155"/>
      <c r="D155" s="2" t="s">
        <v>361</v>
      </c>
      <c r="E155" s="148"/>
      <c r="F155" s="253">
        <v>1</v>
      </c>
      <c r="G155" s="253"/>
      <c r="H155" s="253"/>
      <c r="I155" s="246"/>
      <c r="J155" s="253">
        <f t="shared" ref="J155" si="19">ROUND(PRODUCT(F155:I155),2)</f>
        <v>1</v>
      </c>
      <c r="K155" s="137"/>
      <c r="L155" s="137"/>
      <c r="M155" s="137"/>
      <c r="N155" s="138"/>
      <c r="O155" s="167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111"/>
      <c r="AA155" s="111"/>
    </row>
    <row r="156" spans="1:27" s="118" customFormat="1" x14ac:dyDescent="0.2">
      <c r="A156" s="6"/>
      <c r="B156" s="6"/>
      <c r="C156" s="156"/>
      <c r="D156" s="108"/>
      <c r="E156" s="148"/>
      <c r="F156" s="253"/>
      <c r="G156" s="253"/>
      <c r="H156" s="253"/>
      <c r="I156" s="246" t="str">
        <f>"Total item "&amp;A153</f>
        <v>Total item 3.2.2</v>
      </c>
      <c r="J156" s="261">
        <f>SUM(J154:J155)</f>
        <v>3</v>
      </c>
      <c r="K156" s="137"/>
      <c r="L156" s="137"/>
      <c r="M156" s="137"/>
      <c r="N156" s="138"/>
      <c r="O156" s="167"/>
      <c r="P156" s="111"/>
      <c r="Q156" s="111"/>
      <c r="R156" s="111"/>
      <c r="S156" s="111"/>
      <c r="T156" s="111"/>
      <c r="U156" s="111"/>
      <c r="V156" s="111"/>
      <c r="W156" s="111"/>
      <c r="X156" s="111"/>
      <c r="Y156" s="111"/>
      <c r="Z156" s="111"/>
      <c r="AA156" s="111"/>
    </row>
    <row r="157" spans="1:27" s="118" customFormat="1" x14ac:dyDescent="0.2">
      <c r="A157" s="6"/>
      <c r="B157" s="6"/>
      <c r="C157" s="155"/>
      <c r="D157" s="108"/>
      <c r="E157" s="148"/>
      <c r="F157" s="253"/>
      <c r="G157" s="253"/>
      <c r="H157" s="253"/>
      <c r="I157" s="246"/>
      <c r="J157" s="258"/>
      <c r="K157" s="137"/>
      <c r="L157" s="137"/>
      <c r="M157" s="137"/>
      <c r="N157" s="138"/>
      <c r="O157" s="167"/>
      <c r="P157" s="111"/>
      <c r="Q157" s="111"/>
      <c r="R157" s="111"/>
      <c r="S157" s="111"/>
      <c r="T157" s="111"/>
      <c r="U157" s="111"/>
      <c r="V157" s="111"/>
      <c r="W157" s="111"/>
      <c r="X157" s="111"/>
      <c r="Y157" s="111"/>
      <c r="Z157" s="111"/>
      <c r="AA157" s="111"/>
    </row>
    <row r="158" spans="1:27" s="147" customFormat="1" ht="20.399999999999999" x14ac:dyDescent="0.2">
      <c r="A158" s="9" t="s">
        <v>367</v>
      </c>
      <c r="B158" s="9" t="s">
        <v>163</v>
      </c>
      <c r="C158" s="197" t="s">
        <v>349</v>
      </c>
      <c r="D158" s="113" t="s">
        <v>350</v>
      </c>
      <c r="E158" s="9" t="s">
        <v>33</v>
      </c>
      <c r="F158" s="261"/>
      <c r="G158" s="261"/>
      <c r="H158" s="261"/>
      <c r="I158" s="245"/>
      <c r="J158" s="261"/>
      <c r="K158" s="131">
        <f>J160</f>
        <v>1</v>
      </c>
      <c r="L158" s="131">
        <v>12.45</v>
      </c>
      <c r="M158" s="131">
        <f>ROUND(L158*(1+$Q$7),2)</f>
        <v>15.75</v>
      </c>
      <c r="N158" s="133">
        <f>TRUNC(K158*M158,2)</f>
        <v>15.75</v>
      </c>
      <c r="O158" s="286"/>
      <c r="P158" s="146"/>
      <c r="Q158" s="146"/>
      <c r="R158" s="146"/>
      <c r="S158" s="146"/>
      <c r="T158" s="146"/>
      <c r="U158" s="146"/>
      <c r="V158" s="146"/>
      <c r="W158" s="146"/>
      <c r="X158" s="146"/>
      <c r="Y158" s="146"/>
      <c r="Z158" s="146"/>
      <c r="AA158" s="146"/>
    </row>
    <row r="159" spans="1:27" s="118" customFormat="1" x14ac:dyDescent="0.2">
      <c r="A159" s="6"/>
      <c r="B159" s="6"/>
      <c r="C159" s="155"/>
      <c r="D159" s="2" t="s">
        <v>359</v>
      </c>
      <c r="E159" s="148"/>
      <c r="F159" s="253">
        <v>1</v>
      </c>
      <c r="G159" s="253"/>
      <c r="H159" s="253"/>
      <c r="I159" s="246"/>
      <c r="J159" s="253">
        <f>ROUND(PRODUCT(F159:I159),2)</f>
        <v>1</v>
      </c>
      <c r="K159" s="137"/>
      <c r="L159" s="137"/>
      <c r="M159" s="137"/>
      <c r="N159" s="138"/>
      <c r="O159" s="167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  <c r="AA159" s="111"/>
    </row>
    <row r="160" spans="1:27" s="118" customFormat="1" x14ac:dyDescent="0.2">
      <c r="A160" s="6"/>
      <c r="B160" s="6"/>
      <c r="C160" s="156"/>
      <c r="D160" s="108"/>
      <c r="E160" s="148"/>
      <c r="F160" s="253"/>
      <c r="G160" s="253"/>
      <c r="H160" s="253"/>
      <c r="I160" s="246" t="str">
        <f>"Total item "&amp;A158</f>
        <v>Total item 3.2.3</v>
      </c>
      <c r="J160" s="261">
        <f>SUM(J159:J159)</f>
        <v>1</v>
      </c>
      <c r="K160" s="137"/>
      <c r="L160" s="137"/>
      <c r="M160" s="137"/>
      <c r="N160" s="138"/>
      <c r="O160" s="167"/>
      <c r="P160" s="111"/>
      <c r="Q160" s="111"/>
      <c r="R160" s="111"/>
      <c r="S160" s="111"/>
      <c r="T160" s="111"/>
      <c r="U160" s="111"/>
      <c r="V160" s="111"/>
      <c r="W160" s="111"/>
      <c r="X160" s="111"/>
      <c r="Y160" s="111"/>
      <c r="Z160" s="111"/>
      <c r="AA160" s="111"/>
    </row>
    <row r="161" spans="1:27" s="161" customFormat="1" x14ac:dyDescent="0.2">
      <c r="A161" s="10"/>
      <c r="B161" s="10"/>
      <c r="C161" s="191"/>
      <c r="D161" s="110"/>
      <c r="E161" s="158"/>
      <c r="F161" s="267"/>
      <c r="G161" s="267"/>
      <c r="H161" s="267"/>
      <c r="I161" s="250"/>
      <c r="J161" s="263"/>
      <c r="K161" s="151"/>
      <c r="L161" s="151"/>
      <c r="M161" s="151"/>
      <c r="N161" s="152"/>
      <c r="O161" s="167"/>
      <c r="P161" s="114"/>
      <c r="Q161" s="114"/>
      <c r="R161" s="114"/>
      <c r="S161" s="114"/>
      <c r="T161" s="114"/>
      <c r="U161" s="114"/>
      <c r="V161" s="114"/>
      <c r="W161" s="114"/>
      <c r="X161" s="114"/>
      <c r="Y161" s="114"/>
      <c r="Z161" s="114"/>
      <c r="AA161" s="114"/>
    </row>
    <row r="162" spans="1:27" s="147" customFormat="1" ht="20.399999999999999" x14ac:dyDescent="0.2">
      <c r="A162" s="9" t="s">
        <v>368</v>
      </c>
      <c r="B162" s="9" t="s">
        <v>89</v>
      </c>
      <c r="C162" s="197">
        <v>9535</v>
      </c>
      <c r="D162" s="113" t="s">
        <v>369</v>
      </c>
      <c r="E162" s="9" t="s">
        <v>33</v>
      </c>
      <c r="F162" s="261"/>
      <c r="G162" s="261"/>
      <c r="H162" s="261"/>
      <c r="I162" s="245"/>
      <c r="J162" s="261"/>
      <c r="K162" s="131">
        <f>J165</f>
        <v>3</v>
      </c>
      <c r="L162" s="131">
        <v>67.67</v>
      </c>
      <c r="M162" s="131">
        <f>ROUND(L162*(1+$Q$7),2)</f>
        <v>85.62</v>
      </c>
      <c r="N162" s="133">
        <f>TRUNC(K162*M162,2)</f>
        <v>256.86</v>
      </c>
      <c r="O162" s="286"/>
      <c r="P162" s="146"/>
      <c r="Q162" s="146"/>
      <c r="R162" s="146"/>
      <c r="S162" s="146"/>
      <c r="T162" s="146"/>
      <c r="U162" s="146"/>
      <c r="V162" s="146"/>
      <c r="W162" s="146"/>
      <c r="X162" s="146"/>
      <c r="Y162" s="146"/>
      <c r="Z162" s="146"/>
      <c r="AA162" s="146"/>
    </row>
    <row r="163" spans="1:27" s="118" customFormat="1" x14ac:dyDescent="0.2">
      <c r="A163" s="6"/>
      <c r="B163" s="6"/>
      <c r="C163" s="155"/>
      <c r="D163" s="2" t="s">
        <v>359</v>
      </c>
      <c r="E163" s="148"/>
      <c r="F163" s="253">
        <v>1</v>
      </c>
      <c r="G163" s="253"/>
      <c r="H163" s="253"/>
      <c r="I163" s="246"/>
      <c r="J163" s="253">
        <f>ROUND(PRODUCT(F163:I163),2)</f>
        <v>1</v>
      </c>
      <c r="K163" s="137"/>
      <c r="L163" s="137"/>
      <c r="M163" s="137"/>
      <c r="N163" s="138"/>
      <c r="O163" s="167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  <c r="AA163" s="111"/>
    </row>
    <row r="164" spans="1:27" s="118" customFormat="1" x14ac:dyDescent="0.2">
      <c r="A164" s="6"/>
      <c r="B164" s="6"/>
      <c r="C164" s="155"/>
      <c r="D164" s="2" t="s">
        <v>361</v>
      </c>
      <c r="E164" s="148"/>
      <c r="F164" s="253">
        <v>2</v>
      </c>
      <c r="G164" s="253"/>
      <c r="H164" s="253"/>
      <c r="I164" s="246"/>
      <c r="J164" s="253">
        <f t="shared" ref="J164" si="20">ROUND(PRODUCT(F164:I164),2)</f>
        <v>2</v>
      </c>
      <c r="K164" s="137"/>
      <c r="L164" s="137"/>
      <c r="M164" s="137"/>
      <c r="N164" s="138"/>
      <c r="O164" s="167"/>
      <c r="P164" s="111"/>
      <c r="Q164" s="111"/>
      <c r="R164" s="111"/>
      <c r="S164" s="111"/>
      <c r="T164" s="111"/>
      <c r="U164" s="111"/>
      <c r="V164" s="111"/>
      <c r="W164" s="111"/>
      <c r="X164" s="111"/>
      <c r="Y164" s="111"/>
      <c r="Z164" s="111"/>
      <c r="AA164" s="111"/>
    </row>
    <row r="165" spans="1:27" s="118" customFormat="1" x14ac:dyDescent="0.2">
      <c r="A165" s="6"/>
      <c r="B165" s="6"/>
      <c r="C165" s="156"/>
      <c r="D165" s="108"/>
      <c r="E165" s="148"/>
      <c r="F165" s="253"/>
      <c r="G165" s="253"/>
      <c r="H165" s="253"/>
      <c r="I165" s="246" t="str">
        <f>"Total item "&amp;A162</f>
        <v>Total item 3.2.4</v>
      </c>
      <c r="J165" s="261">
        <f>SUM(J163:J164)</f>
        <v>3</v>
      </c>
      <c r="K165" s="137"/>
      <c r="L165" s="137"/>
      <c r="M165" s="137"/>
      <c r="N165" s="138"/>
      <c r="O165" s="167"/>
      <c r="P165" s="111"/>
      <c r="Q165" s="111"/>
      <c r="R165" s="111"/>
      <c r="S165" s="111"/>
      <c r="T165" s="111"/>
      <c r="U165" s="111"/>
      <c r="V165" s="111"/>
      <c r="W165" s="111"/>
      <c r="X165" s="111"/>
      <c r="Y165" s="111"/>
      <c r="Z165" s="111"/>
      <c r="AA165" s="111"/>
    </row>
    <row r="166" spans="1:27" s="118" customFormat="1" x14ac:dyDescent="0.2">
      <c r="A166" s="6"/>
      <c r="B166" s="6"/>
      <c r="C166" s="155"/>
      <c r="D166" s="108"/>
      <c r="E166" s="148"/>
      <c r="F166" s="253"/>
      <c r="G166" s="253"/>
      <c r="H166" s="253"/>
      <c r="I166" s="246"/>
      <c r="J166" s="258"/>
      <c r="K166" s="137"/>
      <c r="L166" s="137"/>
      <c r="M166" s="137"/>
      <c r="N166" s="138"/>
      <c r="O166" s="167"/>
      <c r="P166" s="111"/>
      <c r="Q166" s="111"/>
      <c r="R166" s="111"/>
      <c r="S166" s="111"/>
      <c r="T166" s="111"/>
      <c r="U166" s="111"/>
      <c r="V166" s="111"/>
      <c r="W166" s="111"/>
      <c r="X166" s="111"/>
      <c r="Y166" s="111"/>
      <c r="Z166" s="111"/>
      <c r="AA166" s="111"/>
    </row>
    <row r="167" spans="1:27" s="147" customFormat="1" ht="30.6" x14ac:dyDescent="0.2">
      <c r="A167" s="9" t="s">
        <v>370</v>
      </c>
      <c r="B167" s="9" t="s">
        <v>163</v>
      </c>
      <c r="C167" s="197" t="s">
        <v>192</v>
      </c>
      <c r="D167" s="113" t="s">
        <v>371</v>
      </c>
      <c r="E167" s="9" t="s">
        <v>31</v>
      </c>
      <c r="F167" s="261"/>
      <c r="G167" s="261"/>
      <c r="H167" s="261"/>
      <c r="I167" s="245"/>
      <c r="J167" s="261"/>
      <c r="K167" s="131">
        <f>J169</f>
        <v>2</v>
      </c>
      <c r="L167" s="131">
        <v>46.44</v>
      </c>
      <c r="M167" s="131">
        <f>ROUND(L167*(1+$Q$7),2)</f>
        <v>58.76</v>
      </c>
      <c r="N167" s="133">
        <f>TRUNC(K167*M167,2)</f>
        <v>117.52</v>
      </c>
      <c r="O167" s="286"/>
      <c r="P167" s="146"/>
      <c r="Q167" s="146"/>
      <c r="R167" s="146"/>
      <c r="S167" s="146"/>
      <c r="T167" s="146"/>
      <c r="U167" s="146"/>
      <c r="V167" s="146"/>
      <c r="W167" s="146"/>
      <c r="X167" s="146"/>
      <c r="Y167" s="146"/>
      <c r="Z167" s="146"/>
      <c r="AA167" s="146"/>
    </row>
    <row r="168" spans="1:27" s="118" customFormat="1" x14ac:dyDescent="0.2">
      <c r="A168" s="6"/>
      <c r="B168" s="6"/>
      <c r="C168" s="155"/>
      <c r="D168" s="2" t="s">
        <v>361</v>
      </c>
      <c r="E168" s="148"/>
      <c r="F168" s="253">
        <v>2</v>
      </c>
      <c r="G168" s="253"/>
      <c r="H168" s="253"/>
      <c r="I168" s="246"/>
      <c r="J168" s="253">
        <f>ROUND(PRODUCT(F168:I168),2)</f>
        <v>2</v>
      </c>
      <c r="K168" s="137"/>
      <c r="L168" s="137"/>
      <c r="M168" s="137"/>
      <c r="N168" s="138"/>
      <c r="O168" s="167"/>
      <c r="P168" s="111"/>
      <c r="Q168" s="111"/>
      <c r="R168" s="111"/>
      <c r="S168" s="111"/>
      <c r="T168" s="111"/>
      <c r="U168" s="111"/>
      <c r="V168" s="111"/>
      <c r="W168" s="111"/>
      <c r="X168" s="111"/>
      <c r="Y168" s="111"/>
      <c r="Z168" s="111"/>
      <c r="AA168" s="111"/>
    </row>
    <row r="169" spans="1:27" s="118" customFormat="1" x14ac:dyDescent="0.2">
      <c r="A169" s="6"/>
      <c r="B169" s="6"/>
      <c r="C169" s="156"/>
      <c r="D169" s="108"/>
      <c r="E169" s="148"/>
      <c r="F169" s="253"/>
      <c r="G169" s="253"/>
      <c r="H169" s="253"/>
      <c r="I169" s="246" t="str">
        <f>"Total item "&amp;A167</f>
        <v>Total item 3.2.5</v>
      </c>
      <c r="J169" s="261">
        <f>SUM(J168:J168)</f>
        <v>2</v>
      </c>
      <c r="K169" s="137"/>
      <c r="L169" s="137"/>
      <c r="M169" s="137"/>
      <c r="N169" s="138"/>
      <c r="O169" s="167"/>
      <c r="P169" s="111"/>
      <c r="Q169" s="111"/>
      <c r="R169" s="111"/>
      <c r="S169" s="111"/>
      <c r="T169" s="111"/>
      <c r="U169" s="111"/>
      <c r="V169" s="111"/>
      <c r="W169" s="111"/>
      <c r="X169" s="111"/>
      <c r="Y169" s="111"/>
      <c r="Z169" s="111"/>
      <c r="AA169" s="111"/>
    </row>
    <row r="170" spans="1:27" s="161" customFormat="1" x14ac:dyDescent="0.2">
      <c r="A170" s="10"/>
      <c r="B170" s="10"/>
      <c r="C170" s="191"/>
      <c r="D170" s="110"/>
      <c r="E170" s="158"/>
      <c r="F170" s="267"/>
      <c r="G170" s="267"/>
      <c r="H170" s="267"/>
      <c r="I170" s="250"/>
      <c r="J170" s="263"/>
      <c r="K170" s="151"/>
      <c r="L170" s="151"/>
      <c r="M170" s="151"/>
      <c r="N170" s="152"/>
      <c r="O170" s="167"/>
      <c r="P170" s="114"/>
      <c r="Q170" s="114"/>
      <c r="R170" s="114"/>
      <c r="S170" s="114"/>
      <c r="T170" s="114"/>
      <c r="U170" s="114"/>
      <c r="V170" s="114"/>
      <c r="W170" s="114"/>
      <c r="X170" s="114"/>
      <c r="Y170" s="114"/>
      <c r="Z170" s="114"/>
      <c r="AA170" s="114"/>
    </row>
    <row r="171" spans="1:27" s="147" customFormat="1" ht="30.6" x14ac:dyDescent="0.2">
      <c r="A171" s="9" t="s">
        <v>375</v>
      </c>
      <c r="B171" s="9" t="s">
        <v>163</v>
      </c>
      <c r="C171" s="13" t="s">
        <v>376</v>
      </c>
      <c r="D171" s="113" t="s">
        <v>377</v>
      </c>
      <c r="E171" s="9" t="s">
        <v>33</v>
      </c>
      <c r="F171" s="261"/>
      <c r="G171" s="261"/>
      <c r="H171" s="261"/>
      <c r="I171" s="245"/>
      <c r="J171" s="261"/>
      <c r="K171" s="131">
        <f>J173</f>
        <v>1</v>
      </c>
      <c r="L171" s="131">
        <v>176.44</v>
      </c>
      <c r="M171" s="131">
        <f>ROUND(L171*(1+$Q$7),2)</f>
        <v>223.25</v>
      </c>
      <c r="N171" s="133">
        <f>TRUNC(K171*M171,2)</f>
        <v>223.25</v>
      </c>
      <c r="O171" s="286"/>
      <c r="P171" s="146"/>
      <c r="Q171" s="146"/>
      <c r="R171" s="146"/>
      <c r="S171" s="146"/>
      <c r="T171" s="146"/>
      <c r="U171" s="146"/>
      <c r="V171" s="146"/>
      <c r="W171" s="146"/>
      <c r="X171" s="146"/>
      <c r="Y171" s="146"/>
      <c r="Z171" s="146"/>
      <c r="AA171" s="146"/>
    </row>
    <row r="172" spans="1:27" s="118" customFormat="1" x14ac:dyDescent="0.2">
      <c r="A172" s="6"/>
      <c r="B172" s="6"/>
      <c r="C172" s="155"/>
      <c r="D172" s="2" t="s">
        <v>41</v>
      </c>
      <c r="E172" s="148"/>
      <c r="F172" s="253">
        <v>1</v>
      </c>
      <c r="G172" s="253"/>
      <c r="H172" s="253"/>
      <c r="I172" s="246"/>
      <c r="J172" s="253">
        <f>ROUND(PRODUCT(F172:I172),2)</f>
        <v>1</v>
      </c>
      <c r="K172" s="137"/>
      <c r="L172" s="137"/>
      <c r="M172" s="137"/>
      <c r="N172" s="138"/>
      <c r="O172" s="167"/>
      <c r="P172" s="111"/>
      <c r="Q172" s="111"/>
      <c r="R172" s="111"/>
      <c r="S172" s="111"/>
      <c r="T172" s="111"/>
      <c r="U172" s="111"/>
      <c r="V172" s="111"/>
      <c r="W172" s="111"/>
      <c r="X172" s="111"/>
      <c r="Y172" s="111"/>
      <c r="Z172" s="111"/>
      <c r="AA172" s="111"/>
    </row>
    <row r="173" spans="1:27" s="118" customFormat="1" x14ac:dyDescent="0.2">
      <c r="A173" s="6"/>
      <c r="B173" s="6"/>
      <c r="C173" s="156"/>
      <c r="D173" s="108"/>
      <c r="E173" s="148"/>
      <c r="F173" s="253"/>
      <c r="G173" s="253"/>
      <c r="H173" s="253"/>
      <c r="I173" s="246" t="str">
        <f>"Total item "&amp;A171</f>
        <v>Total item 3.2.6</v>
      </c>
      <c r="J173" s="261">
        <f>SUM(J172:J172)</f>
        <v>1</v>
      </c>
      <c r="K173" s="137"/>
      <c r="L173" s="137"/>
      <c r="M173" s="137"/>
      <c r="N173" s="138"/>
      <c r="O173" s="167"/>
      <c r="P173" s="111"/>
      <c r="Q173" s="111"/>
      <c r="R173" s="111"/>
      <c r="S173" s="111"/>
      <c r="T173" s="111"/>
      <c r="U173" s="111"/>
      <c r="V173" s="111"/>
      <c r="W173" s="111"/>
      <c r="X173" s="111"/>
      <c r="Y173" s="111"/>
      <c r="Z173" s="111"/>
      <c r="AA173" s="111"/>
    </row>
    <row r="174" spans="1:27" s="139" customFormat="1" x14ac:dyDescent="0.2">
      <c r="A174" s="6"/>
      <c r="B174" s="6"/>
      <c r="C174" s="7"/>
      <c r="D174" s="116"/>
      <c r="E174" s="6"/>
      <c r="F174" s="258"/>
      <c r="G174" s="258"/>
      <c r="H174" s="258"/>
      <c r="I174" s="246"/>
      <c r="J174" s="258"/>
      <c r="K174" s="137"/>
      <c r="L174" s="137"/>
      <c r="M174" s="137"/>
      <c r="N174" s="138"/>
      <c r="O174" s="283"/>
      <c r="P174" s="120"/>
      <c r="Q174" s="120"/>
      <c r="R174" s="120"/>
      <c r="S174" s="120"/>
      <c r="T174" s="120"/>
      <c r="U174" s="120"/>
      <c r="V174" s="120"/>
      <c r="W174" s="120"/>
      <c r="X174" s="120"/>
      <c r="Y174" s="120"/>
      <c r="Z174" s="120"/>
      <c r="AA174" s="120"/>
    </row>
    <row r="175" spans="1:27" s="147" customFormat="1" ht="30.6" x14ac:dyDescent="0.2">
      <c r="A175" s="9" t="s">
        <v>378</v>
      </c>
      <c r="B175" s="9" t="s">
        <v>163</v>
      </c>
      <c r="C175" s="13" t="s">
        <v>210</v>
      </c>
      <c r="D175" s="113" t="s">
        <v>379</v>
      </c>
      <c r="E175" s="9" t="s">
        <v>9</v>
      </c>
      <c r="F175" s="261"/>
      <c r="G175" s="261"/>
      <c r="H175" s="261"/>
      <c r="I175" s="245"/>
      <c r="J175" s="261"/>
      <c r="K175" s="131">
        <f>J177</f>
        <v>1</v>
      </c>
      <c r="L175" s="131">
        <v>288</v>
      </c>
      <c r="M175" s="131">
        <f>ROUND(L175*(1+$Q$7),2)</f>
        <v>364.41</v>
      </c>
      <c r="N175" s="133">
        <f>TRUNC(K175*M175,2)</f>
        <v>364.41</v>
      </c>
      <c r="O175" s="286"/>
      <c r="P175" s="146"/>
      <c r="Q175" s="146"/>
      <c r="R175" s="146"/>
      <c r="S175" s="146"/>
      <c r="T175" s="146"/>
      <c r="U175" s="146"/>
      <c r="V175" s="146"/>
      <c r="W175" s="146"/>
      <c r="X175" s="146"/>
      <c r="Y175" s="146"/>
      <c r="Z175" s="146"/>
      <c r="AA175" s="146"/>
    </row>
    <row r="176" spans="1:27" s="118" customFormat="1" x14ac:dyDescent="0.2">
      <c r="A176" s="6"/>
      <c r="B176" s="6"/>
      <c r="C176" s="155"/>
      <c r="D176" s="2" t="s">
        <v>359</v>
      </c>
      <c r="E176" s="148"/>
      <c r="F176" s="253">
        <v>1</v>
      </c>
      <c r="G176" s="253"/>
      <c r="H176" s="253"/>
      <c r="I176" s="246"/>
      <c r="J176" s="253">
        <f>ROUND(PRODUCT(F176:I176),2)</f>
        <v>1</v>
      </c>
      <c r="K176" s="137"/>
      <c r="L176" s="137"/>
      <c r="M176" s="137"/>
      <c r="N176" s="138"/>
      <c r="O176" s="167"/>
      <c r="P176" s="111"/>
      <c r="Q176" s="111"/>
      <c r="R176" s="111"/>
      <c r="S176" s="111"/>
      <c r="T176" s="111"/>
      <c r="U176" s="111"/>
      <c r="V176" s="111"/>
      <c r="W176" s="111"/>
      <c r="X176" s="111"/>
      <c r="Y176" s="111"/>
      <c r="Z176" s="111"/>
      <c r="AA176" s="111"/>
    </row>
    <row r="177" spans="1:27" s="118" customFormat="1" x14ac:dyDescent="0.2">
      <c r="A177" s="6"/>
      <c r="B177" s="6"/>
      <c r="C177" s="156"/>
      <c r="D177" s="108"/>
      <c r="E177" s="148"/>
      <c r="F177" s="253"/>
      <c r="G177" s="253"/>
      <c r="H177" s="253"/>
      <c r="I177" s="246" t="str">
        <f>"Total item "&amp;A175</f>
        <v>Total item 3.2.7</v>
      </c>
      <c r="J177" s="261">
        <f>SUM(J176:J176)</f>
        <v>1</v>
      </c>
      <c r="K177" s="137"/>
      <c r="L177" s="137"/>
      <c r="M177" s="137"/>
      <c r="N177" s="138"/>
      <c r="O177" s="167"/>
      <c r="P177" s="111"/>
      <c r="Q177" s="111"/>
      <c r="R177" s="111"/>
      <c r="S177" s="111"/>
      <c r="T177" s="111"/>
      <c r="U177" s="111"/>
      <c r="V177" s="111"/>
      <c r="W177" s="111"/>
      <c r="X177" s="111"/>
      <c r="Y177" s="111"/>
      <c r="Z177" s="111"/>
      <c r="AA177" s="111"/>
    </row>
    <row r="178" spans="1:27" s="139" customFormat="1" x14ac:dyDescent="0.2">
      <c r="A178" s="6"/>
      <c r="B178" s="6"/>
      <c r="C178" s="7"/>
      <c r="D178" s="116"/>
      <c r="E178" s="6"/>
      <c r="F178" s="258"/>
      <c r="G178" s="258"/>
      <c r="H178" s="258"/>
      <c r="I178" s="246"/>
      <c r="J178" s="258"/>
      <c r="K178" s="137"/>
      <c r="L178" s="137"/>
      <c r="M178" s="137"/>
      <c r="N178" s="138"/>
      <c r="O178" s="283"/>
      <c r="P178" s="120"/>
      <c r="Q178" s="120"/>
      <c r="R178" s="120"/>
      <c r="S178" s="120"/>
      <c r="T178" s="120"/>
      <c r="U178" s="120"/>
      <c r="V178" s="120"/>
      <c r="W178" s="120"/>
      <c r="X178" s="120"/>
      <c r="Y178" s="120"/>
      <c r="Z178" s="120"/>
      <c r="AA178" s="120"/>
    </row>
    <row r="179" spans="1:27" s="145" customFormat="1" x14ac:dyDescent="0.2">
      <c r="A179" s="140" t="s">
        <v>60</v>
      </c>
      <c r="B179" s="140"/>
      <c r="C179" s="141"/>
      <c r="D179" s="112" t="s">
        <v>28</v>
      </c>
      <c r="E179" s="140"/>
      <c r="F179" s="260"/>
      <c r="G179" s="260"/>
      <c r="H179" s="260"/>
      <c r="I179" s="248"/>
      <c r="J179" s="260"/>
      <c r="K179" s="142"/>
      <c r="L179" s="142"/>
      <c r="M179" s="142"/>
      <c r="N179" s="143">
        <f>SUM(N181)</f>
        <v>151.96</v>
      </c>
      <c r="O179" s="285"/>
      <c r="P179" s="144"/>
      <c r="Q179" s="144"/>
      <c r="R179" s="144"/>
      <c r="S179" s="144"/>
      <c r="T179" s="144"/>
      <c r="U179" s="144"/>
      <c r="V179" s="144"/>
      <c r="W179" s="144"/>
      <c r="X179" s="144"/>
      <c r="Y179" s="144"/>
      <c r="Z179" s="144"/>
      <c r="AA179" s="144"/>
    </row>
    <row r="180" spans="1:27" s="118" customFormat="1" x14ac:dyDescent="0.2">
      <c r="A180" s="6"/>
      <c r="B180" s="6"/>
      <c r="C180" s="155"/>
      <c r="D180" s="108"/>
      <c r="E180" s="148"/>
      <c r="F180" s="253"/>
      <c r="G180" s="253"/>
      <c r="H180" s="253"/>
      <c r="I180" s="246"/>
      <c r="J180" s="258"/>
      <c r="K180" s="137"/>
      <c r="L180" s="137"/>
      <c r="M180" s="137"/>
      <c r="N180" s="138"/>
      <c r="O180" s="167"/>
      <c r="P180" s="111"/>
      <c r="Q180" s="111"/>
      <c r="R180" s="111"/>
      <c r="S180" s="111"/>
      <c r="T180" s="111"/>
      <c r="U180" s="111"/>
      <c r="V180" s="111"/>
      <c r="W180" s="111"/>
      <c r="X180" s="111"/>
      <c r="Y180" s="111"/>
      <c r="Z180" s="111"/>
      <c r="AA180" s="111"/>
    </row>
    <row r="181" spans="1:27" s="147" customFormat="1" ht="30.6" x14ac:dyDescent="0.2">
      <c r="A181" s="9" t="s">
        <v>372</v>
      </c>
      <c r="B181" s="9" t="s">
        <v>89</v>
      </c>
      <c r="C181" s="13">
        <v>91304</v>
      </c>
      <c r="D181" s="113" t="s">
        <v>373</v>
      </c>
      <c r="E181" s="9" t="s">
        <v>33</v>
      </c>
      <c r="F181" s="261"/>
      <c r="G181" s="261"/>
      <c r="H181" s="261"/>
      <c r="I181" s="245"/>
      <c r="J181" s="261"/>
      <c r="K181" s="131">
        <f>J184</f>
        <v>2</v>
      </c>
      <c r="L181" s="131">
        <v>60.05</v>
      </c>
      <c r="M181" s="131">
        <f>ROUND(L181*(1+$Q$7),2)</f>
        <v>75.98</v>
      </c>
      <c r="N181" s="133">
        <f>TRUNC(K181*M181,2)</f>
        <v>151.96</v>
      </c>
      <c r="O181" s="286"/>
      <c r="P181" s="146"/>
      <c r="Q181" s="146"/>
      <c r="R181" s="146"/>
      <c r="S181" s="146"/>
      <c r="T181" s="146"/>
      <c r="U181" s="146"/>
      <c r="V181" s="146"/>
      <c r="W181" s="146"/>
      <c r="X181" s="146"/>
      <c r="Y181" s="146"/>
      <c r="Z181" s="146"/>
      <c r="AA181" s="146"/>
    </row>
    <row r="182" spans="1:27" s="118" customFormat="1" x14ac:dyDescent="0.2">
      <c r="A182" s="6"/>
      <c r="B182" s="6"/>
      <c r="C182" s="155"/>
      <c r="D182" s="2" t="s">
        <v>374</v>
      </c>
      <c r="E182" s="148"/>
      <c r="F182" s="253">
        <v>1</v>
      </c>
      <c r="G182" s="253"/>
      <c r="H182" s="253"/>
      <c r="I182" s="249"/>
      <c r="J182" s="253">
        <f>ROUND(PRODUCT(F182:I182),2)</f>
        <v>1</v>
      </c>
      <c r="K182" s="137"/>
      <c r="L182" s="137"/>
      <c r="M182" s="137"/>
      <c r="N182" s="138"/>
      <c r="O182" s="167"/>
      <c r="P182" s="111"/>
      <c r="Q182" s="111"/>
      <c r="R182" s="111"/>
      <c r="S182" s="111"/>
      <c r="T182" s="111"/>
      <c r="U182" s="111"/>
      <c r="V182" s="111"/>
      <c r="W182" s="111"/>
      <c r="X182" s="111"/>
      <c r="Y182" s="111"/>
      <c r="Z182" s="111"/>
      <c r="AA182" s="111"/>
    </row>
    <row r="183" spans="1:27" s="118" customFormat="1" x14ac:dyDescent="0.2">
      <c r="A183" s="6"/>
      <c r="B183" s="6"/>
      <c r="C183" s="155"/>
      <c r="D183" s="2" t="s">
        <v>357</v>
      </c>
      <c r="E183" s="148"/>
      <c r="F183" s="253">
        <v>1</v>
      </c>
      <c r="G183" s="253"/>
      <c r="H183" s="253"/>
      <c r="I183" s="249"/>
      <c r="J183" s="253">
        <f>ROUND(PRODUCT(F183:I183),2)</f>
        <v>1</v>
      </c>
      <c r="K183" s="137"/>
      <c r="L183" s="137"/>
      <c r="M183" s="137"/>
      <c r="N183" s="138"/>
      <c r="O183" s="167"/>
      <c r="P183" s="111"/>
      <c r="Q183" s="111"/>
      <c r="R183" s="111"/>
      <c r="S183" s="111"/>
      <c r="T183" s="111"/>
      <c r="U183" s="111"/>
      <c r="V183" s="111"/>
      <c r="W183" s="111"/>
      <c r="X183" s="111"/>
      <c r="Y183" s="111"/>
      <c r="Z183" s="111"/>
      <c r="AA183" s="111"/>
    </row>
    <row r="184" spans="1:27" s="118" customFormat="1" x14ac:dyDescent="0.2">
      <c r="A184" s="6"/>
      <c r="B184" s="6"/>
      <c r="C184" s="156"/>
      <c r="D184" s="108"/>
      <c r="E184" s="148"/>
      <c r="F184" s="253"/>
      <c r="G184" s="253"/>
      <c r="H184" s="253"/>
      <c r="I184" s="246" t="str">
        <f>"Total item "&amp;A181</f>
        <v>Total item 3.3.1</v>
      </c>
      <c r="J184" s="261">
        <f>SUM(J182:J183)</f>
        <v>2</v>
      </c>
      <c r="K184" s="137"/>
      <c r="L184" s="137"/>
      <c r="M184" s="137"/>
      <c r="N184" s="138"/>
      <c r="O184" s="167"/>
      <c r="P184" s="111"/>
      <c r="Q184" s="111"/>
      <c r="R184" s="111"/>
      <c r="S184" s="111"/>
      <c r="T184" s="111"/>
      <c r="U184" s="111"/>
      <c r="V184" s="111"/>
      <c r="W184" s="111"/>
      <c r="X184" s="111"/>
      <c r="Y184" s="111"/>
      <c r="Z184" s="111"/>
      <c r="AA184" s="111"/>
    </row>
    <row r="185" spans="1:27" s="161" customFormat="1" x14ac:dyDescent="0.2">
      <c r="A185" s="10"/>
      <c r="B185" s="10"/>
      <c r="C185" s="190"/>
      <c r="D185" s="110"/>
      <c r="E185" s="158"/>
      <c r="F185" s="267"/>
      <c r="G185" s="267"/>
      <c r="H185" s="267"/>
      <c r="I185" s="250"/>
      <c r="J185" s="250"/>
      <c r="K185" s="151"/>
      <c r="L185" s="151"/>
      <c r="M185" s="151"/>
      <c r="N185" s="152"/>
      <c r="O185" s="167"/>
      <c r="P185" s="114"/>
      <c r="Q185" s="114"/>
      <c r="R185" s="114"/>
      <c r="S185" s="114"/>
      <c r="T185" s="114"/>
      <c r="U185" s="114"/>
      <c r="V185" s="114"/>
      <c r="W185" s="114"/>
      <c r="X185" s="114"/>
      <c r="Y185" s="114"/>
      <c r="Z185" s="114"/>
      <c r="AA185" s="114"/>
    </row>
    <row r="186" spans="1:27" s="145" customFormat="1" x14ac:dyDescent="0.2">
      <c r="A186" s="140" t="s">
        <v>591</v>
      </c>
      <c r="B186" s="140"/>
      <c r="C186" s="141"/>
      <c r="D186" s="112" t="s">
        <v>80</v>
      </c>
      <c r="E186" s="140"/>
      <c r="F186" s="260"/>
      <c r="G186" s="260"/>
      <c r="H186" s="260"/>
      <c r="I186" s="248"/>
      <c r="J186" s="260"/>
      <c r="K186" s="142"/>
      <c r="L186" s="142"/>
      <c r="M186" s="142"/>
      <c r="N186" s="143">
        <f>SUM(N188:N191)</f>
        <v>2764.5</v>
      </c>
      <c r="O186" s="285"/>
      <c r="P186" s="144"/>
      <c r="Q186" s="144"/>
      <c r="R186" s="144"/>
      <c r="S186" s="144"/>
      <c r="T186" s="144"/>
      <c r="U186" s="144"/>
      <c r="V186" s="144"/>
      <c r="W186" s="144"/>
      <c r="X186" s="144"/>
      <c r="Y186" s="144"/>
      <c r="Z186" s="144"/>
      <c r="AA186" s="144"/>
    </row>
    <row r="187" spans="1:27" s="118" customFormat="1" x14ac:dyDescent="0.2">
      <c r="A187" s="6"/>
      <c r="B187" s="6"/>
      <c r="C187" s="155"/>
      <c r="D187" s="108"/>
      <c r="E187" s="148"/>
      <c r="F187" s="253"/>
      <c r="G187" s="253"/>
      <c r="H187" s="253"/>
      <c r="I187" s="246"/>
      <c r="J187" s="258"/>
      <c r="K187" s="137"/>
      <c r="L187" s="137"/>
      <c r="M187" s="137"/>
      <c r="N187" s="138"/>
      <c r="O187" s="167"/>
      <c r="P187" s="111"/>
      <c r="Q187" s="111"/>
      <c r="R187" s="111"/>
      <c r="S187" s="111"/>
      <c r="T187" s="111"/>
      <c r="U187" s="111"/>
      <c r="V187" s="111"/>
      <c r="W187" s="111"/>
      <c r="X187" s="111"/>
      <c r="Y187" s="111"/>
      <c r="Z187" s="111"/>
      <c r="AA187" s="111"/>
    </row>
    <row r="188" spans="1:27" s="147" customFormat="1" x14ac:dyDescent="0.2">
      <c r="A188" s="9" t="s">
        <v>592</v>
      </c>
      <c r="B188" s="9" t="s">
        <v>179</v>
      </c>
      <c r="C188" s="13" t="s">
        <v>316</v>
      </c>
      <c r="D188" s="109" t="s">
        <v>317</v>
      </c>
      <c r="E188" s="9" t="s">
        <v>9</v>
      </c>
      <c r="F188" s="261"/>
      <c r="G188" s="261"/>
      <c r="H188" s="261"/>
      <c r="I188" s="245"/>
      <c r="J188" s="261"/>
      <c r="K188" s="131">
        <f>J191</f>
        <v>377.15</v>
      </c>
      <c r="L188" s="131">
        <f>'COMPOSICOES - SINAPI COM DESON'!G18</f>
        <v>5.79</v>
      </c>
      <c r="M188" s="131">
        <f>ROUND(L188*(1+$Q$7),2)</f>
        <v>7.33</v>
      </c>
      <c r="N188" s="133">
        <f>TRUNC(K188*M188,2)</f>
        <v>2764.5</v>
      </c>
      <c r="O188" s="286"/>
      <c r="P188" s="146"/>
      <c r="Q188" s="146"/>
      <c r="R188" s="146"/>
      <c r="S188" s="146"/>
      <c r="T188" s="146"/>
      <c r="U188" s="146"/>
      <c r="V188" s="146"/>
      <c r="W188" s="146"/>
      <c r="X188" s="146"/>
      <c r="Y188" s="146"/>
      <c r="Z188" s="146"/>
      <c r="AA188" s="146"/>
    </row>
    <row r="189" spans="1:27" s="118" customFormat="1" x14ac:dyDescent="0.2">
      <c r="A189" s="6"/>
      <c r="B189" s="6"/>
      <c r="C189" s="155"/>
      <c r="D189" s="2"/>
      <c r="E189" s="148"/>
      <c r="F189" s="253"/>
      <c r="G189" s="253">
        <v>22.3</v>
      </c>
      <c r="H189" s="253">
        <v>15.3</v>
      </c>
      <c r="I189" s="246"/>
      <c r="J189" s="253">
        <f t="shared" ref="J189:J190" si="21">ROUND(PRODUCT(F189:I189),2)</f>
        <v>341.19</v>
      </c>
      <c r="K189" s="137"/>
      <c r="L189" s="137"/>
      <c r="M189" s="137"/>
      <c r="N189" s="138"/>
      <c r="O189" s="167"/>
      <c r="P189" s="111"/>
      <c r="Q189" s="111"/>
      <c r="R189" s="111"/>
      <c r="S189" s="111"/>
      <c r="T189" s="111"/>
      <c r="U189" s="111"/>
      <c r="V189" s="111"/>
      <c r="W189" s="111"/>
      <c r="X189" s="111"/>
      <c r="Y189" s="111"/>
      <c r="Z189" s="111"/>
      <c r="AA189" s="111"/>
    </row>
    <row r="190" spans="1:27" s="118" customFormat="1" x14ac:dyDescent="0.2">
      <c r="A190" s="6"/>
      <c r="B190" s="6"/>
      <c r="C190" s="155"/>
      <c r="D190" s="2"/>
      <c r="E190" s="148"/>
      <c r="F190" s="253"/>
      <c r="G190" s="253">
        <v>5.8</v>
      </c>
      <c r="H190" s="253">
        <v>6.2</v>
      </c>
      <c r="I190" s="246"/>
      <c r="J190" s="253">
        <f t="shared" si="21"/>
        <v>35.96</v>
      </c>
      <c r="K190" s="137"/>
      <c r="L190" s="137"/>
      <c r="M190" s="137"/>
      <c r="N190" s="138"/>
      <c r="O190" s="167"/>
      <c r="P190" s="111"/>
      <c r="Q190" s="111"/>
      <c r="R190" s="111"/>
      <c r="S190" s="111"/>
      <c r="T190" s="111"/>
      <c r="U190" s="111"/>
      <c r="V190" s="111"/>
      <c r="W190" s="111"/>
      <c r="X190" s="111"/>
      <c r="Y190" s="111"/>
      <c r="Z190" s="111"/>
      <c r="AA190" s="111"/>
    </row>
    <row r="191" spans="1:27" s="118" customFormat="1" x14ac:dyDescent="0.2">
      <c r="A191" s="6"/>
      <c r="B191" s="6"/>
      <c r="C191" s="156"/>
      <c r="D191" s="108"/>
      <c r="E191" s="148"/>
      <c r="F191" s="253"/>
      <c r="G191" s="253"/>
      <c r="H191" s="253"/>
      <c r="I191" s="246" t="str">
        <f>"Total item "&amp;A188</f>
        <v>Total item 3.4.1</v>
      </c>
      <c r="J191" s="261">
        <f>SUM(J189:J190)</f>
        <v>377.15</v>
      </c>
      <c r="K191" s="137"/>
      <c r="L191" s="137"/>
      <c r="M191" s="137"/>
      <c r="N191" s="138"/>
      <c r="O191" s="167"/>
      <c r="P191" s="111"/>
      <c r="Q191" s="111"/>
      <c r="R191" s="111"/>
      <c r="S191" s="111"/>
      <c r="T191" s="111"/>
      <c r="U191" s="111"/>
      <c r="V191" s="111"/>
      <c r="W191" s="111"/>
      <c r="X191" s="111"/>
      <c r="Y191" s="111"/>
      <c r="Z191" s="111"/>
      <c r="AA191" s="111"/>
    </row>
    <row r="192" spans="1:27" s="118" customFormat="1" x14ac:dyDescent="0.2">
      <c r="A192" s="6"/>
      <c r="B192" s="6"/>
      <c r="C192" s="14"/>
      <c r="D192" s="108"/>
      <c r="E192" s="148"/>
      <c r="F192" s="253"/>
      <c r="G192" s="253"/>
      <c r="H192" s="253"/>
      <c r="I192" s="246"/>
      <c r="J192" s="262"/>
      <c r="K192" s="137"/>
      <c r="L192" s="137"/>
      <c r="M192" s="137"/>
      <c r="N192" s="138"/>
      <c r="O192" s="167"/>
      <c r="P192" s="111"/>
      <c r="Q192" s="111"/>
      <c r="R192" s="111"/>
      <c r="S192" s="111"/>
      <c r="T192" s="111"/>
      <c r="U192" s="111"/>
      <c r="V192" s="111"/>
      <c r="W192" s="111"/>
      <c r="X192" s="111"/>
      <c r="Y192" s="111"/>
      <c r="Z192" s="111"/>
      <c r="AA192" s="111"/>
    </row>
    <row r="193" spans="1:27" s="241" customFormat="1" ht="26.4" x14ac:dyDescent="0.25">
      <c r="A193" s="236" t="s">
        <v>16</v>
      </c>
      <c r="B193" s="236"/>
      <c r="C193" s="237"/>
      <c r="D193" s="289" t="s">
        <v>214</v>
      </c>
      <c r="E193" s="236"/>
      <c r="F193" s="259"/>
      <c r="G193" s="259"/>
      <c r="H193" s="259"/>
      <c r="I193" s="247"/>
      <c r="J193" s="259"/>
      <c r="K193" s="238"/>
      <c r="L193" s="238"/>
      <c r="M193" s="238"/>
      <c r="N193" s="239" t="e">
        <f>SUM(N195,N243,N279)</f>
        <v>#VALUE!</v>
      </c>
      <c r="O193" s="284" t="e">
        <f>N193/$N$2057</f>
        <v>#VALUE!</v>
      </c>
      <c r="P193" s="240" t="s">
        <v>533</v>
      </c>
      <c r="Q193" s="276" t="s">
        <v>746</v>
      </c>
      <c r="R193" s="240"/>
      <c r="S193" s="240"/>
      <c r="T193" s="240"/>
      <c r="U193" s="240"/>
      <c r="V193" s="240"/>
      <c r="W193" s="240"/>
      <c r="X193" s="240"/>
      <c r="Y193" s="240"/>
      <c r="Z193" s="240"/>
      <c r="AA193" s="240"/>
    </row>
    <row r="194" spans="1:27" s="118" customFormat="1" x14ac:dyDescent="0.2">
      <c r="A194" s="6"/>
      <c r="B194" s="6"/>
      <c r="C194" s="14"/>
      <c r="D194" s="108"/>
      <c r="E194" s="148"/>
      <c r="F194" s="253"/>
      <c r="G194" s="253"/>
      <c r="H194" s="253"/>
      <c r="I194" s="246"/>
      <c r="J194" s="262"/>
      <c r="K194" s="137"/>
      <c r="L194" s="137"/>
      <c r="M194" s="137"/>
      <c r="N194" s="138"/>
      <c r="O194" s="167"/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111"/>
      <c r="AA194" s="111"/>
    </row>
    <row r="195" spans="1:27" s="145" customFormat="1" x14ac:dyDescent="0.2">
      <c r="A195" s="140" t="s">
        <v>17</v>
      </c>
      <c r="B195" s="140"/>
      <c r="C195" s="141"/>
      <c r="D195" s="112" t="s">
        <v>30</v>
      </c>
      <c r="E195" s="140"/>
      <c r="F195" s="260"/>
      <c r="G195" s="260"/>
      <c r="H195" s="260"/>
      <c r="I195" s="248"/>
      <c r="J195" s="260"/>
      <c r="K195" s="142"/>
      <c r="L195" s="142"/>
      <c r="M195" s="142"/>
      <c r="N195" s="143" t="e">
        <f>SUM(N197:N241)</f>
        <v>#VALUE!</v>
      </c>
      <c r="O195" s="285"/>
      <c r="P195" s="144"/>
      <c r="Q195" s="144"/>
      <c r="R195" s="144"/>
      <c r="S195" s="144"/>
      <c r="T195" s="144"/>
      <c r="U195" s="144"/>
      <c r="V195" s="144"/>
      <c r="W195" s="144"/>
      <c r="X195" s="144"/>
      <c r="Y195" s="144"/>
      <c r="Z195" s="144"/>
      <c r="AA195" s="144"/>
    </row>
    <row r="196" spans="1:27" s="118" customFormat="1" x14ac:dyDescent="0.2">
      <c r="A196" s="6"/>
      <c r="B196" s="6"/>
      <c r="C196" s="14"/>
      <c r="D196" s="108"/>
      <c r="E196" s="148"/>
      <c r="F196" s="253"/>
      <c r="G196" s="253"/>
      <c r="H196" s="253"/>
      <c r="I196" s="246"/>
      <c r="J196" s="262"/>
      <c r="K196" s="137"/>
      <c r="L196" s="137"/>
      <c r="M196" s="137"/>
      <c r="N196" s="138"/>
      <c r="O196" s="167"/>
      <c r="P196" s="111"/>
      <c r="Q196" s="111"/>
      <c r="R196" s="111"/>
      <c r="S196" s="111"/>
      <c r="T196" s="111"/>
      <c r="U196" s="111"/>
      <c r="V196" s="111"/>
      <c r="W196" s="111"/>
      <c r="X196" s="111"/>
      <c r="Y196" s="111"/>
      <c r="Z196" s="111"/>
      <c r="AA196" s="111"/>
    </row>
    <row r="197" spans="1:27" s="147" customFormat="1" ht="40.799999999999997" x14ac:dyDescent="0.2">
      <c r="A197" s="9" t="s">
        <v>405</v>
      </c>
      <c r="B197" s="9" t="s">
        <v>89</v>
      </c>
      <c r="C197" s="13">
        <v>93144</v>
      </c>
      <c r="D197" s="113" t="s">
        <v>295</v>
      </c>
      <c r="E197" s="9" t="s">
        <v>33</v>
      </c>
      <c r="F197" s="261"/>
      <c r="G197" s="261"/>
      <c r="H197" s="261"/>
      <c r="I197" s="245"/>
      <c r="J197" s="261"/>
      <c r="K197" s="131">
        <f>J204</f>
        <v>5</v>
      </c>
      <c r="L197" s="131">
        <v>166.81</v>
      </c>
      <c r="M197" s="131">
        <f>ROUND(L197*(1+$Q$7),2)</f>
        <v>211.06</v>
      </c>
      <c r="N197" s="133">
        <f>TRUNC(K197*M197,2)</f>
        <v>1055.3</v>
      </c>
      <c r="O197" s="286"/>
      <c r="P197" s="146"/>
      <c r="Q197" s="146"/>
      <c r="R197" s="146"/>
      <c r="S197" s="146"/>
      <c r="T197" s="146"/>
      <c r="U197" s="146"/>
      <c r="V197" s="146"/>
      <c r="W197" s="146"/>
      <c r="X197" s="146"/>
      <c r="Y197" s="146"/>
      <c r="Z197" s="146"/>
      <c r="AA197" s="146"/>
    </row>
    <row r="198" spans="1:27" s="118" customFormat="1" x14ac:dyDescent="0.2">
      <c r="A198" s="6"/>
      <c r="B198" s="6"/>
      <c r="C198" s="155"/>
      <c r="D198" s="3" t="s">
        <v>296</v>
      </c>
      <c r="E198" s="148"/>
      <c r="F198" s="253"/>
      <c r="G198" s="253"/>
      <c r="H198" s="253"/>
      <c r="I198" s="246"/>
      <c r="J198" s="253"/>
      <c r="K198" s="137"/>
      <c r="L198" s="137"/>
      <c r="M198" s="137"/>
      <c r="N198" s="138"/>
      <c r="O198" s="167"/>
      <c r="P198" s="111"/>
      <c r="Q198" s="111"/>
      <c r="R198" s="111"/>
      <c r="S198" s="111"/>
      <c r="T198" s="111"/>
      <c r="U198" s="111"/>
      <c r="V198" s="111"/>
      <c r="W198" s="111"/>
      <c r="X198" s="111"/>
      <c r="Y198" s="111"/>
      <c r="Z198" s="111"/>
      <c r="AA198" s="111"/>
    </row>
    <row r="199" spans="1:27" s="118" customFormat="1" x14ac:dyDescent="0.2">
      <c r="A199" s="6"/>
      <c r="B199" s="6"/>
      <c r="C199" s="155"/>
      <c r="D199" s="2" t="s">
        <v>348</v>
      </c>
      <c r="E199" s="148"/>
      <c r="F199" s="253">
        <v>1</v>
      </c>
      <c r="G199" s="253"/>
      <c r="H199" s="253"/>
      <c r="I199" s="246"/>
      <c r="J199" s="253">
        <f t="shared" ref="J199:J203" si="22">ROUND(PRODUCT(F199:I199),2)</f>
        <v>1</v>
      </c>
      <c r="K199" s="137"/>
      <c r="L199" s="137"/>
      <c r="M199" s="137"/>
      <c r="N199" s="138"/>
      <c r="O199" s="167"/>
      <c r="P199" s="111"/>
      <c r="Q199" s="111"/>
      <c r="R199" s="111"/>
      <c r="S199" s="111"/>
      <c r="T199" s="111"/>
      <c r="U199" s="111"/>
      <c r="V199" s="111"/>
      <c r="W199" s="111"/>
      <c r="X199" s="111"/>
      <c r="Y199" s="111"/>
      <c r="Z199" s="111"/>
      <c r="AA199" s="111"/>
    </row>
    <row r="200" spans="1:27" s="118" customFormat="1" x14ac:dyDescent="0.2">
      <c r="A200" s="6"/>
      <c r="B200" s="6"/>
      <c r="C200" s="155"/>
      <c r="D200" s="2" t="s">
        <v>396</v>
      </c>
      <c r="E200" s="148"/>
      <c r="F200" s="253">
        <v>1</v>
      </c>
      <c r="G200" s="253"/>
      <c r="H200" s="253"/>
      <c r="I200" s="246"/>
      <c r="J200" s="253">
        <f t="shared" si="22"/>
        <v>1</v>
      </c>
      <c r="K200" s="137"/>
      <c r="L200" s="137"/>
      <c r="M200" s="137"/>
      <c r="N200" s="138"/>
      <c r="O200" s="167"/>
      <c r="P200" s="111"/>
      <c r="Q200" s="111"/>
      <c r="R200" s="111"/>
      <c r="S200" s="111"/>
      <c r="T200" s="111"/>
      <c r="U200" s="111"/>
      <c r="V200" s="111"/>
      <c r="W200" s="111"/>
      <c r="X200" s="111"/>
      <c r="Y200" s="111"/>
      <c r="Z200" s="111"/>
      <c r="AA200" s="111"/>
    </row>
    <row r="201" spans="1:27" s="118" customFormat="1" x14ac:dyDescent="0.2">
      <c r="A201" s="6"/>
      <c r="B201" s="6"/>
      <c r="C201" s="155"/>
      <c r="D201" s="2" t="s">
        <v>397</v>
      </c>
      <c r="E201" s="148"/>
      <c r="F201" s="253">
        <v>1</v>
      </c>
      <c r="G201" s="253"/>
      <c r="H201" s="253"/>
      <c r="I201" s="246"/>
      <c r="J201" s="253">
        <f t="shared" si="22"/>
        <v>1</v>
      </c>
      <c r="K201" s="137"/>
      <c r="L201" s="137"/>
      <c r="M201" s="137"/>
      <c r="N201" s="138"/>
      <c r="O201" s="167"/>
      <c r="P201" s="111"/>
      <c r="Q201" s="111"/>
      <c r="R201" s="111"/>
      <c r="S201" s="111"/>
      <c r="T201" s="111"/>
      <c r="U201" s="111"/>
      <c r="V201" s="111"/>
      <c r="W201" s="111"/>
      <c r="X201" s="111"/>
      <c r="Y201" s="111"/>
      <c r="Z201" s="111"/>
      <c r="AA201" s="111"/>
    </row>
    <row r="202" spans="1:27" s="118" customFormat="1" x14ac:dyDescent="0.2">
      <c r="A202" s="6"/>
      <c r="B202" s="6"/>
      <c r="C202" s="155"/>
      <c r="D202" s="2" t="s">
        <v>398</v>
      </c>
      <c r="E202" s="148"/>
      <c r="F202" s="253">
        <v>1</v>
      </c>
      <c r="G202" s="253"/>
      <c r="H202" s="253"/>
      <c r="I202" s="246"/>
      <c r="J202" s="253">
        <f t="shared" si="22"/>
        <v>1</v>
      </c>
      <c r="K202" s="137"/>
      <c r="L202" s="137"/>
      <c r="M202" s="137"/>
      <c r="N202" s="138"/>
      <c r="O202" s="167"/>
      <c r="P202" s="111"/>
      <c r="Q202" s="111"/>
      <c r="R202" s="111"/>
      <c r="S202" s="111"/>
      <c r="T202" s="111"/>
      <c r="U202" s="111"/>
      <c r="V202" s="111"/>
      <c r="W202" s="111"/>
      <c r="X202" s="111"/>
      <c r="Y202" s="111"/>
      <c r="Z202" s="111"/>
      <c r="AA202" s="111"/>
    </row>
    <row r="203" spans="1:27" s="118" customFormat="1" x14ac:dyDescent="0.2">
      <c r="A203" s="6"/>
      <c r="B203" s="6"/>
      <c r="C203" s="155"/>
      <c r="D203" s="2" t="s">
        <v>399</v>
      </c>
      <c r="E203" s="148"/>
      <c r="F203" s="253">
        <v>1</v>
      </c>
      <c r="G203" s="253"/>
      <c r="H203" s="253"/>
      <c r="I203" s="246"/>
      <c r="J203" s="253">
        <f t="shared" si="22"/>
        <v>1</v>
      </c>
      <c r="K203" s="137"/>
      <c r="L203" s="137"/>
      <c r="M203" s="137"/>
      <c r="N203" s="138"/>
      <c r="O203" s="167"/>
      <c r="P203" s="111"/>
      <c r="Q203" s="111"/>
      <c r="R203" s="111"/>
      <c r="S203" s="111"/>
      <c r="T203" s="111"/>
      <c r="U203" s="111"/>
      <c r="V203" s="111"/>
      <c r="W203" s="111"/>
      <c r="X203" s="111"/>
      <c r="Y203" s="111"/>
      <c r="Z203" s="111"/>
      <c r="AA203" s="111"/>
    </row>
    <row r="204" spans="1:27" s="118" customFormat="1" x14ac:dyDescent="0.2">
      <c r="A204" s="6"/>
      <c r="B204" s="6"/>
      <c r="C204" s="156"/>
      <c r="D204" s="108"/>
      <c r="E204" s="148"/>
      <c r="F204" s="253"/>
      <c r="G204" s="253"/>
      <c r="H204" s="253"/>
      <c r="I204" s="246" t="str">
        <f>"Total item "&amp;A197</f>
        <v>Total item 4.1.1</v>
      </c>
      <c r="J204" s="261">
        <f>SUM(J199:J203)</f>
        <v>5</v>
      </c>
      <c r="K204" s="137"/>
      <c r="L204" s="137"/>
      <c r="M204" s="137"/>
      <c r="N204" s="138"/>
      <c r="O204" s="167"/>
      <c r="P204" s="111"/>
      <c r="Q204" s="111"/>
      <c r="R204" s="111"/>
      <c r="S204" s="111"/>
      <c r="T204" s="111"/>
      <c r="U204" s="111"/>
      <c r="V204" s="111"/>
      <c r="W204" s="111"/>
      <c r="X204" s="111"/>
      <c r="Y204" s="111"/>
      <c r="Z204" s="111"/>
      <c r="AA204" s="111"/>
    </row>
    <row r="205" spans="1:27" s="139" customFormat="1" x14ac:dyDescent="0.2">
      <c r="A205" s="6"/>
      <c r="B205" s="6"/>
      <c r="C205" s="7"/>
      <c r="D205" s="116"/>
      <c r="E205" s="6"/>
      <c r="F205" s="258"/>
      <c r="G205" s="258"/>
      <c r="H205" s="258"/>
      <c r="I205" s="246"/>
      <c r="J205" s="258"/>
      <c r="K205" s="137"/>
      <c r="L205" s="137"/>
      <c r="M205" s="137"/>
      <c r="N205" s="138"/>
      <c r="O205" s="283"/>
      <c r="P205" s="120"/>
      <c r="Q205" s="120"/>
      <c r="R205" s="120"/>
      <c r="S205" s="120"/>
      <c r="T205" s="120"/>
      <c r="U205" s="120"/>
      <c r="V205" s="120"/>
      <c r="W205" s="120"/>
      <c r="X205" s="120"/>
      <c r="Y205" s="120"/>
      <c r="Z205" s="120"/>
      <c r="AA205" s="120"/>
    </row>
    <row r="206" spans="1:27" s="147" customFormat="1" ht="40.799999999999997" x14ac:dyDescent="0.2">
      <c r="A206" s="9" t="s">
        <v>406</v>
      </c>
      <c r="B206" s="9" t="s">
        <v>163</v>
      </c>
      <c r="C206" s="197" t="s">
        <v>192</v>
      </c>
      <c r="D206" s="113" t="s">
        <v>712</v>
      </c>
      <c r="E206" s="9" t="s">
        <v>31</v>
      </c>
      <c r="F206" s="261"/>
      <c r="G206" s="261"/>
      <c r="H206" s="261"/>
      <c r="I206" s="245"/>
      <c r="J206" s="261"/>
      <c r="K206" s="131">
        <f>J213</f>
        <v>5</v>
      </c>
      <c r="L206" s="131">
        <v>46.44</v>
      </c>
      <c r="M206" s="131">
        <f>ROUND(L206*(1+$Q$7),2)</f>
        <v>58.76</v>
      </c>
      <c r="N206" s="133">
        <f>TRUNC(K206*M206,2)</f>
        <v>293.8</v>
      </c>
      <c r="O206" s="286"/>
      <c r="P206" s="146"/>
      <c r="Q206" s="146"/>
      <c r="R206" s="146"/>
      <c r="S206" s="146"/>
      <c r="T206" s="146"/>
      <c r="U206" s="146"/>
      <c r="V206" s="146"/>
      <c r="W206" s="146"/>
      <c r="X206" s="146"/>
      <c r="Y206" s="146"/>
      <c r="Z206" s="146"/>
      <c r="AA206" s="146"/>
    </row>
    <row r="207" spans="1:27" s="118" customFormat="1" x14ac:dyDescent="0.2">
      <c r="A207" s="6"/>
      <c r="B207" s="6"/>
      <c r="C207" s="155"/>
      <c r="D207" s="3" t="s">
        <v>296</v>
      </c>
      <c r="E207" s="148"/>
      <c r="F207" s="253"/>
      <c r="G207" s="253"/>
      <c r="H207" s="253"/>
      <c r="I207" s="246"/>
      <c r="J207" s="253"/>
      <c r="K207" s="137"/>
      <c r="L207" s="137"/>
      <c r="M207" s="137"/>
      <c r="N207" s="138"/>
      <c r="O207" s="167"/>
      <c r="P207" s="111"/>
      <c r="Q207" s="111"/>
      <c r="R207" s="111"/>
      <c r="S207" s="111"/>
      <c r="T207" s="111"/>
      <c r="U207" s="111"/>
      <c r="V207" s="111"/>
      <c r="W207" s="111"/>
      <c r="X207" s="111"/>
      <c r="Y207" s="111"/>
      <c r="Z207" s="111"/>
      <c r="AA207" s="111"/>
    </row>
    <row r="208" spans="1:27" s="118" customFormat="1" x14ac:dyDescent="0.2">
      <c r="A208" s="6"/>
      <c r="B208" s="6"/>
      <c r="C208" s="155"/>
      <c r="D208" s="2" t="s">
        <v>348</v>
      </c>
      <c r="E208" s="148"/>
      <c r="F208" s="253">
        <v>1</v>
      </c>
      <c r="G208" s="253"/>
      <c r="H208" s="253"/>
      <c r="I208" s="246"/>
      <c r="J208" s="253">
        <f t="shared" ref="J208:J212" si="23">ROUND(PRODUCT(F208:I208),2)</f>
        <v>1</v>
      </c>
      <c r="K208" s="137"/>
      <c r="L208" s="137"/>
      <c r="M208" s="137"/>
      <c r="N208" s="138"/>
      <c r="O208" s="167"/>
      <c r="P208" s="111"/>
      <c r="Q208" s="111"/>
      <c r="R208" s="111"/>
      <c r="S208" s="111"/>
      <c r="T208" s="111"/>
      <c r="U208" s="111"/>
      <c r="V208" s="111"/>
      <c r="W208" s="111"/>
      <c r="X208" s="111"/>
      <c r="Y208" s="111"/>
      <c r="Z208" s="111"/>
      <c r="AA208" s="111"/>
    </row>
    <row r="209" spans="1:27" s="118" customFormat="1" x14ac:dyDescent="0.2">
      <c r="A209" s="6"/>
      <c r="B209" s="6"/>
      <c r="C209" s="155"/>
      <c r="D209" s="2" t="s">
        <v>396</v>
      </c>
      <c r="E209" s="148"/>
      <c r="F209" s="253">
        <v>1</v>
      </c>
      <c r="G209" s="253"/>
      <c r="H209" s="253"/>
      <c r="I209" s="246"/>
      <c r="J209" s="253">
        <f t="shared" si="23"/>
        <v>1</v>
      </c>
      <c r="K209" s="137"/>
      <c r="L209" s="137"/>
      <c r="M209" s="137"/>
      <c r="N209" s="138"/>
      <c r="O209" s="167"/>
      <c r="P209" s="111"/>
      <c r="Q209" s="111"/>
      <c r="R209" s="111"/>
      <c r="S209" s="111"/>
      <c r="T209" s="111"/>
      <c r="U209" s="111"/>
      <c r="V209" s="111"/>
      <c r="W209" s="111"/>
      <c r="X209" s="111"/>
      <c r="Y209" s="111"/>
      <c r="Z209" s="111"/>
      <c r="AA209" s="111"/>
    </row>
    <row r="210" spans="1:27" s="118" customFormat="1" x14ac:dyDescent="0.2">
      <c r="A210" s="6"/>
      <c r="B210" s="6"/>
      <c r="C210" s="155"/>
      <c r="D210" s="2" t="s">
        <v>397</v>
      </c>
      <c r="E210" s="148"/>
      <c r="F210" s="253">
        <v>1</v>
      </c>
      <c r="G210" s="253"/>
      <c r="H210" s="253"/>
      <c r="I210" s="246"/>
      <c r="J210" s="253">
        <f t="shared" si="23"/>
        <v>1</v>
      </c>
      <c r="K210" s="137"/>
      <c r="L210" s="137"/>
      <c r="M210" s="137"/>
      <c r="N210" s="138"/>
      <c r="O210" s="167"/>
      <c r="P210" s="111"/>
      <c r="Q210" s="111"/>
      <c r="R210" s="111"/>
      <c r="S210" s="111"/>
      <c r="T210" s="111"/>
      <c r="U210" s="111"/>
      <c r="V210" s="111"/>
      <c r="W210" s="111"/>
      <c r="X210" s="111"/>
      <c r="Y210" s="111"/>
      <c r="Z210" s="111"/>
      <c r="AA210" s="111"/>
    </row>
    <row r="211" spans="1:27" s="118" customFormat="1" x14ac:dyDescent="0.2">
      <c r="A211" s="6"/>
      <c r="B211" s="6"/>
      <c r="C211" s="155"/>
      <c r="D211" s="2" t="s">
        <v>398</v>
      </c>
      <c r="E211" s="148"/>
      <c r="F211" s="253">
        <v>1</v>
      </c>
      <c r="G211" s="253"/>
      <c r="H211" s="253"/>
      <c r="I211" s="246"/>
      <c r="J211" s="253">
        <f t="shared" si="23"/>
        <v>1</v>
      </c>
      <c r="K211" s="137"/>
      <c r="L211" s="137"/>
      <c r="M211" s="137"/>
      <c r="N211" s="138"/>
      <c r="O211" s="167"/>
      <c r="P211" s="111"/>
      <c r="Q211" s="111"/>
      <c r="R211" s="111"/>
      <c r="S211" s="111"/>
      <c r="T211" s="111"/>
      <c r="U211" s="111"/>
      <c r="V211" s="111"/>
      <c r="W211" s="111"/>
      <c r="X211" s="111"/>
      <c r="Y211" s="111"/>
      <c r="Z211" s="111"/>
      <c r="AA211" s="111"/>
    </row>
    <row r="212" spans="1:27" s="118" customFormat="1" x14ac:dyDescent="0.2">
      <c r="A212" s="6"/>
      <c r="B212" s="6"/>
      <c r="C212" s="155"/>
      <c r="D212" s="2" t="s">
        <v>399</v>
      </c>
      <c r="E212" s="148"/>
      <c r="F212" s="253">
        <v>1</v>
      </c>
      <c r="G212" s="253"/>
      <c r="H212" s="253"/>
      <c r="I212" s="246"/>
      <c r="J212" s="253">
        <f t="shared" si="23"/>
        <v>1</v>
      </c>
      <c r="K212" s="137"/>
      <c r="L212" s="137"/>
      <c r="M212" s="137"/>
      <c r="N212" s="138"/>
      <c r="O212" s="167"/>
      <c r="P212" s="111"/>
      <c r="Q212" s="111"/>
      <c r="R212" s="111"/>
      <c r="S212" s="111"/>
      <c r="T212" s="111"/>
      <c r="U212" s="111"/>
      <c r="V212" s="111"/>
      <c r="W212" s="111"/>
      <c r="X212" s="111"/>
      <c r="Y212" s="111"/>
      <c r="Z212" s="111"/>
      <c r="AA212" s="111"/>
    </row>
    <row r="213" spans="1:27" s="118" customFormat="1" x14ac:dyDescent="0.2">
      <c r="A213" s="6"/>
      <c r="B213" s="6"/>
      <c r="C213" s="156"/>
      <c r="D213" s="108"/>
      <c r="E213" s="148"/>
      <c r="F213" s="253"/>
      <c r="G213" s="253"/>
      <c r="H213" s="253"/>
      <c r="I213" s="246" t="str">
        <f>"Total item "&amp;A206</f>
        <v>Total item 4.1.2</v>
      </c>
      <c r="J213" s="261">
        <f>SUM(J208:J212)</f>
        <v>5</v>
      </c>
      <c r="K213" s="137"/>
      <c r="L213" s="137"/>
      <c r="M213" s="137"/>
      <c r="N213" s="138"/>
      <c r="O213" s="167"/>
      <c r="P213" s="111"/>
      <c r="Q213" s="111"/>
      <c r="R213" s="111"/>
      <c r="S213" s="111"/>
      <c r="T213" s="111"/>
      <c r="U213" s="111"/>
      <c r="V213" s="111"/>
      <c r="W213" s="111"/>
      <c r="X213" s="111"/>
      <c r="Y213" s="111"/>
      <c r="Z213" s="111"/>
      <c r="AA213" s="111"/>
    </row>
    <row r="214" spans="1:27" s="161" customFormat="1" x14ac:dyDescent="0.2">
      <c r="A214" s="10"/>
      <c r="B214" s="10"/>
      <c r="C214" s="191"/>
      <c r="D214" s="110"/>
      <c r="E214" s="158"/>
      <c r="F214" s="267"/>
      <c r="G214" s="267"/>
      <c r="H214" s="267"/>
      <c r="I214" s="250"/>
      <c r="J214" s="263"/>
      <c r="K214" s="151"/>
      <c r="L214" s="151"/>
      <c r="M214" s="151"/>
      <c r="N214" s="152"/>
      <c r="O214" s="167"/>
      <c r="P214" s="114"/>
      <c r="Q214" s="114"/>
      <c r="R214" s="114"/>
      <c r="S214" s="114"/>
      <c r="T214" s="114"/>
      <c r="U214" s="114"/>
      <c r="V214" s="114"/>
      <c r="W214" s="114"/>
      <c r="X214" s="114"/>
      <c r="Y214" s="114"/>
      <c r="Z214" s="114"/>
      <c r="AA214" s="114"/>
    </row>
    <row r="215" spans="1:27" s="147" customFormat="1" ht="61.2" x14ac:dyDescent="0.2">
      <c r="A215" s="9" t="s">
        <v>407</v>
      </c>
      <c r="B215" s="9" t="s">
        <v>179</v>
      </c>
      <c r="C215" s="13" t="s">
        <v>417</v>
      </c>
      <c r="D215" s="113" t="s">
        <v>561</v>
      </c>
      <c r="E215" s="9" t="s">
        <v>31</v>
      </c>
      <c r="F215" s="261"/>
      <c r="G215" s="261"/>
      <c r="H215" s="261"/>
      <c r="I215" s="245"/>
      <c r="J215" s="261"/>
      <c r="K215" s="131">
        <f>J219</f>
        <v>5</v>
      </c>
      <c r="L215" s="131" t="e">
        <f>'COMPOSICOES - SINAPI COM DESON'!G36</f>
        <v>#VALUE!</v>
      </c>
      <c r="M215" s="131" t="e">
        <f>ROUND(L215*(1+$Q$7),2)</f>
        <v>#VALUE!</v>
      </c>
      <c r="N215" s="133" t="e">
        <f>TRUNC(K215*M215,2)</f>
        <v>#VALUE!</v>
      </c>
      <c r="O215" s="286"/>
      <c r="P215" s="146"/>
      <c r="Q215" s="146"/>
      <c r="R215" s="146"/>
      <c r="S215" s="146"/>
      <c r="T215" s="146"/>
      <c r="U215" s="146"/>
      <c r="V215" s="146"/>
      <c r="W215" s="146"/>
      <c r="X215" s="146"/>
      <c r="Y215" s="146"/>
      <c r="Z215" s="146"/>
      <c r="AA215" s="146"/>
    </row>
    <row r="216" spans="1:27" s="118" customFormat="1" x14ac:dyDescent="0.2">
      <c r="A216" s="6"/>
      <c r="B216" s="6"/>
      <c r="C216" s="155"/>
      <c r="D216" s="2" t="s">
        <v>348</v>
      </c>
      <c r="E216" s="148"/>
      <c r="F216" s="253">
        <v>2</v>
      </c>
      <c r="G216" s="253"/>
      <c r="H216" s="253"/>
      <c r="I216" s="246"/>
      <c r="J216" s="253">
        <f t="shared" ref="J216:J218" si="24">ROUND(PRODUCT(F216:I216),2)</f>
        <v>2</v>
      </c>
      <c r="K216" s="137"/>
      <c r="L216" s="137"/>
      <c r="M216" s="137"/>
      <c r="N216" s="138"/>
      <c r="O216" s="167"/>
      <c r="P216" s="111"/>
      <c r="Q216" s="111" t="s">
        <v>400</v>
      </c>
      <c r="R216" s="111"/>
      <c r="S216" s="111"/>
      <c r="T216" s="111"/>
      <c r="U216" s="111"/>
      <c r="V216" s="111"/>
      <c r="W216" s="111"/>
      <c r="X216" s="111"/>
      <c r="Y216" s="111"/>
      <c r="Z216" s="111"/>
      <c r="AA216" s="111"/>
    </row>
    <row r="217" spans="1:27" s="118" customFormat="1" x14ac:dyDescent="0.2">
      <c r="A217" s="6"/>
      <c r="B217" s="6"/>
      <c r="C217" s="155"/>
      <c r="D217" s="2" t="s">
        <v>396</v>
      </c>
      <c r="E217" s="148"/>
      <c r="F217" s="253">
        <v>1</v>
      </c>
      <c r="G217" s="253"/>
      <c r="H217" s="253"/>
      <c r="I217" s="246"/>
      <c r="J217" s="253">
        <f t="shared" si="24"/>
        <v>1</v>
      </c>
      <c r="K217" s="137"/>
      <c r="L217" s="137"/>
      <c r="M217" s="137"/>
      <c r="N217" s="138"/>
      <c r="O217" s="167"/>
      <c r="P217" s="111"/>
      <c r="Q217" s="111"/>
      <c r="R217" s="111"/>
      <c r="S217" s="111"/>
      <c r="T217" s="111"/>
      <c r="U217" s="111"/>
      <c r="V217" s="111"/>
      <c r="W217" s="111"/>
      <c r="X217" s="111"/>
      <c r="Y217" s="111"/>
      <c r="Z217" s="111"/>
      <c r="AA217" s="111"/>
    </row>
    <row r="218" spans="1:27" s="118" customFormat="1" x14ac:dyDescent="0.2">
      <c r="A218" s="6"/>
      <c r="B218" s="6"/>
      <c r="C218" s="155"/>
      <c r="D218" s="2" t="s">
        <v>397</v>
      </c>
      <c r="E218" s="148"/>
      <c r="F218" s="253">
        <v>2</v>
      </c>
      <c r="G218" s="253"/>
      <c r="H218" s="253"/>
      <c r="I218" s="246"/>
      <c r="J218" s="253">
        <f t="shared" si="24"/>
        <v>2</v>
      </c>
      <c r="K218" s="137"/>
      <c r="L218" s="137"/>
      <c r="M218" s="137"/>
      <c r="N218" s="138"/>
      <c r="O218" s="167"/>
      <c r="P218" s="111"/>
      <c r="Q218" s="111"/>
      <c r="R218" s="111"/>
      <c r="S218" s="111"/>
      <c r="T218" s="111"/>
      <c r="U218" s="111"/>
      <c r="V218" s="111"/>
      <c r="W218" s="111"/>
      <c r="X218" s="111"/>
      <c r="Y218" s="111"/>
      <c r="Z218" s="111"/>
      <c r="AA218" s="111"/>
    </row>
    <row r="219" spans="1:27" s="118" customFormat="1" x14ac:dyDescent="0.2">
      <c r="A219" s="6"/>
      <c r="B219" s="6"/>
      <c r="C219" s="156"/>
      <c r="D219" s="108"/>
      <c r="E219" s="148"/>
      <c r="F219" s="253"/>
      <c r="G219" s="253"/>
      <c r="H219" s="253"/>
      <c r="I219" s="246" t="str">
        <f>"Total item "&amp;A215</f>
        <v>Total item 4.1.3</v>
      </c>
      <c r="J219" s="261">
        <f>SUM(J216:J218)</f>
        <v>5</v>
      </c>
      <c r="K219" s="137"/>
      <c r="L219" s="137"/>
      <c r="M219" s="137"/>
      <c r="N219" s="138"/>
      <c r="O219" s="167"/>
      <c r="P219" s="111"/>
      <c r="Q219" s="111"/>
      <c r="R219" s="111"/>
      <c r="S219" s="111"/>
      <c r="T219" s="111"/>
      <c r="U219" s="111"/>
      <c r="V219" s="111"/>
      <c r="W219" s="111"/>
      <c r="X219" s="111"/>
      <c r="Y219" s="111"/>
      <c r="Z219" s="111"/>
      <c r="AA219" s="111"/>
    </row>
    <row r="220" spans="1:27" s="139" customFormat="1" x14ac:dyDescent="0.2">
      <c r="A220" s="6"/>
      <c r="B220" s="6"/>
      <c r="C220" s="7"/>
      <c r="D220" s="116"/>
      <c r="E220" s="6"/>
      <c r="F220" s="258"/>
      <c r="G220" s="258"/>
      <c r="H220" s="258"/>
      <c r="I220" s="246"/>
      <c r="J220" s="258"/>
      <c r="K220" s="137"/>
      <c r="L220" s="137"/>
      <c r="M220" s="137"/>
      <c r="N220" s="138"/>
      <c r="O220" s="283"/>
      <c r="P220" s="120"/>
      <c r="Q220" s="120"/>
      <c r="R220" s="120"/>
      <c r="S220" s="120"/>
      <c r="T220" s="120"/>
      <c r="U220" s="120"/>
      <c r="V220" s="120"/>
      <c r="W220" s="120"/>
      <c r="X220" s="120"/>
      <c r="Y220" s="120"/>
      <c r="Z220" s="120"/>
      <c r="AA220" s="120"/>
    </row>
    <row r="221" spans="1:27" s="147" customFormat="1" ht="51" x14ac:dyDescent="0.2">
      <c r="A221" s="9" t="s">
        <v>408</v>
      </c>
      <c r="B221" s="9" t="s">
        <v>163</v>
      </c>
      <c r="C221" s="13" t="s">
        <v>244</v>
      </c>
      <c r="D221" s="113" t="s">
        <v>245</v>
      </c>
      <c r="E221" s="9" t="s">
        <v>31</v>
      </c>
      <c r="F221" s="261"/>
      <c r="G221" s="261"/>
      <c r="H221" s="261"/>
      <c r="I221" s="245"/>
      <c r="J221" s="261"/>
      <c r="K221" s="131">
        <f>J225</f>
        <v>5</v>
      </c>
      <c r="L221" s="131">
        <v>116.08</v>
      </c>
      <c r="M221" s="131">
        <f>ROUND(L221*(1+$Q$7),2)</f>
        <v>146.88</v>
      </c>
      <c r="N221" s="133">
        <f>TRUNC(K221*M221,2)</f>
        <v>734.4</v>
      </c>
      <c r="O221" s="286"/>
      <c r="P221" s="146"/>
      <c r="Q221" s="146"/>
      <c r="R221" s="146"/>
      <c r="S221" s="146"/>
      <c r="T221" s="146"/>
      <c r="U221" s="146"/>
      <c r="V221" s="146"/>
      <c r="W221" s="146"/>
      <c r="X221" s="146"/>
      <c r="Y221" s="146"/>
      <c r="Z221" s="146"/>
      <c r="AA221" s="146"/>
    </row>
    <row r="222" spans="1:27" s="118" customFormat="1" x14ac:dyDescent="0.2">
      <c r="A222" s="6"/>
      <c r="B222" s="6"/>
      <c r="C222" s="155"/>
      <c r="D222" s="2" t="s">
        <v>401</v>
      </c>
      <c r="E222" s="148"/>
      <c r="F222" s="253">
        <v>2</v>
      </c>
      <c r="G222" s="253"/>
      <c r="H222" s="253"/>
      <c r="I222" s="246"/>
      <c r="J222" s="253">
        <f t="shared" ref="J222:J224" si="25">ROUND(PRODUCT(F222:I222),2)</f>
        <v>2</v>
      </c>
      <c r="K222" s="137"/>
      <c r="L222" s="137"/>
      <c r="M222" s="137"/>
      <c r="N222" s="138"/>
      <c r="O222" s="167"/>
      <c r="P222" s="111"/>
      <c r="Q222" s="111"/>
      <c r="R222" s="111"/>
      <c r="S222" s="111"/>
      <c r="T222" s="111"/>
      <c r="U222" s="111"/>
      <c r="V222" s="111"/>
      <c r="W222" s="111"/>
      <c r="X222" s="111"/>
      <c r="Y222" s="111"/>
      <c r="Z222" s="111"/>
      <c r="AA222" s="111"/>
    </row>
    <row r="223" spans="1:27" s="118" customFormat="1" x14ac:dyDescent="0.2">
      <c r="A223" s="6"/>
      <c r="B223" s="6"/>
      <c r="C223" s="155"/>
      <c r="D223" s="2" t="s">
        <v>399</v>
      </c>
      <c r="E223" s="148"/>
      <c r="F223" s="253">
        <v>2</v>
      </c>
      <c r="G223" s="253"/>
      <c r="H223" s="253"/>
      <c r="I223" s="246"/>
      <c r="J223" s="253">
        <f t="shared" si="25"/>
        <v>2</v>
      </c>
      <c r="K223" s="137"/>
      <c r="L223" s="137"/>
      <c r="M223" s="137"/>
      <c r="N223" s="138"/>
      <c r="O223" s="167"/>
      <c r="P223" s="111"/>
      <c r="Q223" s="111"/>
      <c r="R223" s="111"/>
      <c r="S223" s="111"/>
      <c r="T223" s="111"/>
      <c r="U223" s="111"/>
      <c r="V223" s="111"/>
      <c r="W223" s="111"/>
      <c r="X223" s="111"/>
      <c r="Y223" s="111"/>
      <c r="Z223" s="111"/>
      <c r="AA223" s="111"/>
    </row>
    <row r="224" spans="1:27" s="118" customFormat="1" x14ac:dyDescent="0.2">
      <c r="A224" s="6"/>
      <c r="B224" s="6"/>
      <c r="C224" s="155"/>
      <c r="D224" s="2" t="s">
        <v>402</v>
      </c>
      <c r="E224" s="148"/>
      <c r="F224" s="253">
        <v>1</v>
      </c>
      <c r="G224" s="253"/>
      <c r="H224" s="253"/>
      <c r="I224" s="246"/>
      <c r="J224" s="253">
        <f t="shared" si="25"/>
        <v>1</v>
      </c>
      <c r="K224" s="137"/>
      <c r="L224" s="137"/>
      <c r="M224" s="137"/>
      <c r="N224" s="138"/>
      <c r="O224" s="167"/>
      <c r="P224" s="111"/>
      <c r="Q224" s="111"/>
      <c r="R224" s="111"/>
      <c r="S224" s="111"/>
      <c r="T224" s="111"/>
      <c r="U224" s="111"/>
      <c r="V224" s="111"/>
      <c r="W224" s="111"/>
      <c r="X224" s="111"/>
      <c r="Y224" s="111"/>
      <c r="Z224" s="111"/>
      <c r="AA224" s="111"/>
    </row>
    <row r="225" spans="1:27" s="118" customFormat="1" x14ac:dyDescent="0.2">
      <c r="A225" s="6"/>
      <c r="B225" s="6"/>
      <c r="C225" s="156"/>
      <c r="D225" s="108"/>
      <c r="E225" s="148"/>
      <c r="F225" s="253"/>
      <c r="G225" s="253"/>
      <c r="H225" s="253"/>
      <c r="I225" s="246" t="str">
        <f>"Total item "&amp;A221</f>
        <v>Total item 4.1.4</v>
      </c>
      <c r="J225" s="261">
        <f>SUM(J222:J224)</f>
        <v>5</v>
      </c>
      <c r="K225" s="137"/>
      <c r="L225" s="137"/>
      <c r="M225" s="137"/>
      <c r="N225" s="138"/>
      <c r="O225" s="167"/>
      <c r="P225" s="111"/>
      <c r="Q225" s="111"/>
      <c r="R225" s="111"/>
      <c r="S225" s="111"/>
      <c r="T225" s="111"/>
      <c r="U225" s="111"/>
      <c r="V225" s="111"/>
      <c r="W225" s="111"/>
      <c r="X225" s="111"/>
      <c r="Y225" s="111"/>
      <c r="Z225" s="111"/>
      <c r="AA225" s="111"/>
    </row>
    <row r="226" spans="1:27" s="139" customFormat="1" x14ac:dyDescent="0.2">
      <c r="A226" s="6"/>
      <c r="B226" s="6"/>
      <c r="C226" s="7"/>
      <c r="D226" s="116"/>
      <c r="E226" s="6"/>
      <c r="F226" s="258"/>
      <c r="G226" s="258"/>
      <c r="H226" s="258"/>
      <c r="I226" s="246"/>
      <c r="J226" s="258"/>
      <c r="K226" s="137"/>
      <c r="L226" s="137"/>
      <c r="M226" s="137"/>
      <c r="N226" s="138"/>
      <c r="O226" s="283"/>
      <c r="P226" s="120"/>
      <c r="Q226" s="120"/>
      <c r="R226" s="120"/>
      <c r="S226" s="120"/>
      <c r="T226" s="120"/>
      <c r="U226" s="120"/>
      <c r="V226" s="120"/>
      <c r="W226" s="120"/>
      <c r="X226" s="120"/>
      <c r="Y226" s="120"/>
      <c r="Z226" s="120"/>
      <c r="AA226" s="120"/>
    </row>
    <row r="227" spans="1:27" s="147" customFormat="1" ht="40.799999999999997" x14ac:dyDescent="0.2">
      <c r="A227" s="9" t="s">
        <v>593</v>
      </c>
      <c r="B227" s="9" t="s">
        <v>163</v>
      </c>
      <c r="C227" s="13" t="s">
        <v>188</v>
      </c>
      <c r="D227" s="113" t="s">
        <v>719</v>
      </c>
      <c r="E227" s="9" t="s">
        <v>33</v>
      </c>
      <c r="F227" s="261"/>
      <c r="G227" s="261"/>
      <c r="H227" s="261"/>
      <c r="I227" s="245"/>
      <c r="J227" s="261"/>
      <c r="K227" s="131">
        <f>J229</f>
        <v>1</v>
      </c>
      <c r="L227" s="131">
        <v>65.69</v>
      </c>
      <c r="M227" s="131">
        <f>ROUND(L227*(1+$Q$7),2)</f>
        <v>83.12</v>
      </c>
      <c r="N227" s="133">
        <f>TRUNC(K227*M227,2)</f>
        <v>83.12</v>
      </c>
      <c r="O227" s="286"/>
      <c r="P227" s="146"/>
      <c r="Q227" s="146"/>
      <c r="R227" s="146"/>
      <c r="S227" s="146"/>
      <c r="T227" s="146"/>
      <c r="U227" s="146"/>
      <c r="V227" s="146"/>
      <c r="W227" s="146"/>
      <c r="X227" s="146"/>
      <c r="Y227" s="146"/>
      <c r="Z227" s="146"/>
      <c r="AA227" s="146"/>
    </row>
    <row r="228" spans="1:27" s="118" customFormat="1" x14ac:dyDescent="0.2">
      <c r="A228" s="6"/>
      <c r="B228" s="6"/>
      <c r="C228" s="6"/>
      <c r="D228" s="2"/>
      <c r="E228" s="148"/>
      <c r="F228" s="253">
        <v>1</v>
      </c>
      <c r="G228" s="253"/>
      <c r="H228" s="253"/>
      <c r="I228" s="246"/>
      <c r="J228" s="253">
        <f>ROUND(PRODUCT(F228:I228),2)</f>
        <v>1</v>
      </c>
      <c r="K228" s="137"/>
      <c r="L228" s="137"/>
      <c r="M228" s="137"/>
      <c r="N228" s="138"/>
      <c r="O228" s="167"/>
      <c r="P228" s="111"/>
      <c r="Q228" s="111"/>
      <c r="R228" s="111"/>
      <c r="S228" s="111"/>
      <c r="T228" s="111"/>
      <c r="U228" s="111"/>
      <c r="V228" s="111"/>
      <c r="W228" s="111"/>
      <c r="X228" s="111"/>
      <c r="Y228" s="111"/>
      <c r="Z228" s="111"/>
      <c r="AA228" s="111"/>
    </row>
    <row r="229" spans="1:27" s="118" customFormat="1" x14ac:dyDescent="0.2">
      <c r="A229" s="6"/>
      <c r="B229" s="6"/>
      <c r="C229" s="156"/>
      <c r="D229" s="108"/>
      <c r="E229" s="148"/>
      <c r="F229" s="253"/>
      <c r="G229" s="253"/>
      <c r="H229" s="253"/>
      <c r="I229" s="246" t="str">
        <f>"Total item "&amp;A227</f>
        <v>Total item 4.1.5</v>
      </c>
      <c r="J229" s="261">
        <f>SUM(J228:J228)</f>
        <v>1</v>
      </c>
      <c r="K229" s="137"/>
      <c r="L229" s="137"/>
      <c r="M229" s="137"/>
      <c r="N229" s="138"/>
      <c r="O229" s="167"/>
      <c r="P229" s="111"/>
      <c r="Q229" s="111"/>
      <c r="R229" s="111"/>
      <c r="S229" s="111"/>
      <c r="T229" s="111"/>
      <c r="U229" s="111"/>
      <c r="V229" s="111"/>
      <c r="W229" s="111"/>
      <c r="X229" s="111"/>
      <c r="Y229" s="111"/>
      <c r="Z229" s="111"/>
      <c r="AA229" s="111"/>
    </row>
    <row r="230" spans="1:27" s="118" customFormat="1" x14ac:dyDescent="0.2">
      <c r="A230" s="6"/>
      <c r="B230" s="6"/>
      <c r="C230" s="155"/>
      <c r="D230" s="108"/>
      <c r="E230" s="148"/>
      <c r="F230" s="253"/>
      <c r="G230" s="253"/>
      <c r="H230" s="253"/>
      <c r="I230" s="246"/>
      <c r="J230" s="258"/>
      <c r="K230" s="137"/>
      <c r="L230" s="137"/>
      <c r="M230" s="137"/>
      <c r="N230" s="138"/>
      <c r="O230" s="167"/>
      <c r="P230" s="111"/>
      <c r="Q230" s="111"/>
      <c r="R230" s="111"/>
      <c r="S230" s="111"/>
      <c r="T230" s="111"/>
      <c r="U230" s="111"/>
      <c r="V230" s="111"/>
      <c r="W230" s="111"/>
      <c r="X230" s="111"/>
      <c r="Y230" s="111"/>
      <c r="Z230" s="111"/>
      <c r="AA230" s="111"/>
    </row>
    <row r="231" spans="1:27" s="147" customFormat="1" ht="30.6" x14ac:dyDescent="0.2">
      <c r="A231" s="9" t="s">
        <v>594</v>
      </c>
      <c r="B231" s="9" t="s">
        <v>163</v>
      </c>
      <c r="C231" s="13" t="s">
        <v>190</v>
      </c>
      <c r="D231" s="113" t="s">
        <v>290</v>
      </c>
      <c r="E231" s="9" t="s">
        <v>33</v>
      </c>
      <c r="F231" s="261"/>
      <c r="G231" s="261"/>
      <c r="H231" s="261"/>
      <c r="I231" s="245"/>
      <c r="J231" s="261"/>
      <c r="K231" s="131">
        <f>J233</f>
        <v>6</v>
      </c>
      <c r="L231" s="131">
        <v>14.55</v>
      </c>
      <c r="M231" s="131">
        <f>ROUND(L231*(1+$Q$7),2)</f>
        <v>18.41</v>
      </c>
      <c r="N231" s="133">
        <f>TRUNC(K231*M231,2)</f>
        <v>110.46</v>
      </c>
      <c r="O231" s="286"/>
      <c r="P231" s="146"/>
      <c r="Q231" s="146"/>
      <c r="R231" s="146"/>
      <c r="S231" s="146"/>
      <c r="T231" s="146"/>
      <c r="U231" s="146"/>
      <c r="V231" s="146"/>
      <c r="W231" s="146"/>
      <c r="X231" s="146"/>
      <c r="Y231" s="146"/>
      <c r="Z231" s="146"/>
      <c r="AA231" s="146"/>
    </row>
    <row r="232" spans="1:27" s="118" customFormat="1" x14ac:dyDescent="0.2">
      <c r="A232" s="6"/>
      <c r="B232" s="6"/>
      <c r="C232" s="6"/>
      <c r="D232" s="2"/>
      <c r="E232" s="148"/>
      <c r="F232" s="253">
        <v>6</v>
      </c>
      <c r="G232" s="253"/>
      <c r="H232" s="253"/>
      <c r="I232" s="246"/>
      <c r="J232" s="253">
        <f>ROUND(PRODUCT(F232:I232),2)</f>
        <v>6</v>
      </c>
      <c r="K232" s="137"/>
      <c r="L232" s="137"/>
      <c r="M232" s="137"/>
      <c r="N232" s="138"/>
      <c r="O232" s="167"/>
      <c r="P232" s="111"/>
      <c r="Q232" s="111"/>
      <c r="R232" s="111"/>
      <c r="S232" s="111"/>
      <c r="T232" s="111"/>
      <c r="U232" s="111"/>
      <c r="V232" s="111"/>
      <c r="W232" s="111"/>
      <c r="X232" s="111"/>
      <c r="Y232" s="111"/>
      <c r="Z232" s="111"/>
      <c r="AA232" s="111"/>
    </row>
    <row r="233" spans="1:27" s="118" customFormat="1" x14ac:dyDescent="0.2">
      <c r="A233" s="6"/>
      <c r="B233" s="6"/>
      <c r="C233" s="156"/>
      <c r="D233" s="108"/>
      <c r="E233" s="148"/>
      <c r="F233" s="253"/>
      <c r="G233" s="253"/>
      <c r="H233" s="253"/>
      <c r="I233" s="246" t="str">
        <f>"Total item "&amp;A231</f>
        <v>Total item 4.1.6</v>
      </c>
      <c r="J233" s="261">
        <f>SUM(J232:J232)</f>
        <v>6</v>
      </c>
      <c r="K233" s="137"/>
      <c r="L233" s="137"/>
      <c r="M233" s="137"/>
      <c r="N233" s="138"/>
      <c r="O233" s="167"/>
      <c r="P233" s="111"/>
      <c r="Q233" s="111"/>
      <c r="R233" s="111"/>
      <c r="S233" s="111"/>
      <c r="T233" s="111"/>
      <c r="U233" s="111"/>
      <c r="V233" s="111"/>
      <c r="W233" s="111"/>
      <c r="X233" s="111"/>
      <c r="Y233" s="111"/>
      <c r="Z233" s="111"/>
      <c r="AA233" s="111"/>
    </row>
    <row r="234" spans="1:27" s="118" customFormat="1" x14ac:dyDescent="0.2">
      <c r="A234" s="6"/>
      <c r="B234" s="6"/>
      <c r="C234" s="155"/>
      <c r="D234" s="108"/>
      <c r="E234" s="148"/>
      <c r="F234" s="253"/>
      <c r="G234" s="253"/>
      <c r="H234" s="253"/>
      <c r="I234" s="246"/>
      <c r="J234" s="258"/>
      <c r="K234" s="137"/>
      <c r="L234" s="137"/>
      <c r="M234" s="137"/>
      <c r="N234" s="138"/>
      <c r="O234" s="167"/>
      <c r="P234" s="111"/>
      <c r="Q234" s="111"/>
      <c r="R234" s="111"/>
      <c r="S234" s="111"/>
      <c r="T234" s="111"/>
      <c r="U234" s="111"/>
      <c r="V234" s="111"/>
      <c r="W234" s="111"/>
      <c r="X234" s="111"/>
      <c r="Y234" s="111"/>
      <c r="Z234" s="111"/>
      <c r="AA234" s="111"/>
    </row>
    <row r="235" spans="1:27" s="147" customFormat="1" ht="30.6" x14ac:dyDescent="0.2">
      <c r="A235" s="9" t="s">
        <v>735</v>
      </c>
      <c r="B235" s="9" t="s">
        <v>179</v>
      </c>
      <c r="C235" s="13" t="s">
        <v>672</v>
      </c>
      <c r="D235" s="113" t="s">
        <v>567</v>
      </c>
      <c r="E235" s="9" t="s">
        <v>33</v>
      </c>
      <c r="F235" s="261"/>
      <c r="G235" s="261"/>
      <c r="H235" s="261"/>
      <c r="I235" s="245"/>
      <c r="J235" s="261"/>
      <c r="K235" s="131">
        <f>J237</f>
        <v>1</v>
      </c>
      <c r="L235" s="131">
        <f>'COMPOSICOES - SINAPI COM DESON'!G50</f>
        <v>104.48</v>
      </c>
      <c r="M235" s="131">
        <f>ROUND(L235*(1+$Q$7),2)</f>
        <v>132.19999999999999</v>
      </c>
      <c r="N235" s="133">
        <f>TRUNC(K235*M235,2)</f>
        <v>132.19999999999999</v>
      </c>
      <c r="O235" s="286"/>
      <c r="P235" s="146"/>
      <c r="Q235" s="146"/>
      <c r="R235" s="146"/>
      <c r="S235" s="146"/>
      <c r="T235" s="146"/>
      <c r="U235" s="146"/>
      <c r="V235" s="146"/>
      <c r="W235" s="146"/>
      <c r="X235" s="146"/>
      <c r="Y235" s="146"/>
      <c r="Z235" s="146"/>
      <c r="AA235" s="146"/>
    </row>
    <row r="236" spans="1:27" s="174" customFormat="1" x14ac:dyDescent="0.2">
      <c r="A236" s="170"/>
      <c r="B236" s="170"/>
      <c r="C236" s="171"/>
      <c r="D236" s="2" t="s">
        <v>399</v>
      </c>
      <c r="E236" s="170"/>
      <c r="F236" s="253">
        <v>1</v>
      </c>
      <c r="G236" s="253"/>
      <c r="H236" s="253"/>
      <c r="I236" s="249"/>
      <c r="J236" s="253">
        <f t="shared" ref="J236" si="26">ROUND(PRODUCT(F236:I236),2)</f>
        <v>1</v>
      </c>
      <c r="K236" s="172"/>
      <c r="L236" s="172"/>
      <c r="M236" s="172"/>
      <c r="N236" s="173"/>
      <c r="O236" s="287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</row>
    <row r="237" spans="1:27" s="174" customFormat="1" x14ac:dyDescent="0.2">
      <c r="A237" s="170"/>
      <c r="B237" s="170"/>
      <c r="C237" s="171"/>
      <c r="D237" s="175"/>
      <c r="E237" s="176"/>
      <c r="F237" s="264"/>
      <c r="G237" s="264"/>
      <c r="H237" s="264"/>
      <c r="I237" s="251" t="str">
        <f>"Total item "&amp;A235</f>
        <v>Total item 4.1.7</v>
      </c>
      <c r="J237" s="261">
        <f>SUM(J236:J236)</f>
        <v>1</v>
      </c>
      <c r="K237" s="172"/>
      <c r="L237" s="172"/>
      <c r="M237" s="172"/>
      <c r="N237" s="173"/>
      <c r="O237" s="287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</row>
    <row r="238" spans="1:27" s="183" customFormat="1" x14ac:dyDescent="0.2">
      <c r="A238" s="177"/>
      <c r="B238" s="177"/>
      <c r="C238" s="178"/>
      <c r="D238" s="179"/>
      <c r="E238" s="180"/>
      <c r="F238" s="265"/>
      <c r="G238" s="265"/>
      <c r="H238" s="265"/>
      <c r="I238" s="252"/>
      <c r="J238" s="266"/>
      <c r="K238" s="181"/>
      <c r="L238" s="181"/>
      <c r="M238" s="181"/>
      <c r="N238" s="182"/>
      <c r="O238" s="287"/>
      <c r="P238" s="121"/>
      <c r="Q238" s="121"/>
      <c r="R238" s="121"/>
      <c r="S238" s="121"/>
      <c r="T238" s="121"/>
      <c r="U238" s="121"/>
      <c r="V238" s="121"/>
      <c r="W238" s="121"/>
      <c r="X238" s="121"/>
      <c r="Y238" s="121"/>
      <c r="Z238" s="121"/>
      <c r="AA238" s="121"/>
    </row>
    <row r="239" spans="1:27" s="147" customFormat="1" ht="30.6" x14ac:dyDescent="0.2">
      <c r="A239" s="9" t="s">
        <v>736</v>
      </c>
      <c r="B239" s="9" t="s">
        <v>163</v>
      </c>
      <c r="C239" s="13" t="s">
        <v>240</v>
      </c>
      <c r="D239" s="113" t="s">
        <v>403</v>
      </c>
      <c r="E239" s="9" t="s">
        <v>31</v>
      </c>
      <c r="F239" s="261"/>
      <c r="G239" s="261"/>
      <c r="H239" s="261"/>
      <c r="I239" s="245"/>
      <c r="J239" s="261"/>
      <c r="K239" s="131">
        <f>J241</f>
        <v>1</v>
      </c>
      <c r="L239" s="131">
        <v>73.44</v>
      </c>
      <c r="M239" s="131">
        <f>ROUND(L239*(1+$Q$7),2)</f>
        <v>92.92</v>
      </c>
      <c r="N239" s="133">
        <f>TRUNC(K239*M239,2)</f>
        <v>92.92</v>
      </c>
      <c r="O239" s="286"/>
      <c r="P239" s="146"/>
      <c r="Q239" s="146"/>
      <c r="R239" s="146"/>
      <c r="S239" s="146"/>
      <c r="T239" s="146"/>
      <c r="U239" s="146"/>
      <c r="V239" s="146"/>
      <c r="W239" s="146"/>
      <c r="X239" s="146"/>
      <c r="Y239" s="146"/>
      <c r="Z239" s="146"/>
      <c r="AA239" s="146"/>
    </row>
    <row r="240" spans="1:27" s="118" customFormat="1" x14ac:dyDescent="0.2">
      <c r="A240" s="6"/>
      <c r="B240" s="6"/>
      <c r="C240" s="155"/>
      <c r="D240" s="2" t="s">
        <v>404</v>
      </c>
      <c r="E240" s="170"/>
      <c r="F240" s="253">
        <v>1</v>
      </c>
      <c r="G240" s="253"/>
      <c r="H240" s="253"/>
      <c r="I240" s="246"/>
      <c r="J240" s="253">
        <f t="shared" ref="J240" si="27">ROUND(PRODUCT(F240:I240),2)</f>
        <v>1</v>
      </c>
      <c r="K240" s="137"/>
      <c r="L240" s="137"/>
      <c r="M240" s="137"/>
      <c r="N240" s="138"/>
      <c r="O240" s="167"/>
      <c r="P240" s="111"/>
      <c r="Q240" s="111"/>
      <c r="R240" s="111"/>
      <c r="S240" s="111"/>
      <c r="T240" s="111"/>
      <c r="U240" s="111"/>
      <c r="V240" s="111"/>
      <c r="W240" s="111"/>
      <c r="X240" s="111"/>
      <c r="Y240" s="111"/>
      <c r="Z240" s="111"/>
      <c r="AA240" s="111"/>
    </row>
    <row r="241" spans="1:28" s="118" customFormat="1" x14ac:dyDescent="0.2">
      <c r="A241" s="6"/>
      <c r="B241" s="6"/>
      <c r="C241" s="156"/>
      <c r="D241" s="108"/>
      <c r="E241" s="148"/>
      <c r="F241" s="253"/>
      <c r="G241" s="253"/>
      <c r="H241" s="253"/>
      <c r="I241" s="246" t="str">
        <f>"Total item "&amp;A239</f>
        <v>Total item 4.1.8</v>
      </c>
      <c r="J241" s="261">
        <f>SUM(J240:J240)</f>
        <v>1</v>
      </c>
      <c r="K241" s="137"/>
      <c r="L241" s="137"/>
      <c r="M241" s="137"/>
      <c r="N241" s="138"/>
      <c r="O241" s="167"/>
      <c r="P241" s="111"/>
      <c r="Q241" s="111"/>
      <c r="R241" s="111"/>
      <c r="S241" s="111"/>
      <c r="T241" s="111"/>
      <c r="U241" s="111"/>
      <c r="V241" s="111"/>
      <c r="W241" s="111"/>
      <c r="X241" s="111"/>
      <c r="Y241" s="111"/>
      <c r="Z241" s="111"/>
      <c r="AA241" s="111"/>
    </row>
    <row r="242" spans="1:28" s="139" customFormat="1" x14ac:dyDescent="0.2">
      <c r="A242" s="6"/>
      <c r="B242" s="6"/>
      <c r="C242" s="7"/>
      <c r="D242" s="116"/>
      <c r="E242" s="6"/>
      <c r="F242" s="258"/>
      <c r="G242" s="258"/>
      <c r="H242" s="258"/>
      <c r="I242" s="246"/>
      <c r="J242" s="258"/>
      <c r="K242" s="137"/>
      <c r="L242" s="137"/>
      <c r="M242" s="137"/>
      <c r="N242" s="138"/>
      <c r="O242" s="283"/>
      <c r="P242" s="120"/>
      <c r="Q242" s="120"/>
      <c r="R242" s="120"/>
      <c r="S242" s="120"/>
      <c r="T242" s="120"/>
      <c r="U242" s="120"/>
      <c r="V242" s="120"/>
      <c r="W242" s="120"/>
      <c r="X242" s="120"/>
      <c r="Y242" s="120"/>
      <c r="Z242" s="120"/>
      <c r="AA242" s="120"/>
    </row>
    <row r="243" spans="1:28" s="145" customFormat="1" x14ac:dyDescent="0.2">
      <c r="A243" s="140" t="s">
        <v>18</v>
      </c>
      <c r="B243" s="140"/>
      <c r="C243" s="141"/>
      <c r="D243" s="112" t="s">
        <v>80</v>
      </c>
      <c r="E243" s="140"/>
      <c r="F243" s="260"/>
      <c r="G243" s="260"/>
      <c r="H243" s="260"/>
      <c r="I243" s="248"/>
      <c r="J243" s="260"/>
      <c r="K243" s="142"/>
      <c r="L243" s="142"/>
      <c r="M243" s="142"/>
      <c r="N243" s="143">
        <f>SUM(N245:N277)</f>
        <v>34428.54</v>
      </c>
      <c r="O243" s="285"/>
      <c r="P243" s="144"/>
      <c r="Q243" s="144"/>
      <c r="R243" s="144"/>
      <c r="S243" s="144"/>
      <c r="T243" s="144"/>
      <c r="U243" s="144"/>
      <c r="V243" s="144"/>
      <c r="W243" s="144"/>
      <c r="X243" s="144"/>
      <c r="Y243" s="144"/>
      <c r="Z243" s="144"/>
      <c r="AA243" s="144"/>
    </row>
    <row r="244" spans="1:28" s="118" customFormat="1" x14ac:dyDescent="0.2">
      <c r="A244" s="6"/>
      <c r="B244" s="6"/>
      <c r="C244" s="14"/>
      <c r="D244" s="108"/>
      <c r="E244" s="148"/>
      <c r="F244" s="253"/>
      <c r="G244" s="253"/>
      <c r="H244" s="253"/>
      <c r="I244" s="246"/>
      <c r="J244" s="262"/>
      <c r="K244" s="137"/>
      <c r="L244" s="137"/>
      <c r="M244" s="137"/>
      <c r="N244" s="138"/>
      <c r="O244" s="167"/>
      <c r="P244" s="111"/>
      <c r="Q244" s="111"/>
      <c r="R244" s="111"/>
      <c r="S244" s="111"/>
      <c r="T244" s="111"/>
      <c r="U244" s="111"/>
      <c r="V244" s="111"/>
      <c r="W244" s="111"/>
      <c r="X244" s="111"/>
      <c r="Y244" s="111"/>
      <c r="Z244" s="111"/>
      <c r="AA244" s="111"/>
    </row>
    <row r="245" spans="1:28" s="147" customFormat="1" ht="30.6" x14ac:dyDescent="0.2">
      <c r="A245" s="9" t="s">
        <v>595</v>
      </c>
      <c r="B245" s="9" t="s">
        <v>89</v>
      </c>
      <c r="C245" s="197" t="s">
        <v>437</v>
      </c>
      <c r="D245" s="113" t="s">
        <v>714</v>
      </c>
      <c r="E245" s="9" t="s">
        <v>9</v>
      </c>
      <c r="F245" s="261"/>
      <c r="G245" s="261"/>
      <c r="H245" s="261"/>
      <c r="I245" s="245"/>
      <c r="J245" s="261"/>
      <c r="K245" s="131">
        <f>J252</f>
        <v>238.51</v>
      </c>
      <c r="L245" s="131">
        <v>59.97</v>
      </c>
      <c r="M245" s="131">
        <f>ROUND(L245*(1+$Q$7),2)</f>
        <v>75.88</v>
      </c>
      <c r="N245" s="133">
        <f>TRUNC(K245*M245,2)</f>
        <v>18098.13</v>
      </c>
      <c r="O245" s="286"/>
      <c r="P245" s="146"/>
      <c r="Q245" s="146"/>
      <c r="R245" s="146"/>
      <c r="S245" s="146"/>
      <c r="T245" s="146"/>
      <c r="U245" s="146"/>
      <c r="V245" s="146"/>
      <c r="W245" s="146"/>
      <c r="X245" s="146"/>
      <c r="Y245" s="146"/>
      <c r="Z245" s="146"/>
      <c r="AA245" s="146"/>
    </row>
    <row r="246" spans="1:28" s="118" customFormat="1" x14ac:dyDescent="0.2">
      <c r="A246" s="6"/>
      <c r="B246" s="6"/>
      <c r="C246" s="155"/>
      <c r="D246" s="2" t="s">
        <v>348</v>
      </c>
      <c r="E246" s="148"/>
      <c r="F246" s="253"/>
      <c r="G246" s="253">
        <v>2.6</v>
      </c>
      <c r="H246" s="253">
        <v>2.95</v>
      </c>
      <c r="I246" s="246"/>
      <c r="J246" s="253">
        <f t="shared" ref="J246:J251" si="28">ROUND(PRODUCT(F246:I246),2)</f>
        <v>7.67</v>
      </c>
      <c r="K246" s="137"/>
      <c r="L246" s="137"/>
      <c r="M246" s="137"/>
      <c r="N246" s="138"/>
      <c r="O246" s="167"/>
      <c r="P246" s="111"/>
      <c r="Q246" s="111"/>
      <c r="R246" s="111"/>
      <c r="S246" s="111"/>
      <c r="T246" s="111"/>
      <c r="U246" s="111"/>
      <c r="V246" s="111"/>
      <c r="W246" s="111"/>
      <c r="X246" s="111"/>
      <c r="Y246" s="111"/>
      <c r="Z246" s="111"/>
      <c r="AA246" s="111"/>
    </row>
    <row r="247" spans="1:28" s="118" customFormat="1" x14ac:dyDescent="0.2">
      <c r="A247" s="6"/>
      <c r="B247" s="6"/>
      <c r="C247" s="155"/>
      <c r="D247" s="2" t="s">
        <v>396</v>
      </c>
      <c r="E247" s="148"/>
      <c r="F247" s="253"/>
      <c r="G247" s="253">
        <v>5.25</v>
      </c>
      <c r="H247" s="253">
        <v>6.45</v>
      </c>
      <c r="I247" s="246"/>
      <c r="J247" s="253">
        <f t="shared" si="28"/>
        <v>33.86</v>
      </c>
      <c r="K247" s="137"/>
      <c r="L247" s="137"/>
      <c r="M247" s="137"/>
      <c r="N247" s="138"/>
      <c r="O247" s="167"/>
      <c r="P247" s="111"/>
      <c r="Q247" s="111"/>
      <c r="R247" s="111"/>
      <c r="S247" s="111"/>
      <c r="T247" s="111"/>
      <c r="U247" s="111"/>
      <c r="V247" s="111"/>
      <c r="W247" s="111"/>
      <c r="X247" s="111"/>
      <c r="Y247" s="111"/>
      <c r="Z247" s="111"/>
      <c r="AA247" s="111"/>
    </row>
    <row r="248" spans="1:28" s="118" customFormat="1" x14ac:dyDescent="0.2">
      <c r="A248" s="6"/>
      <c r="B248" s="6"/>
      <c r="C248" s="155"/>
      <c r="D248" s="2" t="s">
        <v>397</v>
      </c>
      <c r="E248" s="148"/>
      <c r="F248" s="253"/>
      <c r="G248" s="253">
        <v>10</v>
      </c>
      <c r="H248" s="253">
        <v>6</v>
      </c>
      <c r="I248" s="246"/>
      <c r="J248" s="253">
        <f t="shared" si="28"/>
        <v>60</v>
      </c>
      <c r="K248" s="137"/>
      <c r="L248" s="137"/>
      <c r="M248" s="137"/>
      <c r="N248" s="138"/>
      <c r="O248" s="167"/>
      <c r="P248" s="111"/>
      <c r="Q248" s="111"/>
      <c r="R248" s="111"/>
      <c r="S248" s="111"/>
      <c r="T248" s="111"/>
      <c r="U248" s="111"/>
      <c r="V248" s="111"/>
      <c r="W248" s="111"/>
      <c r="X248" s="111"/>
      <c r="Y248" s="111"/>
      <c r="Z248" s="111"/>
      <c r="AA248" s="111"/>
    </row>
    <row r="249" spans="1:28" s="118" customFormat="1" x14ac:dyDescent="0.2">
      <c r="A249" s="6"/>
      <c r="B249" s="6"/>
      <c r="C249" s="155"/>
      <c r="D249" s="2" t="s">
        <v>398</v>
      </c>
      <c r="E249" s="148"/>
      <c r="F249" s="253"/>
      <c r="G249" s="253">
        <v>10</v>
      </c>
      <c r="H249" s="253">
        <v>6</v>
      </c>
      <c r="I249" s="246"/>
      <c r="J249" s="253">
        <f t="shared" si="28"/>
        <v>60</v>
      </c>
      <c r="K249" s="137"/>
      <c r="L249" s="137"/>
      <c r="M249" s="137"/>
      <c r="N249" s="138"/>
      <c r="O249" s="167"/>
      <c r="P249" s="111"/>
      <c r="Q249" s="111"/>
      <c r="R249" s="111"/>
      <c r="S249" s="111"/>
      <c r="T249" s="111"/>
      <c r="U249" s="111"/>
      <c r="V249" s="111"/>
      <c r="W249" s="111"/>
      <c r="X249" s="111"/>
      <c r="Y249" s="111"/>
      <c r="Z249" s="111"/>
      <c r="AA249" s="111"/>
    </row>
    <row r="250" spans="1:28" s="118" customFormat="1" x14ac:dyDescent="0.2">
      <c r="A250" s="6"/>
      <c r="B250" s="6"/>
      <c r="C250" s="155"/>
      <c r="D250" s="2" t="s">
        <v>399</v>
      </c>
      <c r="E250" s="148"/>
      <c r="F250" s="253"/>
      <c r="G250" s="253">
        <v>9.8000000000000007</v>
      </c>
      <c r="H250" s="253">
        <v>5.9</v>
      </c>
      <c r="I250" s="246"/>
      <c r="J250" s="253">
        <f t="shared" si="28"/>
        <v>57.82</v>
      </c>
      <c r="K250" s="137"/>
      <c r="L250" s="137"/>
      <c r="M250" s="137"/>
      <c r="N250" s="138"/>
      <c r="O250" s="167"/>
      <c r="P250" s="111"/>
      <c r="Q250" s="111"/>
      <c r="R250" s="111"/>
      <c r="S250" s="111"/>
      <c r="T250" s="111"/>
      <c r="U250" s="111"/>
      <c r="V250" s="111"/>
      <c r="W250" s="111"/>
      <c r="X250" s="111"/>
      <c r="Y250" s="111"/>
      <c r="Z250" s="111"/>
      <c r="AA250" s="111"/>
    </row>
    <row r="251" spans="1:28" s="118" customFormat="1" x14ac:dyDescent="0.2">
      <c r="A251" s="6"/>
      <c r="B251" s="6"/>
      <c r="C251" s="155"/>
      <c r="D251" s="2" t="s">
        <v>402</v>
      </c>
      <c r="E251" s="148"/>
      <c r="F251" s="253"/>
      <c r="G251" s="253">
        <v>5.25</v>
      </c>
      <c r="H251" s="253">
        <v>3.65</v>
      </c>
      <c r="I251" s="246"/>
      <c r="J251" s="253">
        <f t="shared" si="28"/>
        <v>19.16</v>
      </c>
      <c r="K251" s="137"/>
      <c r="L251" s="137"/>
      <c r="M251" s="137"/>
      <c r="N251" s="138"/>
      <c r="O251" s="167"/>
      <c r="P251" s="111"/>
      <c r="Q251" s="111"/>
      <c r="R251" s="111"/>
      <c r="S251" s="111"/>
      <c r="T251" s="111"/>
      <c r="U251" s="111"/>
      <c r="V251" s="111"/>
      <c r="W251" s="111"/>
      <c r="X251" s="111"/>
      <c r="Y251" s="111"/>
      <c r="Z251" s="111"/>
      <c r="AA251" s="111"/>
    </row>
    <row r="252" spans="1:28" s="118" customFormat="1" x14ac:dyDescent="0.2">
      <c r="A252" s="6"/>
      <c r="B252" s="6"/>
      <c r="C252" s="156"/>
      <c r="D252" s="108"/>
      <c r="E252" s="148"/>
      <c r="F252" s="253"/>
      <c r="G252" s="253"/>
      <c r="H252" s="253"/>
      <c r="I252" s="246" t="str">
        <f>"Total item "&amp;A245</f>
        <v>Total item 4.2.1</v>
      </c>
      <c r="J252" s="261">
        <f>SUM(J246:J251)</f>
        <v>238.51</v>
      </c>
      <c r="K252" s="137"/>
      <c r="L252" s="137"/>
      <c r="M252" s="137"/>
      <c r="N252" s="138"/>
      <c r="O252" s="167"/>
      <c r="P252" s="111"/>
      <c r="Q252" s="111"/>
      <c r="R252" s="111"/>
      <c r="S252" s="111"/>
      <c r="T252" s="111"/>
      <c r="U252" s="111"/>
      <c r="V252" s="111"/>
      <c r="W252" s="111"/>
      <c r="X252" s="111"/>
      <c r="Y252" s="111"/>
      <c r="Z252" s="111"/>
      <c r="AA252" s="111"/>
    </row>
    <row r="253" spans="1:28" s="118" customFormat="1" x14ac:dyDescent="0.2">
      <c r="A253" s="6"/>
      <c r="B253" s="6"/>
      <c r="C253" s="14"/>
      <c r="D253" s="108"/>
      <c r="E253" s="148"/>
      <c r="F253" s="253"/>
      <c r="G253" s="253"/>
      <c r="H253" s="253"/>
      <c r="I253" s="246"/>
      <c r="J253" s="262"/>
      <c r="K253" s="137"/>
      <c r="L253" s="137"/>
      <c r="M253" s="137"/>
      <c r="N253" s="138"/>
      <c r="O253" s="167"/>
      <c r="P253" s="111"/>
      <c r="Q253" s="111"/>
      <c r="R253" s="111"/>
      <c r="S253" s="111"/>
      <c r="T253" s="111"/>
      <c r="U253" s="111"/>
      <c r="V253" s="111"/>
      <c r="W253" s="111"/>
      <c r="X253" s="111"/>
      <c r="Y253" s="111"/>
      <c r="Z253" s="111"/>
      <c r="AA253" s="111"/>
    </row>
    <row r="254" spans="1:28" s="147" customFormat="1" ht="10.5" customHeight="1" x14ac:dyDescent="0.2">
      <c r="A254" s="9" t="s">
        <v>596</v>
      </c>
      <c r="B254" s="9" t="s">
        <v>89</v>
      </c>
      <c r="C254" s="13" t="s">
        <v>316</v>
      </c>
      <c r="D254" s="109" t="s">
        <v>317</v>
      </c>
      <c r="E254" s="9" t="s">
        <v>9</v>
      </c>
      <c r="F254" s="261"/>
      <c r="G254" s="261"/>
      <c r="H254" s="261"/>
      <c r="I254" s="245"/>
      <c r="J254" s="261"/>
      <c r="K254" s="131">
        <f>J257</f>
        <v>315.74</v>
      </c>
      <c r="L254" s="131">
        <f>'COMPOSICOES - SINAPI COM DESON'!G18</f>
        <v>5.79</v>
      </c>
      <c r="M254" s="131">
        <f>ROUND(L254*(1+$Q$7),2)</f>
        <v>7.33</v>
      </c>
      <c r="N254" s="133">
        <f>TRUNC(K254*M254,2)</f>
        <v>2314.37</v>
      </c>
      <c r="O254" s="286"/>
      <c r="P254" s="146"/>
      <c r="Q254" s="120"/>
      <c r="R254" s="146"/>
      <c r="S254" s="146"/>
      <c r="T254" s="146"/>
      <c r="U254" s="146"/>
      <c r="V254" s="146"/>
      <c r="W254" s="146"/>
      <c r="X254" s="146"/>
      <c r="Y254" s="146"/>
      <c r="Z254" s="146"/>
      <c r="AA254" s="146"/>
      <c r="AB254" s="146"/>
    </row>
    <row r="255" spans="1:28" s="118" customFormat="1" x14ac:dyDescent="0.2">
      <c r="A255" s="6"/>
      <c r="B255" s="6"/>
      <c r="C255" s="155"/>
      <c r="D255" s="2"/>
      <c r="E255" s="148"/>
      <c r="F255" s="268">
        <v>0.8</v>
      </c>
      <c r="G255" s="253">
        <v>15.25</v>
      </c>
      <c r="H255" s="253">
        <v>18.399999999999999</v>
      </c>
      <c r="I255" s="246"/>
      <c r="J255" s="253">
        <f t="shared" ref="J255:J256" si="29">ROUND(PRODUCT(F255:I255),2)</f>
        <v>224.48</v>
      </c>
      <c r="K255" s="137"/>
      <c r="L255" s="137"/>
      <c r="M255" s="137"/>
      <c r="N255" s="138"/>
      <c r="O255" s="167"/>
      <c r="P255" s="111"/>
      <c r="Q255" s="120"/>
      <c r="R255" s="111"/>
      <c r="S255" s="111"/>
      <c r="T255" s="111"/>
      <c r="U255" s="111"/>
      <c r="V255" s="111"/>
      <c r="W255" s="111"/>
      <c r="X255" s="111"/>
      <c r="Y255" s="111"/>
      <c r="Z255" s="111"/>
      <c r="AA255" s="111"/>
      <c r="AB255" s="111"/>
    </row>
    <row r="256" spans="1:28" s="118" customFormat="1" x14ac:dyDescent="0.2">
      <c r="A256" s="6"/>
      <c r="B256" s="6"/>
      <c r="C256" s="155"/>
      <c r="D256" s="2"/>
      <c r="E256" s="148"/>
      <c r="F256" s="268">
        <v>0.8</v>
      </c>
      <c r="G256" s="253">
        <v>6.2</v>
      </c>
      <c r="H256" s="253">
        <v>18.399999999999999</v>
      </c>
      <c r="I256" s="246"/>
      <c r="J256" s="253">
        <f t="shared" si="29"/>
        <v>91.26</v>
      </c>
      <c r="K256" s="137"/>
      <c r="L256" s="137"/>
      <c r="M256" s="137"/>
      <c r="N256" s="138"/>
      <c r="O256" s="167"/>
      <c r="P256" s="111"/>
      <c r="Q256" s="120"/>
      <c r="R256" s="111"/>
      <c r="S256" s="111"/>
      <c r="T256" s="111"/>
      <c r="U256" s="111"/>
      <c r="V256" s="111"/>
      <c r="W256" s="111"/>
      <c r="X256" s="111"/>
      <c r="Y256" s="111"/>
      <c r="Z256" s="111"/>
      <c r="AA256" s="111"/>
      <c r="AB256" s="111"/>
    </row>
    <row r="257" spans="1:28" s="118" customFormat="1" x14ac:dyDescent="0.2">
      <c r="A257" s="6"/>
      <c r="B257" s="6"/>
      <c r="C257" s="156"/>
      <c r="D257" s="108"/>
      <c r="E257" s="148"/>
      <c r="F257" s="253"/>
      <c r="G257" s="253"/>
      <c r="H257" s="253"/>
      <c r="I257" s="246" t="str">
        <f>"Total item "&amp;A254</f>
        <v>Total item 4.2.2</v>
      </c>
      <c r="J257" s="261">
        <f>SUM(J255:J256)</f>
        <v>315.74</v>
      </c>
      <c r="K257" s="137"/>
      <c r="L257" s="137"/>
      <c r="M257" s="137"/>
      <c r="N257" s="138"/>
      <c r="O257" s="167"/>
      <c r="P257" s="111"/>
      <c r="Q257" s="120"/>
      <c r="R257" s="111"/>
      <c r="S257" s="111"/>
      <c r="T257" s="111"/>
      <c r="U257" s="111"/>
      <c r="V257" s="111"/>
      <c r="W257" s="111"/>
      <c r="X257" s="111"/>
      <c r="Y257" s="111"/>
      <c r="Z257" s="111"/>
      <c r="AA257" s="111"/>
      <c r="AB257" s="111"/>
    </row>
    <row r="258" spans="1:28" s="154" customFormat="1" x14ac:dyDescent="0.2">
      <c r="A258" s="10"/>
      <c r="B258" s="10"/>
      <c r="C258" s="7"/>
      <c r="D258" s="117"/>
      <c r="E258" s="10"/>
      <c r="F258" s="263"/>
      <c r="G258" s="263"/>
      <c r="H258" s="263"/>
      <c r="I258" s="250"/>
      <c r="J258" s="263"/>
      <c r="K258" s="151"/>
      <c r="L258" s="151"/>
      <c r="M258" s="151"/>
      <c r="N258" s="152"/>
      <c r="O258" s="283"/>
      <c r="P258" s="153"/>
      <c r="Q258" s="153"/>
      <c r="R258" s="153"/>
      <c r="S258" s="153"/>
      <c r="T258" s="153"/>
      <c r="U258" s="153"/>
      <c r="V258" s="153"/>
      <c r="W258" s="153"/>
      <c r="X258" s="153"/>
      <c r="Y258" s="153"/>
      <c r="Z258" s="153"/>
      <c r="AA258" s="153"/>
    </row>
    <row r="259" spans="1:28" s="147" customFormat="1" ht="20.399999999999999" x14ac:dyDescent="0.2">
      <c r="A259" s="9" t="s">
        <v>597</v>
      </c>
      <c r="B259" s="9" t="s">
        <v>89</v>
      </c>
      <c r="C259" s="13" t="s">
        <v>710</v>
      </c>
      <c r="D259" s="109" t="str">
        <f>'COMPOSICOES - SINAPI COM DESON'!D54:G54</f>
        <v>SUBSTITUICAO DE RIPAS EM MADEIRAMENTO DE TELHADO, INCLUSIVE FORNECIMENTO DO MATERIAL</v>
      </c>
      <c r="E259" s="9" t="s">
        <v>43</v>
      </c>
      <c r="F259" s="261"/>
      <c r="G259" s="261"/>
      <c r="H259" s="261"/>
      <c r="I259" s="245"/>
      <c r="J259" s="261"/>
      <c r="K259" s="131">
        <f>J262</f>
        <v>500</v>
      </c>
      <c r="L259" s="131">
        <f>'COMPOSICOES - SINAPI COM DESON'!G62</f>
        <v>3.61</v>
      </c>
      <c r="M259" s="131">
        <f>ROUND(L259*(1+$Q$7),2)</f>
        <v>4.57</v>
      </c>
      <c r="N259" s="133">
        <f>TRUNC(K259*M259,2)</f>
        <v>2285</v>
      </c>
      <c r="O259" s="286"/>
      <c r="P259" s="146"/>
      <c r="Q259" s="120"/>
      <c r="R259" s="146"/>
      <c r="S259" s="146"/>
      <c r="T259" s="146"/>
      <c r="U259" s="146"/>
      <c r="V259" s="146"/>
      <c r="W259" s="146"/>
      <c r="X259" s="146"/>
      <c r="Y259" s="146"/>
      <c r="Z259" s="146"/>
      <c r="AA259" s="146"/>
      <c r="AB259" s="146"/>
    </row>
    <row r="260" spans="1:28" s="118" customFormat="1" x14ac:dyDescent="0.2">
      <c r="A260" s="6"/>
      <c r="B260" s="6"/>
      <c r="C260" s="155"/>
      <c r="D260" s="2"/>
      <c r="E260" s="148"/>
      <c r="F260" s="268"/>
      <c r="G260" s="253" t="s">
        <v>713</v>
      </c>
      <c r="H260" s="253"/>
      <c r="I260" s="246"/>
      <c r="J260" s="253"/>
      <c r="K260" s="137"/>
      <c r="L260" s="137"/>
      <c r="M260" s="137"/>
      <c r="N260" s="138"/>
      <c r="O260" s="167"/>
      <c r="P260" s="111"/>
      <c r="Q260" s="120"/>
      <c r="R260" s="111"/>
      <c r="S260" s="111"/>
      <c r="T260" s="111"/>
      <c r="U260" s="111"/>
      <c r="V260" s="111"/>
      <c r="W260" s="111"/>
      <c r="X260" s="111"/>
      <c r="Y260" s="111"/>
      <c r="Z260" s="111"/>
      <c r="AA260" s="111"/>
      <c r="AB260" s="111"/>
    </row>
    <row r="261" spans="1:28" s="118" customFormat="1" x14ac:dyDescent="0.2">
      <c r="A261" s="6"/>
      <c r="B261" s="6"/>
      <c r="C261" s="155"/>
      <c r="D261" s="2"/>
      <c r="E261" s="148"/>
      <c r="F261" s="268"/>
      <c r="G261" s="253">
        <v>500</v>
      </c>
      <c r="H261" s="253"/>
      <c r="I261" s="246"/>
      <c r="J261" s="253">
        <f t="shared" ref="J261" si="30">ROUND(PRODUCT(F261:I261),2)</f>
        <v>500</v>
      </c>
      <c r="K261" s="137"/>
      <c r="L261" s="137"/>
      <c r="M261" s="137"/>
      <c r="N261" s="138"/>
      <c r="O261" s="167"/>
      <c r="P261" s="111"/>
      <c r="Q261" s="120"/>
      <c r="R261" s="111"/>
      <c r="S261" s="111"/>
      <c r="T261" s="111"/>
      <c r="U261" s="111"/>
      <c r="V261" s="111"/>
      <c r="W261" s="111"/>
      <c r="X261" s="111"/>
      <c r="Y261" s="111"/>
      <c r="Z261" s="111"/>
      <c r="AA261" s="111"/>
      <c r="AB261" s="111"/>
    </row>
    <row r="262" spans="1:28" s="118" customFormat="1" x14ac:dyDescent="0.2">
      <c r="A262" s="6"/>
      <c r="B262" s="6"/>
      <c r="C262" s="156"/>
      <c r="D262" s="108"/>
      <c r="E262" s="148"/>
      <c r="F262" s="253"/>
      <c r="G262" s="253"/>
      <c r="H262" s="253"/>
      <c r="I262" s="246" t="str">
        <f>"Total item "&amp;A259</f>
        <v>Total item 4.2.3</v>
      </c>
      <c r="J262" s="261">
        <f>SUM(J260:J261)</f>
        <v>500</v>
      </c>
      <c r="K262" s="137"/>
      <c r="L262" s="137"/>
      <c r="M262" s="137"/>
      <c r="N262" s="138"/>
      <c r="O262" s="167"/>
      <c r="P262" s="111"/>
      <c r="Q262" s="120"/>
      <c r="R262" s="111"/>
      <c r="S262" s="111"/>
      <c r="T262" s="111"/>
      <c r="U262" s="111"/>
      <c r="V262" s="111"/>
      <c r="W262" s="111"/>
      <c r="X262" s="111"/>
      <c r="Y262" s="111"/>
      <c r="Z262" s="111"/>
      <c r="AA262" s="111"/>
      <c r="AB262" s="111"/>
    </row>
    <row r="263" spans="1:28" s="154" customFormat="1" x14ac:dyDescent="0.2">
      <c r="A263" s="10"/>
      <c r="B263" s="10"/>
      <c r="C263" s="7"/>
      <c r="D263" s="117"/>
      <c r="E263" s="10"/>
      <c r="F263" s="263"/>
      <c r="G263" s="263"/>
      <c r="H263" s="263"/>
      <c r="I263" s="250"/>
      <c r="J263" s="263"/>
      <c r="K263" s="151"/>
      <c r="L263" s="151"/>
      <c r="M263" s="151"/>
      <c r="N263" s="152"/>
      <c r="O263" s="28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  <c r="Z263" s="153"/>
      <c r="AA263" s="153"/>
    </row>
    <row r="264" spans="1:28" s="147" customFormat="1" ht="20.399999999999999" x14ac:dyDescent="0.2">
      <c r="A264" s="9" t="s">
        <v>698</v>
      </c>
      <c r="B264" s="9" t="s">
        <v>89</v>
      </c>
      <c r="C264" s="13" t="s">
        <v>715</v>
      </c>
      <c r="D264" s="109" t="str">
        <f>'COMPOSICOES - SINAPI COM DESON'!D66:G66</f>
        <v>SUBSTITUICAO DE CAIBROS EM MADEIRAMENTO DE TELHADO, INCLUSIVE FORNECIMENTO DO MATERIAL</v>
      </c>
      <c r="E264" s="9" t="s">
        <v>43</v>
      </c>
      <c r="F264" s="261"/>
      <c r="G264" s="261"/>
      <c r="H264" s="261"/>
      <c r="I264" s="245"/>
      <c r="J264" s="261"/>
      <c r="K264" s="131">
        <f>J267</f>
        <v>200</v>
      </c>
      <c r="L264" s="131">
        <f>'COMPOSICOES - SINAPI COM DESON'!G75</f>
        <v>14.06</v>
      </c>
      <c r="M264" s="131">
        <f>ROUND(L264*(1+$Q$7),2)</f>
        <v>17.79</v>
      </c>
      <c r="N264" s="133">
        <f>TRUNC(K264*M264,2)</f>
        <v>3558</v>
      </c>
      <c r="O264" s="286"/>
      <c r="P264" s="146"/>
      <c r="Q264" s="120"/>
      <c r="R264" s="146"/>
      <c r="S264" s="146"/>
      <c r="T264" s="146"/>
      <c r="U264" s="146"/>
      <c r="V264" s="146"/>
      <c r="W264" s="146"/>
      <c r="X264" s="146"/>
      <c r="Y264" s="146"/>
      <c r="Z264" s="146"/>
      <c r="AA264" s="146"/>
      <c r="AB264" s="146"/>
    </row>
    <row r="265" spans="1:28" s="118" customFormat="1" x14ac:dyDescent="0.2">
      <c r="A265" s="6"/>
      <c r="B265" s="6"/>
      <c r="C265" s="155"/>
      <c r="D265" s="2"/>
      <c r="E265" s="148"/>
      <c r="F265" s="268"/>
      <c r="G265" s="253" t="s">
        <v>716</v>
      </c>
      <c r="H265" s="253"/>
      <c r="I265" s="246"/>
      <c r="J265" s="253"/>
      <c r="K265" s="137"/>
      <c r="L265" s="137"/>
      <c r="M265" s="137"/>
      <c r="N265" s="138"/>
      <c r="O265" s="167"/>
      <c r="P265" s="111"/>
      <c r="Q265" s="120"/>
      <c r="R265" s="111"/>
      <c r="S265" s="111"/>
      <c r="T265" s="111"/>
      <c r="U265" s="111"/>
      <c r="V265" s="111"/>
      <c r="W265" s="111"/>
      <c r="X265" s="111"/>
      <c r="Y265" s="111"/>
      <c r="Z265" s="111"/>
      <c r="AA265" s="111"/>
      <c r="AB265" s="111"/>
    </row>
    <row r="266" spans="1:28" s="118" customFormat="1" x14ac:dyDescent="0.2">
      <c r="A266" s="6"/>
      <c r="B266" s="6"/>
      <c r="C266" s="155"/>
      <c r="D266" s="2"/>
      <c r="E266" s="148"/>
      <c r="F266" s="268"/>
      <c r="G266" s="253">
        <v>200</v>
      </c>
      <c r="H266" s="253"/>
      <c r="I266" s="246"/>
      <c r="J266" s="253">
        <f t="shared" ref="J266" si="31">ROUND(PRODUCT(F266:I266),2)</f>
        <v>200</v>
      </c>
      <c r="K266" s="137"/>
      <c r="L266" s="137"/>
      <c r="M266" s="137"/>
      <c r="N266" s="138"/>
      <c r="O266" s="167"/>
      <c r="P266" s="111"/>
      <c r="Q266" s="120"/>
      <c r="R266" s="111"/>
      <c r="S266" s="111"/>
      <c r="T266" s="111"/>
      <c r="U266" s="111"/>
      <c r="V266" s="111"/>
      <c r="W266" s="111"/>
      <c r="X266" s="111"/>
      <c r="Y266" s="111"/>
      <c r="Z266" s="111"/>
      <c r="AA266" s="111"/>
      <c r="AB266" s="111"/>
    </row>
    <row r="267" spans="1:28" s="118" customFormat="1" x14ac:dyDescent="0.2">
      <c r="A267" s="6"/>
      <c r="B267" s="6"/>
      <c r="C267" s="156"/>
      <c r="D267" s="108"/>
      <c r="E267" s="148"/>
      <c r="F267" s="253"/>
      <c r="G267" s="253"/>
      <c r="H267" s="253"/>
      <c r="I267" s="246" t="str">
        <f>"Total item "&amp;A264</f>
        <v>Total item 4.2.4</v>
      </c>
      <c r="J267" s="261">
        <f>SUM(J265:J266)</f>
        <v>200</v>
      </c>
      <c r="K267" s="137"/>
      <c r="L267" s="137"/>
      <c r="M267" s="137"/>
      <c r="N267" s="138"/>
      <c r="O267" s="167"/>
      <c r="P267" s="111"/>
      <c r="Q267" s="120"/>
      <c r="R267" s="111"/>
      <c r="S267" s="111"/>
      <c r="T267" s="111"/>
      <c r="U267" s="111"/>
      <c r="V267" s="111"/>
      <c r="W267" s="111"/>
      <c r="X267" s="111"/>
      <c r="Y267" s="111"/>
      <c r="Z267" s="111"/>
      <c r="AA267" s="111"/>
      <c r="AB267" s="111"/>
    </row>
    <row r="268" spans="1:28" s="154" customFormat="1" x14ac:dyDescent="0.2">
      <c r="A268" s="10"/>
      <c r="B268" s="10"/>
      <c r="C268" s="7"/>
      <c r="D268" s="117"/>
      <c r="E268" s="10"/>
      <c r="F268" s="263"/>
      <c r="G268" s="263"/>
      <c r="H268" s="263"/>
      <c r="I268" s="250"/>
      <c r="J268" s="263"/>
      <c r="K268" s="151"/>
      <c r="L268" s="151"/>
      <c r="M268" s="151"/>
      <c r="N268" s="152"/>
      <c r="O268" s="283"/>
      <c r="P268" s="153"/>
      <c r="Q268" s="153"/>
      <c r="R268" s="153"/>
      <c r="S268" s="153"/>
      <c r="T268" s="153"/>
      <c r="U268" s="153"/>
      <c r="V268" s="153"/>
      <c r="W268" s="153"/>
      <c r="X268" s="153"/>
      <c r="Y268" s="153"/>
      <c r="Z268" s="153"/>
      <c r="AA268" s="153"/>
    </row>
    <row r="269" spans="1:28" s="147" customFormat="1" ht="30.6" x14ac:dyDescent="0.2">
      <c r="A269" s="9" t="s">
        <v>744</v>
      </c>
      <c r="B269" s="9" t="s">
        <v>89</v>
      </c>
      <c r="C269" s="13" t="s">
        <v>717</v>
      </c>
      <c r="D269" s="109" t="str">
        <f>'COMPOSICOES - SINAPI COM DESON'!D79:G79</f>
        <v xml:space="preserve">SUBSTITUICAO DE VIGA DE MADEIRA DE LEI EM TELHADO, 6X20CM, MACARANDUBA, ANGELIM OU EQUIVALENTE DA REGIAO, INCLUSIVE FORNECIMENTO DO MATERIAL  </v>
      </c>
      <c r="E269" s="9" t="s">
        <v>43</v>
      </c>
      <c r="F269" s="261"/>
      <c r="G269" s="261"/>
      <c r="H269" s="261"/>
      <c r="I269" s="245"/>
      <c r="J269" s="261"/>
      <c r="K269" s="131">
        <f>J272</f>
        <v>100</v>
      </c>
      <c r="L269" s="131">
        <f>'COMPOSICOES - SINAPI COM DESON'!G80</f>
        <v>36.959299999999999</v>
      </c>
      <c r="M269" s="131">
        <f>ROUND(L269*(1+$Q$7),2)</f>
        <v>46.76</v>
      </c>
      <c r="N269" s="133">
        <f>TRUNC(K269*M269,2)</f>
        <v>4676</v>
      </c>
      <c r="O269" s="286"/>
      <c r="P269" s="146"/>
      <c r="Q269" s="120"/>
      <c r="R269" s="146"/>
      <c r="S269" s="146"/>
      <c r="T269" s="146"/>
      <c r="U269" s="146"/>
      <c r="V269" s="146"/>
      <c r="W269" s="146"/>
      <c r="X269" s="146"/>
      <c r="Y269" s="146"/>
      <c r="Z269" s="146"/>
      <c r="AA269" s="146"/>
      <c r="AB269" s="146"/>
    </row>
    <row r="270" spans="1:28" s="118" customFormat="1" x14ac:dyDescent="0.2">
      <c r="A270" s="6"/>
      <c r="B270" s="6"/>
      <c r="C270" s="155"/>
      <c r="D270" s="2"/>
      <c r="E270" s="148"/>
      <c r="F270" s="268"/>
      <c r="G270" s="253" t="s">
        <v>718</v>
      </c>
      <c r="H270" s="253"/>
      <c r="I270" s="246"/>
      <c r="J270" s="253"/>
      <c r="K270" s="137"/>
      <c r="L270" s="137"/>
      <c r="M270" s="137"/>
      <c r="N270" s="138"/>
      <c r="O270" s="167"/>
      <c r="P270" s="111"/>
      <c r="Q270" s="120"/>
      <c r="R270" s="111"/>
      <c r="S270" s="111"/>
      <c r="T270" s="111"/>
      <c r="U270" s="111"/>
      <c r="V270" s="111"/>
      <c r="W270" s="111"/>
      <c r="X270" s="111"/>
      <c r="Y270" s="111"/>
      <c r="Z270" s="111"/>
      <c r="AA270" s="111"/>
      <c r="AB270" s="111"/>
    </row>
    <row r="271" spans="1:28" s="118" customFormat="1" x14ac:dyDescent="0.2">
      <c r="A271" s="6"/>
      <c r="B271" s="6"/>
      <c r="C271" s="155"/>
      <c r="D271" s="2"/>
      <c r="E271" s="148"/>
      <c r="F271" s="268"/>
      <c r="G271" s="253">
        <v>100</v>
      </c>
      <c r="H271" s="253"/>
      <c r="I271" s="246"/>
      <c r="J271" s="253">
        <f t="shared" ref="J271" si="32">ROUND(PRODUCT(F271:I271),2)</f>
        <v>100</v>
      </c>
      <c r="K271" s="137"/>
      <c r="L271" s="137"/>
      <c r="M271" s="137"/>
      <c r="N271" s="138"/>
      <c r="O271" s="167"/>
      <c r="P271" s="111"/>
      <c r="Q271" s="120"/>
      <c r="R271" s="111"/>
      <c r="S271" s="111"/>
      <c r="T271" s="111"/>
      <c r="U271" s="111"/>
      <c r="V271" s="111"/>
      <c r="W271" s="111"/>
      <c r="X271" s="111"/>
      <c r="Y271" s="111"/>
      <c r="Z271" s="111"/>
      <c r="AA271" s="111"/>
      <c r="AB271" s="111"/>
    </row>
    <row r="272" spans="1:28" s="118" customFormat="1" x14ac:dyDescent="0.2">
      <c r="A272" s="6"/>
      <c r="B272" s="6"/>
      <c r="C272" s="156"/>
      <c r="D272" s="108"/>
      <c r="E272" s="148"/>
      <c r="F272" s="253"/>
      <c r="G272" s="253"/>
      <c r="H272" s="253"/>
      <c r="I272" s="246" t="str">
        <f>"Total item "&amp;A269</f>
        <v>Total item 4.2.5</v>
      </c>
      <c r="J272" s="261">
        <f>SUM(J270:J271)</f>
        <v>100</v>
      </c>
      <c r="K272" s="137"/>
      <c r="L272" s="137"/>
      <c r="M272" s="137"/>
      <c r="N272" s="138"/>
      <c r="O272" s="167"/>
      <c r="P272" s="111"/>
      <c r="Q272" s="120"/>
      <c r="R272" s="111"/>
      <c r="S272" s="111"/>
      <c r="T272" s="111"/>
      <c r="U272" s="111"/>
      <c r="V272" s="111"/>
      <c r="W272" s="111"/>
      <c r="X272" s="111"/>
      <c r="Y272" s="111"/>
      <c r="Z272" s="111"/>
      <c r="AA272" s="111"/>
      <c r="AB272" s="111"/>
    </row>
    <row r="273" spans="1:27" s="154" customFormat="1" x14ac:dyDescent="0.2">
      <c r="A273" s="10"/>
      <c r="B273" s="10"/>
      <c r="C273" s="15"/>
      <c r="D273" s="117"/>
      <c r="E273" s="10"/>
      <c r="F273" s="263"/>
      <c r="G273" s="263"/>
      <c r="H273" s="263"/>
      <c r="I273" s="250"/>
      <c r="J273" s="263"/>
      <c r="K273" s="151"/>
      <c r="L273" s="151"/>
      <c r="M273" s="151"/>
      <c r="N273" s="152"/>
      <c r="O273" s="283"/>
      <c r="P273" s="153"/>
      <c r="Q273" s="153"/>
      <c r="R273" s="153"/>
      <c r="S273" s="153"/>
      <c r="T273" s="153"/>
      <c r="U273" s="153"/>
      <c r="V273" s="153"/>
      <c r="W273" s="153"/>
      <c r="X273" s="153"/>
      <c r="Y273" s="153"/>
      <c r="Z273" s="153"/>
      <c r="AA273" s="153"/>
    </row>
    <row r="274" spans="1:27" s="147" customFormat="1" ht="30.6" x14ac:dyDescent="0.2">
      <c r="A274" s="9" t="s">
        <v>745</v>
      </c>
      <c r="B274" s="9" t="s">
        <v>89</v>
      </c>
      <c r="C274" s="13">
        <v>94201</v>
      </c>
      <c r="D274" s="109" t="s">
        <v>426</v>
      </c>
      <c r="E274" s="9" t="s">
        <v>9</v>
      </c>
      <c r="F274" s="261"/>
      <c r="G274" s="261"/>
      <c r="H274" s="261"/>
      <c r="I274" s="245"/>
      <c r="J274" s="261"/>
      <c r="K274" s="131">
        <f>J277</f>
        <v>78.94</v>
      </c>
      <c r="L274" s="131">
        <v>35.01</v>
      </c>
      <c r="M274" s="131">
        <f>ROUND(L274*(1+$Q$7),2)</f>
        <v>44.3</v>
      </c>
      <c r="N274" s="133">
        <f>TRUNC(K274*M274,2)</f>
        <v>3497.04</v>
      </c>
      <c r="O274" s="286"/>
      <c r="P274" s="146"/>
      <c r="Q274" s="146"/>
      <c r="R274" s="146"/>
      <c r="S274" s="146"/>
      <c r="T274" s="146"/>
      <c r="U274" s="146"/>
      <c r="V274" s="146"/>
      <c r="W274" s="146"/>
      <c r="X274" s="146"/>
      <c r="Y274" s="146"/>
      <c r="Z274" s="146"/>
      <c r="AA274" s="146"/>
    </row>
    <row r="275" spans="1:27" s="118" customFormat="1" x14ac:dyDescent="0.2">
      <c r="A275" s="6"/>
      <c r="B275" s="6"/>
      <c r="C275" s="7"/>
      <c r="D275" s="2" t="s">
        <v>420</v>
      </c>
      <c r="E275" s="148"/>
      <c r="F275" s="268">
        <v>0.2</v>
      </c>
      <c r="G275" s="253">
        <v>15.25</v>
      </c>
      <c r="H275" s="253">
        <v>18.399999999999999</v>
      </c>
      <c r="I275" s="249"/>
      <c r="J275" s="253">
        <f>ROUND(PRODUCT(F275:I275),2)</f>
        <v>56.12</v>
      </c>
      <c r="K275" s="137"/>
      <c r="L275" s="137"/>
      <c r="M275" s="137"/>
      <c r="N275" s="138"/>
      <c r="O275" s="167"/>
      <c r="P275" s="111"/>
      <c r="Q275" s="111"/>
      <c r="R275" s="111"/>
      <c r="S275" s="111"/>
      <c r="T275" s="111"/>
      <c r="U275" s="111"/>
      <c r="V275" s="111"/>
      <c r="W275" s="111"/>
      <c r="X275" s="111"/>
      <c r="Y275" s="111"/>
      <c r="Z275" s="111"/>
      <c r="AA275" s="111"/>
    </row>
    <row r="276" spans="1:27" s="118" customFormat="1" x14ac:dyDescent="0.2">
      <c r="A276" s="6"/>
      <c r="B276" s="6"/>
      <c r="C276" s="7"/>
      <c r="D276" s="2"/>
      <c r="E276" s="148"/>
      <c r="F276" s="268">
        <v>0.2</v>
      </c>
      <c r="G276" s="253">
        <v>6.2</v>
      </c>
      <c r="H276" s="253">
        <v>18.399999999999999</v>
      </c>
      <c r="I276" s="249"/>
      <c r="J276" s="253">
        <f>ROUND(PRODUCT(F276:I276),2)</f>
        <v>22.82</v>
      </c>
      <c r="K276" s="137"/>
      <c r="L276" s="137"/>
      <c r="M276" s="137"/>
      <c r="N276" s="138"/>
      <c r="O276" s="167"/>
      <c r="P276" s="111"/>
      <c r="Q276" s="111"/>
      <c r="R276" s="111"/>
      <c r="S276" s="111"/>
      <c r="T276" s="111"/>
      <c r="U276" s="111"/>
      <c r="V276" s="111"/>
      <c r="W276" s="111"/>
      <c r="X276" s="111"/>
      <c r="Y276" s="111"/>
      <c r="Z276" s="111"/>
      <c r="AA276" s="111"/>
    </row>
    <row r="277" spans="1:27" s="118" customFormat="1" x14ac:dyDescent="0.2">
      <c r="A277" s="6"/>
      <c r="B277" s="6"/>
      <c r="C277" s="7"/>
      <c r="D277" s="149"/>
      <c r="E277" s="148"/>
      <c r="F277" s="253"/>
      <c r="G277" s="253"/>
      <c r="H277" s="253"/>
      <c r="I277" s="246" t="str">
        <f>"Total item "&amp;A274</f>
        <v>Total item 4.2.6</v>
      </c>
      <c r="J277" s="261">
        <f>SUM(J275:J276)</f>
        <v>78.94</v>
      </c>
      <c r="K277" s="137"/>
      <c r="L277" s="137"/>
      <c r="M277" s="137"/>
      <c r="N277" s="138"/>
      <c r="O277" s="167"/>
      <c r="P277" s="111"/>
      <c r="Q277" s="111"/>
      <c r="R277" s="111"/>
      <c r="S277" s="111"/>
      <c r="T277" s="111"/>
      <c r="U277" s="111"/>
      <c r="V277" s="111"/>
      <c r="W277" s="111"/>
      <c r="X277" s="111"/>
      <c r="Y277" s="111"/>
      <c r="Z277" s="111"/>
      <c r="AA277" s="111"/>
    </row>
    <row r="278" spans="1:27" s="118" customFormat="1" x14ac:dyDescent="0.2">
      <c r="A278" s="6"/>
      <c r="B278" s="6"/>
      <c r="C278" s="14"/>
      <c r="D278" s="2"/>
      <c r="E278" s="148"/>
      <c r="F278" s="253"/>
      <c r="G278" s="253"/>
      <c r="H278" s="253"/>
      <c r="I278" s="246"/>
      <c r="J278" s="262"/>
      <c r="K278" s="137"/>
      <c r="L278" s="137"/>
      <c r="M278" s="137"/>
      <c r="N278" s="138"/>
      <c r="O278" s="167"/>
      <c r="P278" s="111"/>
      <c r="Q278" s="111"/>
      <c r="R278" s="111"/>
      <c r="S278" s="111"/>
      <c r="T278" s="111"/>
      <c r="U278" s="111"/>
      <c r="V278" s="111"/>
      <c r="W278" s="111"/>
      <c r="X278" s="111"/>
      <c r="Y278" s="111"/>
      <c r="Z278" s="111"/>
      <c r="AA278" s="111"/>
    </row>
    <row r="279" spans="1:27" s="145" customFormat="1" x14ac:dyDescent="0.2">
      <c r="A279" s="140" t="s">
        <v>36</v>
      </c>
      <c r="B279" s="140"/>
      <c r="C279" s="141"/>
      <c r="D279" s="112" t="s">
        <v>211</v>
      </c>
      <c r="E279" s="140"/>
      <c r="F279" s="260"/>
      <c r="G279" s="260"/>
      <c r="H279" s="260"/>
      <c r="I279" s="248"/>
      <c r="J279" s="260"/>
      <c r="K279" s="142"/>
      <c r="L279" s="142"/>
      <c r="M279" s="142"/>
      <c r="N279" s="143">
        <f>SUM(N281:N283)</f>
        <v>1039.8</v>
      </c>
      <c r="O279" s="285"/>
      <c r="P279" s="144"/>
      <c r="Q279" s="144"/>
      <c r="R279" s="144"/>
      <c r="S279" s="144"/>
      <c r="T279" s="144"/>
      <c r="U279" s="144"/>
      <c r="V279" s="144"/>
      <c r="W279" s="144"/>
      <c r="X279" s="144"/>
      <c r="Y279" s="144"/>
      <c r="Z279" s="144"/>
      <c r="AA279" s="144"/>
    </row>
    <row r="280" spans="1:27" s="118" customFormat="1" x14ac:dyDescent="0.2">
      <c r="A280" s="6"/>
      <c r="B280" s="6"/>
      <c r="C280" s="14"/>
      <c r="D280" s="2"/>
      <c r="E280" s="148"/>
      <c r="F280" s="253"/>
      <c r="G280" s="253"/>
      <c r="H280" s="253"/>
      <c r="I280" s="246"/>
      <c r="J280" s="262"/>
      <c r="K280" s="137"/>
      <c r="L280" s="137"/>
      <c r="M280" s="137"/>
      <c r="N280" s="138"/>
      <c r="O280" s="167"/>
      <c r="P280" s="111"/>
      <c r="Q280" s="111"/>
      <c r="R280" s="111"/>
      <c r="S280" s="111"/>
      <c r="T280" s="111"/>
      <c r="U280" s="111"/>
      <c r="V280" s="111"/>
      <c r="W280" s="111"/>
      <c r="X280" s="111"/>
      <c r="Y280" s="111"/>
      <c r="Z280" s="111"/>
      <c r="AA280" s="111"/>
    </row>
    <row r="281" spans="1:27" s="147" customFormat="1" ht="51" x14ac:dyDescent="0.2">
      <c r="A281" s="9" t="s">
        <v>598</v>
      </c>
      <c r="B281" s="9" t="s">
        <v>89</v>
      </c>
      <c r="C281" s="13">
        <v>72739</v>
      </c>
      <c r="D281" s="113" t="s">
        <v>311</v>
      </c>
      <c r="E281" s="9" t="s">
        <v>33</v>
      </c>
      <c r="F281" s="261"/>
      <c r="G281" s="261"/>
      <c r="H281" s="261"/>
      <c r="I281" s="245"/>
      <c r="J281" s="261"/>
      <c r="K281" s="131">
        <f>J283</f>
        <v>2</v>
      </c>
      <c r="L281" s="106">
        <v>410.89</v>
      </c>
      <c r="M281" s="131">
        <f>ROUND(L281*(1+$Q$7),2)</f>
        <v>519.9</v>
      </c>
      <c r="N281" s="133">
        <f>TRUNC(K281*M281,2)</f>
        <v>1039.8</v>
      </c>
      <c r="O281" s="286"/>
      <c r="P281" s="146"/>
      <c r="Q281" s="146"/>
      <c r="R281" s="146"/>
      <c r="S281" s="146"/>
      <c r="T281" s="146"/>
      <c r="U281" s="146"/>
      <c r="V281" s="146"/>
      <c r="W281" s="146"/>
      <c r="X281" s="146"/>
      <c r="Y281" s="146"/>
      <c r="Z281" s="146"/>
      <c r="AA281" s="146"/>
    </row>
    <row r="282" spans="1:27" s="118" customFormat="1" x14ac:dyDescent="0.2">
      <c r="A282" s="6"/>
      <c r="B282" s="6"/>
      <c r="C282" s="155"/>
      <c r="D282" s="2" t="s">
        <v>404</v>
      </c>
      <c r="E282" s="148"/>
      <c r="F282" s="253">
        <v>2</v>
      </c>
      <c r="G282" s="253"/>
      <c r="H282" s="253"/>
      <c r="I282" s="246"/>
      <c r="J282" s="253">
        <f t="shared" ref="J282" si="33">ROUND(PRODUCT(F282:I282),2)</f>
        <v>2</v>
      </c>
      <c r="K282" s="137"/>
      <c r="L282" s="137"/>
      <c r="M282" s="137"/>
      <c r="N282" s="138"/>
      <c r="O282" s="167"/>
      <c r="P282" s="111"/>
      <c r="Q282" s="111"/>
      <c r="R282" s="111"/>
      <c r="S282" s="111"/>
      <c r="T282" s="111"/>
      <c r="U282" s="111"/>
      <c r="V282" s="111"/>
      <c r="W282" s="111"/>
      <c r="X282" s="111"/>
      <c r="Y282" s="111"/>
      <c r="Z282" s="111"/>
      <c r="AA282" s="111"/>
    </row>
    <row r="283" spans="1:27" s="118" customFormat="1" x14ac:dyDescent="0.2">
      <c r="A283" s="6"/>
      <c r="B283" s="6"/>
      <c r="C283" s="156"/>
      <c r="D283" s="108"/>
      <c r="E283" s="148"/>
      <c r="F283" s="253"/>
      <c r="G283" s="253"/>
      <c r="H283" s="253"/>
      <c r="I283" s="246" t="str">
        <f>"Total item "&amp;A281</f>
        <v>Total item 4.3.1</v>
      </c>
      <c r="J283" s="261">
        <f>SUM(J282:J282)</f>
        <v>2</v>
      </c>
      <c r="K283" s="137"/>
      <c r="L283" s="137"/>
      <c r="M283" s="137"/>
      <c r="N283" s="138"/>
      <c r="O283" s="167"/>
      <c r="P283" s="111"/>
      <c r="Q283" s="111"/>
      <c r="R283" s="111"/>
      <c r="S283" s="111"/>
      <c r="T283" s="111"/>
      <c r="U283" s="111"/>
      <c r="V283" s="111"/>
      <c r="W283" s="111"/>
      <c r="X283" s="111"/>
      <c r="Y283" s="111"/>
      <c r="Z283" s="111"/>
      <c r="AA283" s="111"/>
    </row>
    <row r="284" spans="1:27" s="139" customFormat="1" x14ac:dyDescent="0.2">
      <c r="A284" s="6"/>
      <c r="B284" s="6"/>
      <c r="C284" s="7"/>
      <c r="D284" s="116"/>
      <c r="E284" s="6"/>
      <c r="F284" s="258"/>
      <c r="G284" s="258"/>
      <c r="H284" s="258"/>
      <c r="I284" s="246"/>
      <c r="J284" s="258"/>
      <c r="K284" s="137"/>
      <c r="L284" s="137"/>
      <c r="M284" s="137"/>
      <c r="N284" s="138"/>
      <c r="O284" s="283"/>
      <c r="P284" s="120"/>
      <c r="Q284" s="120"/>
      <c r="R284" s="120"/>
      <c r="S284" s="120"/>
      <c r="T284" s="120"/>
      <c r="U284" s="120"/>
      <c r="V284" s="120"/>
      <c r="W284" s="120"/>
      <c r="X284" s="120"/>
      <c r="Y284" s="120"/>
      <c r="Z284" s="120"/>
      <c r="AA284" s="120"/>
    </row>
    <row r="285" spans="1:27" s="241" customFormat="1" ht="26.4" x14ac:dyDescent="0.25">
      <c r="A285" s="236" t="s">
        <v>19</v>
      </c>
      <c r="B285" s="236"/>
      <c r="C285" s="237"/>
      <c r="D285" s="289" t="s">
        <v>599</v>
      </c>
      <c r="E285" s="236"/>
      <c r="F285" s="259"/>
      <c r="G285" s="259"/>
      <c r="H285" s="259"/>
      <c r="I285" s="247"/>
      <c r="J285" s="259"/>
      <c r="K285" s="238"/>
      <c r="L285" s="238"/>
      <c r="M285" s="238"/>
      <c r="N285" s="239" t="e">
        <f>N287+N356+N363+N385+N401</f>
        <v>#VALUE!</v>
      </c>
      <c r="O285" s="284" t="e">
        <f>N285/$N$2057</f>
        <v>#VALUE!</v>
      </c>
      <c r="P285" s="240" t="s">
        <v>533</v>
      </c>
      <c r="Q285" s="240" t="s">
        <v>533</v>
      </c>
      <c r="R285" s="240"/>
      <c r="S285" s="240"/>
      <c r="T285" s="240"/>
      <c r="U285" s="240"/>
      <c r="V285" s="240"/>
      <c r="W285" s="240"/>
      <c r="X285" s="240"/>
      <c r="Y285" s="240"/>
      <c r="Z285" s="240"/>
      <c r="AA285" s="240"/>
    </row>
    <row r="286" spans="1:27" s="118" customFormat="1" x14ac:dyDescent="0.2">
      <c r="A286" s="6"/>
      <c r="B286" s="6"/>
      <c r="C286" s="14"/>
      <c r="D286" s="108"/>
      <c r="E286" s="148"/>
      <c r="F286" s="253"/>
      <c r="G286" s="253"/>
      <c r="H286" s="253"/>
      <c r="I286" s="246"/>
      <c r="J286" s="262"/>
      <c r="K286" s="137"/>
      <c r="L286" s="137"/>
      <c r="M286" s="137"/>
      <c r="N286" s="138"/>
      <c r="O286" s="167"/>
      <c r="P286" s="111"/>
      <c r="Q286" s="111"/>
      <c r="R286" s="111"/>
      <c r="S286" s="111"/>
      <c r="T286" s="111"/>
      <c r="U286" s="111"/>
      <c r="V286" s="111"/>
      <c r="W286" s="111"/>
      <c r="X286" s="111"/>
      <c r="Y286" s="111"/>
      <c r="Z286" s="111"/>
      <c r="AA286" s="111"/>
    </row>
    <row r="287" spans="1:27" s="145" customFormat="1" x14ac:dyDescent="0.2">
      <c r="A287" s="140" t="s">
        <v>20</v>
      </c>
      <c r="B287" s="140"/>
      <c r="C287" s="141"/>
      <c r="D287" s="112" t="s">
        <v>30</v>
      </c>
      <c r="E287" s="140"/>
      <c r="F287" s="260"/>
      <c r="G287" s="260"/>
      <c r="H287" s="260"/>
      <c r="I287" s="248"/>
      <c r="J287" s="260"/>
      <c r="K287" s="142"/>
      <c r="L287" s="142"/>
      <c r="M287" s="142"/>
      <c r="N287" s="143" t="e">
        <f>SUM(N289:N355)</f>
        <v>#VALUE!</v>
      </c>
      <c r="O287" s="285"/>
      <c r="P287" s="144"/>
      <c r="Q287" s="144"/>
      <c r="R287" s="144"/>
      <c r="S287" s="144"/>
      <c r="T287" s="144"/>
      <c r="U287" s="144"/>
      <c r="V287" s="144"/>
      <c r="W287" s="144"/>
      <c r="X287" s="144"/>
      <c r="Y287" s="144"/>
      <c r="Z287" s="144"/>
      <c r="AA287" s="144"/>
    </row>
    <row r="288" spans="1:27" s="118" customFormat="1" x14ac:dyDescent="0.2">
      <c r="A288" s="6"/>
      <c r="B288" s="6"/>
      <c r="C288" s="14"/>
      <c r="D288" s="108"/>
      <c r="E288" s="148"/>
      <c r="F288" s="253"/>
      <c r="G288" s="253"/>
      <c r="H288" s="253"/>
      <c r="I288" s="246"/>
      <c r="J288" s="262"/>
      <c r="K288" s="137"/>
      <c r="L288" s="137"/>
      <c r="M288" s="137"/>
      <c r="N288" s="138"/>
      <c r="O288" s="167"/>
      <c r="P288" s="111"/>
      <c r="Q288" s="111"/>
      <c r="R288" s="111"/>
      <c r="S288" s="111"/>
      <c r="T288" s="111"/>
      <c r="U288" s="111"/>
      <c r="V288" s="111"/>
      <c r="W288" s="111"/>
      <c r="X288" s="111"/>
      <c r="Y288" s="111"/>
      <c r="Z288" s="111"/>
      <c r="AA288" s="111"/>
    </row>
    <row r="289" spans="1:27" s="147" customFormat="1" ht="40.799999999999997" x14ac:dyDescent="0.2">
      <c r="A289" s="9" t="s">
        <v>601</v>
      </c>
      <c r="B289" s="9" t="s">
        <v>89</v>
      </c>
      <c r="C289" s="13">
        <v>93144</v>
      </c>
      <c r="D289" s="113" t="s">
        <v>295</v>
      </c>
      <c r="E289" s="9" t="s">
        <v>33</v>
      </c>
      <c r="F289" s="261"/>
      <c r="G289" s="261"/>
      <c r="H289" s="261"/>
      <c r="I289" s="245"/>
      <c r="J289" s="261"/>
      <c r="K289" s="131">
        <f>J301</f>
        <v>11</v>
      </c>
      <c r="L289" s="131">
        <v>166.81</v>
      </c>
      <c r="M289" s="131">
        <f>ROUND(L289*(1+$Q$7),2)</f>
        <v>211.06</v>
      </c>
      <c r="N289" s="133">
        <f>TRUNC(K289*M289,2)</f>
        <v>2321.66</v>
      </c>
      <c r="O289" s="286"/>
      <c r="P289" s="146"/>
      <c r="Q289" s="146"/>
      <c r="R289" s="146"/>
      <c r="S289" s="146"/>
      <c r="T289" s="146"/>
      <c r="U289" s="146"/>
      <c r="V289" s="146"/>
      <c r="W289" s="146"/>
      <c r="X289" s="146"/>
      <c r="Y289" s="146"/>
      <c r="Z289" s="146"/>
      <c r="AA289" s="146"/>
    </row>
    <row r="290" spans="1:27" s="118" customFormat="1" x14ac:dyDescent="0.2">
      <c r="A290" s="6"/>
      <c r="B290" s="6"/>
      <c r="C290" s="155"/>
      <c r="D290" s="3" t="s">
        <v>296</v>
      </c>
      <c r="E290" s="148"/>
      <c r="F290" s="253"/>
      <c r="G290" s="253"/>
      <c r="H290" s="253"/>
      <c r="I290" s="246"/>
      <c r="J290" s="253"/>
      <c r="K290" s="137"/>
      <c r="L290" s="137"/>
      <c r="M290" s="137"/>
      <c r="N290" s="138"/>
      <c r="O290" s="167"/>
      <c r="P290" s="111"/>
      <c r="Q290" s="111"/>
      <c r="R290" s="111"/>
      <c r="S290" s="111"/>
      <c r="T290" s="111"/>
      <c r="U290" s="111"/>
      <c r="V290" s="111"/>
      <c r="W290" s="111"/>
      <c r="X290" s="111"/>
      <c r="Y290" s="111"/>
      <c r="Z290" s="111"/>
      <c r="AA290" s="111"/>
    </row>
    <row r="291" spans="1:27" s="118" customFormat="1" x14ac:dyDescent="0.2">
      <c r="A291" s="6"/>
      <c r="B291" s="6"/>
      <c r="C291" s="155"/>
      <c r="D291" s="2" t="s">
        <v>418</v>
      </c>
      <c r="E291" s="148"/>
      <c r="F291" s="253">
        <v>1</v>
      </c>
      <c r="G291" s="253"/>
      <c r="H291" s="253"/>
      <c r="I291" s="246"/>
      <c r="J291" s="253">
        <f t="shared" ref="J291:J300" si="34">ROUND(PRODUCT(F291:I291),2)</f>
        <v>1</v>
      </c>
      <c r="K291" s="137"/>
      <c r="L291" s="137"/>
      <c r="M291" s="137"/>
      <c r="N291" s="138"/>
      <c r="O291" s="167"/>
      <c r="P291" s="111"/>
      <c r="Q291" s="111"/>
      <c r="R291" s="111"/>
      <c r="S291" s="111"/>
      <c r="T291" s="111"/>
      <c r="U291" s="111"/>
      <c r="V291" s="111"/>
      <c r="W291" s="111"/>
      <c r="X291" s="111"/>
      <c r="Y291" s="111"/>
      <c r="Z291" s="111"/>
      <c r="AA291" s="111"/>
    </row>
    <row r="292" spans="1:27" s="118" customFormat="1" x14ac:dyDescent="0.2">
      <c r="A292" s="6"/>
      <c r="B292" s="6"/>
      <c r="C292" s="155"/>
      <c r="D292" s="2" t="s">
        <v>374</v>
      </c>
      <c r="E292" s="148"/>
      <c r="F292" s="253">
        <v>2</v>
      </c>
      <c r="G292" s="253"/>
      <c r="H292" s="253"/>
      <c r="I292" s="246"/>
      <c r="J292" s="253">
        <f t="shared" si="34"/>
        <v>2</v>
      </c>
      <c r="K292" s="137"/>
      <c r="L292" s="137"/>
      <c r="M292" s="137"/>
      <c r="N292" s="138"/>
      <c r="O292" s="167"/>
      <c r="P292" s="111"/>
      <c r="Q292" s="111"/>
      <c r="R292" s="111"/>
      <c r="S292" s="111"/>
      <c r="T292" s="111"/>
      <c r="U292" s="111"/>
      <c r="V292" s="111"/>
      <c r="W292" s="111"/>
      <c r="X292" s="111"/>
      <c r="Y292" s="111"/>
      <c r="Z292" s="111"/>
      <c r="AA292" s="111"/>
    </row>
    <row r="293" spans="1:27" s="118" customFormat="1" x14ac:dyDescent="0.2">
      <c r="A293" s="6"/>
      <c r="B293" s="6"/>
      <c r="C293" s="155"/>
      <c r="D293" s="2" t="s">
        <v>63</v>
      </c>
      <c r="E293" s="148"/>
      <c r="F293" s="253">
        <v>1</v>
      </c>
      <c r="G293" s="253"/>
      <c r="H293" s="253"/>
      <c r="I293" s="246"/>
      <c r="J293" s="253">
        <f t="shared" si="34"/>
        <v>1</v>
      </c>
      <c r="K293" s="137"/>
      <c r="L293" s="137"/>
      <c r="M293" s="137"/>
      <c r="N293" s="138"/>
      <c r="O293" s="167"/>
      <c r="P293" s="111"/>
      <c r="Q293" s="111"/>
      <c r="R293" s="111"/>
      <c r="S293" s="111"/>
      <c r="T293" s="111"/>
      <c r="U293" s="111"/>
      <c r="V293" s="111"/>
      <c r="W293" s="111"/>
      <c r="X293" s="111"/>
      <c r="Y293" s="111"/>
      <c r="Z293" s="111"/>
      <c r="AA293" s="111"/>
    </row>
    <row r="294" spans="1:27" s="118" customFormat="1" x14ac:dyDescent="0.2">
      <c r="A294" s="6"/>
      <c r="B294" s="6"/>
      <c r="C294" s="155"/>
      <c r="D294" s="2" t="s">
        <v>384</v>
      </c>
      <c r="E294" s="148"/>
      <c r="F294" s="253">
        <v>1</v>
      </c>
      <c r="G294" s="253"/>
      <c r="H294" s="253"/>
      <c r="I294" s="246"/>
      <c r="J294" s="253">
        <f t="shared" si="34"/>
        <v>1</v>
      </c>
      <c r="K294" s="137"/>
      <c r="L294" s="137"/>
      <c r="M294" s="137"/>
      <c r="N294" s="138"/>
      <c r="O294" s="167"/>
      <c r="P294" s="111"/>
      <c r="Q294" s="111"/>
      <c r="R294" s="111"/>
      <c r="S294" s="111"/>
      <c r="T294" s="111"/>
      <c r="U294" s="111"/>
      <c r="V294" s="111"/>
      <c r="W294" s="111"/>
      <c r="X294" s="111"/>
      <c r="Y294" s="111"/>
      <c r="Z294" s="111"/>
      <c r="AA294" s="111"/>
    </row>
    <row r="295" spans="1:27" s="118" customFormat="1" x14ac:dyDescent="0.2">
      <c r="A295" s="6"/>
      <c r="B295" s="6"/>
      <c r="C295" s="155"/>
      <c r="D295" s="2" t="s">
        <v>266</v>
      </c>
      <c r="E295" s="148"/>
      <c r="F295" s="253">
        <v>1</v>
      </c>
      <c r="G295" s="253"/>
      <c r="H295" s="253"/>
      <c r="I295" s="246"/>
      <c r="J295" s="253">
        <f t="shared" si="34"/>
        <v>1</v>
      </c>
      <c r="K295" s="137"/>
      <c r="L295" s="137"/>
      <c r="M295" s="137"/>
      <c r="N295" s="138"/>
      <c r="O295" s="167"/>
      <c r="P295" s="111"/>
      <c r="Q295" s="111"/>
      <c r="R295" s="111"/>
      <c r="S295" s="111"/>
      <c r="T295" s="111"/>
      <c r="U295" s="111"/>
      <c r="V295" s="111"/>
      <c r="W295" s="111"/>
      <c r="X295" s="111"/>
      <c r="Y295" s="111"/>
      <c r="Z295" s="111"/>
      <c r="AA295" s="111"/>
    </row>
    <row r="296" spans="1:27" s="118" customFormat="1" x14ac:dyDescent="0.2">
      <c r="A296" s="6"/>
      <c r="B296" s="6"/>
      <c r="C296" s="155"/>
      <c r="D296" s="2" t="s">
        <v>256</v>
      </c>
      <c r="E296" s="148"/>
      <c r="F296" s="253">
        <v>1</v>
      </c>
      <c r="G296" s="253"/>
      <c r="H296" s="253"/>
      <c r="I296" s="246"/>
      <c r="J296" s="253">
        <f t="shared" si="34"/>
        <v>1</v>
      </c>
      <c r="K296" s="137"/>
      <c r="L296" s="137"/>
      <c r="M296" s="137"/>
      <c r="N296" s="138"/>
      <c r="O296" s="167"/>
      <c r="P296" s="111"/>
      <c r="Q296" s="111"/>
      <c r="R296" s="111"/>
      <c r="S296" s="111"/>
      <c r="T296" s="111"/>
      <c r="U296" s="111"/>
      <c r="V296" s="111"/>
      <c r="W296" s="111"/>
      <c r="X296" s="111"/>
      <c r="Y296" s="111"/>
      <c r="Z296" s="111"/>
      <c r="AA296" s="111"/>
    </row>
    <row r="297" spans="1:27" s="118" customFormat="1" x14ac:dyDescent="0.2">
      <c r="A297" s="6"/>
      <c r="B297" s="6"/>
      <c r="C297" s="155"/>
      <c r="D297" s="2" t="s">
        <v>243</v>
      </c>
      <c r="E297" s="148"/>
      <c r="F297" s="253">
        <v>1</v>
      </c>
      <c r="G297" s="253"/>
      <c r="H297" s="253"/>
      <c r="I297" s="246"/>
      <c r="J297" s="253">
        <f t="shared" si="34"/>
        <v>1</v>
      </c>
      <c r="K297" s="137"/>
      <c r="L297" s="137"/>
      <c r="M297" s="137"/>
      <c r="N297" s="138"/>
      <c r="O297" s="167"/>
      <c r="P297" s="111"/>
      <c r="Q297" s="111"/>
      <c r="R297" s="111"/>
      <c r="S297" s="111"/>
      <c r="T297" s="111"/>
      <c r="U297" s="111"/>
      <c r="V297" s="111"/>
      <c r="W297" s="111"/>
      <c r="X297" s="111"/>
      <c r="Y297" s="111"/>
      <c r="Z297" s="111"/>
      <c r="AA297" s="111"/>
    </row>
    <row r="298" spans="1:27" s="118" customFormat="1" x14ac:dyDescent="0.2">
      <c r="A298" s="6"/>
      <c r="B298" s="6"/>
      <c r="C298" s="155"/>
      <c r="D298" s="2" t="s">
        <v>246</v>
      </c>
      <c r="E298" s="148"/>
      <c r="F298" s="253">
        <v>1</v>
      </c>
      <c r="G298" s="253"/>
      <c r="H298" s="253"/>
      <c r="I298" s="246"/>
      <c r="J298" s="253">
        <f t="shared" si="34"/>
        <v>1</v>
      </c>
      <c r="K298" s="137"/>
      <c r="L298" s="137"/>
      <c r="M298" s="137"/>
      <c r="N298" s="138"/>
      <c r="O298" s="167"/>
      <c r="P298" s="111"/>
      <c r="Q298" s="111"/>
      <c r="R298" s="111"/>
      <c r="S298" s="111"/>
      <c r="T298" s="111"/>
      <c r="U298" s="111"/>
      <c r="V298" s="111"/>
      <c r="W298" s="111"/>
      <c r="X298" s="111"/>
      <c r="Y298" s="111"/>
      <c r="Z298" s="111"/>
      <c r="AA298" s="111"/>
    </row>
    <row r="299" spans="1:27" s="118" customFormat="1" x14ac:dyDescent="0.2">
      <c r="A299" s="6"/>
      <c r="B299" s="6"/>
      <c r="C299" s="155"/>
      <c r="D299" s="2" t="s">
        <v>257</v>
      </c>
      <c r="E299" s="148"/>
      <c r="F299" s="253">
        <v>1</v>
      </c>
      <c r="G299" s="253"/>
      <c r="H299" s="253"/>
      <c r="I299" s="246"/>
      <c r="J299" s="253">
        <f t="shared" si="34"/>
        <v>1</v>
      </c>
      <c r="K299" s="137"/>
      <c r="L299" s="137"/>
      <c r="M299" s="137"/>
      <c r="N299" s="138"/>
      <c r="O299" s="167"/>
      <c r="P299" s="111"/>
      <c r="Q299" s="111"/>
      <c r="R299" s="111"/>
      <c r="S299" s="111"/>
      <c r="T299" s="111"/>
      <c r="U299" s="111"/>
      <c r="V299" s="111"/>
      <c r="W299" s="111"/>
      <c r="X299" s="111"/>
      <c r="Y299" s="111"/>
      <c r="Z299" s="111"/>
      <c r="AA299" s="111"/>
    </row>
    <row r="300" spans="1:27" s="118" customFormat="1" x14ac:dyDescent="0.2">
      <c r="A300" s="6"/>
      <c r="B300" s="6"/>
      <c r="C300" s="155"/>
      <c r="D300" s="2" t="s">
        <v>253</v>
      </c>
      <c r="E300" s="148"/>
      <c r="F300" s="253">
        <v>1</v>
      </c>
      <c r="G300" s="253"/>
      <c r="H300" s="253"/>
      <c r="I300" s="246"/>
      <c r="J300" s="253">
        <f t="shared" si="34"/>
        <v>1</v>
      </c>
      <c r="K300" s="137"/>
      <c r="L300" s="137"/>
      <c r="M300" s="137"/>
      <c r="N300" s="138"/>
      <c r="O300" s="167"/>
      <c r="P300" s="111"/>
      <c r="Q300" s="111"/>
      <c r="R300" s="111"/>
      <c r="S300" s="111"/>
      <c r="T300" s="111"/>
      <c r="U300" s="111"/>
      <c r="V300" s="111"/>
      <c r="W300" s="111"/>
      <c r="X300" s="111"/>
      <c r="Y300" s="111"/>
      <c r="Z300" s="111"/>
      <c r="AA300" s="111"/>
    </row>
    <row r="301" spans="1:27" s="118" customFormat="1" x14ac:dyDescent="0.2">
      <c r="A301" s="6"/>
      <c r="B301" s="6"/>
      <c r="C301" s="156"/>
      <c r="D301" s="108"/>
      <c r="E301" s="148"/>
      <c r="F301" s="253"/>
      <c r="G301" s="253"/>
      <c r="H301" s="253"/>
      <c r="I301" s="246" t="str">
        <f>"Total item "&amp;A289</f>
        <v>Total item 5.1.1</v>
      </c>
      <c r="J301" s="261">
        <f>SUM(J291:J300)</f>
        <v>11</v>
      </c>
      <c r="K301" s="137"/>
      <c r="L301" s="137"/>
      <c r="M301" s="137"/>
      <c r="N301" s="138"/>
      <c r="O301" s="167"/>
      <c r="P301" s="111"/>
      <c r="Q301" s="111"/>
      <c r="R301" s="111"/>
      <c r="S301" s="111"/>
      <c r="T301" s="111"/>
      <c r="U301" s="111"/>
      <c r="V301" s="111"/>
      <c r="W301" s="111"/>
      <c r="X301" s="111"/>
      <c r="Y301" s="111"/>
      <c r="Z301" s="111"/>
      <c r="AA301" s="111"/>
    </row>
    <row r="302" spans="1:27" s="154" customFormat="1" x14ac:dyDescent="0.2">
      <c r="A302" s="10"/>
      <c r="B302" s="10"/>
      <c r="C302" s="15"/>
      <c r="D302" s="117"/>
      <c r="E302" s="10"/>
      <c r="F302" s="263"/>
      <c r="G302" s="263"/>
      <c r="H302" s="263"/>
      <c r="I302" s="250"/>
      <c r="J302" s="263"/>
      <c r="K302" s="151"/>
      <c r="L302" s="151"/>
      <c r="M302" s="151"/>
      <c r="N302" s="152"/>
      <c r="O302" s="283"/>
      <c r="P302" s="153"/>
      <c r="Q302" s="153"/>
      <c r="R302" s="153"/>
      <c r="S302" s="153"/>
      <c r="T302" s="153"/>
      <c r="U302" s="153"/>
      <c r="V302" s="153"/>
      <c r="W302" s="153"/>
      <c r="X302" s="153"/>
      <c r="Y302" s="153"/>
      <c r="Z302" s="153"/>
      <c r="AA302" s="153"/>
    </row>
    <row r="303" spans="1:27" s="147" customFormat="1" ht="40.799999999999997" x14ac:dyDescent="0.2">
      <c r="A303" s="9" t="s">
        <v>602</v>
      </c>
      <c r="B303" s="9" t="s">
        <v>163</v>
      </c>
      <c r="C303" s="197" t="s">
        <v>192</v>
      </c>
      <c r="D303" s="113" t="s">
        <v>712</v>
      </c>
      <c r="E303" s="9" t="s">
        <v>31</v>
      </c>
      <c r="F303" s="261"/>
      <c r="G303" s="261"/>
      <c r="H303" s="261"/>
      <c r="I303" s="245"/>
      <c r="J303" s="261"/>
      <c r="K303" s="131">
        <f>J315</f>
        <v>11</v>
      </c>
      <c r="L303" s="131">
        <v>46.44</v>
      </c>
      <c r="M303" s="131">
        <f>ROUND(L303*(1+$Q$7),2)</f>
        <v>58.76</v>
      </c>
      <c r="N303" s="133">
        <f>TRUNC(K303*M303,2)</f>
        <v>646.36</v>
      </c>
      <c r="O303" s="286"/>
      <c r="P303" s="146"/>
      <c r="Q303" s="146"/>
      <c r="R303" s="146"/>
      <c r="S303" s="146"/>
      <c r="T303" s="146"/>
      <c r="U303" s="146"/>
      <c r="V303" s="146"/>
      <c r="W303" s="146"/>
      <c r="X303" s="146"/>
      <c r="Y303" s="146"/>
      <c r="Z303" s="146"/>
      <c r="AA303" s="146"/>
    </row>
    <row r="304" spans="1:27" s="118" customFormat="1" x14ac:dyDescent="0.2">
      <c r="A304" s="6"/>
      <c r="B304" s="6"/>
      <c r="C304" s="155"/>
      <c r="D304" s="3" t="s">
        <v>296</v>
      </c>
      <c r="E304" s="148"/>
      <c r="F304" s="253"/>
      <c r="G304" s="253"/>
      <c r="H304" s="253"/>
      <c r="I304" s="246"/>
      <c r="J304" s="253"/>
      <c r="K304" s="137"/>
      <c r="L304" s="137"/>
      <c r="M304" s="137"/>
      <c r="N304" s="138"/>
      <c r="O304" s="167"/>
      <c r="P304" s="111"/>
      <c r="Q304" s="111"/>
      <c r="R304" s="111"/>
      <c r="S304" s="111"/>
      <c r="T304" s="111"/>
      <c r="U304" s="111"/>
      <c r="V304" s="111"/>
      <c r="W304" s="111"/>
      <c r="X304" s="111"/>
      <c r="Y304" s="111"/>
      <c r="Z304" s="111"/>
      <c r="AA304" s="111"/>
    </row>
    <row r="305" spans="1:27" s="118" customFormat="1" x14ac:dyDescent="0.2">
      <c r="A305" s="6"/>
      <c r="B305" s="6"/>
      <c r="C305" s="155"/>
      <c r="D305" s="2" t="s">
        <v>418</v>
      </c>
      <c r="E305" s="148"/>
      <c r="F305" s="253">
        <v>1</v>
      </c>
      <c r="G305" s="253"/>
      <c r="H305" s="253"/>
      <c r="I305" s="246"/>
      <c r="J305" s="253">
        <f t="shared" ref="J305:J314" si="35">ROUND(PRODUCT(F305:I305),2)</f>
        <v>1</v>
      </c>
      <c r="K305" s="137"/>
      <c r="L305" s="137"/>
      <c r="M305" s="137"/>
      <c r="N305" s="138"/>
      <c r="O305" s="167"/>
      <c r="P305" s="111"/>
      <c r="Q305" s="111"/>
      <c r="R305" s="111"/>
      <c r="S305" s="111"/>
      <c r="T305" s="111"/>
      <c r="U305" s="111"/>
      <c r="V305" s="111"/>
      <c r="W305" s="111"/>
      <c r="X305" s="111"/>
      <c r="Y305" s="111"/>
      <c r="Z305" s="111"/>
      <c r="AA305" s="111"/>
    </row>
    <row r="306" spans="1:27" s="118" customFormat="1" x14ac:dyDescent="0.2">
      <c r="A306" s="6"/>
      <c r="B306" s="6"/>
      <c r="C306" s="155"/>
      <c r="D306" s="2" t="s">
        <v>374</v>
      </c>
      <c r="E306" s="148"/>
      <c r="F306" s="253">
        <v>2</v>
      </c>
      <c r="G306" s="253"/>
      <c r="H306" s="253"/>
      <c r="I306" s="246"/>
      <c r="J306" s="253">
        <f t="shared" si="35"/>
        <v>2</v>
      </c>
      <c r="K306" s="137"/>
      <c r="L306" s="137"/>
      <c r="M306" s="137"/>
      <c r="N306" s="138"/>
      <c r="O306" s="167"/>
      <c r="P306" s="111"/>
      <c r="Q306" s="111"/>
      <c r="R306" s="111"/>
      <c r="S306" s="111"/>
      <c r="T306" s="111"/>
      <c r="U306" s="111"/>
      <c r="V306" s="111"/>
      <c r="W306" s="111"/>
      <c r="X306" s="111"/>
      <c r="Y306" s="111"/>
      <c r="Z306" s="111"/>
      <c r="AA306" s="111"/>
    </row>
    <row r="307" spans="1:27" s="118" customFormat="1" x14ac:dyDescent="0.2">
      <c r="A307" s="6"/>
      <c r="B307" s="6"/>
      <c r="C307" s="155"/>
      <c r="D307" s="2" t="s">
        <v>63</v>
      </c>
      <c r="E307" s="148"/>
      <c r="F307" s="253">
        <v>1</v>
      </c>
      <c r="G307" s="253"/>
      <c r="H307" s="253"/>
      <c r="I307" s="246"/>
      <c r="J307" s="253">
        <f t="shared" si="35"/>
        <v>1</v>
      </c>
      <c r="K307" s="137"/>
      <c r="L307" s="137"/>
      <c r="M307" s="137"/>
      <c r="N307" s="138"/>
      <c r="O307" s="167"/>
      <c r="P307" s="111"/>
      <c r="Q307" s="111"/>
      <c r="R307" s="111"/>
      <c r="S307" s="111"/>
      <c r="T307" s="111"/>
      <c r="U307" s="111"/>
      <c r="V307" s="111"/>
      <c r="W307" s="111"/>
      <c r="X307" s="111"/>
      <c r="Y307" s="111"/>
      <c r="Z307" s="111"/>
      <c r="AA307" s="111"/>
    </row>
    <row r="308" spans="1:27" s="118" customFormat="1" x14ac:dyDescent="0.2">
      <c r="A308" s="6"/>
      <c r="B308" s="6"/>
      <c r="C308" s="155"/>
      <c r="D308" s="2" t="s">
        <v>384</v>
      </c>
      <c r="E308" s="148"/>
      <c r="F308" s="253">
        <v>1</v>
      </c>
      <c r="G308" s="253"/>
      <c r="H308" s="253"/>
      <c r="I308" s="246"/>
      <c r="J308" s="253">
        <f t="shared" si="35"/>
        <v>1</v>
      </c>
      <c r="K308" s="137"/>
      <c r="L308" s="137"/>
      <c r="M308" s="137"/>
      <c r="N308" s="138"/>
      <c r="O308" s="167"/>
      <c r="P308" s="111"/>
      <c r="Q308" s="111"/>
      <c r="R308" s="111"/>
      <c r="S308" s="111"/>
      <c r="T308" s="111"/>
      <c r="U308" s="111"/>
      <c r="V308" s="111"/>
      <c r="W308" s="111"/>
      <c r="X308" s="111"/>
      <c r="Y308" s="111"/>
      <c r="Z308" s="111"/>
      <c r="AA308" s="111"/>
    </row>
    <row r="309" spans="1:27" s="118" customFormat="1" x14ac:dyDescent="0.2">
      <c r="A309" s="6"/>
      <c r="B309" s="6"/>
      <c r="C309" s="155"/>
      <c r="D309" s="2" t="s">
        <v>266</v>
      </c>
      <c r="E309" s="148"/>
      <c r="F309" s="253">
        <v>1</v>
      </c>
      <c r="G309" s="253"/>
      <c r="H309" s="253"/>
      <c r="I309" s="246"/>
      <c r="J309" s="253">
        <f t="shared" si="35"/>
        <v>1</v>
      </c>
      <c r="K309" s="137"/>
      <c r="L309" s="137"/>
      <c r="M309" s="137"/>
      <c r="N309" s="138"/>
      <c r="O309" s="167"/>
      <c r="P309" s="111"/>
      <c r="Q309" s="111"/>
      <c r="R309" s="111"/>
      <c r="S309" s="111"/>
      <c r="T309" s="111"/>
      <c r="U309" s="111"/>
      <c r="V309" s="111"/>
      <c r="W309" s="111"/>
      <c r="X309" s="111"/>
      <c r="Y309" s="111"/>
      <c r="Z309" s="111"/>
      <c r="AA309" s="111"/>
    </row>
    <row r="310" spans="1:27" s="118" customFormat="1" x14ac:dyDescent="0.2">
      <c r="A310" s="6"/>
      <c r="B310" s="6"/>
      <c r="C310" s="155"/>
      <c r="D310" s="2" t="s">
        <v>256</v>
      </c>
      <c r="E310" s="148"/>
      <c r="F310" s="253">
        <v>1</v>
      </c>
      <c r="G310" s="253"/>
      <c r="H310" s="253"/>
      <c r="I310" s="246"/>
      <c r="J310" s="253">
        <f t="shared" si="35"/>
        <v>1</v>
      </c>
      <c r="K310" s="137"/>
      <c r="L310" s="137"/>
      <c r="M310" s="137"/>
      <c r="N310" s="138"/>
      <c r="O310" s="167"/>
      <c r="P310" s="111"/>
      <c r="Q310" s="111"/>
      <c r="R310" s="111"/>
      <c r="S310" s="111"/>
      <c r="T310" s="111"/>
      <c r="U310" s="111"/>
      <c r="V310" s="111"/>
      <c r="W310" s="111"/>
      <c r="X310" s="111"/>
      <c r="Y310" s="111"/>
      <c r="Z310" s="111"/>
      <c r="AA310" s="111"/>
    </row>
    <row r="311" spans="1:27" s="118" customFormat="1" x14ac:dyDescent="0.2">
      <c r="A311" s="6"/>
      <c r="B311" s="6"/>
      <c r="C311" s="155"/>
      <c r="D311" s="2" t="s">
        <v>243</v>
      </c>
      <c r="E311" s="148"/>
      <c r="F311" s="253">
        <v>1</v>
      </c>
      <c r="G311" s="253"/>
      <c r="H311" s="253"/>
      <c r="I311" s="246"/>
      <c r="J311" s="253">
        <f t="shared" si="35"/>
        <v>1</v>
      </c>
      <c r="K311" s="137"/>
      <c r="L311" s="137"/>
      <c r="M311" s="137"/>
      <c r="N311" s="138"/>
      <c r="O311" s="167"/>
      <c r="P311" s="111"/>
      <c r="Q311" s="111"/>
      <c r="R311" s="111"/>
      <c r="S311" s="111"/>
      <c r="T311" s="111"/>
      <c r="U311" s="111"/>
      <c r="V311" s="111"/>
      <c r="W311" s="111"/>
      <c r="X311" s="111"/>
      <c r="Y311" s="111"/>
      <c r="Z311" s="111"/>
      <c r="AA311" s="111"/>
    </row>
    <row r="312" spans="1:27" s="118" customFormat="1" x14ac:dyDescent="0.2">
      <c r="A312" s="6"/>
      <c r="B312" s="6"/>
      <c r="C312" s="155"/>
      <c r="D312" s="2" t="s">
        <v>246</v>
      </c>
      <c r="E312" s="148"/>
      <c r="F312" s="253">
        <v>1</v>
      </c>
      <c r="G312" s="253"/>
      <c r="H312" s="253"/>
      <c r="I312" s="246"/>
      <c r="J312" s="253">
        <f t="shared" si="35"/>
        <v>1</v>
      </c>
      <c r="K312" s="137"/>
      <c r="L312" s="137"/>
      <c r="M312" s="137"/>
      <c r="N312" s="138"/>
      <c r="O312" s="167"/>
      <c r="P312" s="111"/>
      <c r="Q312" s="111"/>
      <c r="R312" s="111"/>
      <c r="S312" s="111"/>
      <c r="T312" s="111"/>
      <c r="U312" s="111"/>
      <c r="V312" s="111"/>
      <c r="W312" s="111"/>
      <c r="X312" s="111"/>
      <c r="Y312" s="111"/>
      <c r="Z312" s="111"/>
      <c r="AA312" s="111"/>
    </row>
    <row r="313" spans="1:27" s="118" customFormat="1" x14ac:dyDescent="0.2">
      <c r="A313" s="6"/>
      <c r="B313" s="6"/>
      <c r="C313" s="155"/>
      <c r="D313" s="2" t="s">
        <v>257</v>
      </c>
      <c r="E313" s="148"/>
      <c r="F313" s="253">
        <v>1</v>
      </c>
      <c r="G313" s="253"/>
      <c r="H313" s="253"/>
      <c r="I313" s="246"/>
      <c r="J313" s="253">
        <f t="shared" si="35"/>
        <v>1</v>
      </c>
      <c r="K313" s="137"/>
      <c r="L313" s="137"/>
      <c r="M313" s="137"/>
      <c r="N313" s="138"/>
      <c r="O313" s="167"/>
      <c r="P313" s="111"/>
      <c r="Q313" s="111"/>
      <c r="R313" s="111"/>
      <c r="S313" s="111"/>
      <c r="T313" s="111"/>
      <c r="U313" s="111"/>
      <c r="V313" s="111"/>
      <c r="W313" s="111"/>
      <c r="X313" s="111"/>
      <c r="Y313" s="111"/>
      <c r="Z313" s="111"/>
      <c r="AA313" s="111"/>
    </row>
    <row r="314" spans="1:27" s="118" customFormat="1" x14ac:dyDescent="0.2">
      <c r="A314" s="6"/>
      <c r="B314" s="6"/>
      <c r="C314" s="155"/>
      <c r="D314" s="2" t="s">
        <v>253</v>
      </c>
      <c r="E314" s="148"/>
      <c r="F314" s="253">
        <v>1</v>
      </c>
      <c r="G314" s="253"/>
      <c r="H314" s="253"/>
      <c r="I314" s="246"/>
      <c r="J314" s="253">
        <f t="shared" si="35"/>
        <v>1</v>
      </c>
      <c r="K314" s="137"/>
      <c r="L314" s="137"/>
      <c r="M314" s="137"/>
      <c r="N314" s="138"/>
      <c r="O314" s="167"/>
      <c r="P314" s="111"/>
      <c r="Q314" s="111"/>
      <c r="R314" s="111"/>
      <c r="S314" s="111"/>
      <c r="T314" s="111"/>
      <c r="U314" s="111"/>
      <c r="V314" s="111"/>
      <c r="W314" s="111"/>
      <c r="X314" s="111"/>
      <c r="Y314" s="111"/>
      <c r="Z314" s="111"/>
      <c r="AA314" s="111"/>
    </row>
    <row r="315" spans="1:27" s="118" customFormat="1" x14ac:dyDescent="0.2">
      <c r="A315" s="6"/>
      <c r="B315" s="6"/>
      <c r="C315" s="156"/>
      <c r="D315" s="108"/>
      <c r="E315" s="148"/>
      <c r="F315" s="253"/>
      <c r="G315" s="253"/>
      <c r="H315" s="253"/>
      <c r="I315" s="246" t="str">
        <f>"Total item "&amp;A303</f>
        <v>Total item 5.1.2</v>
      </c>
      <c r="J315" s="261">
        <f>SUM(J305:J314)</f>
        <v>11</v>
      </c>
      <c r="K315" s="137"/>
      <c r="L315" s="137"/>
      <c r="M315" s="137"/>
      <c r="N315" s="138"/>
      <c r="O315" s="167"/>
      <c r="P315" s="111"/>
      <c r="Q315" s="111"/>
      <c r="R315" s="111"/>
      <c r="S315" s="111"/>
      <c r="T315" s="111"/>
      <c r="U315" s="111"/>
      <c r="V315" s="111"/>
      <c r="W315" s="111"/>
      <c r="X315" s="111"/>
      <c r="Y315" s="111"/>
      <c r="Z315" s="111"/>
      <c r="AA315" s="111"/>
    </row>
    <row r="316" spans="1:27" s="161" customFormat="1" x14ac:dyDescent="0.2">
      <c r="A316" s="10"/>
      <c r="B316" s="10"/>
      <c r="C316" s="191"/>
      <c r="D316" s="110"/>
      <c r="E316" s="158"/>
      <c r="F316" s="267"/>
      <c r="G316" s="267"/>
      <c r="H316" s="267"/>
      <c r="I316" s="250"/>
      <c r="J316" s="263"/>
      <c r="K316" s="151"/>
      <c r="L316" s="151"/>
      <c r="M316" s="151"/>
      <c r="N316" s="152"/>
      <c r="O316" s="167"/>
      <c r="P316" s="114"/>
      <c r="Q316" s="114"/>
      <c r="R316" s="114"/>
      <c r="S316" s="114"/>
      <c r="T316" s="114"/>
      <c r="U316" s="114"/>
      <c r="V316" s="114"/>
      <c r="W316" s="114"/>
      <c r="X316" s="114"/>
      <c r="Y316" s="114"/>
      <c r="Z316" s="114"/>
      <c r="AA316" s="114"/>
    </row>
    <row r="317" spans="1:27" s="147" customFormat="1" ht="61.2" x14ac:dyDescent="0.2">
      <c r="A317" s="9" t="s">
        <v>603</v>
      </c>
      <c r="B317" s="9" t="s">
        <v>179</v>
      </c>
      <c r="C317" s="13" t="s">
        <v>417</v>
      </c>
      <c r="D317" s="113" t="s">
        <v>561</v>
      </c>
      <c r="E317" s="9" t="s">
        <v>31</v>
      </c>
      <c r="F317" s="261"/>
      <c r="G317" s="261"/>
      <c r="H317" s="261"/>
      <c r="I317" s="245"/>
      <c r="J317" s="261"/>
      <c r="K317" s="131">
        <f>J322</f>
        <v>5</v>
      </c>
      <c r="L317" s="131" t="e">
        <f>'COMPOSICOES - SINAPI COM DESON'!G36</f>
        <v>#VALUE!</v>
      </c>
      <c r="M317" s="131" t="e">
        <f>ROUND(L317*(1+$Q$7),2)</f>
        <v>#VALUE!</v>
      </c>
      <c r="N317" s="133" t="e">
        <f>TRUNC(K317*M317,2)</f>
        <v>#VALUE!</v>
      </c>
      <c r="O317" s="286"/>
      <c r="P317" s="146"/>
      <c r="Q317" s="146"/>
      <c r="R317" s="146"/>
      <c r="S317" s="146"/>
      <c r="T317" s="146"/>
      <c r="U317" s="146"/>
      <c r="V317" s="146"/>
      <c r="W317" s="146"/>
      <c r="X317" s="146"/>
      <c r="Y317" s="146"/>
      <c r="Z317" s="146"/>
      <c r="AA317" s="146"/>
    </row>
    <row r="318" spans="1:27" s="118" customFormat="1" x14ac:dyDescent="0.2">
      <c r="A318" s="6"/>
      <c r="B318" s="6"/>
      <c r="C318" s="155"/>
      <c r="D318" s="2" t="s">
        <v>374</v>
      </c>
      <c r="E318" s="148"/>
      <c r="F318" s="253">
        <v>2</v>
      </c>
      <c r="G318" s="253"/>
      <c r="H318" s="253"/>
      <c r="I318" s="246"/>
      <c r="J318" s="253">
        <f t="shared" ref="J318:J321" si="36">ROUND(PRODUCT(F318:I318),2)</f>
        <v>2</v>
      </c>
      <c r="K318" s="137"/>
      <c r="L318" s="137"/>
      <c r="M318" s="137"/>
      <c r="N318" s="138"/>
      <c r="O318" s="167"/>
      <c r="P318" s="111"/>
      <c r="Q318" s="111" t="s">
        <v>400</v>
      </c>
      <c r="R318" s="111"/>
      <c r="S318" s="111"/>
      <c r="T318" s="111"/>
      <c r="U318" s="111"/>
      <c r="V318" s="111"/>
      <c r="W318" s="111"/>
      <c r="X318" s="111"/>
      <c r="Y318" s="111"/>
      <c r="Z318" s="111"/>
      <c r="AA318" s="111"/>
    </row>
    <row r="319" spans="1:27" s="118" customFormat="1" x14ac:dyDescent="0.2">
      <c r="A319" s="6"/>
      <c r="B319" s="6"/>
      <c r="C319" s="155"/>
      <c r="D319" s="2" t="s">
        <v>384</v>
      </c>
      <c r="E319" s="148"/>
      <c r="F319" s="253">
        <v>1</v>
      </c>
      <c r="G319" s="253"/>
      <c r="H319" s="253"/>
      <c r="I319" s="246"/>
      <c r="J319" s="253">
        <f t="shared" si="36"/>
        <v>1</v>
      </c>
      <c r="K319" s="137"/>
      <c r="L319" s="137"/>
      <c r="M319" s="137"/>
      <c r="N319" s="138"/>
      <c r="O319" s="167"/>
      <c r="P319" s="111"/>
      <c r="Q319" s="111"/>
      <c r="R319" s="111"/>
      <c r="S319" s="111"/>
      <c r="T319" s="111"/>
      <c r="U319" s="111"/>
      <c r="V319" s="111"/>
      <c r="W319" s="111"/>
      <c r="X319" s="111"/>
      <c r="Y319" s="111"/>
      <c r="Z319" s="111"/>
      <c r="AA319" s="111"/>
    </row>
    <row r="320" spans="1:27" s="118" customFormat="1" x14ac:dyDescent="0.2">
      <c r="A320" s="6"/>
      <c r="B320" s="6"/>
      <c r="C320" s="155"/>
      <c r="D320" s="2" t="s">
        <v>266</v>
      </c>
      <c r="E320" s="148"/>
      <c r="F320" s="253">
        <v>1</v>
      </c>
      <c r="G320" s="253"/>
      <c r="H320" s="253"/>
      <c r="I320" s="246"/>
      <c r="J320" s="253">
        <f t="shared" si="36"/>
        <v>1</v>
      </c>
      <c r="K320" s="137"/>
      <c r="L320" s="137"/>
      <c r="M320" s="137"/>
      <c r="N320" s="138"/>
      <c r="O320" s="167"/>
      <c r="P320" s="111"/>
      <c r="Q320" s="111"/>
      <c r="R320" s="111"/>
      <c r="S320" s="111"/>
      <c r="T320" s="111"/>
      <c r="U320" s="111"/>
      <c r="V320" s="111"/>
      <c r="W320" s="111"/>
      <c r="X320" s="111"/>
      <c r="Y320" s="111"/>
      <c r="Z320" s="111"/>
      <c r="AA320" s="111"/>
    </row>
    <row r="321" spans="1:27" s="118" customFormat="1" x14ac:dyDescent="0.2">
      <c r="A321" s="6"/>
      <c r="B321" s="6"/>
      <c r="C321" s="155"/>
      <c r="D321" s="2" t="s">
        <v>256</v>
      </c>
      <c r="E321" s="148"/>
      <c r="F321" s="253">
        <v>1</v>
      </c>
      <c r="G321" s="253"/>
      <c r="H321" s="253"/>
      <c r="I321" s="246"/>
      <c r="J321" s="253">
        <f t="shared" si="36"/>
        <v>1</v>
      </c>
      <c r="K321" s="137"/>
      <c r="L321" s="137"/>
      <c r="M321" s="137"/>
      <c r="N321" s="138"/>
      <c r="O321" s="167"/>
      <c r="P321" s="111"/>
      <c r="Q321" s="111"/>
      <c r="R321" s="111"/>
      <c r="S321" s="111"/>
      <c r="T321" s="111"/>
      <c r="U321" s="111"/>
      <c r="V321" s="111"/>
      <c r="W321" s="111"/>
      <c r="X321" s="111"/>
      <c r="Y321" s="111"/>
      <c r="Z321" s="111"/>
      <c r="AA321" s="111"/>
    </row>
    <row r="322" spans="1:27" s="118" customFormat="1" x14ac:dyDescent="0.2">
      <c r="A322" s="6"/>
      <c r="B322" s="6"/>
      <c r="C322" s="156"/>
      <c r="D322" s="108"/>
      <c r="E322" s="148"/>
      <c r="F322" s="253"/>
      <c r="G322" s="253"/>
      <c r="H322" s="253"/>
      <c r="I322" s="246" t="str">
        <f>"Total item "&amp;A317</f>
        <v>Total item 5.1.3</v>
      </c>
      <c r="J322" s="261">
        <f>SUM(J318:J321)</f>
        <v>5</v>
      </c>
      <c r="K322" s="137"/>
      <c r="L322" s="137"/>
      <c r="M322" s="137"/>
      <c r="N322" s="138"/>
      <c r="O322" s="167"/>
      <c r="P322" s="111"/>
      <c r="Q322" s="111"/>
      <c r="R322" s="111"/>
      <c r="S322" s="111"/>
      <c r="T322" s="111"/>
      <c r="U322" s="111"/>
      <c r="V322" s="111"/>
      <c r="W322" s="111"/>
      <c r="X322" s="111"/>
      <c r="Y322" s="111"/>
      <c r="Z322" s="111"/>
      <c r="AA322" s="111"/>
    </row>
    <row r="323" spans="1:27" s="118" customFormat="1" x14ac:dyDescent="0.2">
      <c r="A323" s="6"/>
      <c r="B323" s="6"/>
      <c r="C323" s="155"/>
      <c r="D323" s="108"/>
      <c r="E323" s="148"/>
      <c r="F323" s="253"/>
      <c r="G323" s="253"/>
      <c r="H323" s="253"/>
      <c r="I323" s="246"/>
      <c r="J323" s="258"/>
      <c r="K323" s="137"/>
      <c r="L323" s="137"/>
      <c r="M323" s="137"/>
      <c r="N323" s="138"/>
      <c r="O323" s="167"/>
      <c r="P323" s="111"/>
      <c r="Q323" s="111"/>
      <c r="R323" s="111"/>
      <c r="S323" s="111"/>
      <c r="T323" s="111"/>
      <c r="U323" s="111"/>
      <c r="V323" s="111"/>
      <c r="W323" s="111"/>
      <c r="X323" s="111"/>
      <c r="Y323" s="111"/>
      <c r="Z323" s="111"/>
      <c r="AA323" s="111"/>
    </row>
    <row r="324" spans="1:27" s="147" customFormat="1" ht="51" x14ac:dyDescent="0.2">
      <c r="A324" s="9" t="s">
        <v>752</v>
      </c>
      <c r="B324" s="9" t="s">
        <v>163</v>
      </c>
      <c r="C324" s="13" t="s">
        <v>244</v>
      </c>
      <c r="D324" s="113" t="s">
        <v>245</v>
      </c>
      <c r="E324" s="9" t="s">
        <v>31</v>
      </c>
      <c r="F324" s="261"/>
      <c r="G324" s="261"/>
      <c r="H324" s="261"/>
      <c r="I324" s="245"/>
      <c r="J324" s="261"/>
      <c r="K324" s="131">
        <f>J329</f>
        <v>4</v>
      </c>
      <c r="L324" s="131">
        <v>116.08</v>
      </c>
      <c r="M324" s="131">
        <f>ROUND(L324*(1+$Q$7),2)</f>
        <v>146.88</v>
      </c>
      <c r="N324" s="133">
        <f>TRUNC(K324*M324,2)</f>
        <v>587.52</v>
      </c>
      <c r="O324" s="286"/>
      <c r="P324" s="146"/>
      <c r="Q324" s="146"/>
      <c r="R324" s="146"/>
      <c r="S324" s="146"/>
      <c r="T324" s="146"/>
      <c r="U324" s="146"/>
      <c r="V324" s="146"/>
      <c r="W324" s="146"/>
      <c r="X324" s="146"/>
      <c r="Y324" s="146"/>
      <c r="Z324" s="146"/>
      <c r="AA324" s="146"/>
    </row>
    <row r="325" spans="1:27" s="118" customFormat="1" x14ac:dyDescent="0.2">
      <c r="A325" s="6"/>
      <c r="B325" s="6"/>
      <c r="C325" s="155"/>
      <c r="D325" s="2" t="s">
        <v>243</v>
      </c>
      <c r="E325" s="148"/>
      <c r="F325" s="253">
        <v>1</v>
      </c>
      <c r="G325" s="253"/>
      <c r="H325" s="253"/>
      <c r="I325" s="246"/>
      <c r="J325" s="253">
        <f t="shared" ref="J325:J328" si="37">ROUND(PRODUCT(F325:I325),2)</f>
        <v>1</v>
      </c>
      <c r="K325" s="137"/>
      <c r="L325" s="137"/>
      <c r="M325" s="137"/>
      <c r="N325" s="138"/>
      <c r="O325" s="167"/>
      <c r="P325" s="111"/>
      <c r="Q325" s="111"/>
      <c r="R325" s="111"/>
      <c r="S325" s="111"/>
      <c r="T325" s="111"/>
      <c r="U325" s="111"/>
      <c r="V325" s="111"/>
      <c r="W325" s="111"/>
      <c r="X325" s="111"/>
      <c r="Y325" s="111"/>
      <c r="Z325" s="111"/>
      <c r="AA325" s="111"/>
    </row>
    <row r="326" spans="1:27" s="118" customFormat="1" x14ac:dyDescent="0.2">
      <c r="A326" s="6"/>
      <c r="B326" s="6"/>
      <c r="C326" s="155"/>
      <c r="D326" s="2" t="s">
        <v>246</v>
      </c>
      <c r="E326" s="148"/>
      <c r="F326" s="253">
        <v>1</v>
      </c>
      <c r="G326" s="253"/>
      <c r="H326" s="253"/>
      <c r="I326" s="246"/>
      <c r="J326" s="253">
        <f t="shared" si="37"/>
        <v>1</v>
      </c>
      <c r="K326" s="137"/>
      <c r="L326" s="137"/>
      <c r="M326" s="137"/>
      <c r="N326" s="138"/>
      <c r="O326" s="167"/>
      <c r="P326" s="111"/>
      <c r="Q326" s="111"/>
      <c r="R326" s="111"/>
      <c r="S326" s="111"/>
      <c r="T326" s="111"/>
      <c r="U326" s="111"/>
      <c r="V326" s="111"/>
      <c r="W326" s="111"/>
      <c r="X326" s="111"/>
      <c r="Y326" s="111"/>
      <c r="Z326" s="111"/>
      <c r="AA326" s="111"/>
    </row>
    <row r="327" spans="1:27" s="118" customFormat="1" x14ac:dyDescent="0.2">
      <c r="A327" s="6"/>
      <c r="B327" s="6"/>
      <c r="C327" s="155"/>
      <c r="D327" s="2" t="s">
        <v>257</v>
      </c>
      <c r="E327" s="148"/>
      <c r="F327" s="253">
        <v>1</v>
      </c>
      <c r="G327" s="253"/>
      <c r="H327" s="253"/>
      <c r="I327" s="246"/>
      <c r="J327" s="253">
        <f t="shared" si="37"/>
        <v>1</v>
      </c>
      <c r="K327" s="137"/>
      <c r="L327" s="137"/>
      <c r="M327" s="137"/>
      <c r="N327" s="138"/>
      <c r="O327" s="167"/>
      <c r="P327" s="111"/>
      <c r="Q327" s="111"/>
      <c r="R327" s="111"/>
      <c r="S327" s="111"/>
      <c r="T327" s="111"/>
      <c r="U327" s="111"/>
      <c r="V327" s="111"/>
      <c r="W327" s="111"/>
      <c r="X327" s="111"/>
      <c r="Y327" s="111"/>
      <c r="Z327" s="111"/>
      <c r="AA327" s="111"/>
    </row>
    <row r="328" spans="1:27" s="118" customFormat="1" x14ac:dyDescent="0.2">
      <c r="A328" s="6"/>
      <c r="B328" s="6"/>
      <c r="C328" s="155"/>
      <c r="D328" s="2" t="s">
        <v>253</v>
      </c>
      <c r="E328" s="148"/>
      <c r="F328" s="253">
        <v>1</v>
      </c>
      <c r="G328" s="253"/>
      <c r="H328" s="253"/>
      <c r="I328" s="246"/>
      <c r="J328" s="253">
        <f t="shared" si="37"/>
        <v>1</v>
      </c>
      <c r="K328" s="137"/>
      <c r="L328" s="137"/>
      <c r="M328" s="137"/>
      <c r="N328" s="138"/>
      <c r="O328" s="167"/>
      <c r="P328" s="111"/>
      <c r="Q328" s="111"/>
      <c r="R328" s="111"/>
      <c r="S328" s="111"/>
      <c r="T328" s="111"/>
      <c r="U328" s="111"/>
      <c r="V328" s="111"/>
      <c r="W328" s="111"/>
      <c r="X328" s="111"/>
      <c r="Y328" s="111"/>
      <c r="Z328" s="111"/>
      <c r="AA328" s="111"/>
    </row>
    <row r="329" spans="1:27" s="118" customFormat="1" x14ac:dyDescent="0.2">
      <c r="A329" s="6"/>
      <c r="B329" s="6"/>
      <c r="C329" s="156"/>
      <c r="D329" s="108"/>
      <c r="E329" s="148"/>
      <c r="F329" s="253"/>
      <c r="G329" s="253"/>
      <c r="H329" s="253"/>
      <c r="I329" s="246" t="str">
        <f>"Total item "&amp;A324</f>
        <v>Total item 5.1.4</v>
      </c>
      <c r="J329" s="261">
        <f>SUM(J325:J328)</f>
        <v>4</v>
      </c>
      <c r="K329" s="137"/>
      <c r="L329" s="137"/>
      <c r="M329" s="137"/>
      <c r="N329" s="138"/>
      <c r="O329" s="167"/>
      <c r="P329" s="111"/>
      <c r="Q329" s="111"/>
      <c r="R329" s="111"/>
      <c r="S329" s="111"/>
      <c r="T329" s="111"/>
      <c r="U329" s="111"/>
      <c r="V329" s="111"/>
      <c r="W329" s="111"/>
      <c r="X329" s="111"/>
      <c r="Y329" s="111"/>
      <c r="Z329" s="111"/>
      <c r="AA329" s="111"/>
    </row>
    <row r="330" spans="1:27" s="139" customFormat="1" x14ac:dyDescent="0.2">
      <c r="A330" s="6"/>
      <c r="B330" s="6"/>
      <c r="C330" s="7"/>
      <c r="D330" s="116"/>
      <c r="E330" s="6"/>
      <c r="F330" s="258"/>
      <c r="G330" s="258"/>
      <c r="H330" s="258"/>
      <c r="I330" s="246"/>
      <c r="J330" s="258"/>
      <c r="K330" s="137"/>
      <c r="L330" s="137"/>
      <c r="M330" s="137"/>
      <c r="N330" s="138"/>
      <c r="O330" s="283"/>
      <c r="P330" s="120"/>
      <c r="Q330" s="120"/>
      <c r="R330" s="120"/>
      <c r="S330" s="120"/>
      <c r="T330" s="120"/>
      <c r="U330" s="120"/>
      <c r="V330" s="120"/>
      <c r="W330" s="120"/>
      <c r="X330" s="120"/>
      <c r="Y330" s="120"/>
      <c r="Z330" s="120"/>
      <c r="AA330" s="120"/>
    </row>
    <row r="331" spans="1:27" s="147" customFormat="1" ht="30.6" x14ac:dyDescent="0.2">
      <c r="A331" s="9" t="s">
        <v>753</v>
      </c>
      <c r="B331" s="9" t="s">
        <v>179</v>
      </c>
      <c r="C331" s="13" t="s">
        <v>672</v>
      </c>
      <c r="D331" s="113" t="s">
        <v>567</v>
      </c>
      <c r="E331" s="9" t="s">
        <v>33</v>
      </c>
      <c r="F331" s="261"/>
      <c r="G331" s="261"/>
      <c r="H331" s="261"/>
      <c r="I331" s="245"/>
      <c r="J331" s="261"/>
      <c r="K331" s="131">
        <f>J342</f>
        <v>42</v>
      </c>
      <c r="L331" s="131">
        <f>'COMPOSICOES - SINAPI COM DESON'!G50</f>
        <v>104.48</v>
      </c>
      <c r="M331" s="131">
        <f>ROUND(L331*(1+$Q$7),2)</f>
        <v>132.19999999999999</v>
      </c>
      <c r="N331" s="133">
        <f>TRUNC(K331*M331,2)</f>
        <v>5552.4</v>
      </c>
      <c r="O331" s="286"/>
      <c r="P331" s="146"/>
      <c r="Q331" s="146"/>
      <c r="R331" s="146"/>
      <c r="S331" s="146"/>
      <c r="T331" s="146"/>
      <c r="U331" s="146"/>
      <c r="V331" s="146"/>
      <c r="W331" s="146"/>
      <c r="X331" s="146"/>
      <c r="Y331" s="146"/>
      <c r="Z331" s="146"/>
      <c r="AA331" s="146"/>
    </row>
    <row r="332" spans="1:27" s="118" customFormat="1" x14ac:dyDescent="0.2">
      <c r="A332" s="6"/>
      <c r="B332" s="6"/>
      <c r="C332" s="155"/>
      <c r="D332" s="2" t="s">
        <v>63</v>
      </c>
      <c r="E332" s="170"/>
      <c r="F332" s="253">
        <v>2</v>
      </c>
      <c r="G332" s="253"/>
      <c r="H332" s="253"/>
      <c r="I332" s="246"/>
      <c r="J332" s="253">
        <f t="shared" ref="J332:J334" si="38">ROUND(PRODUCT(F332:I332),2)</f>
        <v>2</v>
      </c>
      <c r="K332" s="137"/>
      <c r="L332" s="137"/>
      <c r="M332" s="137"/>
      <c r="N332" s="138"/>
      <c r="O332" s="167"/>
      <c r="P332" s="111"/>
      <c r="Q332" s="111"/>
      <c r="R332" s="111"/>
      <c r="S332" s="111"/>
      <c r="T332" s="111"/>
      <c r="U332" s="111"/>
      <c r="V332" s="111"/>
      <c r="W332" s="111"/>
      <c r="X332" s="111"/>
      <c r="Y332" s="111"/>
      <c r="Z332" s="111"/>
      <c r="AA332" s="111"/>
    </row>
    <row r="333" spans="1:27" s="118" customFormat="1" x14ac:dyDescent="0.2">
      <c r="A333" s="6"/>
      <c r="B333" s="6"/>
      <c r="C333" s="155"/>
      <c r="D333" s="2" t="s">
        <v>467</v>
      </c>
      <c r="E333" s="170"/>
      <c r="F333" s="253">
        <v>2</v>
      </c>
      <c r="G333" s="253"/>
      <c r="H333" s="253"/>
      <c r="I333" s="246"/>
      <c r="J333" s="253">
        <f t="shared" si="38"/>
        <v>2</v>
      </c>
      <c r="K333" s="137"/>
      <c r="L333" s="137"/>
      <c r="M333" s="137"/>
      <c r="N333" s="138"/>
      <c r="O333" s="167"/>
      <c r="P333" s="111"/>
      <c r="Q333" s="111"/>
      <c r="R333" s="111"/>
      <c r="S333" s="111"/>
      <c r="T333" s="111"/>
      <c r="U333" s="111"/>
      <c r="V333" s="111"/>
      <c r="W333" s="111"/>
      <c r="X333" s="111"/>
      <c r="Y333" s="111"/>
      <c r="Z333" s="111"/>
      <c r="AA333" s="111"/>
    </row>
    <row r="334" spans="1:27" s="118" customFormat="1" x14ac:dyDescent="0.2">
      <c r="A334" s="6"/>
      <c r="B334" s="6"/>
      <c r="C334" s="155"/>
      <c r="D334" s="2" t="s">
        <v>481</v>
      </c>
      <c r="E334" s="170"/>
      <c r="F334" s="253">
        <v>2</v>
      </c>
      <c r="G334" s="253"/>
      <c r="H334" s="253"/>
      <c r="I334" s="246"/>
      <c r="J334" s="253">
        <f t="shared" si="38"/>
        <v>2</v>
      </c>
      <c r="K334" s="137"/>
      <c r="L334" s="137"/>
      <c r="M334" s="137"/>
      <c r="N334" s="138"/>
      <c r="O334" s="167"/>
      <c r="P334" s="111"/>
      <c r="Q334" s="111"/>
      <c r="R334" s="111"/>
      <c r="S334" s="111"/>
      <c r="T334" s="111"/>
      <c r="U334" s="111"/>
      <c r="V334" s="111"/>
      <c r="W334" s="111"/>
      <c r="X334" s="111"/>
      <c r="Y334" s="111"/>
      <c r="Z334" s="111"/>
      <c r="AA334" s="111"/>
    </row>
    <row r="335" spans="1:27" s="118" customFormat="1" x14ac:dyDescent="0.2">
      <c r="A335" s="6"/>
      <c r="B335" s="6"/>
      <c r="C335" s="155"/>
      <c r="D335" s="2" t="s">
        <v>266</v>
      </c>
      <c r="E335" s="148"/>
      <c r="F335" s="253">
        <v>5</v>
      </c>
      <c r="G335" s="253"/>
      <c r="H335" s="253"/>
      <c r="I335" s="246"/>
      <c r="J335" s="253">
        <f t="shared" ref="J335:J341" si="39">ROUND(PRODUCT(F335:I335),2)</f>
        <v>5</v>
      </c>
      <c r="K335" s="137"/>
      <c r="L335" s="137"/>
      <c r="M335" s="137"/>
      <c r="N335" s="138"/>
      <c r="O335" s="167"/>
      <c r="P335" s="111"/>
      <c r="Q335" s="111"/>
      <c r="R335" s="111"/>
      <c r="S335" s="111"/>
      <c r="T335" s="111"/>
      <c r="U335" s="111"/>
      <c r="V335" s="111"/>
      <c r="W335" s="111"/>
      <c r="X335" s="111"/>
      <c r="Y335" s="111"/>
      <c r="Z335" s="111"/>
      <c r="AA335" s="111"/>
    </row>
    <row r="336" spans="1:27" s="118" customFormat="1" x14ac:dyDescent="0.2">
      <c r="A336" s="6"/>
      <c r="B336" s="6"/>
      <c r="C336" s="155"/>
      <c r="D336" s="2" t="s">
        <v>256</v>
      </c>
      <c r="E336" s="148"/>
      <c r="F336" s="253">
        <v>4</v>
      </c>
      <c r="G336" s="253"/>
      <c r="H336" s="253"/>
      <c r="I336" s="246"/>
      <c r="J336" s="253">
        <f t="shared" si="39"/>
        <v>4</v>
      </c>
      <c r="K336" s="137"/>
      <c r="L336" s="137"/>
      <c r="M336" s="137"/>
      <c r="N336" s="138"/>
      <c r="O336" s="167"/>
      <c r="P336" s="111"/>
      <c r="Q336" s="111"/>
      <c r="R336" s="111"/>
      <c r="S336" s="111"/>
      <c r="T336" s="111"/>
      <c r="U336" s="111"/>
      <c r="V336" s="111"/>
      <c r="W336" s="111"/>
      <c r="X336" s="111"/>
      <c r="Y336" s="111"/>
      <c r="Z336" s="111"/>
      <c r="AA336" s="111"/>
    </row>
    <row r="337" spans="1:27" s="118" customFormat="1" x14ac:dyDescent="0.2">
      <c r="A337" s="6"/>
      <c r="B337" s="6"/>
      <c r="C337" s="155"/>
      <c r="D337" s="2" t="s">
        <v>243</v>
      </c>
      <c r="E337" s="148"/>
      <c r="F337" s="253">
        <v>5</v>
      </c>
      <c r="G337" s="253"/>
      <c r="H337" s="253"/>
      <c r="I337" s="246"/>
      <c r="J337" s="253">
        <f t="shared" si="39"/>
        <v>5</v>
      </c>
      <c r="K337" s="137"/>
      <c r="L337" s="137"/>
      <c r="M337" s="137"/>
      <c r="N337" s="138"/>
      <c r="O337" s="167"/>
      <c r="P337" s="111"/>
      <c r="Q337" s="111"/>
      <c r="R337" s="111"/>
      <c r="S337" s="111"/>
      <c r="T337" s="111"/>
      <c r="U337" s="111"/>
      <c r="V337" s="111"/>
      <c r="W337" s="111"/>
      <c r="X337" s="111"/>
      <c r="Y337" s="111"/>
      <c r="Z337" s="111"/>
      <c r="AA337" s="111"/>
    </row>
    <row r="338" spans="1:27" s="118" customFormat="1" x14ac:dyDescent="0.2">
      <c r="A338" s="6"/>
      <c r="B338" s="6"/>
      <c r="C338" s="155"/>
      <c r="D338" s="2" t="s">
        <v>242</v>
      </c>
      <c r="E338" s="148"/>
      <c r="F338" s="253">
        <v>3</v>
      </c>
      <c r="G338" s="253"/>
      <c r="H338" s="253"/>
      <c r="I338" s="246"/>
      <c r="J338" s="253">
        <f t="shared" ref="J338" si="40">ROUND(PRODUCT(F338:I338),2)</f>
        <v>3</v>
      </c>
      <c r="K338" s="137"/>
      <c r="L338" s="137"/>
      <c r="M338" s="137"/>
      <c r="N338" s="138"/>
      <c r="O338" s="167"/>
      <c r="P338" s="111"/>
      <c r="Q338" s="111"/>
      <c r="R338" s="111"/>
      <c r="S338" s="111"/>
      <c r="T338" s="111"/>
      <c r="U338" s="111"/>
      <c r="V338" s="111"/>
      <c r="W338" s="111"/>
      <c r="X338" s="111"/>
      <c r="Y338" s="111"/>
      <c r="Z338" s="111"/>
      <c r="AA338" s="111"/>
    </row>
    <row r="339" spans="1:27" s="118" customFormat="1" x14ac:dyDescent="0.2">
      <c r="A339" s="6"/>
      <c r="B339" s="6"/>
      <c r="C339" s="155"/>
      <c r="D339" s="2" t="s">
        <v>257</v>
      </c>
      <c r="E339" s="148"/>
      <c r="F339" s="253">
        <v>2</v>
      </c>
      <c r="G339" s="253"/>
      <c r="H339" s="253"/>
      <c r="I339" s="246"/>
      <c r="J339" s="253">
        <f t="shared" si="39"/>
        <v>2</v>
      </c>
      <c r="K339" s="137"/>
      <c r="L339" s="137"/>
      <c r="M339" s="137"/>
      <c r="N339" s="138"/>
      <c r="O339" s="167"/>
      <c r="P339" s="111"/>
      <c r="Q339" s="111"/>
      <c r="R339" s="111"/>
      <c r="S339" s="111"/>
      <c r="T339" s="111"/>
      <c r="U339" s="111"/>
      <c r="V339" s="111"/>
      <c r="W339" s="111"/>
      <c r="X339" s="111"/>
      <c r="Y339" s="111"/>
      <c r="Z339" s="111"/>
      <c r="AA339" s="111"/>
    </row>
    <row r="340" spans="1:27" s="118" customFormat="1" x14ac:dyDescent="0.2">
      <c r="A340" s="6"/>
      <c r="B340" s="6"/>
      <c r="C340" s="155"/>
      <c r="D340" s="2" t="s">
        <v>253</v>
      </c>
      <c r="E340" s="148"/>
      <c r="F340" s="253">
        <v>7</v>
      </c>
      <c r="G340" s="253"/>
      <c r="H340" s="253"/>
      <c r="I340" s="246"/>
      <c r="J340" s="253">
        <f t="shared" si="39"/>
        <v>7</v>
      </c>
      <c r="K340" s="137"/>
      <c r="L340" s="137"/>
      <c r="M340" s="137"/>
      <c r="N340" s="138"/>
      <c r="O340" s="167"/>
      <c r="P340" s="111"/>
      <c r="Q340" s="111"/>
      <c r="R340" s="111"/>
      <c r="S340" s="111"/>
      <c r="T340" s="111"/>
      <c r="U340" s="111"/>
      <c r="V340" s="111"/>
      <c r="W340" s="111"/>
      <c r="X340" s="111"/>
      <c r="Y340" s="111"/>
      <c r="Z340" s="111"/>
      <c r="AA340" s="111"/>
    </row>
    <row r="341" spans="1:27" s="118" customFormat="1" x14ac:dyDescent="0.2">
      <c r="A341" s="6"/>
      <c r="B341" s="6"/>
      <c r="C341" s="155"/>
      <c r="D341" s="2" t="s">
        <v>482</v>
      </c>
      <c r="E341" s="170"/>
      <c r="F341" s="253">
        <v>10</v>
      </c>
      <c r="G341" s="253"/>
      <c r="H341" s="253"/>
      <c r="I341" s="246"/>
      <c r="J341" s="253">
        <f t="shared" si="39"/>
        <v>10</v>
      </c>
      <c r="K341" s="137"/>
      <c r="L341" s="137"/>
      <c r="M341" s="137"/>
      <c r="N341" s="138"/>
      <c r="O341" s="167"/>
      <c r="P341" s="111"/>
      <c r="Q341" s="111"/>
      <c r="R341" s="111"/>
      <c r="S341" s="111"/>
      <c r="T341" s="111"/>
      <c r="U341" s="111"/>
      <c r="V341" s="111"/>
      <c r="W341" s="111"/>
      <c r="X341" s="111"/>
      <c r="Y341" s="111"/>
      <c r="Z341" s="111"/>
      <c r="AA341" s="111"/>
    </row>
    <row r="342" spans="1:27" s="118" customFormat="1" x14ac:dyDescent="0.2">
      <c r="A342" s="6"/>
      <c r="B342" s="6"/>
      <c r="C342" s="156"/>
      <c r="D342" s="108"/>
      <c r="E342" s="148"/>
      <c r="F342" s="253"/>
      <c r="G342" s="253"/>
      <c r="H342" s="253"/>
      <c r="I342" s="246" t="str">
        <f>"Total item "&amp;A331</f>
        <v>Total item 5.1.5</v>
      </c>
      <c r="J342" s="261">
        <f>SUM(J332:J341)</f>
        <v>42</v>
      </c>
      <c r="K342" s="137"/>
      <c r="L342" s="137"/>
      <c r="M342" s="137"/>
      <c r="N342" s="138"/>
      <c r="O342" s="167"/>
      <c r="P342" s="111"/>
      <c r="Q342" s="111"/>
      <c r="R342" s="111"/>
      <c r="S342" s="111"/>
      <c r="T342" s="111"/>
      <c r="U342" s="111"/>
      <c r="V342" s="111"/>
      <c r="W342" s="111"/>
      <c r="X342" s="111"/>
      <c r="Y342" s="111"/>
      <c r="Z342" s="111"/>
      <c r="AA342" s="111"/>
    </row>
    <row r="343" spans="1:27" s="139" customFormat="1" x14ac:dyDescent="0.2">
      <c r="A343" s="6"/>
      <c r="B343" s="6"/>
      <c r="C343" s="7"/>
      <c r="D343" s="116"/>
      <c r="E343" s="6"/>
      <c r="F343" s="258"/>
      <c r="G343" s="258"/>
      <c r="H343" s="258"/>
      <c r="I343" s="246"/>
      <c r="J343" s="258"/>
      <c r="K343" s="137"/>
      <c r="L343" s="137"/>
      <c r="M343" s="137"/>
      <c r="N343" s="138"/>
      <c r="O343" s="283"/>
      <c r="P343" s="120"/>
      <c r="Q343" s="120"/>
      <c r="R343" s="120"/>
      <c r="S343" s="120"/>
      <c r="T343" s="120"/>
      <c r="U343" s="120"/>
      <c r="V343" s="120"/>
      <c r="W343" s="120"/>
      <c r="X343" s="120"/>
      <c r="Y343" s="120"/>
      <c r="Z343" s="120"/>
      <c r="AA343" s="120"/>
    </row>
    <row r="344" spans="1:27" s="147" customFormat="1" ht="30.6" x14ac:dyDescent="0.2">
      <c r="A344" s="9" t="s">
        <v>754</v>
      </c>
      <c r="B344" s="9" t="s">
        <v>163</v>
      </c>
      <c r="C344" s="13" t="s">
        <v>240</v>
      </c>
      <c r="D344" s="113" t="s">
        <v>403</v>
      </c>
      <c r="E344" s="9" t="s">
        <v>31</v>
      </c>
      <c r="F344" s="261"/>
      <c r="G344" s="261"/>
      <c r="H344" s="261"/>
      <c r="I344" s="245"/>
      <c r="J344" s="261"/>
      <c r="K344" s="131">
        <f>J346</f>
        <v>21</v>
      </c>
      <c r="L344" s="131">
        <v>73.44</v>
      </c>
      <c r="M344" s="131">
        <f>ROUND(L344*(1+$Q$7),2)</f>
        <v>92.92</v>
      </c>
      <c r="N344" s="133">
        <f>TRUNC(K344*M344,2)</f>
        <v>1951.32</v>
      </c>
      <c r="O344" s="286"/>
      <c r="P344" s="146"/>
      <c r="Q344" s="146"/>
      <c r="R344" s="146"/>
      <c r="S344" s="146"/>
      <c r="T344" s="146"/>
      <c r="U344" s="146"/>
      <c r="V344" s="146"/>
      <c r="W344" s="146"/>
      <c r="X344" s="146"/>
      <c r="Y344" s="146"/>
      <c r="Z344" s="146"/>
      <c r="AA344" s="146"/>
    </row>
    <row r="345" spans="1:27" s="118" customFormat="1" x14ac:dyDescent="0.2">
      <c r="A345" s="6"/>
      <c r="B345" s="6"/>
      <c r="C345" s="155"/>
      <c r="D345" s="2" t="s">
        <v>757</v>
      </c>
      <c r="E345" s="170"/>
      <c r="F345" s="253">
        <f>J342/2</f>
        <v>21</v>
      </c>
      <c r="G345" s="253"/>
      <c r="H345" s="253"/>
      <c r="I345" s="246"/>
      <c r="J345" s="253">
        <f t="shared" ref="J345" si="41">ROUND(PRODUCT(F345:I345),2)</f>
        <v>21</v>
      </c>
      <c r="K345" s="137"/>
      <c r="L345" s="137"/>
      <c r="M345" s="137"/>
      <c r="N345" s="138"/>
      <c r="O345" s="167"/>
      <c r="P345" s="111"/>
      <c r="Q345" s="111"/>
      <c r="R345" s="111"/>
      <c r="S345" s="111"/>
      <c r="T345" s="111"/>
      <c r="U345" s="111"/>
      <c r="V345" s="111"/>
      <c r="W345" s="111"/>
      <c r="X345" s="111"/>
      <c r="Y345" s="111"/>
      <c r="Z345" s="111"/>
      <c r="AA345" s="111"/>
    </row>
    <row r="346" spans="1:27" s="118" customFormat="1" x14ac:dyDescent="0.2">
      <c r="A346" s="6"/>
      <c r="B346" s="6"/>
      <c r="C346" s="156"/>
      <c r="D346" s="108"/>
      <c r="E346" s="148"/>
      <c r="F346" s="253"/>
      <c r="G346" s="253"/>
      <c r="H346" s="253"/>
      <c r="I346" s="246" t="str">
        <f>"Total item "&amp;A344</f>
        <v>Total item 5.1.6</v>
      </c>
      <c r="J346" s="261">
        <f>SUM(J345:J345)</f>
        <v>21</v>
      </c>
      <c r="K346" s="137"/>
      <c r="L346" s="137"/>
      <c r="M346" s="137"/>
      <c r="N346" s="138"/>
      <c r="O346" s="167"/>
      <c r="P346" s="111"/>
      <c r="Q346" s="111"/>
      <c r="R346" s="111"/>
      <c r="S346" s="111"/>
      <c r="T346" s="111"/>
      <c r="U346" s="111"/>
      <c r="V346" s="111"/>
      <c r="W346" s="111"/>
      <c r="X346" s="111"/>
      <c r="Y346" s="111"/>
      <c r="Z346" s="111"/>
      <c r="AA346" s="111"/>
    </row>
    <row r="347" spans="1:27" s="139" customFormat="1" x14ac:dyDescent="0.2">
      <c r="A347" s="6"/>
      <c r="B347" s="6"/>
      <c r="C347" s="7"/>
      <c r="D347" s="116"/>
      <c r="E347" s="6"/>
      <c r="F347" s="258"/>
      <c r="G347" s="258"/>
      <c r="H347" s="258"/>
      <c r="I347" s="246"/>
      <c r="J347" s="258"/>
      <c r="K347" s="137"/>
      <c r="L347" s="137"/>
      <c r="M347" s="137"/>
      <c r="N347" s="138"/>
      <c r="O347" s="283"/>
      <c r="P347" s="120"/>
      <c r="Q347" s="120"/>
      <c r="R347" s="120"/>
      <c r="S347" s="120"/>
      <c r="T347" s="120"/>
      <c r="U347" s="120"/>
      <c r="V347" s="120"/>
      <c r="W347" s="120"/>
      <c r="X347" s="120"/>
      <c r="Y347" s="120"/>
      <c r="Z347" s="120"/>
      <c r="AA347" s="120"/>
    </row>
    <row r="348" spans="1:27" s="147" customFormat="1" ht="40.799999999999997" x14ac:dyDescent="0.2">
      <c r="A348" s="9" t="s">
        <v>755</v>
      </c>
      <c r="B348" s="9" t="s">
        <v>163</v>
      </c>
      <c r="C348" s="13" t="s">
        <v>188</v>
      </c>
      <c r="D348" s="113" t="s">
        <v>719</v>
      </c>
      <c r="E348" s="9" t="s">
        <v>33</v>
      </c>
      <c r="F348" s="261"/>
      <c r="G348" s="261"/>
      <c r="H348" s="261"/>
      <c r="I348" s="245"/>
      <c r="J348" s="261"/>
      <c r="K348" s="131">
        <f>J350</f>
        <v>1</v>
      </c>
      <c r="L348" s="131">
        <v>65.69</v>
      </c>
      <c r="M348" s="131">
        <f>ROUND(L348*(1+$Q$7),2)</f>
        <v>83.12</v>
      </c>
      <c r="N348" s="133">
        <f>TRUNC(K348*M348,2)</f>
        <v>83.12</v>
      </c>
      <c r="O348" s="286"/>
      <c r="P348" s="146"/>
      <c r="Q348" s="146"/>
      <c r="R348" s="146"/>
      <c r="S348" s="146"/>
      <c r="T348" s="146"/>
      <c r="U348" s="146"/>
      <c r="V348" s="146"/>
      <c r="W348" s="146"/>
      <c r="X348" s="146"/>
      <c r="Y348" s="146"/>
      <c r="Z348" s="146"/>
      <c r="AA348" s="146"/>
    </row>
    <row r="349" spans="1:27" s="118" customFormat="1" x14ac:dyDescent="0.2">
      <c r="A349" s="10"/>
      <c r="B349" s="6"/>
      <c r="C349" s="6"/>
      <c r="D349" s="2"/>
      <c r="E349" s="148"/>
      <c r="F349" s="253">
        <v>1</v>
      </c>
      <c r="G349" s="253"/>
      <c r="H349" s="253"/>
      <c r="I349" s="246"/>
      <c r="J349" s="253">
        <f>ROUND(PRODUCT(F349:I349),2)</f>
        <v>1</v>
      </c>
      <c r="K349" s="137"/>
      <c r="L349" s="137"/>
      <c r="M349" s="137"/>
      <c r="N349" s="138"/>
      <c r="O349" s="167"/>
      <c r="P349" s="111"/>
      <c r="Q349" s="111"/>
      <c r="R349" s="111"/>
      <c r="S349" s="111"/>
      <c r="T349" s="111"/>
      <c r="U349" s="111"/>
      <c r="V349" s="111"/>
      <c r="W349" s="111"/>
      <c r="X349" s="111"/>
      <c r="Y349" s="111"/>
      <c r="Z349" s="111"/>
      <c r="AA349" s="111"/>
    </row>
    <row r="350" spans="1:27" s="118" customFormat="1" x14ac:dyDescent="0.2">
      <c r="A350" s="10"/>
      <c r="B350" s="6"/>
      <c r="C350" s="156"/>
      <c r="D350" s="108"/>
      <c r="E350" s="148"/>
      <c r="F350" s="253"/>
      <c r="G350" s="253"/>
      <c r="H350" s="253"/>
      <c r="I350" s="246" t="str">
        <f>"Total item "&amp;A348</f>
        <v>Total item 5.1.7</v>
      </c>
      <c r="J350" s="261">
        <f>SUM(J349:J349)</f>
        <v>1</v>
      </c>
      <c r="K350" s="137"/>
      <c r="L350" s="137"/>
      <c r="M350" s="137"/>
      <c r="N350" s="138"/>
      <c r="O350" s="167"/>
      <c r="P350" s="111"/>
      <c r="Q350" s="111"/>
      <c r="R350" s="111"/>
      <c r="S350" s="111"/>
      <c r="T350" s="111"/>
      <c r="U350" s="111"/>
      <c r="V350" s="111"/>
      <c r="W350" s="111"/>
      <c r="X350" s="111"/>
      <c r="Y350" s="111"/>
      <c r="Z350" s="111"/>
      <c r="AA350" s="111"/>
    </row>
    <row r="351" spans="1:27" s="118" customFormat="1" x14ac:dyDescent="0.2">
      <c r="A351" s="10"/>
      <c r="B351" s="6"/>
      <c r="C351" s="155"/>
      <c r="D351" s="108"/>
      <c r="E351" s="148"/>
      <c r="F351" s="253"/>
      <c r="G351" s="253"/>
      <c r="H351" s="253"/>
      <c r="I351" s="246"/>
      <c r="J351" s="258"/>
      <c r="K351" s="137"/>
      <c r="L351" s="137"/>
      <c r="M351" s="137"/>
      <c r="N351" s="138"/>
      <c r="O351" s="167"/>
      <c r="P351" s="111"/>
      <c r="Q351" s="111"/>
      <c r="R351" s="111"/>
      <c r="S351" s="111"/>
      <c r="T351" s="111"/>
      <c r="U351" s="111"/>
      <c r="V351" s="111"/>
      <c r="W351" s="111"/>
      <c r="X351" s="111"/>
      <c r="Y351" s="111"/>
      <c r="Z351" s="111"/>
      <c r="AA351" s="111"/>
    </row>
    <row r="352" spans="1:27" s="147" customFormat="1" ht="30.6" x14ac:dyDescent="0.2">
      <c r="A352" s="9" t="s">
        <v>756</v>
      </c>
      <c r="B352" s="9" t="s">
        <v>163</v>
      </c>
      <c r="C352" s="13" t="s">
        <v>190</v>
      </c>
      <c r="D352" s="113" t="s">
        <v>290</v>
      </c>
      <c r="E352" s="9" t="s">
        <v>33</v>
      </c>
      <c r="F352" s="261"/>
      <c r="G352" s="261"/>
      <c r="H352" s="261"/>
      <c r="I352" s="245"/>
      <c r="J352" s="261"/>
      <c r="K352" s="131">
        <f>J354</f>
        <v>6</v>
      </c>
      <c r="L352" s="131">
        <v>14.55</v>
      </c>
      <c r="M352" s="131">
        <f>ROUND(L352*(1+$Q$7),2)</f>
        <v>18.41</v>
      </c>
      <c r="N352" s="133">
        <f>TRUNC(K352*M352,2)</f>
        <v>110.46</v>
      </c>
      <c r="O352" s="286"/>
      <c r="P352" s="146"/>
      <c r="Q352" s="146"/>
      <c r="R352" s="146"/>
      <c r="S352" s="146"/>
      <c r="T352" s="146"/>
      <c r="U352" s="146"/>
      <c r="V352" s="146"/>
      <c r="W352" s="146"/>
      <c r="X352" s="146"/>
      <c r="Y352" s="146"/>
      <c r="Z352" s="146"/>
      <c r="AA352" s="146"/>
    </row>
    <row r="353" spans="1:28" s="118" customFormat="1" x14ac:dyDescent="0.2">
      <c r="A353" s="6"/>
      <c r="B353" s="6"/>
      <c r="C353" s="6"/>
      <c r="D353" s="2"/>
      <c r="E353" s="148"/>
      <c r="F353" s="253">
        <v>6</v>
      </c>
      <c r="G353" s="253"/>
      <c r="H353" s="253"/>
      <c r="I353" s="246"/>
      <c r="J353" s="253">
        <f>ROUND(PRODUCT(F353:I353),2)</f>
        <v>6</v>
      </c>
      <c r="K353" s="137"/>
      <c r="L353" s="137"/>
      <c r="M353" s="137"/>
      <c r="N353" s="138"/>
      <c r="O353" s="167"/>
      <c r="P353" s="111"/>
      <c r="Q353" s="111"/>
      <c r="R353" s="111"/>
      <c r="S353" s="111"/>
      <c r="T353" s="111"/>
      <c r="U353" s="111"/>
      <c r="V353" s="111"/>
      <c r="W353" s="111"/>
      <c r="X353" s="111"/>
      <c r="Y353" s="111"/>
      <c r="Z353" s="111"/>
      <c r="AA353" s="111"/>
    </row>
    <row r="354" spans="1:28" s="118" customFormat="1" x14ac:dyDescent="0.2">
      <c r="A354" s="6"/>
      <c r="B354" s="6"/>
      <c r="C354" s="156"/>
      <c r="D354" s="108"/>
      <c r="E354" s="148"/>
      <c r="F354" s="253"/>
      <c r="G354" s="253"/>
      <c r="H354" s="253"/>
      <c r="I354" s="246" t="str">
        <f>"Total item "&amp;A352</f>
        <v>Total item 5.1.8</v>
      </c>
      <c r="J354" s="261">
        <f>SUM(J353:J353)</f>
        <v>6</v>
      </c>
      <c r="K354" s="137"/>
      <c r="L354" s="137"/>
      <c r="M354" s="137"/>
      <c r="N354" s="138"/>
      <c r="O354" s="167"/>
      <c r="P354" s="111"/>
      <c r="Q354" s="111"/>
      <c r="R354" s="111"/>
      <c r="S354" s="111"/>
      <c r="T354" s="111"/>
      <c r="U354" s="111"/>
      <c r="V354" s="111"/>
      <c r="W354" s="111"/>
      <c r="X354" s="111"/>
      <c r="Y354" s="111"/>
      <c r="Z354" s="111"/>
      <c r="AA354" s="111"/>
    </row>
    <row r="355" spans="1:28" s="118" customFormat="1" x14ac:dyDescent="0.2">
      <c r="A355" s="6"/>
      <c r="B355" s="6"/>
      <c r="C355" s="155"/>
      <c r="D355" s="108"/>
      <c r="E355" s="148"/>
      <c r="F355" s="253"/>
      <c r="G355" s="253"/>
      <c r="H355" s="253"/>
      <c r="I355" s="246"/>
      <c r="J355" s="258"/>
      <c r="K355" s="137"/>
      <c r="L355" s="137"/>
      <c r="M355" s="137"/>
      <c r="N355" s="138"/>
      <c r="O355" s="167"/>
      <c r="P355" s="111"/>
      <c r="Q355" s="111"/>
      <c r="R355" s="111"/>
      <c r="S355" s="111"/>
      <c r="T355" s="111"/>
      <c r="U355" s="111"/>
      <c r="V355" s="111"/>
      <c r="W355" s="111"/>
      <c r="X355" s="111"/>
      <c r="Y355" s="111"/>
      <c r="Z355" s="111"/>
      <c r="AA355" s="111"/>
    </row>
    <row r="356" spans="1:28" s="145" customFormat="1" x14ac:dyDescent="0.2">
      <c r="A356" s="140" t="s">
        <v>21</v>
      </c>
      <c r="B356" s="140"/>
      <c r="C356" s="141"/>
      <c r="D356" s="112" t="s">
        <v>80</v>
      </c>
      <c r="E356" s="140"/>
      <c r="F356" s="260"/>
      <c r="G356" s="260"/>
      <c r="H356" s="260"/>
      <c r="I356" s="248"/>
      <c r="J356" s="260"/>
      <c r="K356" s="142"/>
      <c r="L356" s="142"/>
      <c r="M356" s="142"/>
      <c r="N356" s="143">
        <f>SUM(N358:N362)</f>
        <v>4663.41</v>
      </c>
      <c r="O356" s="285"/>
      <c r="P356" s="144"/>
      <c r="Q356" s="144"/>
      <c r="R356" s="144"/>
      <c r="S356" s="144"/>
      <c r="T356" s="144"/>
      <c r="U356" s="144"/>
      <c r="V356" s="144"/>
      <c r="W356" s="144"/>
      <c r="X356" s="144"/>
      <c r="Y356" s="144"/>
      <c r="Z356" s="144"/>
      <c r="AA356" s="144"/>
    </row>
    <row r="357" spans="1:28" s="118" customFormat="1" x14ac:dyDescent="0.2">
      <c r="A357" s="6"/>
      <c r="B357" s="6"/>
      <c r="C357" s="14"/>
      <c r="D357" s="108"/>
      <c r="E357" s="148"/>
      <c r="F357" s="253"/>
      <c r="G357" s="253"/>
      <c r="H357" s="253"/>
      <c r="I357" s="246"/>
      <c r="J357" s="262"/>
      <c r="K357" s="137"/>
      <c r="L357" s="137"/>
      <c r="M357" s="137"/>
      <c r="N357" s="138"/>
      <c r="O357" s="167"/>
      <c r="P357" s="111"/>
      <c r="Q357" s="111"/>
      <c r="R357" s="111"/>
      <c r="S357" s="111"/>
      <c r="T357" s="111"/>
      <c r="U357" s="111"/>
      <c r="V357" s="111"/>
      <c r="W357" s="111"/>
      <c r="X357" s="111"/>
      <c r="Y357" s="111"/>
      <c r="Z357" s="111"/>
      <c r="AA357" s="111"/>
    </row>
    <row r="358" spans="1:28" s="147" customFormat="1" ht="10.5" customHeight="1" x14ac:dyDescent="0.2">
      <c r="A358" s="9" t="s">
        <v>604</v>
      </c>
      <c r="B358" s="9" t="s">
        <v>89</v>
      </c>
      <c r="C358" s="13" t="s">
        <v>316</v>
      </c>
      <c r="D358" s="109" t="s">
        <v>317</v>
      </c>
      <c r="E358" s="9" t="s">
        <v>9</v>
      </c>
      <c r="F358" s="261"/>
      <c r="G358" s="261"/>
      <c r="H358" s="261"/>
      <c r="I358" s="245"/>
      <c r="J358" s="261"/>
      <c r="K358" s="131">
        <f>J361</f>
        <v>636.21</v>
      </c>
      <c r="L358" s="131">
        <f>'COMPOSICOES - SINAPI COM DESON'!G18</f>
        <v>5.79</v>
      </c>
      <c r="M358" s="131">
        <f>ROUND(L358*(1+$Q$7),2)</f>
        <v>7.33</v>
      </c>
      <c r="N358" s="133">
        <f>TRUNC(K358*M358,2)</f>
        <v>4663.41</v>
      </c>
      <c r="O358" s="286"/>
      <c r="P358" s="146"/>
      <c r="Q358" s="120"/>
      <c r="R358" s="146"/>
      <c r="S358" s="146"/>
      <c r="T358" s="146"/>
      <c r="U358" s="146"/>
      <c r="V358" s="146"/>
      <c r="W358" s="146"/>
      <c r="X358" s="146"/>
      <c r="Y358" s="146"/>
      <c r="Z358" s="146"/>
      <c r="AA358" s="146"/>
      <c r="AB358" s="146"/>
    </row>
    <row r="359" spans="1:28" s="118" customFormat="1" x14ac:dyDescent="0.2">
      <c r="A359" s="6"/>
      <c r="B359" s="6"/>
      <c r="C359" s="155"/>
      <c r="D359" s="2"/>
      <c r="E359" s="148"/>
      <c r="F359" s="253">
        <v>2</v>
      </c>
      <c r="G359" s="253">
        <v>15.75</v>
      </c>
      <c r="H359" s="253">
        <v>6.3</v>
      </c>
      <c r="I359" s="246"/>
      <c r="J359" s="253">
        <f t="shared" ref="J359:J360" si="42">ROUND(PRODUCT(F359:I359),2)</f>
        <v>198.45</v>
      </c>
      <c r="K359" s="137"/>
      <c r="L359" s="137"/>
      <c r="M359" s="137"/>
      <c r="N359" s="138"/>
      <c r="O359" s="167"/>
      <c r="P359" s="111"/>
      <c r="Q359" s="120"/>
      <c r="R359" s="111"/>
      <c r="S359" s="111"/>
      <c r="T359" s="111"/>
      <c r="U359" s="111"/>
      <c r="V359" s="111"/>
      <c r="W359" s="111"/>
      <c r="X359" s="111"/>
      <c r="Y359" s="111"/>
      <c r="Z359" s="111"/>
      <c r="AA359" s="111"/>
      <c r="AB359" s="111"/>
    </row>
    <row r="360" spans="1:28" s="118" customFormat="1" x14ac:dyDescent="0.2">
      <c r="A360" s="6"/>
      <c r="B360" s="6"/>
      <c r="C360" s="155"/>
      <c r="D360" s="2"/>
      <c r="E360" s="148"/>
      <c r="F360" s="253"/>
      <c r="G360" s="253">
        <v>57.6</v>
      </c>
      <c r="H360" s="253">
        <v>7.6</v>
      </c>
      <c r="I360" s="246"/>
      <c r="J360" s="253">
        <f t="shared" si="42"/>
        <v>437.76</v>
      </c>
      <c r="K360" s="137"/>
      <c r="L360" s="137"/>
      <c r="M360" s="137"/>
      <c r="N360" s="138"/>
      <c r="O360" s="167"/>
      <c r="P360" s="111"/>
      <c r="Q360" s="120"/>
      <c r="R360" s="111"/>
      <c r="S360" s="111"/>
      <c r="T360" s="111"/>
      <c r="U360" s="111"/>
      <c r="V360" s="111"/>
      <c r="W360" s="111"/>
      <c r="X360" s="111"/>
      <c r="Y360" s="111"/>
      <c r="Z360" s="111"/>
      <c r="AA360" s="111"/>
      <c r="AB360" s="111"/>
    </row>
    <row r="361" spans="1:28" s="118" customFormat="1" x14ac:dyDescent="0.2">
      <c r="A361" s="6"/>
      <c r="B361" s="6"/>
      <c r="C361" s="156"/>
      <c r="D361" s="108"/>
      <c r="E361" s="148"/>
      <c r="F361" s="253"/>
      <c r="G361" s="253"/>
      <c r="H361" s="253"/>
      <c r="I361" s="246" t="str">
        <f>"Total item "&amp;A358</f>
        <v>Total item 5.2.1</v>
      </c>
      <c r="J361" s="261">
        <f>SUM(J359:J360)</f>
        <v>636.21</v>
      </c>
      <c r="K361" s="137"/>
      <c r="L361" s="137"/>
      <c r="M361" s="137"/>
      <c r="N361" s="138"/>
      <c r="O361" s="167"/>
      <c r="P361" s="111"/>
      <c r="Q361" s="120"/>
      <c r="R361" s="111"/>
      <c r="S361" s="111"/>
      <c r="T361" s="111"/>
      <c r="U361" s="111"/>
      <c r="V361" s="111"/>
      <c r="W361" s="111"/>
      <c r="X361" s="111"/>
      <c r="Y361" s="111"/>
      <c r="Z361" s="111"/>
      <c r="AA361" s="111"/>
      <c r="AB361" s="111"/>
    </row>
    <row r="362" spans="1:28" s="154" customFormat="1" x14ac:dyDescent="0.2">
      <c r="A362" s="10"/>
      <c r="B362" s="10"/>
      <c r="C362" s="15"/>
      <c r="D362" s="117"/>
      <c r="E362" s="10"/>
      <c r="F362" s="263"/>
      <c r="G362" s="263"/>
      <c r="H362" s="263"/>
      <c r="I362" s="250"/>
      <c r="J362" s="263"/>
      <c r="K362" s="151"/>
      <c r="L362" s="151"/>
      <c r="M362" s="151"/>
      <c r="N362" s="152"/>
      <c r="O362" s="283"/>
      <c r="P362" s="153"/>
      <c r="Q362" s="153"/>
      <c r="R362" s="153"/>
      <c r="S362" s="153"/>
      <c r="T362" s="153"/>
      <c r="U362" s="153"/>
      <c r="V362" s="153"/>
      <c r="W362" s="153"/>
      <c r="X362" s="153"/>
      <c r="Y362" s="153"/>
      <c r="Z362" s="153"/>
      <c r="AA362" s="153"/>
    </row>
    <row r="363" spans="1:28" s="145" customFormat="1" x14ac:dyDescent="0.2">
      <c r="A363" s="140" t="s">
        <v>38</v>
      </c>
      <c r="B363" s="140"/>
      <c r="C363" s="141"/>
      <c r="D363" s="112" t="s">
        <v>28</v>
      </c>
      <c r="E363" s="140"/>
      <c r="F363" s="260"/>
      <c r="G363" s="260"/>
      <c r="H363" s="260"/>
      <c r="I363" s="248"/>
      <c r="J363" s="260"/>
      <c r="K363" s="142"/>
      <c r="L363" s="142"/>
      <c r="M363" s="142"/>
      <c r="N363" s="143">
        <f>SUM(N365:N383)</f>
        <v>6472.2400000000007</v>
      </c>
      <c r="O363" s="285"/>
      <c r="P363" s="144"/>
      <c r="Q363" s="144"/>
      <c r="R363" s="144"/>
      <c r="S363" s="144"/>
      <c r="T363" s="144"/>
      <c r="U363" s="144"/>
      <c r="V363" s="144"/>
      <c r="W363" s="144"/>
      <c r="X363" s="144"/>
      <c r="Y363" s="144"/>
      <c r="Z363" s="144"/>
      <c r="AA363" s="144"/>
    </row>
    <row r="364" spans="1:28" s="118" customFormat="1" x14ac:dyDescent="0.2">
      <c r="A364" s="6"/>
      <c r="B364" s="6"/>
      <c r="C364" s="14"/>
      <c r="D364" s="108"/>
      <c r="E364" s="148"/>
      <c r="F364" s="253"/>
      <c r="G364" s="253"/>
      <c r="H364" s="253"/>
      <c r="I364" s="246"/>
      <c r="J364" s="262"/>
      <c r="K364" s="137"/>
      <c r="L364" s="137"/>
      <c r="M364" s="137"/>
      <c r="N364" s="138"/>
      <c r="O364" s="167"/>
      <c r="P364" s="111"/>
      <c r="Q364" s="111"/>
      <c r="R364" s="111"/>
      <c r="S364" s="111"/>
      <c r="T364" s="111"/>
      <c r="U364" s="111"/>
      <c r="V364" s="111"/>
      <c r="W364" s="111"/>
      <c r="X364" s="111"/>
      <c r="Y364" s="111"/>
      <c r="Z364" s="111"/>
      <c r="AA364" s="111"/>
    </row>
    <row r="365" spans="1:28" s="147" customFormat="1" ht="30.6" x14ac:dyDescent="0.2">
      <c r="A365" s="9" t="s">
        <v>427</v>
      </c>
      <c r="B365" s="9" t="s">
        <v>163</v>
      </c>
      <c r="C365" s="13" t="s">
        <v>263</v>
      </c>
      <c r="D365" s="113" t="s">
        <v>751</v>
      </c>
      <c r="E365" s="9" t="s">
        <v>9</v>
      </c>
      <c r="F365" s="261"/>
      <c r="G365" s="261"/>
      <c r="H365" s="261"/>
      <c r="I365" s="245"/>
      <c r="J365" s="261"/>
      <c r="K365" s="131">
        <f>J376</f>
        <v>17.130000000000003</v>
      </c>
      <c r="L365" s="131">
        <v>287.51</v>
      </c>
      <c r="M365" s="131">
        <f>ROUND(L365*(1+$Q$7),2)</f>
        <v>363.79</v>
      </c>
      <c r="N365" s="133">
        <f>TRUNC(K365*M365,2)</f>
        <v>6231.72</v>
      </c>
      <c r="O365" s="286"/>
      <c r="P365" s="146"/>
      <c r="Q365" s="146"/>
      <c r="R365" s="146"/>
      <c r="S365" s="146"/>
      <c r="T365" s="146"/>
      <c r="U365" s="146"/>
      <c r="V365" s="146"/>
      <c r="W365" s="146"/>
      <c r="X365" s="146"/>
      <c r="Y365" s="146"/>
      <c r="Z365" s="146"/>
      <c r="AA365" s="146"/>
    </row>
    <row r="366" spans="1:28" s="118" customFormat="1" x14ac:dyDescent="0.2">
      <c r="A366" s="6"/>
      <c r="B366" s="6"/>
      <c r="C366" s="155"/>
      <c r="D366" s="2" t="s">
        <v>165</v>
      </c>
      <c r="E366" s="148"/>
      <c r="F366" s="253"/>
      <c r="G366" s="253">
        <v>0.9</v>
      </c>
      <c r="H366" s="253"/>
      <c r="I366" s="249">
        <v>2.1</v>
      </c>
      <c r="J366" s="253">
        <f>ROUND(PRODUCT(F366:I366),2)</f>
        <v>1.89</v>
      </c>
      <c r="K366" s="137"/>
      <c r="L366" s="137"/>
      <c r="M366" s="137"/>
      <c r="N366" s="138"/>
      <c r="O366" s="167"/>
      <c r="P366" s="111"/>
      <c r="Q366" s="111"/>
      <c r="R366" s="111"/>
      <c r="S366" s="111"/>
      <c r="T366" s="111"/>
      <c r="U366" s="111"/>
      <c r="V366" s="111"/>
      <c r="W366" s="111"/>
      <c r="X366" s="111"/>
      <c r="Y366" s="111"/>
      <c r="Z366" s="111"/>
      <c r="AA366" s="111"/>
    </row>
    <row r="367" spans="1:28" s="118" customFormat="1" x14ac:dyDescent="0.2">
      <c r="A367" s="6"/>
      <c r="B367" s="6"/>
      <c r="C367" s="155"/>
      <c r="D367" s="2" t="s">
        <v>483</v>
      </c>
      <c r="E367" s="148"/>
      <c r="F367" s="253"/>
      <c r="G367" s="253">
        <v>0.7</v>
      </c>
      <c r="H367" s="253"/>
      <c r="I367" s="249">
        <v>2.1</v>
      </c>
      <c r="J367" s="253">
        <f t="shared" ref="J367:J375" si="43">ROUND(PRODUCT(F367:I367),2)</f>
        <v>1.47</v>
      </c>
      <c r="K367" s="137"/>
      <c r="L367" s="137"/>
      <c r="M367" s="137"/>
      <c r="N367" s="138"/>
      <c r="O367" s="167"/>
      <c r="P367" s="111"/>
      <c r="Q367" s="111"/>
      <c r="R367" s="111"/>
      <c r="S367" s="111"/>
      <c r="T367" s="111"/>
      <c r="U367" s="111"/>
      <c r="V367" s="111"/>
      <c r="W367" s="111"/>
      <c r="X367" s="111"/>
      <c r="Y367" s="111"/>
      <c r="Z367" s="111"/>
      <c r="AA367" s="111"/>
    </row>
    <row r="368" spans="1:28" s="118" customFormat="1" x14ac:dyDescent="0.2">
      <c r="A368" s="6"/>
      <c r="B368" s="6"/>
      <c r="C368" s="155"/>
      <c r="D368" s="2" t="s">
        <v>467</v>
      </c>
      <c r="E368" s="148"/>
      <c r="F368" s="253"/>
      <c r="G368" s="253">
        <v>0.8</v>
      </c>
      <c r="H368" s="253"/>
      <c r="I368" s="249">
        <v>1.8</v>
      </c>
      <c r="J368" s="253">
        <f t="shared" si="43"/>
        <v>1.44</v>
      </c>
      <c r="K368" s="137"/>
      <c r="L368" s="137"/>
      <c r="M368" s="137"/>
      <c r="N368" s="138"/>
      <c r="O368" s="167"/>
      <c r="P368" s="111"/>
      <c r="Q368" s="111"/>
      <c r="R368" s="111"/>
      <c r="S368" s="111"/>
      <c r="T368" s="111"/>
      <c r="U368" s="111"/>
      <c r="V368" s="111"/>
      <c r="W368" s="111"/>
      <c r="X368" s="111"/>
      <c r="Y368" s="111"/>
      <c r="Z368" s="111"/>
      <c r="AA368" s="111"/>
    </row>
    <row r="369" spans="1:27" s="118" customFormat="1" x14ac:dyDescent="0.2">
      <c r="A369" s="6"/>
      <c r="B369" s="6"/>
      <c r="C369" s="155"/>
      <c r="D369" s="2"/>
      <c r="E369" s="148"/>
      <c r="F369" s="253"/>
      <c r="G369" s="253">
        <v>1</v>
      </c>
      <c r="H369" s="253"/>
      <c r="I369" s="249">
        <v>1.8</v>
      </c>
      <c r="J369" s="253">
        <f t="shared" si="43"/>
        <v>1.8</v>
      </c>
      <c r="K369" s="137"/>
      <c r="L369" s="137"/>
      <c r="M369" s="137"/>
      <c r="N369" s="138"/>
      <c r="O369" s="167"/>
      <c r="P369" s="111"/>
      <c r="Q369" s="111"/>
      <c r="R369" s="111"/>
      <c r="S369" s="111"/>
      <c r="T369" s="111"/>
      <c r="U369" s="111"/>
      <c r="V369" s="111"/>
      <c r="W369" s="111"/>
      <c r="X369" s="111"/>
      <c r="Y369" s="111"/>
      <c r="Z369" s="111"/>
      <c r="AA369" s="111"/>
    </row>
    <row r="370" spans="1:27" s="118" customFormat="1" x14ac:dyDescent="0.2">
      <c r="A370" s="6"/>
      <c r="B370" s="6"/>
      <c r="C370" s="155"/>
      <c r="D370" s="2" t="s">
        <v>345</v>
      </c>
      <c r="E370" s="148"/>
      <c r="F370" s="253"/>
      <c r="G370" s="253">
        <v>0.6</v>
      </c>
      <c r="H370" s="253"/>
      <c r="I370" s="249">
        <v>1.8</v>
      </c>
      <c r="J370" s="253">
        <f t="shared" si="43"/>
        <v>1.08</v>
      </c>
      <c r="K370" s="137"/>
      <c r="L370" s="137"/>
      <c r="M370" s="137"/>
      <c r="N370" s="138"/>
      <c r="O370" s="167"/>
      <c r="P370" s="111"/>
      <c r="Q370" s="111"/>
      <c r="R370" s="111"/>
      <c r="S370" s="111"/>
      <c r="T370" s="111"/>
      <c r="U370" s="111"/>
      <c r="V370" s="111"/>
      <c r="W370" s="111"/>
      <c r="X370" s="111"/>
      <c r="Y370" s="111"/>
      <c r="Z370" s="111"/>
      <c r="AA370" s="111"/>
    </row>
    <row r="371" spans="1:27" s="118" customFormat="1" x14ac:dyDescent="0.2">
      <c r="A371" s="6"/>
      <c r="B371" s="6"/>
      <c r="C371" s="155"/>
      <c r="D371" s="2" t="s">
        <v>266</v>
      </c>
      <c r="E371" s="148"/>
      <c r="F371" s="253"/>
      <c r="G371" s="253">
        <v>0.9</v>
      </c>
      <c r="H371" s="253"/>
      <c r="I371" s="249">
        <v>2.1</v>
      </c>
      <c r="J371" s="253">
        <f t="shared" si="43"/>
        <v>1.89</v>
      </c>
      <c r="K371" s="137"/>
      <c r="L371" s="137"/>
      <c r="M371" s="137"/>
      <c r="N371" s="138"/>
      <c r="O371" s="167"/>
      <c r="P371" s="111"/>
      <c r="Q371" s="111"/>
      <c r="R371" s="111"/>
      <c r="S371" s="111"/>
      <c r="T371" s="111"/>
      <c r="U371" s="111"/>
      <c r="V371" s="111"/>
      <c r="W371" s="111"/>
      <c r="X371" s="111"/>
      <c r="Y371" s="111"/>
      <c r="Z371" s="111"/>
      <c r="AA371" s="111"/>
    </row>
    <row r="372" spans="1:27" s="118" customFormat="1" x14ac:dyDescent="0.2">
      <c r="A372" s="6"/>
      <c r="B372" s="6"/>
      <c r="C372" s="155"/>
      <c r="D372" s="2" t="s">
        <v>256</v>
      </c>
      <c r="E372" s="148"/>
      <c r="F372" s="253"/>
      <c r="G372" s="253">
        <v>0.9</v>
      </c>
      <c r="H372" s="253"/>
      <c r="I372" s="249">
        <v>2.1</v>
      </c>
      <c r="J372" s="253">
        <f t="shared" si="43"/>
        <v>1.89</v>
      </c>
      <c r="K372" s="137"/>
      <c r="L372" s="137"/>
      <c r="M372" s="137"/>
      <c r="N372" s="138"/>
      <c r="O372" s="167"/>
      <c r="P372" s="111"/>
      <c r="Q372" s="111"/>
      <c r="R372" s="111"/>
      <c r="S372" s="111"/>
      <c r="T372" s="111"/>
      <c r="U372" s="111"/>
      <c r="V372" s="111"/>
      <c r="W372" s="111"/>
      <c r="X372" s="111"/>
      <c r="Y372" s="111"/>
      <c r="Z372" s="111"/>
      <c r="AA372" s="111"/>
    </row>
    <row r="373" spans="1:27" s="118" customFormat="1" x14ac:dyDescent="0.2">
      <c r="A373" s="6"/>
      <c r="B373" s="6"/>
      <c r="C373" s="155"/>
      <c r="D373" s="2" t="s">
        <v>243</v>
      </c>
      <c r="E373" s="148"/>
      <c r="F373" s="253"/>
      <c r="G373" s="253">
        <v>0.9</v>
      </c>
      <c r="H373" s="253"/>
      <c r="I373" s="249">
        <v>2.1</v>
      </c>
      <c r="J373" s="253">
        <f t="shared" si="43"/>
        <v>1.89</v>
      </c>
      <c r="K373" s="137"/>
      <c r="L373" s="137"/>
      <c r="M373" s="137"/>
      <c r="N373" s="138"/>
      <c r="O373" s="167"/>
      <c r="P373" s="111"/>
      <c r="Q373" s="111"/>
      <c r="R373" s="111"/>
      <c r="S373" s="111"/>
      <c r="T373" s="111"/>
      <c r="U373" s="111"/>
      <c r="V373" s="111"/>
      <c r="W373" s="111"/>
      <c r="X373" s="111"/>
      <c r="Y373" s="111"/>
      <c r="Z373" s="111"/>
      <c r="AA373" s="111"/>
    </row>
    <row r="374" spans="1:27" s="118" customFormat="1" x14ac:dyDescent="0.2">
      <c r="A374" s="6"/>
      <c r="B374" s="6"/>
      <c r="C374" s="155"/>
      <c r="D374" s="2" t="s">
        <v>242</v>
      </c>
      <c r="E374" s="148"/>
      <c r="F374" s="253"/>
      <c r="G374" s="253">
        <v>0.9</v>
      </c>
      <c r="H374" s="253"/>
      <c r="I374" s="249">
        <v>2.1</v>
      </c>
      <c r="J374" s="253">
        <f t="shared" si="43"/>
        <v>1.89</v>
      </c>
      <c r="K374" s="137"/>
      <c r="L374" s="137"/>
      <c r="M374" s="137"/>
      <c r="N374" s="138"/>
      <c r="O374" s="167"/>
      <c r="P374" s="111"/>
      <c r="Q374" s="111"/>
      <c r="R374" s="111"/>
      <c r="S374" s="111"/>
      <c r="T374" s="111"/>
      <c r="U374" s="111"/>
      <c r="V374" s="111"/>
      <c r="W374" s="111"/>
      <c r="X374" s="111"/>
      <c r="Y374" s="111"/>
      <c r="Z374" s="111"/>
      <c r="AA374" s="111"/>
    </row>
    <row r="375" spans="1:27" s="118" customFormat="1" x14ac:dyDescent="0.2">
      <c r="A375" s="6"/>
      <c r="B375" s="6"/>
      <c r="C375" s="155"/>
      <c r="D375" s="2" t="s">
        <v>253</v>
      </c>
      <c r="E375" s="148"/>
      <c r="F375" s="253"/>
      <c r="G375" s="253">
        <v>0.9</v>
      </c>
      <c r="H375" s="253"/>
      <c r="I375" s="249">
        <v>2.1</v>
      </c>
      <c r="J375" s="253">
        <f t="shared" si="43"/>
        <v>1.89</v>
      </c>
      <c r="K375" s="137"/>
      <c r="L375" s="137"/>
      <c r="M375" s="137"/>
      <c r="N375" s="138"/>
      <c r="O375" s="167"/>
      <c r="P375" s="111"/>
      <c r="Q375" s="111"/>
      <c r="R375" s="111"/>
      <c r="S375" s="111"/>
      <c r="T375" s="111"/>
      <c r="U375" s="111"/>
      <c r="V375" s="111"/>
      <c r="W375" s="111"/>
      <c r="X375" s="111"/>
      <c r="Y375" s="111"/>
      <c r="Z375" s="111"/>
      <c r="AA375" s="111"/>
    </row>
    <row r="376" spans="1:27" s="118" customFormat="1" x14ac:dyDescent="0.2">
      <c r="A376" s="6"/>
      <c r="B376" s="6"/>
      <c r="C376" s="156"/>
      <c r="D376" s="108"/>
      <c r="E376" s="148"/>
      <c r="F376" s="253"/>
      <c r="G376" s="253"/>
      <c r="H376" s="253"/>
      <c r="I376" s="246" t="str">
        <f>"Total item "&amp;A365</f>
        <v>Total item 5.3.1</v>
      </c>
      <c r="J376" s="261">
        <f>SUM(J366:J375)</f>
        <v>17.130000000000003</v>
      </c>
      <c r="K376" s="137"/>
      <c r="L376" s="137"/>
      <c r="M376" s="137"/>
      <c r="N376" s="138"/>
      <c r="O376" s="167"/>
      <c r="P376" s="111"/>
      <c r="Q376" s="111"/>
      <c r="R376" s="111"/>
      <c r="S376" s="111"/>
      <c r="T376" s="111"/>
      <c r="U376" s="111"/>
      <c r="V376" s="111"/>
      <c r="W376" s="111"/>
      <c r="X376" s="111"/>
      <c r="Y376" s="111"/>
      <c r="Z376" s="111"/>
      <c r="AA376" s="111"/>
    </row>
    <row r="377" spans="1:27" s="118" customFormat="1" x14ac:dyDescent="0.2">
      <c r="A377" s="6"/>
      <c r="B377" s="6"/>
      <c r="C377" s="156"/>
      <c r="D377" s="108"/>
      <c r="E377" s="148"/>
      <c r="F377" s="253"/>
      <c r="G377" s="253"/>
      <c r="H377" s="253"/>
      <c r="I377" s="246"/>
      <c r="J377" s="246"/>
      <c r="K377" s="137"/>
      <c r="L377" s="137"/>
      <c r="M377" s="137"/>
      <c r="N377" s="138"/>
      <c r="O377" s="167"/>
      <c r="P377" s="111"/>
      <c r="Q377" s="111"/>
      <c r="R377" s="111"/>
      <c r="S377" s="111"/>
      <c r="T377" s="111"/>
      <c r="U377" s="111"/>
      <c r="V377" s="111"/>
      <c r="W377" s="111"/>
      <c r="X377" s="111"/>
      <c r="Y377" s="111"/>
      <c r="Z377" s="111"/>
      <c r="AA377" s="111"/>
    </row>
    <row r="378" spans="1:27" s="147" customFormat="1" ht="30.6" x14ac:dyDescent="0.2">
      <c r="A378" s="9" t="s">
        <v>428</v>
      </c>
      <c r="B378" s="9" t="s">
        <v>89</v>
      </c>
      <c r="C378" s="13">
        <v>91307</v>
      </c>
      <c r="D378" s="113" t="s">
        <v>447</v>
      </c>
      <c r="E378" s="9" t="s">
        <v>33</v>
      </c>
      <c r="F378" s="261"/>
      <c r="G378" s="261"/>
      <c r="H378" s="261"/>
      <c r="I378" s="245"/>
      <c r="J378" s="261"/>
      <c r="K378" s="131">
        <f>J383</f>
        <v>4</v>
      </c>
      <c r="L378" s="131">
        <v>47.52</v>
      </c>
      <c r="M378" s="131">
        <f>ROUND(L378*(1+$Q$7),2)</f>
        <v>60.13</v>
      </c>
      <c r="N378" s="133">
        <f>TRUNC(K378*M378,2)</f>
        <v>240.52</v>
      </c>
      <c r="O378" s="286"/>
      <c r="P378" s="146"/>
      <c r="Q378" s="146"/>
      <c r="R378" s="146"/>
      <c r="S378" s="146"/>
      <c r="T378" s="146"/>
      <c r="U378" s="146"/>
      <c r="V378" s="146"/>
      <c r="W378" s="146"/>
      <c r="X378" s="146"/>
      <c r="Y378" s="146"/>
      <c r="Z378" s="146"/>
      <c r="AA378" s="146"/>
    </row>
    <row r="379" spans="1:27" s="118" customFormat="1" x14ac:dyDescent="0.2">
      <c r="A379" s="6"/>
      <c r="B379" s="6"/>
      <c r="C379" s="155"/>
      <c r="D379" s="2" t="s">
        <v>484</v>
      </c>
      <c r="E379" s="148"/>
      <c r="F379" s="253">
        <v>1</v>
      </c>
      <c r="G379" s="253"/>
      <c r="H379" s="253"/>
      <c r="I379" s="249"/>
      <c r="J379" s="253">
        <f>ROUND(PRODUCT(F379:I379),2)</f>
        <v>1</v>
      </c>
      <c r="K379" s="137"/>
      <c r="L379" s="137"/>
      <c r="M379" s="137"/>
      <c r="N379" s="138"/>
      <c r="O379" s="167"/>
      <c r="P379" s="111"/>
      <c r="Q379" s="111"/>
      <c r="R379" s="111"/>
      <c r="S379" s="111"/>
      <c r="T379" s="111"/>
      <c r="U379" s="111"/>
      <c r="V379" s="111"/>
      <c r="W379" s="111"/>
      <c r="X379" s="111"/>
      <c r="Y379" s="111"/>
      <c r="Z379" s="111"/>
      <c r="AA379" s="111"/>
    </row>
    <row r="380" spans="1:27" s="118" customFormat="1" x14ac:dyDescent="0.2">
      <c r="A380" s="6"/>
      <c r="B380" s="6"/>
      <c r="C380" s="155"/>
      <c r="D380" s="2" t="s">
        <v>345</v>
      </c>
      <c r="E380" s="148"/>
      <c r="F380" s="253">
        <v>1</v>
      </c>
      <c r="G380" s="253"/>
      <c r="H380" s="253"/>
      <c r="I380" s="249"/>
      <c r="J380" s="253">
        <f t="shared" ref="J380:J382" si="44">ROUND(PRODUCT(F380:I380),2)</f>
        <v>1</v>
      </c>
      <c r="K380" s="137"/>
      <c r="L380" s="137"/>
      <c r="M380" s="137"/>
      <c r="N380" s="138"/>
      <c r="O380" s="167"/>
      <c r="P380" s="111"/>
      <c r="Q380" s="111"/>
      <c r="R380" s="111"/>
      <c r="S380" s="111"/>
      <c r="T380" s="111"/>
      <c r="U380" s="111"/>
      <c r="V380" s="111"/>
      <c r="W380" s="111"/>
      <c r="X380" s="111"/>
      <c r="Y380" s="111"/>
      <c r="Z380" s="111"/>
      <c r="AA380" s="111"/>
    </row>
    <row r="381" spans="1:27" s="118" customFormat="1" x14ac:dyDescent="0.2">
      <c r="A381" s="6"/>
      <c r="B381" s="6"/>
      <c r="C381" s="155"/>
      <c r="D381" s="2" t="s">
        <v>246</v>
      </c>
      <c r="E381" s="148"/>
      <c r="F381" s="253">
        <v>1</v>
      </c>
      <c r="G381" s="253"/>
      <c r="H381" s="253"/>
      <c r="I381" s="249"/>
      <c r="J381" s="253">
        <f t="shared" si="44"/>
        <v>1</v>
      </c>
      <c r="K381" s="137"/>
      <c r="L381" s="137"/>
      <c r="M381" s="137"/>
      <c r="N381" s="138"/>
      <c r="O381" s="167"/>
      <c r="P381" s="111"/>
      <c r="Q381" s="111"/>
      <c r="R381" s="111"/>
      <c r="S381" s="111"/>
      <c r="T381" s="111"/>
      <c r="U381" s="111"/>
      <c r="V381" s="111"/>
      <c r="W381" s="111"/>
      <c r="X381" s="111"/>
      <c r="Y381" s="111"/>
      <c r="Z381" s="111"/>
      <c r="AA381" s="111"/>
    </row>
    <row r="382" spans="1:27" s="118" customFormat="1" x14ac:dyDescent="0.2">
      <c r="A382" s="6"/>
      <c r="B382" s="6"/>
      <c r="C382" s="155"/>
      <c r="D382" s="2" t="s">
        <v>305</v>
      </c>
      <c r="E382" s="148"/>
      <c r="F382" s="253">
        <v>1</v>
      </c>
      <c r="G382" s="253"/>
      <c r="H382" s="253"/>
      <c r="I382" s="249"/>
      <c r="J382" s="253">
        <f t="shared" si="44"/>
        <v>1</v>
      </c>
      <c r="K382" s="137"/>
      <c r="L382" s="137"/>
      <c r="M382" s="137"/>
      <c r="N382" s="138"/>
      <c r="O382" s="167"/>
      <c r="P382" s="111"/>
      <c r="Q382" s="111"/>
      <c r="R382" s="111"/>
      <c r="S382" s="111"/>
      <c r="T382" s="111"/>
      <c r="U382" s="111"/>
      <c r="V382" s="111"/>
      <c r="W382" s="111"/>
      <c r="X382" s="111"/>
      <c r="Y382" s="111"/>
      <c r="Z382" s="111"/>
      <c r="AA382" s="111"/>
    </row>
    <row r="383" spans="1:27" s="118" customFormat="1" x14ac:dyDescent="0.2">
      <c r="A383" s="6"/>
      <c r="B383" s="6"/>
      <c r="C383" s="156"/>
      <c r="D383" s="108"/>
      <c r="E383" s="148"/>
      <c r="F383" s="253"/>
      <c r="G383" s="253"/>
      <c r="H383" s="253"/>
      <c r="I383" s="246" t="str">
        <f>"Total item "&amp;A378</f>
        <v>Total item 5.3.2</v>
      </c>
      <c r="J383" s="261">
        <f>SUM(J379:J382)</f>
        <v>4</v>
      </c>
      <c r="K383" s="137"/>
      <c r="L383" s="137"/>
      <c r="M383" s="137"/>
      <c r="N383" s="138"/>
      <c r="O383" s="167"/>
      <c r="P383" s="111"/>
      <c r="Q383" s="111"/>
      <c r="R383" s="111"/>
      <c r="S383" s="111"/>
      <c r="T383" s="111"/>
      <c r="U383" s="111"/>
      <c r="V383" s="111"/>
      <c r="W383" s="111"/>
      <c r="X383" s="111"/>
      <c r="Y383" s="111"/>
      <c r="Z383" s="111"/>
      <c r="AA383" s="111"/>
    </row>
    <row r="384" spans="1:27" s="161" customFormat="1" x14ac:dyDescent="0.2">
      <c r="A384" s="10"/>
      <c r="B384" s="10"/>
      <c r="C384" s="190"/>
      <c r="D384" s="110"/>
      <c r="E384" s="158"/>
      <c r="F384" s="267"/>
      <c r="G384" s="267"/>
      <c r="H384" s="267"/>
      <c r="I384" s="250"/>
      <c r="J384" s="250"/>
      <c r="K384" s="151"/>
      <c r="L384" s="151"/>
      <c r="M384" s="151"/>
      <c r="N384" s="152"/>
      <c r="O384" s="167"/>
      <c r="P384" s="114"/>
      <c r="Q384" s="114"/>
      <c r="R384" s="114"/>
      <c r="S384" s="114"/>
      <c r="T384" s="114"/>
      <c r="U384" s="114"/>
      <c r="V384" s="114"/>
      <c r="W384" s="114"/>
      <c r="X384" s="114"/>
      <c r="Y384" s="114"/>
      <c r="Z384" s="114"/>
      <c r="AA384" s="114"/>
    </row>
    <row r="385" spans="1:27" s="145" customFormat="1" x14ac:dyDescent="0.2">
      <c r="A385" s="140" t="s">
        <v>66</v>
      </c>
      <c r="B385" s="140"/>
      <c r="C385" s="141"/>
      <c r="D385" s="112" t="s">
        <v>211</v>
      </c>
      <c r="E385" s="140"/>
      <c r="F385" s="260"/>
      <c r="G385" s="260"/>
      <c r="H385" s="260"/>
      <c r="I385" s="248"/>
      <c r="J385" s="260"/>
      <c r="K385" s="142"/>
      <c r="L385" s="142"/>
      <c r="M385" s="142"/>
      <c r="N385" s="143">
        <f>SUM(N387:N400)</f>
        <v>350.20000000000005</v>
      </c>
      <c r="O385" s="285"/>
      <c r="P385" s="144"/>
      <c r="Q385" s="144"/>
      <c r="R385" s="144"/>
      <c r="S385" s="144"/>
      <c r="T385" s="144"/>
      <c r="U385" s="144"/>
      <c r="V385" s="144"/>
      <c r="W385" s="144"/>
      <c r="X385" s="144"/>
      <c r="Y385" s="144"/>
      <c r="Z385" s="144"/>
      <c r="AA385" s="144"/>
    </row>
    <row r="386" spans="1:27" s="118" customFormat="1" x14ac:dyDescent="0.2">
      <c r="A386" s="6"/>
      <c r="B386" s="6"/>
      <c r="C386" s="14"/>
      <c r="D386" s="108"/>
      <c r="E386" s="148"/>
      <c r="F386" s="253"/>
      <c r="G386" s="253"/>
      <c r="H386" s="253"/>
      <c r="I386" s="246"/>
      <c r="J386" s="262"/>
      <c r="K386" s="137"/>
      <c r="L386" s="137"/>
      <c r="M386" s="137"/>
      <c r="N386" s="138"/>
      <c r="O386" s="167"/>
      <c r="P386" s="111"/>
      <c r="Q386" s="111"/>
      <c r="R386" s="111"/>
      <c r="S386" s="111"/>
      <c r="T386" s="111"/>
      <c r="U386" s="111"/>
      <c r="V386" s="111"/>
      <c r="W386" s="111"/>
      <c r="X386" s="111"/>
      <c r="Y386" s="111"/>
      <c r="Z386" s="111"/>
      <c r="AA386" s="111"/>
    </row>
    <row r="387" spans="1:27" s="147" customFormat="1" ht="30.6" x14ac:dyDescent="0.2">
      <c r="A387" s="9" t="s">
        <v>605</v>
      </c>
      <c r="B387" s="9" t="s">
        <v>89</v>
      </c>
      <c r="C387" s="13">
        <v>86906</v>
      </c>
      <c r="D387" s="113" t="s">
        <v>261</v>
      </c>
      <c r="E387" s="9" t="s">
        <v>33</v>
      </c>
      <c r="F387" s="261"/>
      <c r="G387" s="261"/>
      <c r="H387" s="261"/>
      <c r="I387" s="245"/>
      <c r="J387" s="261"/>
      <c r="K387" s="131">
        <f>J390</f>
        <v>4</v>
      </c>
      <c r="L387" s="131">
        <v>47.41</v>
      </c>
      <c r="M387" s="131">
        <f>ROUND(L387*(1+$Q$7),2)</f>
        <v>59.99</v>
      </c>
      <c r="N387" s="133">
        <f>TRUNC(K387*M387,2)</f>
        <v>239.96</v>
      </c>
      <c r="O387" s="286"/>
      <c r="P387" s="146"/>
      <c r="Q387" s="146"/>
      <c r="R387" s="146"/>
      <c r="S387" s="146"/>
      <c r="T387" s="146"/>
      <c r="U387" s="146"/>
      <c r="V387" s="146"/>
      <c r="W387" s="146"/>
      <c r="X387" s="146"/>
      <c r="Y387" s="146"/>
      <c r="Z387" s="146"/>
      <c r="AA387" s="146"/>
    </row>
    <row r="388" spans="1:27" s="118" customFormat="1" x14ac:dyDescent="0.2">
      <c r="A388" s="6"/>
      <c r="B388" s="6"/>
      <c r="C388" s="155"/>
      <c r="D388" s="2" t="s">
        <v>467</v>
      </c>
      <c r="E388" s="148"/>
      <c r="F388" s="253">
        <v>3</v>
      </c>
      <c r="G388" s="253"/>
      <c r="H388" s="253"/>
      <c r="I388" s="246"/>
      <c r="J388" s="253">
        <f>ROUND(PRODUCT(F388:I388),2)</f>
        <v>3</v>
      </c>
      <c r="K388" s="137"/>
      <c r="L388" s="137"/>
      <c r="M388" s="137"/>
      <c r="N388" s="138"/>
      <c r="O388" s="167"/>
      <c r="P388" s="111"/>
      <c r="Q388" s="111"/>
      <c r="R388" s="111"/>
      <c r="S388" s="111"/>
      <c r="T388" s="111"/>
      <c r="U388" s="111"/>
      <c r="V388" s="111"/>
      <c r="W388" s="111"/>
      <c r="X388" s="111"/>
      <c r="Y388" s="111"/>
      <c r="Z388" s="111"/>
      <c r="AA388" s="111"/>
    </row>
    <row r="389" spans="1:27" s="118" customFormat="1" x14ac:dyDescent="0.2">
      <c r="A389" s="6"/>
      <c r="B389" s="6"/>
      <c r="C389" s="155"/>
      <c r="D389" s="2" t="s">
        <v>345</v>
      </c>
      <c r="E389" s="148"/>
      <c r="F389" s="253">
        <v>1</v>
      </c>
      <c r="G389" s="253"/>
      <c r="H389" s="253"/>
      <c r="I389" s="246"/>
      <c r="J389" s="253">
        <f>ROUND(PRODUCT(F389:I389),2)</f>
        <v>1</v>
      </c>
      <c r="K389" s="137"/>
      <c r="L389" s="137"/>
      <c r="M389" s="137"/>
      <c r="N389" s="138"/>
      <c r="O389" s="167"/>
      <c r="P389" s="111"/>
      <c r="Q389" s="111"/>
      <c r="R389" s="111"/>
      <c r="S389" s="111"/>
      <c r="T389" s="111"/>
      <c r="U389" s="111"/>
      <c r="V389" s="111"/>
      <c r="W389" s="111"/>
      <c r="X389" s="111"/>
      <c r="Y389" s="111"/>
      <c r="Z389" s="111"/>
      <c r="AA389" s="111"/>
    </row>
    <row r="390" spans="1:27" s="118" customFormat="1" x14ac:dyDescent="0.2">
      <c r="A390" s="6"/>
      <c r="B390" s="6"/>
      <c r="C390" s="156"/>
      <c r="D390" s="108"/>
      <c r="E390" s="148"/>
      <c r="F390" s="253"/>
      <c r="G390" s="253"/>
      <c r="H390" s="253"/>
      <c r="I390" s="246" t="str">
        <f>"Total item "&amp;A387</f>
        <v>Total item 5.4.1</v>
      </c>
      <c r="J390" s="261">
        <f>SUM(J388:J389)</f>
        <v>4</v>
      </c>
      <c r="K390" s="137"/>
      <c r="L390" s="137"/>
      <c r="M390" s="137"/>
      <c r="N390" s="138"/>
      <c r="O390" s="167"/>
      <c r="P390" s="111"/>
      <c r="Q390" s="111"/>
      <c r="R390" s="111"/>
      <c r="S390" s="111"/>
      <c r="T390" s="111"/>
      <c r="U390" s="111"/>
      <c r="V390" s="111"/>
      <c r="W390" s="111"/>
      <c r="X390" s="111"/>
      <c r="Y390" s="111"/>
      <c r="Z390" s="111"/>
      <c r="AA390" s="111"/>
    </row>
    <row r="391" spans="1:27" s="139" customFormat="1" x14ac:dyDescent="0.2">
      <c r="A391" s="6"/>
      <c r="B391" s="6"/>
      <c r="C391" s="7"/>
      <c r="D391" s="116"/>
      <c r="E391" s="6"/>
      <c r="F391" s="258"/>
      <c r="G391" s="258"/>
      <c r="H391" s="258"/>
      <c r="I391" s="246"/>
      <c r="J391" s="258"/>
      <c r="K391" s="137"/>
      <c r="L391" s="137"/>
      <c r="M391" s="137"/>
      <c r="N391" s="138"/>
      <c r="O391" s="283"/>
      <c r="P391" s="120"/>
      <c r="Q391" s="120"/>
      <c r="R391" s="120"/>
      <c r="S391" s="120"/>
      <c r="T391" s="120"/>
      <c r="U391" s="120"/>
      <c r="V391" s="120"/>
      <c r="W391" s="120"/>
      <c r="X391" s="120"/>
      <c r="Y391" s="120"/>
      <c r="Z391" s="120"/>
      <c r="AA391" s="120"/>
    </row>
    <row r="392" spans="1:27" s="147" customFormat="1" x14ac:dyDescent="0.2">
      <c r="A392" s="9" t="s">
        <v>606</v>
      </c>
      <c r="B392" s="9" t="s">
        <v>89</v>
      </c>
      <c r="C392" s="197" t="s">
        <v>334</v>
      </c>
      <c r="D392" s="113" t="s">
        <v>335</v>
      </c>
      <c r="E392" s="9" t="s">
        <v>33</v>
      </c>
      <c r="F392" s="261"/>
      <c r="G392" s="261"/>
      <c r="H392" s="261"/>
      <c r="I392" s="245"/>
      <c r="J392" s="261"/>
      <c r="K392" s="131">
        <f>J394</f>
        <v>2</v>
      </c>
      <c r="L392" s="131">
        <v>22.9</v>
      </c>
      <c r="M392" s="131">
        <f>ROUND(L392*(1+$Q$7),2)</f>
        <v>28.98</v>
      </c>
      <c r="N392" s="133">
        <f>TRUNC(K392*M392,2)</f>
        <v>57.96</v>
      </c>
      <c r="O392" s="286"/>
      <c r="P392" s="146"/>
      <c r="Q392" s="146"/>
      <c r="R392" s="146"/>
      <c r="S392" s="146"/>
      <c r="T392" s="146"/>
      <c r="U392" s="146"/>
      <c r="V392" s="146"/>
      <c r="W392" s="146"/>
      <c r="X392" s="146"/>
      <c r="Y392" s="146"/>
      <c r="Z392" s="146"/>
      <c r="AA392" s="146"/>
    </row>
    <row r="393" spans="1:27" s="118" customFormat="1" x14ac:dyDescent="0.2">
      <c r="A393" s="6"/>
      <c r="B393" s="6"/>
      <c r="C393" s="155"/>
      <c r="D393" s="2" t="s">
        <v>345</v>
      </c>
      <c r="E393" s="148"/>
      <c r="F393" s="253">
        <v>2</v>
      </c>
      <c r="G393" s="253"/>
      <c r="H393" s="253"/>
      <c r="I393" s="246"/>
      <c r="J393" s="253">
        <f>ROUND(PRODUCT(F393:I393),2)</f>
        <v>2</v>
      </c>
      <c r="K393" s="137"/>
      <c r="L393" s="137"/>
      <c r="M393" s="137"/>
      <c r="N393" s="138"/>
      <c r="O393" s="167"/>
      <c r="P393" s="111"/>
      <c r="Q393" s="111"/>
      <c r="R393" s="111"/>
      <c r="S393" s="111"/>
      <c r="T393" s="111"/>
      <c r="U393" s="111"/>
      <c r="V393" s="111"/>
      <c r="W393" s="111"/>
      <c r="X393" s="111"/>
      <c r="Y393" s="111"/>
      <c r="Z393" s="111"/>
      <c r="AA393" s="111"/>
    </row>
    <row r="394" spans="1:27" s="118" customFormat="1" x14ac:dyDescent="0.2">
      <c r="A394" s="6"/>
      <c r="B394" s="6"/>
      <c r="C394" s="156"/>
      <c r="D394" s="108"/>
      <c r="E394" s="148"/>
      <c r="F394" s="253"/>
      <c r="G394" s="253"/>
      <c r="H394" s="253"/>
      <c r="I394" s="246" t="str">
        <f>"Total item "&amp;A392</f>
        <v>Total item 5.4.2</v>
      </c>
      <c r="J394" s="261">
        <f>SUM(J393:J393)</f>
        <v>2</v>
      </c>
      <c r="K394" s="137"/>
      <c r="L394" s="137"/>
      <c r="M394" s="137"/>
      <c r="N394" s="138"/>
      <c r="O394" s="167"/>
      <c r="P394" s="111"/>
      <c r="Q394" s="111"/>
      <c r="R394" s="111"/>
      <c r="S394" s="111"/>
      <c r="T394" s="111"/>
      <c r="U394" s="111"/>
      <c r="V394" s="111"/>
      <c r="W394" s="111"/>
      <c r="X394" s="111"/>
      <c r="Y394" s="111"/>
      <c r="Z394" s="111"/>
      <c r="AA394" s="111"/>
    </row>
    <row r="395" spans="1:27" s="118" customFormat="1" x14ac:dyDescent="0.2">
      <c r="A395" s="6"/>
      <c r="B395" s="6"/>
      <c r="C395" s="155"/>
      <c r="D395" s="108"/>
      <c r="E395" s="148"/>
      <c r="F395" s="253"/>
      <c r="G395" s="253"/>
      <c r="H395" s="253"/>
      <c r="I395" s="246"/>
      <c r="J395" s="258"/>
      <c r="K395" s="137"/>
      <c r="L395" s="137"/>
      <c r="M395" s="137"/>
      <c r="N395" s="138"/>
      <c r="O395" s="167"/>
      <c r="P395" s="111"/>
      <c r="Q395" s="111"/>
      <c r="R395" s="111"/>
      <c r="S395" s="111"/>
      <c r="T395" s="111"/>
      <c r="U395" s="111"/>
      <c r="V395" s="111"/>
      <c r="W395" s="111"/>
      <c r="X395" s="111"/>
      <c r="Y395" s="111"/>
      <c r="Z395" s="111"/>
      <c r="AA395" s="111"/>
    </row>
    <row r="396" spans="1:27" s="147" customFormat="1" x14ac:dyDescent="0.2">
      <c r="A396" s="9" t="s">
        <v>607</v>
      </c>
      <c r="B396" s="9" t="s">
        <v>89</v>
      </c>
      <c r="C396" s="197" t="s">
        <v>442</v>
      </c>
      <c r="D396" s="113" t="s">
        <v>443</v>
      </c>
      <c r="E396" s="9" t="s">
        <v>33</v>
      </c>
      <c r="F396" s="261"/>
      <c r="G396" s="261"/>
      <c r="H396" s="261"/>
      <c r="I396" s="245"/>
      <c r="J396" s="261"/>
      <c r="K396" s="131">
        <f>J399</f>
        <v>4</v>
      </c>
      <c r="L396" s="131">
        <v>10.33</v>
      </c>
      <c r="M396" s="131">
        <f>ROUND(L396*(1+$Q$7),2)</f>
        <v>13.07</v>
      </c>
      <c r="N396" s="133">
        <f>TRUNC(K396*M396,2)</f>
        <v>52.28</v>
      </c>
      <c r="O396" s="286"/>
      <c r="P396" s="146"/>
      <c r="Q396" s="146"/>
      <c r="R396" s="146"/>
      <c r="S396" s="146"/>
      <c r="T396" s="146"/>
      <c r="U396" s="146"/>
      <c r="V396" s="146"/>
      <c r="W396" s="146"/>
      <c r="X396" s="146"/>
      <c r="Y396" s="146"/>
      <c r="Z396" s="146"/>
      <c r="AA396" s="146"/>
    </row>
    <row r="397" spans="1:27" s="118" customFormat="1" x14ac:dyDescent="0.2">
      <c r="A397" s="6"/>
      <c r="B397" s="6"/>
      <c r="C397" s="155"/>
      <c r="D397" s="2" t="s">
        <v>346</v>
      </c>
      <c r="E397" s="148"/>
      <c r="F397" s="253">
        <v>3</v>
      </c>
      <c r="G397" s="253"/>
      <c r="H397" s="253"/>
      <c r="I397" s="246"/>
      <c r="J397" s="253">
        <f>ROUND(PRODUCT(F397:I397),2)</f>
        <v>3</v>
      </c>
      <c r="K397" s="137"/>
      <c r="L397" s="137"/>
      <c r="M397" s="137"/>
      <c r="N397" s="138"/>
      <c r="O397" s="167"/>
      <c r="P397" s="111"/>
      <c r="Q397" s="111"/>
      <c r="R397" s="111"/>
      <c r="S397" s="111"/>
      <c r="T397" s="111"/>
      <c r="U397" s="111"/>
      <c r="V397" s="111"/>
      <c r="W397" s="111"/>
      <c r="X397" s="111"/>
      <c r="Y397" s="111"/>
      <c r="Z397" s="111"/>
      <c r="AA397" s="111"/>
    </row>
    <row r="398" spans="1:27" s="118" customFormat="1" x14ac:dyDescent="0.2">
      <c r="A398" s="6"/>
      <c r="B398" s="6"/>
      <c r="C398" s="155"/>
      <c r="D398" s="2" t="s">
        <v>485</v>
      </c>
      <c r="E398" s="148"/>
      <c r="F398" s="253">
        <v>1</v>
      </c>
      <c r="G398" s="253"/>
      <c r="H398" s="253"/>
      <c r="I398" s="246"/>
      <c r="J398" s="253">
        <f>ROUND(PRODUCT(F398:I398),2)</f>
        <v>1</v>
      </c>
      <c r="K398" s="137"/>
      <c r="L398" s="137"/>
      <c r="M398" s="137"/>
      <c r="N398" s="138"/>
      <c r="O398" s="167"/>
      <c r="P398" s="111"/>
      <c r="Q398" s="111"/>
      <c r="R398" s="111"/>
      <c r="S398" s="111"/>
      <c r="T398" s="111"/>
      <c r="U398" s="111"/>
      <c r="V398" s="111"/>
      <c r="W398" s="111"/>
      <c r="X398" s="111"/>
      <c r="Y398" s="111"/>
      <c r="Z398" s="111"/>
      <c r="AA398" s="111"/>
    </row>
    <row r="399" spans="1:27" s="118" customFormat="1" x14ac:dyDescent="0.2">
      <c r="A399" s="6"/>
      <c r="B399" s="6"/>
      <c r="C399" s="156"/>
      <c r="D399" s="108"/>
      <c r="E399" s="148"/>
      <c r="F399" s="253"/>
      <c r="G399" s="253"/>
      <c r="H399" s="253"/>
      <c r="I399" s="246" t="str">
        <f>"Total item "&amp;A396</f>
        <v>Total item 5.4.3</v>
      </c>
      <c r="J399" s="261">
        <f>SUM(J397:J398)</f>
        <v>4</v>
      </c>
      <c r="K399" s="137"/>
      <c r="L399" s="137"/>
      <c r="M399" s="137"/>
      <c r="N399" s="138"/>
      <c r="O399" s="167"/>
      <c r="P399" s="111"/>
      <c r="Q399" s="111"/>
      <c r="R399" s="111"/>
      <c r="S399" s="111"/>
      <c r="T399" s="111"/>
      <c r="U399" s="111"/>
      <c r="V399" s="111"/>
      <c r="W399" s="111"/>
      <c r="X399" s="111"/>
      <c r="Y399" s="111"/>
      <c r="Z399" s="111"/>
      <c r="AA399" s="111"/>
    </row>
    <row r="400" spans="1:27" s="118" customFormat="1" x14ac:dyDescent="0.2">
      <c r="A400" s="6"/>
      <c r="B400" s="6"/>
      <c r="C400" s="155"/>
      <c r="D400" s="108"/>
      <c r="E400" s="148"/>
      <c r="F400" s="253"/>
      <c r="G400" s="253"/>
      <c r="H400" s="253"/>
      <c r="I400" s="246"/>
      <c r="J400" s="258"/>
      <c r="K400" s="137"/>
      <c r="L400" s="137"/>
      <c r="M400" s="137"/>
      <c r="N400" s="138"/>
      <c r="O400" s="167"/>
      <c r="P400" s="111"/>
      <c r="Q400" s="111"/>
      <c r="R400" s="111"/>
      <c r="S400" s="111"/>
      <c r="T400" s="111"/>
      <c r="U400" s="111"/>
      <c r="V400" s="111"/>
      <c r="W400" s="111"/>
      <c r="X400" s="111"/>
      <c r="Y400" s="111"/>
      <c r="Z400" s="111"/>
      <c r="AA400" s="111"/>
    </row>
    <row r="401" spans="1:27" s="145" customFormat="1" x14ac:dyDescent="0.2">
      <c r="A401" s="140" t="s">
        <v>174</v>
      </c>
      <c r="B401" s="140"/>
      <c r="C401" s="141"/>
      <c r="D401" s="112" t="s">
        <v>29</v>
      </c>
      <c r="E401" s="140"/>
      <c r="F401" s="260"/>
      <c r="G401" s="260"/>
      <c r="H401" s="260"/>
      <c r="I401" s="248"/>
      <c r="J401" s="260"/>
      <c r="K401" s="142"/>
      <c r="L401" s="142"/>
      <c r="M401" s="142"/>
      <c r="N401" s="143">
        <f>SUM(N403:N416)</f>
        <v>581.73</v>
      </c>
      <c r="O401" s="285"/>
      <c r="P401" s="144"/>
      <c r="Q401" s="144"/>
      <c r="R401" s="144"/>
      <c r="S401" s="144"/>
      <c r="T401" s="144"/>
      <c r="U401" s="144"/>
      <c r="V401" s="144"/>
      <c r="W401" s="144"/>
      <c r="X401" s="144"/>
      <c r="Y401" s="144"/>
      <c r="Z401" s="144"/>
      <c r="AA401" s="144"/>
    </row>
    <row r="402" spans="1:27" s="118" customFormat="1" x14ac:dyDescent="0.2">
      <c r="A402" s="6"/>
      <c r="B402" s="6"/>
      <c r="C402" s="14"/>
      <c r="D402" s="108"/>
      <c r="E402" s="148"/>
      <c r="F402" s="253"/>
      <c r="G402" s="253"/>
      <c r="H402" s="253"/>
      <c r="I402" s="246"/>
      <c r="J402" s="262"/>
      <c r="K402" s="137"/>
      <c r="L402" s="137"/>
      <c r="M402" s="137"/>
      <c r="N402" s="138"/>
      <c r="O402" s="167"/>
      <c r="P402" s="111"/>
      <c r="Q402" s="111"/>
      <c r="R402" s="111"/>
      <c r="S402" s="111"/>
      <c r="T402" s="111"/>
      <c r="U402" s="111"/>
      <c r="V402" s="111"/>
      <c r="W402" s="111"/>
      <c r="X402" s="111"/>
      <c r="Y402" s="111"/>
      <c r="Z402" s="111"/>
      <c r="AA402" s="111"/>
    </row>
    <row r="403" spans="1:27" s="147" customFormat="1" ht="40.799999999999997" x14ac:dyDescent="0.2">
      <c r="A403" s="9" t="s">
        <v>622</v>
      </c>
      <c r="B403" s="13" t="s">
        <v>163</v>
      </c>
      <c r="C403" s="13" t="s">
        <v>176</v>
      </c>
      <c r="D403" s="113" t="s">
        <v>269</v>
      </c>
      <c r="E403" s="1" t="s">
        <v>9</v>
      </c>
      <c r="F403" s="261"/>
      <c r="G403" s="261"/>
      <c r="H403" s="261"/>
      <c r="I403" s="245"/>
      <c r="J403" s="261"/>
      <c r="K403" s="131">
        <f>J415</f>
        <v>34.260000000000005</v>
      </c>
      <c r="L403" s="131">
        <v>13.42</v>
      </c>
      <c r="M403" s="131">
        <f>ROUND(L403*(1+$Q$7),2)</f>
        <v>16.98</v>
      </c>
      <c r="N403" s="133">
        <f>TRUNC(K403*M403,2)</f>
        <v>581.73</v>
      </c>
      <c r="O403" s="286"/>
      <c r="P403" s="146"/>
      <c r="Q403" s="146"/>
      <c r="R403" s="146"/>
      <c r="S403" s="146"/>
      <c r="T403" s="146"/>
      <c r="U403" s="146"/>
      <c r="V403" s="146"/>
      <c r="W403" s="146"/>
      <c r="X403" s="146"/>
      <c r="Y403" s="146"/>
      <c r="Z403" s="146"/>
      <c r="AA403" s="146"/>
    </row>
    <row r="404" spans="1:27" s="118" customFormat="1" x14ac:dyDescent="0.2">
      <c r="A404" s="6"/>
      <c r="B404" s="6"/>
      <c r="C404" s="155"/>
      <c r="D404" s="3" t="s">
        <v>270</v>
      </c>
      <c r="E404" s="148"/>
      <c r="F404" s="253"/>
      <c r="G404" s="253"/>
      <c r="H404" s="253"/>
      <c r="I404" s="249"/>
      <c r="J404" s="253"/>
      <c r="K404" s="137"/>
      <c r="L404" s="137"/>
      <c r="M404" s="137"/>
      <c r="N404" s="138"/>
      <c r="O404" s="167"/>
      <c r="P404" s="111"/>
      <c r="Q404" s="111"/>
      <c r="R404" s="111"/>
      <c r="S404" s="111"/>
      <c r="T404" s="111"/>
      <c r="U404" s="111"/>
      <c r="V404" s="111"/>
      <c r="W404" s="111"/>
      <c r="X404" s="111"/>
      <c r="Y404" s="111"/>
      <c r="Z404" s="111"/>
      <c r="AA404" s="111"/>
    </row>
    <row r="405" spans="1:27" s="118" customFormat="1" x14ac:dyDescent="0.2">
      <c r="A405" s="6"/>
      <c r="B405" s="6"/>
      <c r="C405" s="155"/>
      <c r="D405" s="2" t="s">
        <v>165</v>
      </c>
      <c r="E405" s="148"/>
      <c r="F405" s="253">
        <v>2</v>
      </c>
      <c r="G405" s="253">
        <v>0.9</v>
      </c>
      <c r="H405" s="253"/>
      <c r="I405" s="249">
        <v>2.1</v>
      </c>
      <c r="J405" s="253">
        <f>ROUND(PRODUCT(F405:I405),2)</f>
        <v>3.78</v>
      </c>
      <c r="K405" s="137"/>
      <c r="L405" s="137"/>
      <c r="M405" s="137"/>
      <c r="N405" s="138"/>
      <c r="O405" s="167"/>
      <c r="P405" s="111"/>
      <c r="Q405" s="111"/>
      <c r="R405" s="111"/>
      <c r="S405" s="111"/>
      <c r="T405" s="111"/>
      <c r="U405" s="111"/>
      <c r="V405" s="111"/>
      <c r="W405" s="111"/>
      <c r="X405" s="111"/>
      <c r="Y405" s="111"/>
      <c r="Z405" s="111"/>
      <c r="AA405" s="111"/>
    </row>
    <row r="406" spans="1:27" s="118" customFormat="1" x14ac:dyDescent="0.2">
      <c r="A406" s="6"/>
      <c r="B406" s="6"/>
      <c r="C406" s="155"/>
      <c r="D406" s="2" t="s">
        <v>483</v>
      </c>
      <c r="E406" s="148"/>
      <c r="F406" s="253">
        <v>2</v>
      </c>
      <c r="G406" s="253">
        <v>0.7</v>
      </c>
      <c r="H406" s="253"/>
      <c r="I406" s="249">
        <v>2.1</v>
      </c>
      <c r="J406" s="253">
        <f t="shared" ref="J406:J414" si="45">ROUND(PRODUCT(F406:I406),2)</f>
        <v>2.94</v>
      </c>
      <c r="K406" s="137"/>
      <c r="L406" s="137"/>
      <c r="M406" s="137"/>
      <c r="N406" s="138"/>
      <c r="O406" s="167"/>
      <c r="P406" s="111"/>
      <c r="Q406" s="111"/>
      <c r="R406" s="111"/>
      <c r="S406" s="111"/>
      <c r="T406" s="111"/>
      <c r="U406" s="111"/>
      <c r="V406" s="111"/>
      <c r="W406" s="111"/>
      <c r="X406" s="111"/>
      <c r="Y406" s="111"/>
      <c r="Z406" s="111"/>
      <c r="AA406" s="111"/>
    </row>
    <row r="407" spans="1:27" s="118" customFormat="1" x14ac:dyDescent="0.2">
      <c r="A407" s="6"/>
      <c r="B407" s="6"/>
      <c r="C407" s="155"/>
      <c r="D407" s="2" t="s">
        <v>467</v>
      </c>
      <c r="E407" s="148"/>
      <c r="F407" s="253">
        <v>2</v>
      </c>
      <c r="G407" s="253">
        <v>0.8</v>
      </c>
      <c r="H407" s="253"/>
      <c r="I407" s="249">
        <v>1.8</v>
      </c>
      <c r="J407" s="253">
        <f t="shared" si="45"/>
        <v>2.88</v>
      </c>
      <c r="K407" s="137"/>
      <c r="L407" s="137"/>
      <c r="M407" s="137"/>
      <c r="N407" s="138"/>
      <c r="O407" s="167"/>
      <c r="P407" s="111"/>
      <c r="Q407" s="111"/>
      <c r="R407" s="111"/>
      <c r="S407" s="111"/>
      <c r="T407" s="111"/>
      <c r="U407" s="111"/>
      <c r="V407" s="111"/>
      <c r="W407" s="111"/>
      <c r="X407" s="111"/>
      <c r="Y407" s="111"/>
      <c r="Z407" s="111"/>
      <c r="AA407" s="111"/>
    </row>
    <row r="408" spans="1:27" s="118" customFormat="1" x14ac:dyDescent="0.2">
      <c r="A408" s="6"/>
      <c r="B408" s="6"/>
      <c r="C408" s="155"/>
      <c r="D408" s="2"/>
      <c r="E408" s="148"/>
      <c r="F408" s="253">
        <v>2</v>
      </c>
      <c r="G408" s="253">
        <v>1</v>
      </c>
      <c r="H408" s="253"/>
      <c r="I408" s="249">
        <v>1.8</v>
      </c>
      <c r="J408" s="253">
        <f t="shared" si="45"/>
        <v>3.6</v>
      </c>
      <c r="K408" s="137"/>
      <c r="L408" s="137"/>
      <c r="M408" s="137"/>
      <c r="N408" s="138"/>
      <c r="O408" s="167"/>
      <c r="P408" s="111"/>
      <c r="Q408" s="111"/>
      <c r="R408" s="111"/>
      <c r="S408" s="111"/>
      <c r="T408" s="111"/>
      <c r="U408" s="111"/>
      <c r="V408" s="111"/>
      <c r="W408" s="111"/>
      <c r="X408" s="111"/>
      <c r="Y408" s="111"/>
      <c r="Z408" s="111"/>
      <c r="AA408" s="111"/>
    </row>
    <row r="409" spans="1:27" s="118" customFormat="1" x14ac:dyDescent="0.2">
      <c r="A409" s="6"/>
      <c r="B409" s="6"/>
      <c r="C409" s="155"/>
      <c r="D409" s="2" t="s">
        <v>345</v>
      </c>
      <c r="E409" s="148"/>
      <c r="F409" s="253">
        <v>2</v>
      </c>
      <c r="G409" s="253">
        <v>0.6</v>
      </c>
      <c r="H409" s="253"/>
      <c r="I409" s="249">
        <v>1.8</v>
      </c>
      <c r="J409" s="253">
        <f t="shared" si="45"/>
        <v>2.16</v>
      </c>
      <c r="K409" s="137"/>
      <c r="L409" s="137"/>
      <c r="M409" s="137"/>
      <c r="N409" s="138"/>
      <c r="O409" s="167"/>
      <c r="P409" s="111"/>
      <c r="Q409" s="111"/>
      <c r="R409" s="111"/>
      <c r="S409" s="111"/>
      <c r="T409" s="111"/>
      <c r="U409" s="111"/>
      <c r="V409" s="111"/>
      <c r="W409" s="111"/>
      <c r="X409" s="111"/>
      <c r="Y409" s="111"/>
      <c r="Z409" s="111"/>
      <c r="AA409" s="111"/>
    </row>
    <row r="410" spans="1:27" s="118" customFormat="1" x14ac:dyDescent="0.2">
      <c r="A410" s="6"/>
      <c r="B410" s="6"/>
      <c r="C410" s="155"/>
      <c r="D410" s="2" t="s">
        <v>266</v>
      </c>
      <c r="E410" s="148"/>
      <c r="F410" s="253">
        <v>2</v>
      </c>
      <c r="G410" s="253">
        <v>0.9</v>
      </c>
      <c r="H410" s="253"/>
      <c r="I410" s="249">
        <v>2.1</v>
      </c>
      <c r="J410" s="253">
        <f t="shared" si="45"/>
        <v>3.78</v>
      </c>
      <c r="K410" s="137"/>
      <c r="L410" s="137"/>
      <c r="M410" s="137"/>
      <c r="N410" s="138"/>
      <c r="O410" s="167"/>
      <c r="P410" s="111"/>
      <c r="Q410" s="111"/>
      <c r="R410" s="111"/>
      <c r="S410" s="111"/>
      <c r="T410" s="111"/>
      <c r="U410" s="111"/>
      <c r="V410" s="111"/>
      <c r="W410" s="111"/>
      <c r="X410" s="111"/>
      <c r="Y410" s="111"/>
      <c r="Z410" s="111"/>
      <c r="AA410" s="111"/>
    </row>
    <row r="411" spans="1:27" s="118" customFormat="1" x14ac:dyDescent="0.2">
      <c r="A411" s="6"/>
      <c r="B411" s="6"/>
      <c r="C411" s="155"/>
      <c r="D411" s="2" t="s">
        <v>256</v>
      </c>
      <c r="E411" s="148"/>
      <c r="F411" s="253">
        <v>2</v>
      </c>
      <c r="G411" s="253">
        <v>0.9</v>
      </c>
      <c r="H411" s="253"/>
      <c r="I411" s="249">
        <v>2.1</v>
      </c>
      <c r="J411" s="253">
        <f t="shared" si="45"/>
        <v>3.78</v>
      </c>
      <c r="K411" s="137"/>
      <c r="L411" s="137"/>
      <c r="M411" s="137"/>
      <c r="N411" s="138"/>
      <c r="O411" s="167"/>
      <c r="P411" s="111"/>
      <c r="Q411" s="111"/>
      <c r="R411" s="111"/>
      <c r="S411" s="111"/>
      <c r="T411" s="111"/>
      <c r="U411" s="111"/>
      <c r="V411" s="111"/>
      <c r="W411" s="111"/>
      <c r="X411" s="111"/>
      <c r="Y411" s="111"/>
      <c r="Z411" s="111"/>
      <c r="AA411" s="111"/>
    </row>
    <row r="412" spans="1:27" s="118" customFormat="1" x14ac:dyDescent="0.2">
      <c r="A412" s="6"/>
      <c r="B412" s="6"/>
      <c r="C412" s="155"/>
      <c r="D412" s="2" t="s">
        <v>243</v>
      </c>
      <c r="E412" s="148"/>
      <c r="F412" s="253">
        <v>2</v>
      </c>
      <c r="G412" s="253">
        <v>0.9</v>
      </c>
      <c r="H412" s="253"/>
      <c r="I412" s="249">
        <v>2.1</v>
      </c>
      <c r="J412" s="253">
        <f t="shared" si="45"/>
        <v>3.78</v>
      </c>
      <c r="K412" s="137"/>
      <c r="L412" s="137"/>
      <c r="M412" s="137"/>
      <c r="N412" s="138"/>
      <c r="O412" s="167"/>
      <c r="P412" s="111"/>
      <c r="Q412" s="111"/>
      <c r="R412" s="111"/>
      <c r="S412" s="111"/>
      <c r="T412" s="111"/>
      <c r="U412" s="111"/>
      <c r="V412" s="111"/>
      <c r="W412" s="111"/>
      <c r="X412" s="111"/>
      <c r="Y412" s="111"/>
      <c r="Z412" s="111"/>
      <c r="AA412" s="111"/>
    </row>
    <row r="413" spans="1:27" s="118" customFormat="1" x14ac:dyDescent="0.2">
      <c r="A413" s="6"/>
      <c r="B413" s="6"/>
      <c r="C413" s="155"/>
      <c r="D413" s="2" t="s">
        <v>242</v>
      </c>
      <c r="E413" s="148"/>
      <c r="F413" s="253">
        <v>2</v>
      </c>
      <c r="G413" s="253">
        <v>0.9</v>
      </c>
      <c r="H413" s="253"/>
      <c r="I413" s="249">
        <v>2.1</v>
      </c>
      <c r="J413" s="253">
        <f t="shared" si="45"/>
        <v>3.78</v>
      </c>
      <c r="K413" s="137"/>
      <c r="L413" s="137"/>
      <c r="M413" s="137"/>
      <c r="N413" s="138"/>
      <c r="O413" s="167"/>
      <c r="P413" s="111"/>
      <c r="Q413" s="111"/>
      <c r="R413" s="111"/>
      <c r="S413" s="111"/>
      <c r="T413" s="111"/>
      <c r="U413" s="111"/>
      <c r="V413" s="111"/>
      <c r="W413" s="111"/>
      <c r="X413" s="111"/>
      <c r="Y413" s="111"/>
      <c r="Z413" s="111"/>
      <c r="AA413" s="111"/>
    </row>
    <row r="414" spans="1:27" s="118" customFormat="1" x14ac:dyDescent="0.2">
      <c r="A414" s="6"/>
      <c r="B414" s="6"/>
      <c r="C414" s="155"/>
      <c r="D414" s="2" t="s">
        <v>253</v>
      </c>
      <c r="E414" s="148"/>
      <c r="F414" s="253">
        <v>2</v>
      </c>
      <c r="G414" s="253">
        <v>0.9</v>
      </c>
      <c r="H414" s="253"/>
      <c r="I414" s="249">
        <v>2.1</v>
      </c>
      <c r="J414" s="253">
        <f t="shared" si="45"/>
        <v>3.78</v>
      </c>
      <c r="K414" s="137"/>
      <c r="L414" s="137"/>
      <c r="M414" s="137"/>
      <c r="N414" s="138"/>
      <c r="O414" s="167"/>
      <c r="P414" s="111"/>
      <c r="Q414" s="111"/>
      <c r="R414" s="111"/>
      <c r="S414" s="111"/>
      <c r="T414" s="111"/>
      <c r="U414" s="111"/>
      <c r="V414" s="111"/>
      <c r="W414" s="111"/>
      <c r="X414" s="111"/>
      <c r="Y414" s="111"/>
      <c r="Z414" s="111"/>
      <c r="AA414" s="111"/>
    </row>
    <row r="415" spans="1:27" s="118" customFormat="1" x14ac:dyDescent="0.2">
      <c r="A415" s="6"/>
      <c r="B415" s="6"/>
      <c r="C415" s="156"/>
      <c r="D415" s="108"/>
      <c r="E415" s="148"/>
      <c r="F415" s="253"/>
      <c r="G415" s="253"/>
      <c r="H415" s="253"/>
      <c r="I415" s="246" t="str">
        <f>"Total item "&amp;A403</f>
        <v>Total item 5.5.1</v>
      </c>
      <c r="J415" s="261">
        <f>SUM(J405:J414)</f>
        <v>34.260000000000005</v>
      </c>
      <c r="K415" s="137"/>
      <c r="L415" s="137"/>
      <c r="M415" s="137"/>
      <c r="N415" s="138"/>
      <c r="O415" s="167"/>
      <c r="P415" s="111"/>
      <c r="Q415" s="111"/>
      <c r="R415" s="111"/>
      <c r="S415" s="111"/>
      <c r="T415" s="111"/>
      <c r="U415" s="111"/>
      <c r="V415" s="111"/>
      <c r="W415" s="111"/>
      <c r="X415" s="111"/>
      <c r="Y415" s="111"/>
      <c r="Z415" s="111"/>
      <c r="AA415" s="111"/>
    </row>
    <row r="416" spans="1:27" s="118" customFormat="1" x14ac:dyDescent="0.2">
      <c r="A416" s="6"/>
      <c r="B416" s="6"/>
      <c r="C416" s="156"/>
      <c r="D416" s="108"/>
      <c r="E416" s="148"/>
      <c r="F416" s="253"/>
      <c r="G416" s="253"/>
      <c r="H416" s="253"/>
      <c r="I416" s="246"/>
      <c r="J416" s="246"/>
      <c r="K416" s="137"/>
      <c r="L416" s="137"/>
      <c r="M416" s="137"/>
      <c r="N416" s="138"/>
      <c r="O416" s="167"/>
      <c r="P416" s="111"/>
      <c r="Q416" s="111"/>
      <c r="R416" s="111"/>
      <c r="S416" s="111"/>
      <c r="T416" s="111"/>
      <c r="U416" s="111"/>
      <c r="V416" s="111"/>
      <c r="W416" s="111"/>
      <c r="X416" s="111"/>
      <c r="Y416" s="111"/>
      <c r="Z416" s="111"/>
      <c r="AA416" s="111"/>
    </row>
    <row r="417" spans="1:27" s="241" customFormat="1" ht="26.4" x14ac:dyDescent="0.25">
      <c r="A417" s="236" t="s">
        <v>44</v>
      </c>
      <c r="B417" s="236"/>
      <c r="C417" s="237"/>
      <c r="D417" s="289" t="s">
        <v>215</v>
      </c>
      <c r="E417" s="236"/>
      <c r="F417" s="259"/>
      <c r="G417" s="259"/>
      <c r="H417" s="259"/>
      <c r="I417" s="247"/>
      <c r="J417" s="259"/>
      <c r="K417" s="238"/>
      <c r="L417" s="238"/>
      <c r="M417" s="238"/>
      <c r="N417" s="239" t="e">
        <f>N419+N474+N491+N505+N524</f>
        <v>#VALUE!</v>
      </c>
      <c r="O417" s="284" t="e">
        <f>N417/$N$2057</f>
        <v>#VALUE!</v>
      </c>
      <c r="P417" s="240" t="s">
        <v>533</v>
      </c>
      <c r="Q417" s="240" t="s">
        <v>533</v>
      </c>
      <c r="R417" s="240"/>
      <c r="S417" s="240"/>
      <c r="T417" s="240"/>
      <c r="U417" s="240"/>
      <c r="V417" s="240"/>
      <c r="W417" s="240"/>
      <c r="X417" s="240"/>
      <c r="Y417" s="240"/>
      <c r="Z417" s="240"/>
      <c r="AA417" s="240"/>
    </row>
    <row r="418" spans="1:27" s="118" customFormat="1" x14ac:dyDescent="0.2">
      <c r="A418" s="6"/>
      <c r="B418" s="6"/>
      <c r="C418" s="14"/>
      <c r="D418" s="108"/>
      <c r="E418" s="148"/>
      <c r="F418" s="253"/>
      <c r="G418" s="253"/>
      <c r="H418" s="253"/>
      <c r="I418" s="246"/>
      <c r="J418" s="262"/>
      <c r="K418" s="137"/>
      <c r="L418" s="137"/>
      <c r="M418" s="137"/>
      <c r="N418" s="138"/>
      <c r="O418" s="167"/>
      <c r="P418" s="111"/>
      <c r="Q418" s="111"/>
      <c r="R418" s="111"/>
      <c r="S418" s="111"/>
      <c r="T418" s="111"/>
      <c r="U418" s="111"/>
      <c r="V418" s="111"/>
      <c r="W418" s="111"/>
      <c r="X418" s="111"/>
      <c r="Y418" s="111"/>
      <c r="Z418" s="111"/>
      <c r="AA418" s="111"/>
    </row>
    <row r="419" spans="1:27" s="145" customFormat="1" x14ac:dyDescent="0.2">
      <c r="A419" s="140" t="s">
        <v>45</v>
      </c>
      <c r="B419" s="140"/>
      <c r="C419" s="141"/>
      <c r="D419" s="112" t="s">
        <v>30</v>
      </c>
      <c r="E419" s="140"/>
      <c r="F419" s="260"/>
      <c r="G419" s="260"/>
      <c r="H419" s="260"/>
      <c r="I419" s="248"/>
      <c r="J419" s="260"/>
      <c r="K419" s="142"/>
      <c r="L419" s="142"/>
      <c r="M419" s="142"/>
      <c r="N419" s="143" t="e">
        <f>SUM(N421:N473)</f>
        <v>#VALUE!</v>
      </c>
      <c r="O419" s="285"/>
      <c r="P419" s="144"/>
      <c r="Q419" s="144"/>
      <c r="R419" s="144"/>
      <c r="S419" s="144"/>
      <c r="T419" s="144"/>
      <c r="U419" s="144"/>
      <c r="V419" s="144"/>
      <c r="W419" s="144"/>
      <c r="X419" s="144"/>
      <c r="Y419" s="144"/>
      <c r="Z419" s="144"/>
      <c r="AA419" s="144"/>
    </row>
    <row r="420" spans="1:27" s="118" customFormat="1" x14ac:dyDescent="0.2">
      <c r="A420" s="6"/>
      <c r="B420" s="6"/>
      <c r="C420" s="14"/>
      <c r="D420" s="108"/>
      <c r="E420" s="148"/>
      <c r="F420" s="253"/>
      <c r="G420" s="253"/>
      <c r="H420" s="253"/>
      <c r="I420" s="246"/>
      <c r="J420" s="262"/>
      <c r="K420" s="137"/>
      <c r="L420" s="137"/>
      <c r="M420" s="137"/>
      <c r="N420" s="138"/>
      <c r="O420" s="167"/>
      <c r="P420" s="111"/>
      <c r="Q420" s="111"/>
      <c r="R420" s="111"/>
      <c r="S420" s="111"/>
      <c r="T420" s="111"/>
      <c r="U420" s="111"/>
      <c r="V420" s="111"/>
      <c r="W420" s="111"/>
      <c r="X420" s="111"/>
      <c r="Y420" s="111"/>
      <c r="Z420" s="111"/>
      <c r="AA420" s="111"/>
    </row>
    <row r="421" spans="1:27" s="147" customFormat="1" ht="40.799999999999997" x14ac:dyDescent="0.2">
      <c r="A421" s="9" t="s">
        <v>608</v>
      </c>
      <c r="B421" s="9" t="s">
        <v>89</v>
      </c>
      <c r="C421" s="13">
        <v>93144</v>
      </c>
      <c r="D421" s="113" t="s">
        <v>295</v>
      </c>
      <c r="E421" s="9" t="s">
        <v>33</v>
      </c>
      <c r="F421" s="261"/>
      <c r="G421" s="261"/>
      <c r="H421" s="261"/>
      <c r="I421" s="245"/>
      <c r="J421" s="261"/>
      <c r="K421" s="131">
        <f>J427</f>
        <v>4</v>
      </c>
      <c r="L421" s="131">
        <v>166.81</v>
      </c>
      <c r="M421" s="131">
        <f>ROUND(L421*(1+$Q$7),2)</f>
        <v>211.06</v>
      </c>
      <c r="N421" s="133">
        <f>TRUNC(K421*M421,2)</f>
        <v>844.24</v>
      </c>
      <c r="O421" s="286"/>
      <c r="P421" s="146"/>
      <c r="Q421" s="146"/>
      <c r="R421" s="146"/>
      <c r="S421" s="146"/>
      <c r="T421" s="146"/>
      <c r="U421" s="146"/>
      <c r="V421" s="146"/>
      <c r="W421" s="146"/>
      <c r="X421" s="146"/>
      <c r="Y421" s="146"/>
      <c r="Z421" s="146"/>
      <c r="AA421" s="146"/>
    </row>
    <row r="422" spans="1:27" s="118" customFormat="1" x14ac:dyDescent="0.2">
      <c r="A422" s="6"/>
      <c r="B422" s="6"/>
      <c r="C422" s="155"/>
      <c r="D422" s="3" t="s">
        <v>296</v>
      </c>
      <c r="E422" s="148"/>
      <c r="F422" s="253"/>
      <c r="G422" s="253"/>
      <c r="H422" s="253"/>
      <c r="I422" s="246"/>
      <c r="J422" s="253"/>
      <c r="K422" s="137"/>
      <c r="L422" s="137"/>
      <c r="M422" s="137"/>
      <c r="N422" s="138"/>
      <c r="O422" s="167"/>
      <c r="P422" s="111"/>
      <c r="Q422" s="111"/>
      <c r="R422" s="111"/>
      <c r="S422" s="111"/>
      <c r="T422" s="111"/>
      <c r="U422" s="111"/>
      <c r="V422" s="111"/>
      <c r="W422" s="111"/>
      <c r="X422" s="111"/>
      <c r="Y422" s="111"/>
      <c r="Z422" s="111"/>
      <c r="AA422" s="111"/>
    </row>
    <row r="423" spans="1:27" s="118" customFormat="1" x14ac:dyDescent="0.2">
      <c r="A423" s="6"/>
      <c r="B423" s="6"/>
      <c r="C423" s="155"/>
      <c r="D423" s="2" t="s">
        <v>253</v>
      </c>
      <c r="E423" s="148"/>
      <c r="F423" s="253">
        <v>1</v>
      </c>
      <c r="G423" s="253"/>
      <c r="H423" s="253"/>
      <c r="I423" s="246"/>
      <c r="J423" s="253">
        <f t="shared" ref="J423:J426" si="46">ROUND(PRODUCT(F423:I423),2)</f>
        <v>1</v>
      </c>
      <c r="K423" s="137"/>
      <c r="L423" s="137"/>
      <c r="M423" s="137"/>
      <c r="N423" s="138"/>
      <c r="O423" s="167"/>
      <c r="P423" s="111"/>
      <c r="Q423" s="111"/>
      <c r="R423" s="111"/>
      <c r="S423" s="111"/>
      <c r="T423" s="111"/>
      <c r="U423" s="111"/>
      <c r="V423" s="111"/>
      <c r="W423" s="111"/>
      <c r="X423" s="111"/>
      <c r="Y423" s="111"/>
      <c r="Z423" s="111"/>
      <c r="AA423" s="111"/>
    </row>
    <row r="424" spans="1:27" s="118" customFormat="1" x14ac:dyDescent="0.2">
      <c r="A424" s="6"/>
      <c r="B424" s="6"/>
      <c r="C424" s="155"/>
      <c r="D424" s="2" t="s">
        <v>305</v>
      </c>
      <c r="E424" s="148"/>
      <c r="F424" s="253">
        <v>1</v>
      </c>
      <c r="G424" s="253"/>
      <c r="H424" s="253"/>
      <c r="I424" s="246"/>
      <c r="J424" s="253">
        <f t="shared" si="46"/>
        <v>1</v>
      </c>
      <c r="K424" s="137"/>
      <c r="L424" s="137"/>
      <c r="M424" s="137"/>
      <c r="N424" s="138"/>
      <c r="O424" s="167"/>
      <c r="P424" s="111"/>
      <c r="Q424" s="111"/>
      <c r="R424" s="111"/>
      <c r="S424" s="111"/>
      <c r="T424" s="111"/>
      <c r="U424" s="111"/>
      <c r="V424" s="111"/>
      <c r="W424" s="111"/>
      <c r="X424" s="111"/>
      <c r="Y424" s="111"/>
      <c r="Z424" s="111"/>
      <c r="AA424" s="111"/>
    </row>
    <row r="425" spans="1:27" s="118" customFormat="1" x14ac:dyDescent="0.2">
      <c r="A425" s="6"/>
      <c r="B425" s="6"/>
      <c r="C425" s="155"/>
      <c r="D425" s="2" t="s">
        <v>479</v>
      </c>
      <c r="E425" s="148"/>
      <c r="F425" s="253">
        <v>1</v>
      </c>
      <c r="G425" s="253"/>
      <c r="H425" s="253"/>
      <c r="I425" s="246"/>
      <c r="J425" s="253">
        <f t="shared" si="46"/>
        <v>1</v>
      </c>
      <c r="K425" s="137"/>
      <c r="L425" s="137"/>
      <c r="M425" s="137"/>
      <c r="N425" s="138"/>
      <c r="O425" s="167"/>
      <c r="P425" s="111"/>
      <c r="Q425" s="111"/>
      <c r="R425" s="111"/>
      <c r="S425" s="111"/>
      <c r="T425" s="111"/>
      <c r="U425" s="111"/>
      <c r="V425" s="111"/>
      <c r="W425" s="111"/>
      <c r="X425" s="111"/>
      <c r="Y425" s="111"/>
      <c r="Z425" s="111"/>
      <c r="AA425" s="111"/>
    </row>
    <row r="426" spans="1:27" s="118" customFormat="1" x14ac:dyDescent="0.2">
      <c r="A426" s="6"/>
      <c r="B426" s="6"/>
      <c r="C426" s="155"/>
      <c r="D426" s="2" t="s">
        <v>478</v>
      </c>
      <c r="E426" s="148"/>
      <c r="F426" s="253">
        <v>1</v>
      </c>
      <c r="G426" s="253"/>
      <c r="H426" s="253"/>
      <c r="I426" s="246"/>
      <c r="J426" s="253">
        <f t="shared" si="46"/>
        <v>1</v>
      </c>
      <c r="K426" s="137"/>
      <c r="L426" s="137"/>
      <c r="M426" s="137"/>
      <c r="N426" s="138"/>
      <c r="O426" s="167"/>
      <c r="P426" s="111"/>
      <c r="Q426" s="111"/>
      <c r="R426" s="111"/>
      <c r="S426" s="111"/>
      <c r="T426" s="111"/>
      <c r="U426" s="111"/>
      <c r="V426" s="111"/>
      <c r="W426" s="111"/>
      <c r="X426" s="111"/>
      <c r="Y426" s="111"/>
      <c r="Z426" s="111"/>
      <c r="AA426" s="111"/>
    </row>
    <row r="427" spans="1:27" s="118" customFormat="1" x14ac:dyDescent="0.2">
      <c r="A427" s="6"/>
      <c r="B427" s="6"/>
      <c r="C427" s="156"/>
      <c r="D427" s="108"/>
      <c r="E427" s="148"/>
      <c r="F427" s="253"/>
      <c r="G427" s="253"/>
      <c r="H427" s="253"/>
      <c r="I427" s="246" t="str">
        <f>"Total item "&amp;A421</f>
        <v>Total item 6.1.1</v>
      </c>
      <c r="J427" s="261">
        <f>SUM(J423:J426)</f>
        <v>4</v>
      </c>
      <c r="K427" s="137"/>
      <c r="L427" s="137"/>
      <c r="M427" s="137"/>
      <c r="N427" s="138"/>
      <c r="O427" s="167"/>
      <c r="P427" s="111"/>
      <c r="Q427" s="111"/>
      <c r="R427" s="111"/>
      <c r="S427" s="111"/>
      <c r="T427" s="111"/>
      <c r="U427" s="111"/>
      <c r="V427" s="111"/>
      <c r="W427" s="111"/>
      <c r="X427" s="111"/>
      <c r="Y427" s="111"/>
      <c r="Z427" s="111"/>
      <c r="AA427" s="111"/>
    </row>
    <row r="428" spans="1:27" s="139" customFormat="1" x14ac:dyDescent="0.2">
      <c r="A428" s="6"/>
      <c r="B428" s="6"/>
      <c r="C428" s="7"/>
      <c r="D428" s="116"/>
      <c r="E428" s="6"/>
      <c r="F428" s="258"/>
      <c r="G428" s="258"/>
      <c r="H428" s="258"/>
      <c r="I428" s="246"/>
      <c r="J428" s="258"/>
      <c r="K428" s="137"/>
      <c r="L428" s="137"/>
      <c r="M428" s="137"/>
      <c r="N428" s="138"/>
      <c r="O428" s="283"/>
      <c r="P428" s="120"/>
      <c r="Q428" s="120"/>
      <c r="R428" s="120"/>
      <c r="S428" s="120"/>
      <c r="T428" s="120"/>
      <c r="U428" s="120"/>
      <c r="V428" s="120"/>
      <c r="W428" s="120"/>
      <c r="X428" s="120"/>
      <c r="Y428" s="120"/>
      <c r="Z428" s="120"/>
      <c r="AA428" s="120"/>
    </row>
    <row r="429" spans="1:27" s="147" customFormat="1" ht="40.799999999999997" x14ac:dyDescent="0.2">
      <c r="A429" s="9" t="s">
        <v>609</v>
      </c>
      <c r="B429" s="9" t="s">
        <v>163</v>
      </c>
      <c r="C429" s="197" t="s">
        <v>192</v>
      </c>
      <c r="D429" s="113" t="s">
        <v>712</v>
      </c>
      <c r="E429" s="9" t="s">
        <v>31</v>
      </c>
      <c r="F429" s="261"/>
      <c r="G429" s="261"/>
      <c r="H429" s="261"/>
      <c r="I429" s="245"/>
      <c r="J429" s="261"/>
      <c r="K429" s="131">
        <f>J435</f>
        <v>4</v>
      </c>
      <c r="L429" s="131">
        <v>46.44</v>
      </c>
      <c r="M429" s="131">
        <f>ROUND(L429*(1+$Q$7),2)</f>
        <v>58.76</v>
      </c>
      <c r="N429" s="133">
        <f>TRUNC(K429*M429,2)</f>
        <v>235.04</v>
      </c>
      <c r="O429" s="286"/>
      <c r="P429" s="146"/>
      <c r="Q429" s="146"/>
      <c r="R429" s="146"/>
      <c r="S429" s="146"/>
      <c r="T429" s="146"/>
      <c r="U429" s="146"/>
      <c r="V429" s="146"/>
      <c r="W429" s="146"/>
      <c r="X429" s="146"/>
      <c r="Y429" s="146"/>
      <c r="Z429" s="146"/>
      <c r="AA429" s="146"/>
    </row>
    <row r="430" spans="1:27" s="118" customFormat="1" x14ac:dyDescent="0.2">
      <c r="A430" s="6"/>
      <c r="B430" s="6"/>
      <c r="C430" s="155"/>
      <c r="D430" s="3" t="s">
        <v>296</v>
      </c>
      <c r="E430" s="148"/>
      <c r="F430" s="253"/>
      <c r="G430" s="253"/>
      <c r="H430" s="253"/>
      <c r="I430" s="246"/>
      <c r="J430" s="253"/>
      <c r="K430" s="137"/>
      <c r="L430" s="137"/>
      <c r="M430" s="137"/>
      <c r="N430" s="138"/>
      <c r="O430" s="167"/>
      <c r="P430" s="111"/>
      <c r="Q430" s="111"/>
      <c r="R430" s="111"/>
      <c r="S430" s="111"/>
      <c r="T430" s="111"/>
      <c r="U430" s="111"/>
      <c r="V430" s="111"/>
      <c r="W430" s="111"/>
      <c r="X430" s="111"/>
      <c r="Y430" s="111"/>
      <c r="Z430" s="111"/>
      <c r="AA430" s="111"/>
    </row>
    <row r="431" spans="1:27" s="118" customFormat="1" x14ac:dyDescent="0.2">
      <c r="A431" s="6"/>
      <c r="B431" s="6"/>
      <c r="C431" s="155"/>
      <c r="D431" s="2" t="s">
        <v>253</v>
      </c>
      <c r="E431" s="148"/>
      <c r="F431" s="253">
        <v>1</v>
      </c>
      <c r="G431" s="253"/>
      <c r="H431" s="253"/>
      <c r="I431" s="246"/>
      <c r="J431" s="253">
        <f t="shared" ref="J431:J434" si="47">ROUND(PRODUCT(F431:I431),2)</f>
        <v>1</v>
      </c>
      <c r="K431" s="137"/>
      <c r="L431" s="137"/>
      <c r="M431" s="137"/>
      <c r="N431" s="138"/>
      <c r="O431" s="167"/>
      <c r="P431" s="111"/>
      <c r="Q431" s="111"/>
      <c r="R431" s="111"/>
      <c r="S431" s="111"/>
      <c r="T431" s="111"/>
      <c r="U431" s="111"/>
      <c r="V431" s="111"/>
      <c r="W431" s="111"/>
      <c r="X431" s="111"/>
      <c r="Y431" s="111"/>
      <c r="Z431" s="111"/>
      <c r="AA431" s="111"/>
    </row>
    <row r="432" spans="1:27" s="118" customFormat="1" x14ac:dyDescent="0.2">
      <c r="A432" s="6"/>
      <c r="B432" s="6"/>
      <c r="C432" s="155"/>
      <c r="D432" s="2" t="s">
        <v>305</v>
      </c>
      <c r="E432" s="148"/>
      <c r="F432" s="253">
        <v>1</v>
      </c>
      <c r="G432" s="253"/>
      <c r="H432" s="253"/>
      <c r="I432" s="246"/>
      <c r="J432" s="253">
        <f t="shared" si="47"/>
        <v>1</v>
      </c>
      <c r="K432" s="137"/>
      <c r="L432" s="137"/>
      <c r="M432" s="137"/>
      <c r="N432" s="138"/>
      <c r="O432" s="167"/>
      <c r="P432" s="111"/>
      <c r="Q432" s="111"/>
      <c r="R432" s="111"/>
      <c r="S432" s="111"/>
      <c r="T432" s="111"/>
      <c r="U432" s="111"/>
      <c r="V432" s="111"/>
      <c r="W432" s="111"/>
      <c r="X432" s="111"/>
      <c r="Y432" s="111"/>
      <c r="Z432" s="111"/>
      <c r="AA432" s="111"/>
    </row>
    <row r="433" spans="1:27" s="118" customFormat="1" x14ac:dyDescent="0.2">
      <c r="A433" s="6"/>
      <c r="B433" s="6"/>
      <c r="C433" s="155"/>
      <c r="D433" s="2" t="s">
        <v>479</v>
      </c>
      <c r="E433" s="148"/>
      <c r="F433" s="253">
        <v>1</v>
      </c>
      <c r="G433" s="253"/>
      <c r="H433" s="253"/>
      <c r="I433" s="246"/>
      <c r="J433" s="253">
        <f t="shared" si="47"/>
        <v>1</v>
      </c>
      <c r="K433" s="137"/>
      <c r="L433" s="137"/>
      <c r="M433" s="137"/>
      <c r="N433" s="138"/>
      <c r="O433" s="167"/>
      <c r="P433" s="111"/>
      <c r="Q433" s="111"/>
      <c r="R433" s="111"/>
      <c r="S433" s="111"/>
      <c r="T433" s="111"/>
      <c r="U433" s="111"/>
      <c r="V433" s="111"/>
      <c r="W433" s="111"/>
      <c r="X433" s="111"/>
      <c r="Y433" s="111"/>
      <c r="Z433" s="111"/>
      <c r="AA433" s="111"/>
    </row>
    <row r="434" spans="1:27" s="118" customFormat="1" x14ac:dyDescent="0.2">
      <c r="A434" s="6"/>
      <c r="B434" s="6"/>
      <c r="C434" s="155"/>
      <c r="D434" s="2" t="s">
        <v>478</v>
      </c>
      <c r="E434" s="148"/>
      <c r="F434" s="253">
        <v>1</v>
      </c>
      <c r="G434" s="253"/>
      <c r="H434" s="253"/>
      <c r="I434" s="246"/>
      <c r="J434" s="253">
        <f t="shared" si="47"/>
        <v>1</v>
      </c>
      <c r="K434" s="137"/>
      <c r="L434" s="137"/>
      <c r="M434" s="137"/>
      <c r="N434" s="138"/>
      <c r="O434" s="167"/>
      <c r="P434" s="111"/>
      <c r="Q434" s="111"/>
      <c r="R434" s="111"/>
      <c r="S434" s="111"/>
      <c r="T434" s="111"/>
      <c r="U434" s="111"/>
      <c r="V434" s="111"/>
      <c r="W434" s="111"/>
      <c r="X434" s="111"/>
      <c r="Y434" s="111"/>
      <c r="Z434" s="111"/>
      <c r="AA434" s="111"/>
    </row>
    <row r="435" spans="1:27" s="118" customFormat="1" x14ac:dyDescent="0.2">
      <c r="A435" s="6"/>
      <c r="B435" s="6"/>
      <c r="C435" s="156"/>
      <c r="D435" s="108"/>
      <c r="E435" s="148"/>
      <c r="F435" s="253"/>
      <c r="G435" s="253"/>
      <c r="H435" s="253"/>
      <c r="I435" s="246" t="str">
        <f>"Total item "&amp;A429</f>
        <v>Total item 6.1.2</v>
      </c>
      <c r="J435" s="261">
        <f>SUM(J431:J434)</f>
        <v>4</v>
      </c>
      <c r="K435" s="137"/>
      <c r="L435" s="137"/>
      <c r="M435" s="137"/>
      <c r="N435" s="138"/>
      <c r="O435" s="167"/>
      <c r="P435" s="111"/>
      <c r="Q435" s="111"/>
      <c r="R435" s="111"/>
      <c r="S435" s="111"/>
      <c r="T435" s="111"/>
      <c r="U435" s="111"/>
      <c r="V435" s="111"/>
      <c r="W435" s="111"/>
      <c r="X435" s="111"/>
      <c r="Y435" s="111"/>
      <c r="Z435" s="111"/>
      <c r="AA435" s="111"/>
    </row>
    <row r="436" spans="1:27" s="161" customFormat="1" x14ac:dyDescent="0.2">
      <c r="A436" s="10"/>
      <c r="B436" s="10"/>
      <c r="C436" s="191"/>
      <c r="D436" s="110"/>
      <c r="E436" s="158"/>
      <c r="F436" s="267"/>
      <c r="G436" s="267"/>
      <c r="H436" s="267"/>
      <c r="I436" s="250"/>
      <c r="J436" s="263"/>
      <c r="K436" s="151"/>
      <c r="L436" s="151"/>
      <c r="M436" s="151"/>
      <c r="N436" s="152"/>
      <c r="O436" s="167"/>
      <c r="P436" s="114"/>
      <c r="Q436" s="114"/>
      <c r="R436" s="114"/>
      <c r="S436" s="114"/>
      <c r="T436" s="114"/>
      <c r="U436" s="114"/>
      <c r="V436" s="114"/>
      <c r="W436" s="114"/>
      <c r="X436" s="114"/>
      <c r="Y436" s="114"/>
      <c r="Z436" s="114"/>
      <c r="AA436" s="114"/>
    </row>
    <row r="437" spans="1:27" s="147" customFormat="1" ht="61.2" x14ac:dyDescent="0.2">
      <c r="A437" s="9" t="s">
        <v>758</v>
      </c>
      <c r="B437" s="9" t="s">
        <v>179</v>
      </c>
      <c r="C437" s="13" t="s">
        <v>417</v>
      </c>
      <c r="D437" s="113" t="s">
        <v>561</v>
      </c>
      <c r="E437" s="9" t="s">
        <v>31</v>
      </c>
      <c r="F437" s="261"/>
      <c r="G437" s="261"/>
      <c r="H437" s="261"/>
      <c r="I437" s="245"/>
      <c r="J437" s="261"/>
      <c r="K437" s="131">
        <f>J441</f>
        <v>6</v>
      </c>
      <c r="L437" s="131" t="e">
        <f>'COMPOSICOES - SINAPI COM DESON'!G36</f>
        <v>#VALUE!</v>
      </c>
      <c r="M437" s="131" t="e">
        <f>ROUND(L437*(1+$Q$7),2)</f>
        <v>#VALUE!</v>
      </c>
      <c r="N437" s="133" t="e">
        <f>TRUNC(K437*M437,2)</f>
        <v>#VALUE!</v>
      </c>
      <c r="O437" s="286"/>
      <c r="P437" s="146"/>
      <c r="Q437" s="146"/>
      <c r="R437" s="146"/>
      <c r="S437" s="146"/>
      <c r="T437" s="146"/>
      <c r="U437" s="146"/>
      <c r="V437" s="146"/>
      <c r="W437" s="146"/>
      <c r="X437" s="146"/>
      <c r="Y437" s="146"/>
      <c r="Z437" s="146"/>
      <c r="AA437" s="146"/>
    </row>
    <row r="438" spans="1:27" s="118" customFormat="1" x14ac:dyDescent="0.2">
      <c r="A438" s="6"/>
      <c r="B438" s="6"/>
      <c r="C438" s="155"/>
      <c r="D438" s="2" t="s">
        <v>253</v>
      </c>
      <c r="E438" s="148"/>
      <c r="F438" s="253">
        <v>2</v>
      </c>
      <c r="G438" s="253"/>
      <c r="H438" s="253"/>
      <c r="I438" s="246"/>
      <c r="J438" s="253">
        <f t="shared" ref="J438:J440" si="48">ROUND(PRODUCT(F438:I438),2)</f>
        <v>2</v>
      </c>
      <c r="K438" s="137"/>
      <c r="L438" s="137"/>
      <c r="M438" s="137"/>
      <c r="N438" s="138"/>
      <c r="O438" s="167"/>
      <c r="P438" s="111"/>
      <c r="Q438" s="111" t="s">
        <v>400</v>
      </c>
      <c r="R438" s="111"/>
      <c r="S438" s="111"/>
      <c r="T438" s="111"/>
      <c r="U438" s="111"/>
      <c r="V438" s="111"/>
      <c r="W438" s="111"/>
      <c r="X438" s="111"/>
      <c r="Y438" s="111"/>
      <c r="Z438" s="111"/>
      <c r="AA438" s="111"/>
    </row>
    <row r="439" spans="1:27" s="118" customFormat="1" x14ac:dyDescent="0.2">
      <c r="A439" s="6"/>
      <c r="B439" s="6"/>
      <c r="C439" s="155"/>
      <c r="D439" s="2" t="s">
        <v>305</v>
      </c>
      <c r="E439" s="148"/>
      <c r="F439" s="253">
        <v>2</v>
      </c>
      <c r="G439" s="253"/>
      <c r="H439" s="253"/>
      <c r="I439" s="246"/>
      <c r="J439" s="253">
        <f t="shared" si="48"/>
        <v>2</v>
      </c>
      <c r="K439" s="137"/>
      <c r="L439" s="137"/>
      <c r="M439" s="137"/>
      <c r="N439" s="138"/>
      <c r="O439" s="167"/>
      <c r="P439" s="111"/>
      <c r="Q439" s="111"/>
      <c r="R439" s="111"/>
      <c r="S439" s="111"/>
      <c r="T439" s="111"/>
      <c r="U439" s="111"/>
      <c r="V439" s="111"/>
      <c r="W439" s="111"/>
      <c r="X439" s="111"/>
      <c r="Y439" s="111"/>
      <c r="Z439" s="111"/>
      <c r="AA439" s="111"/>
    </row>
    <row r="440" spans="1:27" s="118" customFormat="1" x14ac:dyDescent="0.2">
      <c r="A440" s="6"/>
      <c r="B440" s="6"/>
      <c r="C440" s="155"/>
      <c r="D440" s="2" t="s">
        <v>479</v>
      </c>
      <c r="E440" s="148"/>
      <c r="F440" s="253">
        <v>2</v>
      </c>
      <c r="G440" s="253"/>
      <c r="H440" s="253"/>
      <c r="I440" s="246"/>
      <c r="J440" s="253">
        <f t="shared" si="48"/>
        <v>2</v>
      </c>
      <c r="K440" s="137"/>
      <c r="L440" s="137"/>
      <c r="M440" s="137"/>
      <c r="N440" s="138"/>
      <c r="O440" s="167"/>
      <c r="P440" s="111"/>
      <c r="Q440" s="111"/>
      <c r="R440" s="111"/>
      <c r="S440" s="111"/>
      <c r="T440" s="111"/>
      <c r="U440" s="111"/>
      <c r="V440" s="111"/>
      <c r="W440" s="111"/>
      <c r="X440" s="111"/>
      <c r="Y440" s="111"/>
      <c r="Z440" s="111"/>
      <c r="AA440" s="111"/>
    </row>
    <row r="441" spans="1:27" s="118" customFormat="1" x14ac:dyDescent="0.2">
      <c r="A441" s="6"/>
      <c r="B441" s="6"/>
      <c r="C441" s="156"/>
      <c r="D441" s="108"/>
      <c r="E441" s="148"/>
      <c r="F441" s="253"/>
      <c r="G441" s="253"/>
      <c r="H441" s="253"/>
      <c r="I441" s="246" t="str">
        <f>"Total item "&amp;A437</f>
        <v>Total item 6.1.3</v>
      </c>
      <c r="J441" s="261">
        <f>SUM(J438:J440)</f>
        <v>6</v>
      </c>
      <c r="K441" s="137"/>
      <c r="L441" s="137"/>
      <c r="M441" s="137"/>
      <c r="N441" s="138"/>
      <c r="O441" s="167"/>
      <c r="P441" s="111"/>
      <c r="Q441" s="111"/>
      <c r="R441" s="111"/>
      <c r="S441" s="111"/>
      <c r="T441" s="111"/>
      <c r="U441" s="111"/>
      <c r="V441" s="111"/>
      <c r="W441" s="111"/>
      <c r="X441" s="111"/>
      <c r="Y441" s="111"/>
      <c r="Z441" s="111"/>
      <c r="AA441" s="111"/>
    </row>
    <row r="442" spans="1:27" s="139" customFormat="1" x14ac:dyDescent="0.2">
      <c r="A442" s="6"/>
      <c r="B442" s="6"/>
      <c r="C442" s="7"/>
      <c r="D442" s="116"/>
      <c r="E442" s="6"/>
      <c r="F442" s="258"/>
      <c r="G442" s="258"/>
      <c r="H442" s="258"/>
      <c r="I442" s="246"/>
      <c r="J442" s="258"/>
      <c r="K442" s="137"/>
      <c r="L442" s="137"/>
      <c r="M442" s="137"/>
      <c r="N442" s="138"/>
      <c r="O442" s="283"/>
      <c r="P442" s="120"/>
      <c r="Q442" s="120"/>
      <c r="R442" s="120"/>
      <c r="S442" s="120"/>
      <c r="T442" s="120"/>
      <c r="U442" s="120"/>
      <c r="V442" s="120"/>
      <c r="W442" s="120"/>
      <c r="X442" s="120"/>
      <c r="Y442" s="120"/>
      <c r="Z442" s="120"/>
      <c r="AA442" s="120"/>
    </row>
    <row r="443" spans="1:27" s="147" customFormat="1" ht="51" x14ac:dyDescent="0.2">
      <c r="A443" s="9" t="s">
        <v>610</v>
      </c>
      <c r="B443" s="9" t="s">
        <v>163</v>
      </c>
      <c r="C443" s="13" t="s">
        <v>244</v>
      </c>
      <c r="D443" s="113" t="s">
        <v>245</v>
      </c>
      <c r="E443" s="9" t="s">
        <v>31</v>
      </c>
      <c r="F443" s="261"/>
      <c r="G443" s="261"/>
      <c r="H443" s="261"/>
      <c r="I443" s="245"/>
      <c r="J443" s="261"/>
      <c r="K443" s="131">
        <f>J447</f>
        <v>7</v>
      </c>
      <c r="L443" s="131">
        <v>116.08</v>
      </c>
      <c r="M443" s="131">
        <f>ROUND(L443*(1+$Q$7),2)</f>
        <v>146.88</v>
      </c>
      <c r="N443" s="133">
        <f>TRUNC(K443*M443,2)</f>
        <v>1028.1600000000001</v>
      </c>
      <c r="O443" s="286"/>
      <c r="P443" s="146"/>
      <c r="Q443" s="146"/>
      <c r="R443" s="146"/>
      <c r="S443" s="146"/>
      <c r="T443" s="146"/>
      <c r="U443" s="146"/>
      <c r="V443" s="146"/>
      <c r="W443" s="146"/>
      <c r="X443" s="146"/>
      <c r="Y443" s="146"/>
      <c r="Z443" s="146"/>
      <c r="AA443" s="146"/>
    </row>
    <row r="444" spans="1:27" s="118" customFormat="1" x14ac:dyDescent="0.2">
      <c r="A444" s="6"/>
      <c r="B444" s="6"/>
      <c r="C444" s="155"/>
      <c r="D444" s="2" t="s">
        <v>478</v>
      </c>
      <c r="E444" s="148"/>
      <c r="F444" s="253">
        <v>2</v>
      </c>
      <c r="G444" s="253"/>
      <c r="H444" s="253"/>
      <c r="I444" s="246"/>
      <c r="J444" s="253">
        <f t="shared" ref="J444:J446" si="49">ROUND(PRODUCT(F444:I444),2)</f>
        <v>2</v>
      </c>
      <c r="K444" s="137"/>
      <c r="L444" s="137"/>
      <c r="M444" s="137"/>
      <c r="N444" s="138"/>
      <c r="O444" s="167"/>
      <c r="P444" s="111"/>
      <c r="Q444" s="111"/>
      <c r="R444" s="111"/>
      <c r="S444" s="111"/>
      <c r="T444" s="111"/>
      <c r="U444" s="111"/>
      <c r="V444" s="111"/>
      <c r="W444" s="111"/>
      <c r="X444" s="111"/>
      <c r="Y444" s="111"/>
      <c r="Z444" s="111"/>
      <c r="AA444" s="111"/>
    </row>
    <row r="445" spans="1:27" s="118" customFormat="1" x14ac:dyDescent="0.2">
      <c r="A445" s="6"/>
      <c r="B445" s="6"/>
      <c r="C445" s="155"/>
      <c r="D445" s="2" t="s">
        <v>257</v>
      </c>
      <c r="E445" s="148"/>
      <c r="F445" s="253">
        <v>3</v>
      </c>
      <c r="G445" s="253"/>
      <c r="H445" s="253"/>
      <c r="I445" s="246"/>
      <c r="J445" s="253">
        <f t="shared" si="49"/>
        <v>3</v>
      </c>
      <c r="K445" s="137"/>
      <c r="L445" s="137"/>
      <c r="M445" s="137"/>
      <c r="N445" s="138"/>
      <c r="O445" s="167"/>
      <c r="P445" s="111"/>
      <c r="Q445" s="111"/>
      <c r="R445" s="111"/>
      <c r="S445" s="111"/>
      <c r="T445" s="111"/>
      <c r="U445" s="111"/>
      <c r="V445" s="111"/>
      <c r="W445" s="111"/>
      <c r="X445" s="111"/>
      <c r="Y445" s="111"/>
      <c r="Z445" s="111"/>
      <c r="AA445" s="111"/>
    </row>
    <row r="446" spans="1:27" s="118" customFormat="1" x14ac:dyDescent="0.2">
      <c r="A446" s="6"/>
      <c r="B446" s="6"/>
      <c r="C446" s="155"/>
      <c r="D446" s="2" t="s">
        <v>63</v>
      </c>
      <c r="E446" s="148"/>
      <c r="F446" s="253">
        <v>2</v>
      </c>
      <c r="G446" s="253"/>
      <c r="H446" s="253"/>
      <c r="I446" s="246"/>
      <c r="J446" s="253">
        <f t="shared" si="49"/>
        <v>2</v>
      </c>
      <c r="K446" s="137"/>
      <c r="L446" s="137"/>
      <c r="M446" s="137"/>
      <c r="N446" s="138"/>
      <c r="O446" s="167"/>
      <c r="P446" s="111"/>
      <c r="Q446" s="111"/>
      <c r="R446" s="111"/>
      <c r="S446" s="111"/>
      <c r="T446" s="111"/>
      <c r="U446" s="111"/>
      <c r="V446" s="111"/>
      <c r="W446" s="111"/>
      <c r="X446" s="111"/>
      <c r="Y446" s="111"/>
      <c r="Z446" s="111"/>
      <c r="AA446" s="111"/>
    </row>
    <row r="447" spans="1:27" s="118" customFormat="1" x14ac:dyDescent="0.2">
      <c r="A447" s="6"/>
      <c r="B447" s="6"/>
      <c r="C447" s="156"/>
      <c r="D447" s="108"/>
      <c r="E447" s="148"/>
      <c r="F447" s="253"/>
      <c r="G447" s="253"/>
      <c r="H447" s="253"/>
      <c r="I447" s="246" t="str">
        <f>"Total item "&amp;A443</f>
        <v>Total item 6.1.4</v>
      </c>
      <c r="J447" s="261">
        <f>SUM(J444:J446)</f>
        <v>7</v>
      </c>
      <c r="K447" s="137"/>
      <c r="L447" s="137"/>
      <c r="M447" s="137"/>
      <c r="N447" s="138"/>
      <c r="O447" s="167"/>
      <c r="P447" s="111"/>
      <c r="Q447" s="111"/>
      <c r="R447" s="111"/>
      <c r="S447" s="111"/>
      <c r="T447" s="111"/>
      <c r="U447" s="111"/>
      <c r="V447" s="111"/>
      <c r="W447" s="111"/>
      <c r="X447" s="111"/>
      <c r="Y447" s="111"/>
      <c r="Z447" s="111"/>
      <c r="AA447" s="111"/>
    </row>
    <row r="448" spans="1:27" s="139" customFormat="1" x14ac:dyDescent="0.2">
      <c r="A448" s="6"/>
      <c r="B448" s="6"/>
      <c r="C448" s="7"/>
      <c r="D448" s="116"/>
      <c r="E448" s="6"/>
      <c r="F448" s="258"/>
      <c r="G448" s="258"/>
      <c r="H448" s="258"/>
      <c r="I448" s="246"/>
      <c r="J448" s="258"/>
      <c r="K448" s="137"/>
      <c r="L448" s="137"/>
      <c r="M448" s="137"/>
      <c r="N448" s="138"/>
      <c r="O448" s="283"/>
      <c r="P448" s="120"/>
      <c r="Q448" s="120"/>
      <c r="R448" s="120"/>
      <c r="S448" s="120"/>
      <c r="T448" s="120"/>
      <c r="U448" s="120"/>
      <c r="V448" s="120"/>
      <c r="W448" s="120"/>
      <c r="X448" s="120"/>
      <c r="Y448" s="120"/>
      <c r="Z448" s="120"/>
      <c r="AA448" s="120"/>
    </row>
    <row r="449" spans="1:27" s="147" customFormat="1" ht="30.6" x14ac:dyDescent="0.2">
      <c r="A449" s="9" t="s">
        <v>611</v>
      </c>
      <c r="B449" s="9" t="s">
        <v>179</v>
      </c>
      <c r="C449" s="13" t="s">
        <v>672</v>
      </c>
      <c r="D449" s="113" t="s">
        <v>567</v>
      </c>
      <c r="E449" s="9" t="s">
        <v>33</v>
      </c>
      <c r="F449" s="261"/>
      <c r="G449" s="261"/>
      <c r="H449" s="261"/>
      <c r="I449" s="245"/>
      <c r="J449" s="261"/>
      <c r="K449" s="131">
        <f>J459</f>
        <v>19</v>
      </c>
      <c r="L449" s="131">
        <f>'COMPOSICOES - SINAPI COM DESON'!G50</f>
        <v>104.48</v>
      </c>
      <c r="M449" s="131">
        <f>ROUND(L449*(1+$Q$7),2)</f>
        <v>132.19999999999999</v>
      </c>
      <c r="N449" s="133">
        <f>TRUNC(K449*M449,2)</f>
        <v>2511.8000000000002</v>
      </c>
      <c r="O449" s="286"/>
      <c r="P449" s="146"/>
      <c r="Q449" s="146"/>
      <c r="R449" s="146"/>
      <c r="S449" s="146"/>
      <c r="T449" s="146"/>
      <c r="U449" s="146"/>
      <c r="V449" s="146"/>
      <c r="W449" s="146"/>
      <c r="X449" s="146"/>
      <c r="Y449" s="146"/>
      <c r="Z449" s="146"/>
      <c r="AA449" s="146"/>
    </row>
    <row r="450" spans="1:27" s="174" customFormat="1" x14ac:dyDescent="0.2">
      <c r="A450" s="170"/>
      <c r="B450" s="170"/>
      <c r="C450" s="171"/>
      <c r="D450" s="2" t="s">
        <v>305</v>
      </c>
      <c r="E450" s="170"/>
      <c r="F450" s="253">
        <v>3</v>
      </c>
      <c r="G450" s="253"/>
      <c r="H450" s="253"/>
      <c r="I450" s="249"/>
      <c r="J450" s="253">
        <f t="shared" ref="J450:J458" si="50">ROUND(PRODUCT(F450:I450),2)</f>
        <v>3</v>
      </c>
      <c r="K450" s="172"/>
      <c r="L450" s="172"/>
      <c r="M450" s="172"/>
      <c r="N450" s="173"/>
      <c r="O450" s="287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</row>
    <row r="451" spans="1:27" s="174" customFormat="1" x14ac:dyDescent="0.2">
      <c r="A451" s="170"/>
      <c r="B451" s="170"/>
      <c r="C451" s="171"/>
      <c r="D451" s="2" t="s">
        <v>479</v>
      </c>
      <c r="E451" s="170"/>
      <c r="F451" s="253">
        <v>3</v>
      </c>
      <c r="G451" s="253"/>
      <c r="H451" s="253"/>
      <c r="I451" s="249"/>
      <c r="J451" s="253">
        <f t="shared" si="50"/>
        <v>3</v>
      </c>
      <c r="K451" s="172"/>
      <c r="L451" s="172"/>
      <c r="M451" s="172"/>
      <c r="N451" s="173"/>
      <c r="O451" s="287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</row>
    <row r="452" spans="1:27" s="174" customFormat="1" x14ac:dyDescent="0.2">
      <c r="A452" s="170"/>
      <c r="B452" s="170"/>
      <c r="C452" s="171"/>
      <c r="D452" s="2" t="s">
        <v>478</v>
      </c>
      <c r="E452" s="170"/>
      <c r="F452" s="253">
        <v>3</v>
      </c>
      <c r="G452" s="253"/>
      <c r="H452" s="253"/>
      <c r="I452" s="249"/>
      <c r="J452" s="253">
        <f t="shared" si="50"/>
        <v>3</v>
      </c>
      <c r="K452" s="172"/>
      <c r="L452" s="172"/>
      <c r="M452" s="172"/>
      <c r="N452" s="173"/>
      <c r="O452" s="287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</row>
    <row r="453" spans="1:27" s="174" customFormat="1" x14ac:dyDescent="0.2">
      <c r="A453" s="170"/>
      <c r="B453" s="170"/>
      <c r="C453" s="171"/>
      <c r="D453" s="2" t="s">
        <v>257</v>
      </c>
      <c r="E453" s="170"/>
      <c r="F453" s="253">
        <v>2</v>
      </c>
      <c r="G453" s="253"/>
      <c r="H453" s="253"/>
      <c r="I453" s="249"/>
      <c r="J453" s="253">
        <f t="shared" si="50"/>
        <v>2</v>
      </c>
      <c r="K453" s="172"/>
      <c r="L453" s="172"/>
      <c r="M453" s="172"/>
      <c r="N453" s="173"/>
      <c r="O453" s="287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</row>
    <row r="454" spans="1:27" s="174" customFormat="1" x14ac:dyDescent="0.2">
      <c r="A454" s="170"/>
      <c r="B454" s="170"/>
      <c r="C454" s="171"/>
      <c r="D454" s="2" t="s">
        <v>164</v>
      </c>
      <c r="E454" s="170"/>
      <c r="F454" s="253">
        <v>1</v>
      </c>
      <c r="G454" s="253"/>
      <c r="H454" s="253"/>
      <c r="I454" s="249"/>
      <c r="J454" s="253">
        <f t="shared" si="50"/>
        <v>1</v>
      </c>
      <c r="K454" s="172"/>
      <c r="L454" s="172"/>
      <c r="M454" s="172"/>
      <c r="N454" s="173"/>
      <c r="O454" s="287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</row>
    <row r="455" spans="1:27" s="174" customFormat="1" x14ac:dyDescent="0.2">
      <c r="A455" s="170"/>
      <c r="B455" s="170"/>
      <c r="C455" s="171"/>
      <c r="D455" s="2" t="s">
        <v>467</v>
      </c>
      <c r="E455" s="170"/>
      <c r="F455" s="253">
        <v>1</v>
      </c>
      <c r="G455" s="253"/>
      <c r="H455" s="253"/>
      <c r="I455" s="249"/>
      <c r="J455" s="253">
        <f t="shared" si="50"/>
        <v>1</v>
      </c>
      <c r="K455" s="172"/>
      <c r="L455" s="172"/>
      <c r="M455" s="172"/>
      <c r="N455" s="173"/>
      <c r="O455" s="287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</row>
    <row r="456" spans="1:27" s="174" customFormat="1" x14ac:dyDescent="0.2">
      <c r="A456" s="170"/>
      <c r="B456" s="170"/>
      <c r="C456" s="171"/>
      <c r="D456" s="2" t="s">
        <v>345</v>
      </c>
      <c r="E456" s="170"/>
      <c r="F456" s="253">
        <v>1</v>
      </c>
      <c r="G456" s="253"/>
      <c r="H456" s="253"/>
      <c r="I456" s="249"/>
      <c r="J456" s="253">
        <f t="shared" si="50"/>
        <v>1</v>
      </c>
      <c r="K456" s="172"/>
      <c r="L456" s="172"/>
      <c r="M456" s="172"/>
      <c r="N456" s="173"/>
      <c r="O456" s="287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</row>
    <row r="457" spans="1:27" s="174" customFormat="1" x14ac:dyDescent="0.2">
      <c r="A457" s="170"/>
      <c r="B457" s="170"/>
      <c r="C457" s="171"/>
      <c r="D457" s="2" t="s">
        <v>166</v>
      </c>
      <c r="E457" s="170"/>
      <c r="F457" s="253">
        <v>1</v>
      </c>
      <c r="G457" s="253"/>
      <c r="H457" s="253"/>
      <c r="I457" s="249"/>
      <c r="J457" s="253">
        <f t="shared" si="50"/>
        <v>1</v>
      </c>
      <c r="K457" s="172"/>
      <c r="L457" s="172"/>
      <c r="M457" s="172"/>
      <c r="N457" s="173"/>
      <c r="O457" s="287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</row>
    <row r="458" spans="1:27" s="174" customFormat="1" x14ac:dyDescent="0.2">
      <c r="A458" s="170"/>
      <c r="B458" s="170"/>
      <c r="C458" s="171"/>
      <c r="D458" s="2" t="s">
        <v>480</v>
      </c>
      <c r="E458" s="170"/>
      <c r="F458" s="253">
        <v>4</v>
      </c>
      <c r="G458" s="253"/>
      <c r="H458" s="253"/>
      <c r="I458" s="249"/>
      <c r="J458" s="253">
        <f t="shared" si="50"/>
        <v>4</v>
      </c>
      <c r="K458" s="172"/>
      <c r="L458" s="172"/>
      <c r="M458" s="172"/>
      <c r="N458" s="173"/>
      <c r="O458" s="287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</row>
    <row r="459" spans="1:27" s="174" customFormat="1" x14ac:dyDescent="0.2">
      <c r="A459" s="170"/>
      <c r="B459" s="170"/>
      <c r="C459" s="171"/>
      <c r="D459" s="175"/>
      <c r="E459" s="176"/>
      <c r="F459" s="264"/>
      <c r="G459" s="264"/>
      <c r="H459" s="264"/>
      <c r="I459" s="251" t="str">
        <f>"Total item "&amp;A449</f>
        <v>Total item 6.1.5</v>
      </c>
      <c r="J459" s="261">
        <f>SUM(J450:J458)</f>
        <v>19</v>
      </c>
      <c r="K459" s="172"/>
      <c r="L459" s="172"/>
      <c r="M459" s="172"/>
      <c r="N459" s="173"/>
      <c r="O459" s="287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</row>
    <row r="460" spans="1:27" s="174" customFormat="1" x14ac:dyDescent="0.2">
      <c r="A460" s="170"/>
      <c r="B460" s="170"/>
      <c r="C460" s="171"/>
      <c r="D460" s="175"/>
      <c r="E460" s="176"/>
      <c r="F460" s="264"/>
      <c r="G460" s="264"/>
      <c r="H460" s="264"/>
      <c r="I460" s="251"/>
      <c r="J460" s="262"/>
      <c r="K460" s="172"/>
      <c r="L460" s="172"/>
      <c r="M460" s="172"/>
      <c r="N460" s="173"/>
      <c r="O460" s="287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</row>
    <row r="461" spans="1:27" s="147" customFormat="1" ht="30.6" x14ac:dyDescent="0.2">
      <c r="A461" s="9" t="s">
        <v>759</v>
      </c>
      <c r="B461" s="9" t="s">
        <v>163</v>
      </c>
      <c r="C461" s="13" t="s">
        <v>240</v>
      </c>
      <c r="D461" s="113" t="s">
        <v>403</v>
      </c>
      <c r="E461" s="9" t="s">
        <v>31</v>
      </c>
      <c r="F461" s="261"/>
      <c r="G461" s="261"/>
      <c r="H461" s="261"/>
      <c r="I461" s="245"/>
      <c r="J461" s="261"/>
      <c r="K461" s="131">
        <f>J464</f>
        <v>2</v>
      </c>
      <c r="L461" s="131">
        <v>73.44</v>
      </c>
      <c r="M461" s="131">
        <f>ROUND(L461*(1+$Q$7),2)</f>
        <v>92.92</v>
      </c>
      <c r="N461" s="133">
        <f>TRUNC(K461*M461,2)</f>
        <v>185.84</v>
      </c>
      <c r="O461" s="286"/>
      <c r="P461" s="146"/>
      <c r="Q461" s="146"/>
      <c r="R461" s="146"/>
      <c r="S461" s="146"/>
      <c r="T461" s="146"/>
      <c r="U461" s="146"/>
      <c r="V461" s="146"/>
      <c r="W461" s="146"/>
      <c r="X461" s="146"/>
      <c r="Y461" s="146"/>
      <c r="Z461" s="146"/>
      <c r="AA461" s="146"/>
    </row>
    <row r="462" spans="1:27" s="118" customFormat="1" x14ac:dyDescent="0.2">
      <c r="A462" s="6"/>
      <c r="B462" s="6"/>
      <c r="C462" s="155"/>
      <c r="D462" s="2" t="s">
        <v>305</v>
      </c>
      <c r="E462" s="170"/>
      <c r="F462" s="253">
        <v>1</v>
      </c>
      <c r="G462" s="253"/>
      <c r="H462" s="253"/>
      <c r="I462" s="246"/>
      <c r="J462" s="253">
        <f t="shared" ref="J462:J463" si="51">ROUND(PRODUCT(F462:I462),2)</f>
        <v>1</v>
      </c>
      <c r="K462" s="137"/>
      <c r="L462" s="137"/>
      <c r="M462" s="137"/>
      <c r="N462" s="138"/>
      <c r="O462" s="167"/>
      <c r="P462" s="111"/>
      <c r="Q462" s="111"/>
      <c r="R462" s="111"/>
      <c r="S462" s="111"/>
      <c r="T462" s="111"/>
      <c r="U462" s="111"/>
      <c r="V462" s="111"/>
      <c r="W462" s="111"/>
      <c r="X462" s="111"/>
      <c r="Y462" s="111"/>
      <c r="Z462" s="111"/>
      <c r="AA462" s="111"/>
    </row>
    <row r="463" spans="1:27" s="118" customFormat="1" x14ac:dyDescent="0.2">
      <c r="A463" s="6"/>
      <c r="B463" s="6"/>
      <c r="C463" s="155"/>
      <c r="D463" s="2" t="s">
        <v>479</v>
      </c>
      <c r="E463" s="170"/>
      <c r="F463" s="253">
        <v>1</v>
      </c>
      <c r="G463" s="253"/>
      <c r="H463" s="253"/>
      <c r="I463" s="246"/>
      <c r="J463" s="253">
        <f t="shared" si="51"/>
        <v>1</v>
      </c>
      <c r="K463" s="137"/>
      <c r="L463" s="137"/>
      <c r="M463" s="137"/>
      <c r="N463" s="138"/>
      <c r="O463" s="167"/>
      <c r="P463" s="111"/>
      <c r="Q463" s="111"/>
      <c r="R463" s="111"/>
      <c r="S463" s="111"/>
      <c r="T463" s="111"/>
      <c r="U463" s="111"/>
      <c r="V463" s="111"/>
      <c r="W463" s="111"/>
      <c r="X463" s="111"/>
      <c r="Y463" s="111"/>
      <c r="Z463" s="111"/>
      <c r="AA463" s="111"/>
    </row>
    <row r="464" spans="1:27" s="118" customFormat="1" x14ac:dyDescent="0.2">
      <c r="A464" s="6"/>
      <c r="B464" s="6"/>
      <c r="C464" s="156"/>
      <c r="D464" s="108"/>
      <c r="E464" s="148"/>
      <c r="F464" s="253"/>
      <c r="G464" s="253"/>
      <c r="H464" s="253"/>
      <c r="I464" s="246" t="str">
        <f>"Total item "&amp;A461</f>
        <v>Total item 6.1.6</v>
      </c>
      <c r="J464" s="261">
        <f>SUM(J462:J463)</f>
        <v>2</v>
      </c>
      <c r="K464" s="137"/>
      <c r="L464" s="137"/>
      <c r="M464" s="137"/>
      <c r="N464" s="138"/>
      <c r="O464" s="167"/>
      <c r="P464" s="111"/>
      <c r="Q464" s="111"/>
      <c r="R464" s="111"/>
      <c r="S464" s="111"/>
      <c r="T464" s="111"/>
      <c r="U464" s="111"/>
      <c r="V464" s="111"/>
      <c r="W464" s="111"/>
      <c r="X464" s="111"/>
      <c r="Y464" s="111"/>
      <c r="Z464" s="111"/>
      <c r="AA464" s="111"/>
    </row>
    <row r="465" spans="1:27" s="139" customFormat="1" x14ac:dyDescent="0.2">
      <c r="A465" s="6"/>
      <c r="B465" s="6"/>
      <c r="C465" s="7"/>
      <c r="D465" s="116"/>
      <c r="E465" s="6"/>
      <c r="F465" s="258"/>
      <c r="G465" s="258"/>
      <c r="H465" s="258"/>
      <c r="I465" s="246"/>
      <c r="J465" s="258"/>
      <c r="K465" s="137"/>
      <c r="L465" s="137"/>
      <c r="M465" s="137"/>
      <c r="N465" s="138"/>
      <c r="O465" s="283"/>
      <c r="P465" s="120"/>
      <c r="Q465" s="120"/>
      <c r="R465" s="120"/>
      <c r="S465" s="120"/>
      <c r="T465" s="120"/>
      <c r="U465" s="120"/>
      <c r="V465" s="120"/>
      <c r="W465" s="120"/>
      <c r="X465" s="120"/>
      <c r="Y465" s="120"/>
      <c r="Z465" s="120"/>
      <c r="AA465" s="120"/>
    </row>
    <row r="466" spans="1:27" s="147" customFormat="1" ht="40.799999999999997" x14ac:dyDescent="0.2">
      <c r="A466" s="9" t="s">
        <v>760</v>
      </c>
      <c r="B466" s="9" t="s">
        <v>163</v>
      </c>
      <c r="C466" s="13" t="s">
        <v>188</v>
      </c>
      <c r="D466" s="113" t="s">
        <v>719</v>
      </c>
      <c r="E466" s="9" t="s">
        <v>33</v>
      </c>
      <c r="F466" s="261"/>
      <c r="G466" s="261"/>
      <c r="H466" s="261"/>
      <c r="I466" s="245"/>
      <c r="J466" s="261"/>
      <c r="K466" s="131">
        <f>J468</f>
        <v>1</v>
      </c>
      <c r="L466" s="131">
        <v>65.69</v>
      </c>
      <c r="M466" s="131">
        <f>ROUND(L466*(1+$Q$7),2)</f>
        <v>83.12</v>
      </c>
      <c r="N466" s="133">
        <f>TRUNC(K466*M466,2)</f>
        <v>83.12</v>
      </c>
      <c r="O466" s="286"/>
      <c r="P466" s="146"/>
      <c r="Q466" s="146"/>
      <c r="R466" s="146"/>
      <c r="S466" s="146"/>
      <c r="T466" s="146"/>
      <c r="U466" s="146"/>
      <c r="V466" s="146"/>
      <c r="W466" s="146"/>
      <c r="X466" s="146"/>
      <c r="Y466" s="146"/>
      <c r="Z466" s="146"/>
      <c r="AA466" s="146"/>
    </row>
    <row r="467" spans="1:27" s="118" customFormat="1" x14ac:dyDescent="0.2">
      <c r="A467" s="10"/>
      <c r="B467" s="6"/>
      <c r="C467" s="6"/>
      <c r="D467" s="2"/>
      <c r="E467" s="148"/>
      <c r="F467" s="253">
        <v>1</v>
      </c>
      <c r="G467" s="253"/>
      <c r="H467" s="253"/>
      <c r="I467" s="246"/>
      <c r="J467" s="253">
        <f>ROUND(PRODUCT(F467:I467),2)</f>
        <v>1</v>
      </c>
      <c r="K467" s="137"/>
      <c r="L467" s="137"/>
      <c r="M467" s="137"/>
      <c r="N467" s="138"/>
      <c r="O467" s="167"/>
      <c r="P467" s="111"/>
      <c r="Q467" s="111"/>
      <c r="R467" s="111"/>
      <c r="S467" s="111"/>
      <c r="T467" s="111"/>
      <c r="U467" s="111"/>
      <c r="V467" s="111"/>
      <c r="W467" s="111"/>
      <c r="X467" s="111"/>
      <c r="Y467" s="111"/>
      <c r="Z467" s="111"/>
      <c r="AA467" s="111"/>
    </row>
    <row r="468" spans="1:27" s="118" customFormat="1" x14ac:dyDescent="0.2">
      <c r="A468" s="10"/>
      <c r="B468" s="6"/>
      <c r="C468" s="156"/>
      <c r="D468" s="108"/>
      <c r="E468" s="148"/>
      <c r="F468" s="253"/>
      <c r="G468" s="253"/>
      <c r="H468" s="253"/>
      <c r="I468" s="246" t="str">
        <f>"Total item "&amp;A466</f>
        <v>Total item 6.1.7</v>
      </c>
      <c r="J468" s="261">
        <f>SUM(J467:J467)</f>
        <v>1</v>
      </c>
      <c r="K468" s="137"/>
      <c r="L468" s="137"/>
      <c r="M468" s="137"/>
      <c r="N468" s="138"/>
      <c r="O468" s="167"/>
      <c r="P468" s="111"/>
      <c r="Q468" s="111"/>
      <c r="R468" s="111"/>
      <c r="S468" s="111"/>
      <c r="T468" s="111"/>
      <c r="U468" s="111"/>
      <c r="V468" s="111"/>
      <c r="W468" s="111"/>
      <c r="X468" s="111"/>
      <c r="Y468" s="111"/>
      <c r="Z468" s="111"/>
      <c r="AA468" s="111"/>
    </row>
    <row r="469" spans="1:27" s="118" customFormat="1" x14ac:dyDescent="0.2">
      <c r="A469" s="10"/>
      <c r="B469" s="6"/>
      <c r="C469" s="155"/>
      <c r="D469" s="108"/>
      <c r="E469" s="148"/>
      <c r="F469" s="253"/>
      <c r="G469" s="253"/>
      <c r="H469" s="253"/>
      <c r="I469" s="246"/>
      <c r="J469" s="258"/>
      <c r="K469" s="137"/>
      <c r="L469" s="137"/>
      <c r="M469" s="137"/>
      <c r="N469" s="138"/>
      <c r="O469" s="167"/>
      <c r="P469" s="111"/>
      <c r="Q469" s="111"/>
      <c r="R469" s="111"/>
      <c r="S469" s="111"/>
      <c r="T469" s="111"/>
      <c r="U469" s="111"/>
      <c r="V469" s="111"/>
      <c r="W469" s="111"/>
      <c r="X469" s="111"/>
      <c r="Y469" s="111"/>
      <c r="Z469" s="111"/>
      <c r="AA469" s="111"/>
    </row>
    <row r="470" spans="1:27" s="147" customFormat="1" ht="30.6" x14ac:dyDescent="0.2">
      <c r="A470" s="9" t="s">
        <v>761</v>
      </c>
      <c r="B470" s="9" t="s">
        <v>163</v>
      </c>
      <c r="C470" s="13" t="s">
        <v>190</v>
      </c>
      <c r="D470" s="113" t="s">
        <v>290</v>
      </c>
      <c r="E470" s="9" t="s">
        <v>33</v>
      </c>
      <c r="F470" s="261"/>
      <c r="G470" s="261"/>
      <c r="H470" s="261"/>
      <c r="I470" s="245"/>
      <c r="J470" s="261"/>
      <c r="K470" s="131">
        <f>J472</f>
        <v>6</v>
      </c>
      <c r="L470" s="131">
        <v>14.55</v>
      </c>
      <c r="M470" s="131">
        <f>ROUND(L470*(1+$Q$7),2)</f>
        <v>18.41</v>
      </c>
      <c r="N470" s="133">
        <f>TRUNC(K470*M470,2)</f>
        <v>110.46</v>
      </c>
      <c r="O470" s="286"/>
      <c r="P470" s="146"/>
      <c r="Q470" s="146"/>
      <c r="R470" s="146"/>
      <c r="S470" s="146"/>
      <c r="T470" s="146"/>
      <c r="U470" s="146"/>
      <c r="V470" s="146"/>
      <c r="W470" s="146"/>
      <c r="X470" s="146"/>
      <c r="Y470" s="146"/>
      <c r="Z470" s="146"/>
      <c r="AA470" s="146"/>
    </row>
    <row r="471" spans="1:27" s="118" customFormat="1" x14ac:dyDescent="0.2">
      <c r="A471" s="6"/>
      <c r="B471" s="6"/>
      <c r="C471" s="6"/>
      <c r="D471" s="2"/>
      <c r="E471" s="148"/>
      <c r="F471" s="253">
        <v>6</v>
      </c>
      <c r="G471" s="253"/>
      <c r="H471" s="253"/>
      <c r="I471" s="246"/>
      <c r="J471" s="253">
        <f>ROUND(PRODUCT(F471:I471),2)</f>
        <v>6</v>
      </c>
      <c r="K471" s="137"/>
      <c r="L471" s="137"/>
      <c r="M471" s="137"/>
      <c r="N471" s="138"/>
      <c r="O471" s="167"/>
      <c r="P471" s="111"/>
      <c r="Q471" s="111"/>
      <c r="R471" s="111"/>
      <c r="S471" s="111"/>
      <c r="T471" s="111"/>
      <c r="U471" s="111"/>
      <c r="V471" s="111"/>
      <c r="W471" s="111"/>
      <c r="X471" s="111"/>
      <c r="Y471" s="111"/>
      <c r="Z471" s="111"/>
      <c r="AA471" s="111"/>
    </row>
    <row r="472" spans="1:27" s="118" customFormat="1" x14ac:dyDescent="0.2">
      <c r="A472" s="6"/>
      <c r="B472" s="6"/>
      <c r="C472" s="156"/>
      <c r="D472" s="108"/>
      <c r="E472" s="148"/>
      <c r="F472" s="253"/>
      <c r="G472" s="253"/>
      <c r="H472" s="253"/>
      <c r="I472" s="246" t="str">
        <f>"Total item "&amp;A470</f>
        <v>Total item 6.1.8</v>
      </c>
      <c r="J472" s="261">
        <f>SUM(J471:J471)</f>
        <v>6</v>
      </c>
      <c r="K472" s="137"/>
      <c r="L472" s="137"/>
      <c r="M472" s="137"/>
      <c r="N472" s="138"/>
      <c r="O472" s="167"/>
      <c r="P472" s="111"/>
      <c r="Q472" s="111"/>
      <c r="R472" s="111"/>
      <c r="S472" s="111"/>
      <c r="T472" s="111"/>
      <c r="U472" s="111"/>
      <c r="V472" s="111"/>
      <c r="W472" s="111"/>
      <c r="X472" s="111"/>
      <c r="Y472" s="111"/>
      <c r="Z472" s="111"/>
      <c r="AA472" s="111"/>
    </row>
    <row r="473" spans="1:27" s="118" customFormat="1" x14ac:dyDescent="0.2">
      <c r="A473" s="6"/>
      <c r="B473" s="6"/>
      <c r="C473" s="155"/>
      <c r="D473" s="108"/>
      <c r="E473" s="148"/>
      <c r="F473" s="253"/>
      <c r="G473" s="253"/>
      <c r="H473" s="253"/>
      <c r="I473" s="246"/>
      <c r="J473" s="258"/>
      <c r="K473" s="137"/>
      <c r="L473" s="137"/>
      <c r="M473" s="137"/>
      <c r="N473" s="138"/>
      <c r="O473" s="167"/>
      <c r="P473" s="111"/>
      <c r="Q473" s="111"/>
      <c r="R473" s="111"/>
      <c r="S473" s="111"/>
      <c r="T473" s="111"/>
      <c r="U473" s="111"/>
      <c r="V473" s="111"/>
      <c r="W473" s="111"/>
      <c r="X473" s="111"/>
      <c r="Y473" s="111"/>
      <c r="Z473" s="111"/>
      <c r="AA473" s="111"/>
    </row>
    <row r="474" spans="1:27" s="145" customFormat="1" x14ac:dyDescent="0.2">
      <c r="A474" s="140" t="s">
        <v>67</v>
      </c>
      <c r="B474" s="140"/>
      <c r="C474" s="141"/>
      <c r="D474" s="112" t="s">
        <v>80</v>
      </c>
      <c r="E474" s="140"/>
      <c r="F474" s="260"/>
      <c r="G474" s="260"/>
      <c r="H474" s="260"/>
      <c r="I474" s="248"/>
      <c r="J474" s="260"/>
      <c r="K474" s="142"/>
      <c r="L474" s="142"/>
      <c r="M474" s="142"/>
      <c r="N474" s="143">
        <f>SUM(N476:N489)</f>
        <v>11572.86</v>
      </c>
      <c r="O474" s="285"/>
      <c r="P474" s="144"/>
      <c r="Q474" s="144"/>
      <c r="R474" s="144"/>
      <c r="S474" s="144"/>
      <c r="T474" s="144"/>
      <c r="U474" s="144"/>
      <c r="V474" s="144"/>
      <c r="W474" s="144"/>
      <c r="X474" s="144"/>
      <c r="Y474" s="144"/>
      <c r="Z474" s="144"/>
      <c r="AA474" s="144"/>
    </row>
    <row r="475" spans="1:27" s="118" customFormat="1" x14ac:dyDescent="0.2">
      <c r="A475" s="6"/>
      <c r="B475" s="6"/>
      <c r="C475" s="14"/>
      <c r="D475" s="108"/>
      <c r="E475" s="148"/>
      <c r="F475" s="253"/>
      <c r="G475" s="253"/>
      <c r="H475" s="253"/>
      <c r="I475" s="246"/>
      <c r="J475" s="262"/>
      <c r="K475" s="137"/>
      <c r="L475" s="137"/>
      <c r="M475" s="137"/>
      <c r="N475" s="138"/>
      <c r="O475" s="167"/>
      <c r="P475" s="111"/>
      <c r="Q475" s="111"/>
      <c r="R475" s="111"/>
      <c r="S475" s="111"/>
      <c r="T475" s="111"/>
      <c r="U475" s="111"/>
      <c r="V475" s="111"/>
      <c r="W475" s="111"/>
      <c r="X475" s="111"/>
      <c r="Y475" s="111"/>
      <c r="Z475" s="111"/>
      <c r="AA475" s="111"/>
    </row>
    <row r="476" spans="1:27" s="147" customFormat="1" ht="30.6" x14ac:dyDescent="0.2">
      <c r="A476" s="9" t="s">
        <v>612</v>
      </c>
      <c r="B476" s="9" t="s">
        <v>89</v>
      </c>
      <c r="C476" s="197" t="s">
        <v>437</v>
      </c>
      <c r="D476" s="113" t="s">
        <v>714</v>
      </c>
      <c r="E476" s="9" t="s">
        <v>9</v>
      </c>
      <c r="F476" s="261"/>
      <c r="G476" s="261"/>
      <c r="H476" s="261"/>
      <c r="I476" s="245"/>
      <c r="J476" s="261"/>
      <c r="K476" s="131">
        <f>J479</f>
        <v>87</v>
      </c>
      <c r="L476" s="131">
        <v>59.97</v>
      </c>
      <c r="M476" s="131">
        <f>ROUND(L476*(1+$Q$7),2)</f>
        <v>75.88</v>
      </c>
      <c r="N476" s="133">
        <f>TRUNC(K476*M476,2)</f>
        <v>6601.56</v>
      </c>
      <c r="O476" s="286"/>
      <c r="P476" s="146"/>
      <c r="Q476" s="146"/>
      <c r="R476" s="146"/>
      <c r="S476" s="146"/>
      <c r="T476" s="146"/>
      <c r="U476" s="146"/>
      <c r="V476" s="146"/>
      <c r="W476" s="146"/>
      <c r="X476" s="146"/>
      <c r="Y476" s="146"/>
      <c r="Z476" s="146"/>
      <c r="AA476" s="146"/>
    </row>
    <row r="477" spans="1:27" s="118" customFormat="1" x14ac:dyDescent="0.2">
      <c r="A477" s="6"/>
      <c r="B477" s="6"/>
      <c r="C477" s="155"/>
      <c r="D477" s="2" t="s">
        <v>253</v>
      </c>
      <c r="E477" s="148"/>
      <c r="F477" s="268"/>
      <c r="G477" s="253">
        <v>6</v>
      </c>
      <c r="H477" s="253">
        <v>7.25</v>
      </c>
      <c r="I477" s="246"/>
      <c r="J477" s="253">
        <f t="shared" ref="J477:J478" si="52">ROUND(PRODUCT(F477:I477),2)</f>
        <v>43.5</v>
      </c>
      <c r="K477" s="137"/>
      <c r="L477" s="137"/>
      <c r="M477" s="137"/>
      <c r="N477" s="138"/>
      <c r="O477" s="167"/>
      <c r="P477" s="111"/>
      <c r="Q477" s="111"/>
      <c r="R477" s="111"/>
      <c r="S477" s="111"/>
      <c r="T477" s="111"/>
      <c r="U477" s="111"/>
      <c r="V477" s="111"/>
      <c r="W477" s="111"/>
      <c r="X477" s="111"/>
      <c r="Y477" s="111"/>
      <c r="Z477" s="111"/>
      <c r="AA477" s="111"/>
    </row>
    <row r="478" spans="1:27" s="118" customFormat="1" x14ac:dyDescent="0.2">
      <c r="A478" s="6"/>
      <c r="B478" s="6"/>
      <c r="C478" s="155"/>
      <c r="D478" s="2" t="s">
        <v>305</v>
      </c>
      <c r="E478" s="148"/>
      <c r="F478" s="268"/>
      <c r="G478" s="253">
        <v>7.25</v>
      </c>
      <c r="H478" s="253">
        <v>6</v>
      </c>
      <c r="I478" s="246"/>
      <c r="J478" s="253">
        <f t="shared" si="52"/>
        <v>43.5</v>
      </c>
      <c r="K478" s="137"/>
      <c r="L478" s="137"/>
      <c r="M478" s="137"/>
      <c r="N478" s="138"/>
      <c r="O478" s="167"/>
      <c r="P478" s="111"/>
      <c r="Q478" s="111"/>
      <c r="R478" s="111"/>
      <c r="S478" s="111"/>
      <c r="T478" s="111"/>
      <c r="U478" s="111"/>
      <c r="V478" s="111"/>
      <c r="W478" s="111"/>
      <c r="X478" s="111"/>
      <c r="Y478" s="111"/>
      <c r="Z478" s="111"/>
      <c r="AA478" s="111"/>
    </row>
    <row r="479" spans="1:27" s="118" customFormat="1" x14ac:dyDescent="0.2">
      <c r="A479" s="6"/>
      <c r="B479" s="6"/>
      <c r="C479" s="156"/>
      <c r="D479" s="108"/>
      <c r="E479" s="148"/>
      <c r="F479" s="253"/>
      <c r="G479" s="253"/>
      <c r="H479" s="253"/>
      <c r="I479" s="246" t="str">
        <f>"Total item "&amp;A476</f>
        <v>Total item 6.2.1</v>
      </c>
      <c r="J479" s="261">
        <f>SUM(J477:J478)</f>
        <v>87</v>
      </c>
      <c r="K479" s="137"/>
      <c r="L479" s="137"/>
      <c r="M479" s="137"/>
      <c r="N479" s="138"/>
      <c r="O479" s="167"/>
      <c r="P479" s="111"/>
      <c r="Q479" s="111"/>
      <c r="R479" s="111"/>
      <c r="S479" s="111"/>
      <c r="T479" s="111"/>
      <c r="U479" s="111"/>
      <c r="V479" s="111"/>
      <c r="W479" s="111"/>
      <c r="X479" s="111"/>
      <c r="Y479" s="111"/>
      <c r="Z479" s="111"/>
      <c r="AA479" s="111"/>
    </row>
    <row r="480" spans="1:27" s="161" customFormat="1" x14ac:dyDescent="0.2">
      <c r="A480" s="10"/>
      <c r="B480" s="10"/>
      <c r="C480" s="157"/>
      <c r="D480" s="110"/>
      <c r="E480" s="158"/>
      <c r="F480" s="267"/>
      <c r="G480" s="267"/>
      <c r="H480" s="267"/>
      <c r="I480" s="250"/>
      <c r="J480" s="266"/>
      <c r="K480" s="151"/>
      <c r="L480" s="151"/>
      <c r="M480" s="151"/>
      <c r="N480" s="152"/>
      <c r="O480" s="167"/>
      <c r="P480" s="114"/>
      <c r="Q480" s="114"/>
      <c r="R480" s="114"/>
      <c r="S480" s="114"/>
      <c r="T480" s="114"/>
      <c r="U480" s="114"/>
      <c r="V480" s="114"/>
      <c r="W480" s="114"/>
      <c r="X480" s="114"/>
      <c r="Y480" s="114"/>
      <c r="Z480" s="114"/>
      <c r="AA480" s="114"/>
    </row>
    <row r="481" spans="1:28" s="147" customFormat="1" ht="10.5" customHeight="1" x14ac:dyDescent="0.2">
      <c r="A481" s="9" t="s">
        <v>613</v>
      </c>
      <c r="B481" s="9" t="s">
        <v>89</v>
      </c>
      <c r="C481" s="13" t="s">
        <v>316</v>
      </c>
      <c r="D481" s="109" t="s">
        <v>317</v>
      </c>
      <c r="E481" s="9" t="s">
        <v>9</v>
      </c>
      <c r="F481" s="261"/>
      <c r="G481" s="261"/>
      <c r="H481" s="261"/>
      <c r="I481" s="245"/>
      <c r="J481" s="261"/>
      <c r="K481" s="131">
        <f>J484</f>
        <v>269.95999999999998</v>
      </c>
      <c r="L481" s="131">
        <v>5.8</v>
      </c>
      <c r="M481" s="131">
        <f>ROUND(L481*(1+$Q$7),2)</f>
        <v>7.34</v>
      </c>
      <c r="N481" s="133">
        <f>TRUNC(K481*M481,2)</f>
        <v>1981.5</v>
      </c>
      <c r="O481" s="286"/>
      <c r="P481" s="146"/>
      <c r="Q481" s="153"/>
      <c r="R481" s="146"/>
      <c r="S481" s="146"/>
      <c r="T481" s="146"/>
      <c r="U481" s="146"/>
      <c r="V481" s="146"/>
      <c r="W481" s="146"/>
      <c r="X481" s="146"/>
      <c r="Y481" s="146"/>
      <c r="Z481" s="146"/>
      <c r="AA481" s="146"/>
      <c r="AB481" s="146"/>
    </row>
    <row r="482" spans="1:28" s="118" customFormat="1" x14ac:dyDescent="0.2">
      <c r="A482" s="6"/>
      <c r="B482" s="6"/>
      <c r="C482" s="155"/>
      <c r="D482" s="115"/>
      <c r="E482" s="148"/>
      <c r="F482" s="268">
        <v>0.8</v>
      </c>
      <c r="G482" s="253">
        <v>20</v>
      </c>
      <c r="H482" s="253">
        <v>13.6</v>
      </c>
      <c r="I482" s="246"/>
      <c r="J482" s="253">
        <f t="shared" ref="J482:J483" si="53">ROUND(PRODUCT(F482:I482),2)</f>
        <v>217.6</v>
      </c>
      <c r="K482" s="137"/>
      <c r="L482" s="137"/>
      <c r="M482" s="137"/>
      <c r="N482" s="138"/>
      <c r="O482" s="167"/>
      <c r="P482" s="111"/>
      <c r="Q482" s="153"/>
      <c r="R482" s="111"/>
      <c r="S482" s="111"/>
      <c r="T482" s="111"/>
      <c r="U482" s="111"/>
      <c r="V482" s="111"/>
      <c r="W482" s="111"/>
      <c r="X482" s="111"/>
      <c r="Y482" s="111"/>
      <c r="Z482" s="111"/>
      <c r="AA482" s="111"/>
      <c r="AB482" s="111"/>
    </row>
    <row r="483" spans="1:28" s="118" customFormat="1" x14ac:dyDescent="0.2">
      <c r="A483" s="6"/>
      <c r="B483" s="6"/>
      <c r="C483" s="155"/>
      <c r="D483" s="115"/>
      <c r="E483" s="148"/>
      <c r="F483" s="268">
        <v>0.8</v>
      </c>
      <c r="G483" s="253">
        <v>8.5</v>
      </c>
      <c r="H483" s="253">
        <v>7.7</v>
      </c>
      <c r="I483" s="246"/>
      <c r="J483" s="253">
        <f t="shared" si="53"/>
        <v>52.36</v>
      </c>
      <c r="K483" s="137"/>
      <c r="L483" s="137"/>
      <c r="M483" s="137"/>
      <c r="N483" s="138"/>
      <c r="O483" s="167"/>
      <c r="P483" s="111"/>
      <c r="Q483" s="153"/>
      <c r="R483" s="111"/>
      <c r="S483" s="111"/>
      <c r="T483" s="111"/>
      <c r="U483" s="111"/>
      <c r="V483" s="111"/>
      <c r="W483" s="111"/>
      <c r="X483" s="111"/>
      <c r="Y483" s="111"/>
      <c r="Z483" s="111"/>
      <c r="AA483" s="111"/>
      <c r="AB483" s="111"/>
    </row>
    <row r="484" spans="1:28" s="118" customFormat="1" x14ac:dyDescent="0.2">
      <c r="A484" s="6"/>
      <c r="B484" s="6"/>
      <c r="C484" s="156"/>
      <c r="D484" s="108"/>
      <c r="E484" s="148"/>
      <c r="F484" s="253"/>
      <c r="G484" s="253"/>
      <c r="H484" s="253"/>
      <c r="I484" s="246" t="str">
        <f>"Total item "&amp;A481</f>
        <v>Total item 6.2.2</v>
      </c>
      <c r="J484" s="261">
        <f>SUM(J482:J483)</f>
        <v>269.95999999999998</v>
      </c>
      <c r="K484" s="137"/>
      <c r="L484" s="137"/>
      <c r="M484" s="137"/>
      <c r="N484" s="138"/>
      <c r="O484" s="167"/>
      <c r="P484" s="111"/>
      <c r="Q484" s="153"/>
      <c r="R484" s="111"/>
      <c r="S484" s="111"/>
      <c r="T484" s="111"/>
      <c r="U484" s="111"/>
      <c r="V484" s="111"/>
      <c r="W484" s="111"/>
      <c r="X484" s="111"/>
      <c r="Y484" s="111"/>
      <c r="Z484" s="111"/>
      <c r="AA484" s="111"/>
      <c r="AB484" s="111"/>
    </row>
    <row r="485" spans="1:28" s="154" customFormat="1" x14ac:dyDescent="0.2">
      <c r="A485" s="10"/>
      <c r="B485" s="10"/>
      <c r="C485" s="15"/>
      <c r="D485" s="117"/>
      <c r="E485" s="10"/>
      <c r="F485" s="263"/>
      <c r="G485" s="263"/>
      <c r="H485" s="263"/>
      <c r="I485" s="250"/>
      <c r="J485" s="263"/>
      <c r="K485" s="151"/>
      <c r="L485" s="151"/>
      <c r="M485" s="151"/>
      <c r="N485" s="152"/>
      <c r="O485" s="283"/>
      <c r="P485" s="153"/>
      <c r="Q485" s="153"/>
      <c r="R485" s="153"/>
      <c r="S485" s="153"/>
      <c r="T485" s="153"/>
      <c r="U485" s="153"/>
      <c r="V485" s="153"/>
      <c r="W485" s="153"/>
      <c r="X485" s="153"/>
      <c r="Y485" s="153"/>
      <c r="Z485" s="153"/>
      <c r="AA485" s="153"/>
    </row>
    <row r="486" spans="1:28" s="147" customFormat="1" ht="30.6" x14ac:dyDescent="0.2">
      <c r="A486" s="9" t="s">
        <v>614</v>
      </c>
      <c r="B486" s="9" t="s">
        <v>89</v>
      </c>
      <c r="C486" s="13">
        <v>94201</v>
      </c>
      <c r="D486" s="109" t="s">
        <v>425</v>
      </c>
      <c r="E486" s="9" t="s">
        <v>9</v>
      </c>
      <c r="F486" s="261"/>
      <c r="G486" s="261"/>
      <c r="H486" s="261"/>
      <c r="I486" s="245"/>
      <c r="J486" s="261"/>
      <c r="K486" s="131">
        <f>J489</f>
        <v>67.489999999999995</v>
      </c>
      <c r="L486" s="131">
        <v>35.01</v>
      </c>
      <c r="M486" s="131">
        <f>ROUND(L486*(1+$Q$7),2)</f>
        <v>44.3</v>
      </c>
      <c r="N486" s="133">
        <f>TRUNC(K486*M486,2)</f>
        <v>2989.8</v>
      </c>
      <c r="O486" s="286"/>
      <c r="P486" s="146"/>
      <c r="Q486" s="146"/>
      <c r="R486" s="146"/>
      <c r="S486" s="146"/>
      <c r="T486" s="146"/>
      <c r="U486" s="146"/>
      <c r="V486" s="146"/>
      <c r="W486" s="146"/>
      <c r="X486" s="146"/>
      <c r="Y486" s="146"/>
      <c r="Z486" s="146"/>
      <c r="AA486" s="146"/>
    </row>
    <row r="487" spans="1:28" s="118" customFormat="1" x14ac:dyDescent="0.2">
      <c r="A487" s="6"/>
      <c r="B487" s="6"/>
      <c r="C487" s="7"/>
      <c r="D487" s="2" t="s">
        <v>420</v>
      </c>
      <c r="E487" s="148"/>
      <c r="F487" s="268">
        <v>0.2</v>
      </c>
      <c r="G487" s="253">
        <v>20</v>
      </c>
      <c r="H487" s="253">
        <v>13.6</v>
      </c>
      <c r="I487" s="246"/>
      <c r="J487" s="253">
        <f t="shared" ref="J487:J488" si="54">ROUND(PRODUCT(F487:I487),2)</f>
        <v>54.4</v>
      </c>
      <c r="K487" s="137"/>
      <c r="L487" s="137"/>
      <c r="M487" s="137"/>
      <c r="N487" s="138"/>
      <c r="O487" s="167"/>
      <c r="P487" s="111"/>
      <c r="Q487" s="111"/>
      <c r="R487" s="111"/>
      <c r="S487" s="111"/>
      <c r="T487" s="111"/>
      <c r="U487" s="111"/>
      <c r="V487" s="111"/>
      <c r="W487" s="111"/>
      <c r="X487" s="111"/>
      <c r="Y487" s="111"/>
      <c r="Z487" s="111"/>
      <c r="AA487" s="111"/>
    </row>
    <row r="488" spans="1:28" s="118" customFormat="1" x14ac:dyDescent="0.2">
      <c r="A488" s="6"/>
      <c r="B488" s="6"/>
      <c r="C488" s="7"/>
      <c r="D488" s="2"/>
      <c r="E488" s="148"/>
      <c r="F488" s="268">
        <v>0.2</v>
      </c>
      <c r="G488" s="253">
        <v>8.5</v>
      </c>
      <c r="H488" s="253">
        <v>7.7</v>
      </c>
      <c r="I488" s="246"/>
      <c r="J488" s="253">
        <f t="shared" si="54"/>
        <v>13.09</v>
      </c>
      <c r="K488" s="137"/>
      <c r="L488" s="137"/>
      <c r="M488" s="137"/>
      <c r="N488" s="138"/>
      <c r="O488" s="167"/>
      <c r="P488" s="111"/>
      <c r="Q488" s="111"/>
      <c r="R488" s="111"/>
      <c r="S488" s="111"/>
      <c r="T488" s="111"/>
      <c r="U488" s="111"/>
      <c r="V488" s="111"/>
      <c r="W488" s="111"/>
      <c r="X488" s="111"/>
      <c r="Y488" s="111"/>
      <c r="Z488" s="111"/>
      <c r="AA488" s="111"/>
    </row>
    <row r="489" spans="1:28" s="118" customFormat="1" x14ac:dyDescent="0.2">
      <c r="A489" s="6"/>
      <c r="B489" s="6"/>
      <c r="C489" s="7"/>
      <c r="D489" s="149"/>
      <c r="E489" s="148"/>
      <c r="F489" s="253"/>
      <c r="G489" s="253"/>
      <c r="H489" s="253"/>
      <c r="I489" s="246" t="str">
        <f>"Total item "&amp;A486</f>
        <v>Total item 6.2.3</v>
      </c>
      <c r="J489" s="261">
        <f>SUM(J487:J488)</f>
        <v>67.489999999999995</v>
      </c>
      <c r="K489" s="137"/>
      <c r="L489" s="137"/>
      <c r="M489" s="137"/>
      <c r="N489" s="138"/>
      <c r="O489" s="167"/>
      <c r="P489" s="111"/>
      <c r="Q489" s="111"/>
      <c r="R489" s="111"/>
      <c r="S489" s="111"/>
      <c r="T489" s="111"/>
      <c r="U489" s="111"/>
      <c r="V489" s="111"/>
      <c r="W489" s="111"/>
      <c r="X489" s="111"/>
      <c r="Y489" s="111"/>
      <c r="Z489" s="111"/>
      <c r="AA489" s="111"/>
    </row>
    <row r="490" spans="1:28" s="118" customFormat="1" x14ac:dyDescent="0.2">
      <c r="A490" s="6"/>
      <c r="B490" s="6"/>
      <c r="C490" s="14"/>
      <c r="D490" s="2"/>
      <c r="E490" s="148"/>
      <c r="F490" s="253"/>
      <c r="G490" s="253"/>
      <c r="H490" s="253"/>
      <c r="I490" s="246"/>
      <c r="J490" s="262"/>
      <c r="K490" s="137"/>
      <c r="L490" s="137"/>
      <c r="M490" s="137"/>
      <c r="N490" s="138"/>
      <c r="O490" s="167"/>
      <c r="P490" s="111"/>
      <c r="Q490" s="111"/>
      <c r="R490" s="111"/>
      <c r="S490" s="111"/>
      <c r="T490" s="111"/>
      <c r="U490" s="111"/>
      <c r="V490" s="111"/>
      <c r="W490" s="111"/>
      <c r="X490" s="111"/>
      <c r="Y490" s="111"/>
      <c r="Z490" s="111"/>
      <c r="AA490" s="111"/>
    </row>
    <row r="491" spans="1:28" s="145" customFormat="1" x14ac:dyDescent="0.2">
      <c r="A491" s="140" t="s">
        <v>68</v>
      </c>
      <c r="B491" s="140"/>
      <c r="C491" s="141"/>
      <c r="D491" s="112" t="s">
        <v>28</v>
      </c>
      <c r="E491" s="140"/>
      <c r="F491" s="260"/>
      <c r="G491" s="260"/>
      <c r="H491" s="260"/>
      <c r="I491" s="248"/>
      <c r="J491" s="260"/>
      <c r="K491" s="142"/>
      <c r="L491" s="142"/>
      <c r="M491" s="142"/>
      <c r="N491" s="143">
        <f>SUM(N493:N503)</f>
        <v>2555.7200000000003</v>
      </c>
      <c r="O491" s="285"/>
      <c r="P491" s="144"/>
      <c r="Q491" s="144"/>
      <c r="R491" s="144"/>
      <c r="S491" s="144"/>
      <c r="T491" s="144"/>
      <c r="U491" s="144"/>
      <c r="V491" s="144"/>
      <c r="W491" s="144"/>
      <c r="X491" s="144"/>
      <c r="Y491" s="144"/>
      <c r="Z491" s="144"/>
      <c r="AA491" s="144"/>
    </row>
    <row r="492" spans="1:28" s="118" customFormat="1" x14ac:dyDescent="0.2">
      <c r="A492" s="6"/>
      <c r="B492" s="6"/>
      <c r="C492" s="14"/>
      <c r="D492" s="108"/>
      <c r="E492" s="148"/>
      <c r="F492" s="253"/>
      <c r="G492" s="253"/>
      <c r="H492" s="253"/>
      <c r="I492" s="246"/>
      <c r="J492" s="262"/>
      <c r="K492" s="137"/>
      <c r="L492" s="137"/>
      <c r="M492" s="137"/>
      <c r="N492" s="138"/>
      <c r="O492" s="167"/>
      <c r="P492" s="111"/>
      <c r="Q492" s="111"/>
      <c r="R492" s="111"/>
      <c r="S492" s="111"/>
      <c r="T492" s="111"/>
      <c r="U492" s="111"/>
      <c r="V492" s="111"/>
      <c r="W492" s="111"/>
      <c r="X492" s="111"/>
      <c r="Y492" s="111"/>
      <c r="Z492" s="111"/>
      <c r="AA492" s="111"/>
    </row>
    <row r="493" spans="1:28" s="147" customFormat="1" ht="30.6" x14ac:dyDescent="0.2">
      <c r="A493" s="9" t="s">
        <v>615</v>
      </c>
      <c r="B493" s="9" t="s">
        <v>163</v>
      </c>
      <c r="C493" s="13" t="s">
        <v>263</v>
      </c>
      <c r="D493" s="113" t="s">
        <v>264</v>
      </c>
      <c r="E493" s="9" t="s">
        <v>33</v>
      </c>
      <c r="F493" s="261"/>
      <c r="G493" s="261"/>
      <c r="H493" s="261"/>
      <c r="I493" s="245"/>
      <c r="J493" s="261"/>
      <c r="K493" s="131">
        <f>J499</f>
        <v>6.86</v>
      </c>
      <c r="L493" s="131">
        <v>287.51</v>
      </c>
      <c r="M493" s="131">
        <f>ROUND(L493*(1+$Q$7),2)</f>
        <v>363.79</v>
      </c>
      <c r="N493" s="133">
        <f>TRUNC(K493*M493,2)</f>
        <v>2495.59</v>
      </c>
      <c r="O493" s="286"/>
      <c r="P493" s="146"/>
      <c r="Q493" s="146"/>
      <c r="R493" s="146"/>
      <c r="S493" s="146"/>
      <c r="T493" s="146"/>
      <c r="U493" s="146"/>
      <c r="V493" s="146"/>
      <c r="W493" s="146"/>
      <c r="X493" s="146"/>
      <c r="Y493" s="146"/>
      <c r="Z493" s="146"/>
      <c r="AA493" s="146"/>
    </row>
    <row r="494" spans="1:28" s="118" customFormat="1" x14ac:dyDescent="0.2">
      <c r="A494" s="6"/>
      <c r="B494" s="6"/>
      <c r="C494" s="155"/>
      <c r="D494" s="2" t="s">
        <v>253</v>
      </c>
      <c r="E494" s="148"/>
      <c r="F494" s="253"/>
      <c r="G494" s="253">
        <v>0.8</v>
      </c>
      <c r="H494" s="253"/>
      <c r="I494" s="249">
        <v>2.1</v>
      </c>
      <c r="J494" s="253">
        <f>ROUND(PRODUCT(F494:I494),2)</f>
        <v>1.68</v>
      </c>
      <c r="K494" s="137"/>
      <c r="L494" s="137"/>
      <c r="M494" s="137"/>
      <c r="N494" s="138"/>
      <c r="O494" s="167"/>
      <c r="P494" s="111"/>
      <c r="Q494" s="111"/>
      <c r="R494" s="111"/>
      <c r="S494" s="111"/>
      <c r="T494" s="111"/>
      <c r="U494" s="111"/>
      <c r="V494" s="111"/>
      <c r="W494" s="111"/>
      <c r="X494" s="111"/>
      <c r="Y494" s="111"/>
      <c r="Z494" s="111"/>
      <c r="AA494" s="111"/>
    </row>
    <row r="495" spans="1:28" s="118" customFormat="1" x14ac:dyDescent="0.2">
      <c r="A495" s="6"/>
      <c r="B495" s="6"/>
      <c r="C495" s="155"/>
      <c r="D495" s="2" t="s">
        <v>479</v>
      </c>
      <c r="E495" s="148"/>
      <c r="F495" s="253"/>
      <c r="G495" s="253">
        <v>0.6</v>
      </c>
      <c r="H495" s="253"/>
      <c r="I495" s="249">
        <v>2.1</v>
      </c>
      <c r="J495" s="253">
        <f t="shared" ref="J495:J498" si="55">ROUND(PRODUCT(F495:I495),2)</f>
        <v>1.26</v>
      </c>
      <c r="K495" s="137"/>
      <c r="L495" s="137"/>
      <c r="M495" s="137"/>
      <c r="N495" s="138"/>
      <c r="O495" s="167"/>
      <c r="P495" s="111"/>
      <c r="Q495" s="111"/>
      <c r="R495" s="111"/>
      <c r="S495" s="111"/>
      <c r="T495" s="111"/>
      <c r="U495" s="111"/>
      <c r="V495" s="111"/>
      <c r="W495" s="111"/>
      <c r="X495" s="111"/>
      <c r="Y495" s="111"/>
      <c r="Z495" s="111"/>
      <c r="AA495" s="111"/>
    </row>
    <row r="496" spans="1:28" s="118" customFormat="1" x14ac:dyDescent="0.2">
      <c r="A496" s="6"/>
      <c r="B496" s="6"/>
      <c r="C496" s="155"/>
      <c r="D496" s="2" t="s">
        <v>478</v>
      </c>
      <c r="E496" s="148"/>
      <c r="F496" s="253"/>
      <c r="G496" s="253">
        <v>0.8</v>
      </c>
      <c r="H496" s="253"/>
      <c r="I496" s="249">
        <v>2.1</v>
      </c>
      <c r="J496" s="253">
        <f t="shared" si="55"/>
        <v>1.68</v>
      </c>
      <c r="K496" s="137"/>
      <c r="L496" s="137"/>
      <c r="M496" s="137"/>
      <c r="N496" s="138"/>
      <c r="O496" s="167"/>
      <c r="P496" s="111"/>
      <c r="Q496" s="111"/>
      <c r="R496" s="111"/>
      <c r="S496" s="111"/>
      <c r="T496" s="111"/>
      <c r="U496" s="111"/>
      <c r="V496" s="111"/>
      <c r="W496" s="111"/>
      <c r="X496" s="111"/>
      <c r="Y496" s="111"/>
      <c r="Z496" s="111"/>
      <c r="AA496" s="111"/>
    </row>
    <row r="497" spans="1:27" s="118" customFormat="1" x14ac:dyDescent="0.2">
      <c r="A497" s="6"/>
      <c r="B497" s="6"/>
      <c r="C497" s="155"/>
      <c r="D497" s="2" t="s">
        <v>345</v>
      </c>
      <c r="E497" s="148"/>
      <c r="F497" s="253"/>
      <c r="G497" s="253">
        <v>0.6</v>
      </c>
      <c r="H497" s="253"/>
      <c r="I497" s="249">
        <v>1.6</v>
      </c>
      <c r="J497" s="253">
        <f t="shared" si="55"/>
        <v>0.96</v>
      </c>
      <c r="K497" s="137"/>
      <c r="L497" s="137"/>
      <c r="M497" s="137"/>
      <c r="N497" s="138"/>
      <c r="O497" s="167"/>
      <c r="P497" s="111"/>
      <c r="Q497" s="111"/>
      <c r="R497" s="111"/>
      <c r="S497" s="111"/>
      <c r="T497" s="111"/>
      <c r="U497" s="111"/>
      <c r="V497" s="111"/>
      <c r="W497" s="111"/>
      <c r="X497" s="111"/>
      <c r="Y497" s="111"/>
      <c r="Z497" s="111"/>
      <c r="AA497" s="111"/>
    </row>
    <row r="498" spans="1:27" s="118" customFormat="1" x14ac:dyDescent="0.2">
      <c r="A498" s="6"/>
      <c r="B498" s="6"/>
      <c r="C498" s="155"/>
      <c r="D498" s="2"/>
      <c r="E498" s="148"/>
      <c r="F498" s="253"/>
      <c r="G498" s="253">
        <v>0.8</v>
      </c>
      <c r="H498" s="253"/>
      <c r="I498" s="249">
        <v>1.6</v>
      </c>
      <c r="J498" s="253">
        <f t="shared" si="55"/>
        <v>1.28</v>
      </c>
      <c r="K498" s="137"/>
      <c r="L498" s="137"/>
      <c r="M498" s="137"/>
      <c r="N498" s="138"/>
      <c r="O498" s="167"/>
      <c r="P498" s="111"/>
      <c r="Q498" s="111"/>
      <c r="R498" s="111"/>
      <c r="S498" s="111"/>
      <c r="T498" s="111"/>
      <c r="U498" s="111"/>
      <c r="V498" s="111"/>
      <c r="W498" s="111"/>
      <c r="X498" s="111"/>
      <c r="Y498" s="111"/>
      <c r="Z498" s="111"/>
      <c r="AA498" s="111"/>
    </row>
    <row r="499" spans="1:27" s="118" customFormat="1" x14ac:dyDescent="0.2">
      <c r="A499" s="6"/>
      <c r="B499" s="6"/>
      <c r="C499" s="156"/>
      <c r="D499" s="108"/>
      <c r="E499" s="148"/>
      <c r="F499" s="253"/>
      <c r="G499" s="253"/>
      <c r="H499" s="253"/>
      <c r="I499" s="246" t="str">
        <f>"Total item "&amp;A493</f>
        <v>Total item 6.3.1</v>
      </c>
      <c r="J499" s="261">
        <f>SUM(J494:J498)</f>
        <v>6.86</v>
      </c>
      <c r="K499" s="137"/>
      <c r="L499" s="137"/>
      <c r="M499" s="137"/>
      <c r="N499" s="138"/>
      <c r="O499" s="167"/>
      <c r="P499" s="111"/>
      <c r="Q499" s="111"/>
      <c r="R499" s="111"/>
      <c r="S499" s="111"/>
      <c r="T499" s="111"/>
      <c r="U499" s="111"/>
      <c r="V499" s="111"/>
      <c r="W499" s="111"/>
      <c r="X499" s="111"/>
      <c r="Y499" s="111"/>
      <c r="Z499" s="111"/>
      <c r="AA499" s="111"/>
    </row>
    <row r="500" spans="1:27" s="161" customFormat="1" x14ac:dyDescent="0.2">
      <c r="A500" s="10"/>
      <c r="B500" s="10"/>
      <c r="C500" s="190"/>
      <c r="D500" s="110"/>
      <c r="E500" s="158"/>
      <c r="F500" s="267"/>
      <c r="G500" s="267"/>
      <c r="H500" s="267"/>
      <c r="I500" s="250"/>
      <c r="J500" s="250"/>
      <c r="K500" s="151"/>
      <c r="L500" s="151"/>
      <c r="M500" s="151"/>
      <c r="N500" s="152"/>
      <c r="O500" s="167"/>
      <c r="P500" s="114"/>
      <c r="Q500" s="114"/>
      <c r="R500" s="114"/>
      <c r="S500" s="114"/>
      <c r="T500" s="114"/>
      <c r="U500" s="114"/>
      <c r="V500" s="114"/>
      <c r="W500" s="114"/>
      <c r="X500" s="114"/>
      <c r="Y500" s="114"/>
      <c r="Z500" s="114"/>
      <c r="AA500" s="114"/>
    </row>
    <row r="501" spans="1:27" s="147" customFormat="1" ht="30.6" x14ac:dyDescent="0.2">
      <c r="A501" s="9" t="s">
        <v>616</v>
      </c>
      <c r="B501" s="9" t="s">
        <v>89</v>
      </c>
      <c r="C501" s="13">
        <v>91307</v>
      </c>
      <c r="D501" s="113" t="s">
        <v>447</v>
      </c>
      <c r="E501" s="9" t="s">
        <v>33</v>
      </c>
      <c r="F501" s="261"/>
      <c r="G501" s="261"/>
      <c r="H501" s="261"/>
      <c r="I501" s="245"/>
      <c r="J501" s="261"/>
      <c r="K501" s="131">
        <f>J503</f>
        <v>1</v>
      </c>
      <c r="L501" s="131">
        <v>47.52</v>
      </c>
      <c r="M501" s="131">
        <f>ROUND(L501*(1+$Q$7),2)</f>
        <v>60.13</v>
      </c>
      <c r="N501" s="133">
        <f>TRUNC(K501*M501,2)</f>
        <v>60.13</v>
      </c>
      <c r="O501" s="286"/>
      <c r="P501" s="146"/>
      <c r="Q501" s="146"/>
      <c r="R501" s="146"/>
      <c r="S501" s="146"/>
      <c r="T501" s="146"/>
      <c r="U501" s="146"/>
      <c r="V501" s="146"/>
      <c r="W501" s="146"/>
      <c r="X501" s="146"/>
      <c r="Y501" s="146"/>
      <c r="Z501" s="146"/>
      <c r="AA501" s="146"/>
    </row>
    <row r="502" spans="1:27" s="118" customFormat="1" x14ac:dyDescent="0.2">
      <c r="A502" s="6"/>
      <c r="B502" s="6"/>
      <c r="C502" s="155"/>
      <c r="D502" s="2" t="s">
        <v>305</v>
      </c>
      <c r="E502" s="148"/>
      <c r="F502" s="253">
        <v>1</v>
      </c>
      <c r="G502" s="253"/>
      <c r="H502" s="253"/>
      <c r="I502" s="249"/>
      <c r="J502" s="253">
        <f>ROUND(PRODUCT(F502:I502),2)</f>
        <v>1</v>
      </c>
      <c r="K502" s="137"/>
      <c r="L502" s="137"/>
      <c r="M502" s="137"/>
      <c r="N502" s="138"/>
      <c r="O502" s="167"/>
      <c r="P502" s="111"/>
      <c r="Q502" s="111"/>
      <c r="R502" s="111"/>
      <c r="S502" s="111"/>
      <c r="T502" s="111"/>
      <c r="U502" s="111"/>
      <c r="V502" s="111"/>
      <c r="W502" s="111"/>
      <c r="X502" s="111"/>
      <c r="Y502" s="111"/>
      <c r="Z502" s="111"/>
      <c r="AA502" s="111"/>
    </row>
    <row r="503" spans="1:27" s="118" customFormat="1" x14ac:dyDescent="0.2">
      <c r="A503" s="6"/>
      <c r="B503" s="6"/>
      <c r="C503" s="156"/>
      <c r="D503" s="108"/>
      <c r="E503" s="148"/>
      <c r="F503" s="253"/>
      <c r="G503" s="253"/>
      <c r="H503" s="253"/>
      <c r="I503" s="246" t="str">
        <f>"Total item "&amp;A501</f>
        <v>Total item 6.3.2</v>
      </c>
      <c r="J503" s="261">
        <f>SUM(J502:J502)</f>
        <v>1</v>
      </c>
      <c r="K503" s="137"/>
      <c r="L503" s="137"/>
      <c r="M503" s="137"/>
      <c r="N503" s="138"/>
      <c r="O503" s="167"/>
      <c r="P503" s="111"/>
      <c r="Q503" s="111"/>
      <c r="R503" s="111"/>
      <c r="S503" s="111"/>
      <c r="T503" s="111"/>
      <c r="U503" s="111"/>
      <c r="V503" s="111"/>
      <c r="W503" s="111"/>
      <c r="X503" s="111"/>
      <c r="Y503" s="111"/>
      <c r="Z503" s="111"/>
      <c r="AA503" s="111"/>
    </row>
    <row r="504" spans="1:27" s="118" customFormat="1" x14ac:dyDescent="0.2">
      <c r="A504" s="6"/>
      <c r="B504" s="6"/>
      <c r="C504" s="156"/>
      <c r="D504" s="108"/>
      <c r="E504" s="148"/>
      <c r="F504" s="253"/>
      <c r="G504" s="253"/>
      <c r="H504" s="253"/>
      <c r="I504" s="246"/>
      <c r="J504" s="246"/>
      <c r="K504" s="137"/>
      <c r="L504" s="137"/>
      <c r="M504" s="137"/>
      <c r="N504" s="138"/>
      <c r="O504" s="167"/>
      <c r="P504" s="111"/>
      <c r="Q504" s="111"/>
      <c r="R504" s="111"/>
      <c r="S504" s="111"/>
      <c r="T504" s="111"/>
      <c r="U504" s="111"/>
      <c r="V504" s="111"/>
      <c r="W504" s="111"/>
      <c r="X504" s="111"/>
      <c r="Y504" s="111"/>
      <c r="Z504" s="111"/>
      <c r="AA504" s="111"/>
    </row>
    <row r="505" spans="1:27" s="145" customFormat="1" x14ac:dyDescent="0.2">
      <c r="A505" s="140" t="s">
        <v>69</v>
      </c>
      <c r="B505" s="140"/>
      <c r="C505" s="141"/>
      <c r="D505" s="112" t="s">
        <v>211</v>
      </c>
      <c r="E505" s="140"/>
      <c r="F505" s="260"/>
      <c r="G505" s="260"/>
      <c r="H505" s="260"/>
      <c r="I505" s="248"/>
      <c r="J505" s="260"/>
      <c r="K505" s="142"/>
      <c r="L505" s="142"/>
      <c r="M505" s="142"/>
      <c r="N505" s="143">
        <f>SUM(N507:N523)</f>
        <v>708.35</v>
      </c>
      <c r="O505" s="285"/>
      <c r="P505" s="144"/>
      <c r="Q505" s="144"/>
      <c r="R505" s="144"/>
      <c r="S505" s="144"/>
      <c r="T505" s="144"/>
      <c r="U505" s="144"/>
      <c r="V505" s="144"/>
      <c r="W505" s="144"/>
      <c r="X505" s="144"/>
      <c r="Y505" s="144"/>
      <c r="Z505" s="144"/>
      <c r="AA505" s="144"/>
    </row>
    <row r="506" spans="1:27" s="118" customFormat="1" x14ac:dyDescent="0.2">
      <c r="A506" s="6"/>
      <c r="B506" s="6"/>
      <c r="C506" s="14"/>
      <c r="D506" s="108"/>
      <c r="E506" s="148"/>
      <c r="F506" s="253"/>
      <c r="G506" s="253"/>
      <c r="H506" s="253"/>
      <c r="I506" s="246"/>
      <c r="J506" s="262"/>
      <c r="K506" s="137"/>
      <c r="L506" s="137"/>
      <c r="M506" s="137"/>
      <c r="N506" s="138"/>
      <c r="O506" s="167"/>
      <c r="P506" s="111"/>
      <c r="Q506" s="111"/>
      <c r="R506" s="111"/>
      <c r="S506" s="111"/>
      <c r="T506" s="111"/>
      <c r="U506" s="111"/>
      <c r="V506" s="111"/>
      <c r="W506" s="111"/>
      <c r="X506" s="111"/>
      <c r="Y506" s="111"/>
      <c r="Z506" s="111"/>
      <c r="AA506" s="111"/>
    </row>
    <row r="507" spans="1:27" s="147" customFormat="1" ht="30.6" x14ac:dyDescent="0.2">
      <c r="A507" s="9" t="s">
        <v>617</v>
      </c>
      <c r="B507" s="9" t="s">
        <v>163</v>
      </c>
      <c r="C507" s="13" t="s">
        <v>249</v>
      </c>
      <c r="D507" s="113" t="s">
        <v>250</v>
      </c>
      <c r="E507" s="9" t="s">
        <v>33</v>
      </c>
      <c r="F507" s="261"/>
      <c r="G507" s="261"/>
      <c r="H507" s="261"/>
      <c r="I507" s="245"/>
      <c r="J507" s="261"/>
      <c r="K507" s="131">
        <f>J509</f>
        <v>2</v>
      </c>
      <c r="L507" s="131">
        <v>116.1</v>
      </c>
      <c r="M507" s="131">
        <f>ROUND(L507*(1+$Q$7),2)</f>
        <v>146.9</v>
      </c>
      <c r="N507" s="133">
        <f>TRUNC(K507*M507,2)</f>
        <v>293.8</v>
      </c>
      <c r="O507" s="286"/>
      <c r="P507" s="146"/>
      <c r="Q507" s="146"/>
      <c r="R507" s="146"/>
      <c r="S507" s="146"/>
      <c r="T507" s="146"/>
      <c r="U507" s="146"/>
      <c r="V507" s="146"/>
      <c r="W507" s="146"/>
      <c r="X507" s="146"/>
      <c r="Y507" s="146"/>
      <c r="Z507" s="146"/>
      <c r="AA507" s="146"/>
    </row>
    <row r="508" spans="1:27" s="118" customFormat="1" x14ac:dyDescent="0.2">
      <c r="A508" s="6"/>
      <c r="B508" s="6"/>
      <c r="C508" s="155"/>
      <c r="D508" s="2" t="s">
        <v>346</v>
      </c>
      <c r="E508" s="148"/>
      <c r="F508" s="253">
        <v>2</v>
      </c>
      <c r="G508" s="253"/>
      <c r="H508" s="253"/>
      <c r="I508" s="246"/>
      <c r="J508" s="253">
        <f>ROUND(PRODUCT(F508:I508),2)</f>
        <v>2</v>
      </c>
      <c r="K508" s="137"/>
      <c r="L508" s="137"/>
      <c r="M508" s="137"/>
      <c r="N508" s="138"/>
      <c r="O508" s="167"/>
      <c r="P508" s="111"/>
      <c r="Q508" s="111"/>
      <c r="R508" s="111"/>
      <c r="S508" s="111"/>
      <c r="T508" s="111"/>
      <c r="U508" s="111"/>
      <c r="V508" s="111"/>
      <c r="W508" s="111"/>
      <c r="X508" s="111"/>
      <c r="Y508" s="111"/>
      <c r="Z508" s="111"/>
      <c r="AA508" s="111"/>
    </row>
    <row r="509" spans="1:27" s="118" customFormat="1" x14ac:dyDescent="0.2">
      <c r="A509" s="6"/>
      <c r="B509" s="6"/>
      <c r="C509" s="156"/>
      <c r="D509" s="108"/>
      <c r="E509" s="148"/>
      <c r="F509" s="253"/>
      <c r="G509" s="253"/>
      <c r="H509" s="253"/>
      <c r="I509" s="246" t="str">
        <f>"Total item "&amp;A507</f>
        <v>Total item 6.4.1</v>
      </c>
      <c r="J509" s="261">
        <f>SUM(J508:J508)</f>
        <v>2</v>
      </c>
      <c r="K509" s="137"/>
      <c r="L509" s="137"/>
      <c r="M509" s="137"/>
      <c r="N509" s="138"/>
      <c r="O509" s="167"/>
      <c r="P509" s="111"/>
      <c r="Q509" s="111"/>
      <c r="R509" s="111"/>
      <c r="S509" s="111"/>
      <c r="T509" s="111"/>
      <c r="U509" s="111"/>
      <c r="V509" s="111"/>
      <c r="W509" s="111"/>
      <c r="X509" s="111"/>
      <c r="Y509" s="111"/>
      <c r="Z509" s="111"/>
      <c r="AA509" s="111"/>
    </row>
    <row r="510" spans="1:27" s="118" customFormat="1" x14ac:dyDescent="0.2">
      <c r="A510" s="6"/>
      <c r="B510" s="6"/>
      <c r="C510" s="155"/>
      <c r="D510" s="108"/>
      <c r="E510" s="148"/>
      <c r="F510" s="253"/>
      <c r="G510" s="253"/>
      <c r="H510" s="253"/>
      <c r="I510" s="246"/>
      <c r="J510" s="258"/>
      <c r="K510" s="137"/>
      <c r="L510" s="137"/>
      <c r="M510" s="137"/>
      <c r="N510" s="138"/>
      <c r="O510" s="167"/>
      <c r="P510" s="111"/>
      <c r="Q510" s="111"/>
      <c r="R510" s="111"/>
      <c r="S510" s="111"/>
      <c r="T510" s="111"/>
      <c r="U510" s="111"/>
      <c r="V510" s="111"/>
      <c r="W510" s="111"/>
      <c r="X510" s="111"/>
      <c r="Y510" s="111"/>
      <c r="Z510" s="111"/>
      <c r="AA510" s="111"/>
    </row>
    <row r="511" spans="1:27" s="147" customFormat="1" ht="30.6" x14ac:dyDescent="0.2">
      <c r="A511" s="9" t="s">
        <v>618</v>
      </c>
      <c r="B511" s="9" t="s">
        <v>163</v>
      </c>
      <c r="C511" s="13" t="s">
        <v>194</v>
      </c>
      <c r="D511" s="113" t="s">
        <v>252</v>
      </c>
      <c r="E511" s="9" t="s">
        <v>31</v>
      </c>
      <c r="F511" s="261"/>
      <c r="G511" s="261"/>
      <c r="H511" s="261"/>
      <c r="I511" s="245"/>
      <c r="J511" s="261"/>
      <c r="K511" s="131">
        <f>J513</f>
        <v>1</v>
      </c>
      <c r="L511" s="131">
        <v>64.06</v>
      </c>
      <c r="M511" s="131">
        <f>ROUND(L511*(1+$Q$7),2)</f>
        <v>81.06</v>
      </c>
      <c r="N511" s="133">
        <f>TRUNC(K511*M511,2)</f>
        <v>81.06</v>
      </c>
      <c r="O511" s="286"/>
      <c r="P511" s="146"/>
      <c r="Q511" s="146"/>
      <c r="R511" s="146"/>
      <c r="S511" s="146"/>
      <c r="T511" s="146"/>
      <c r="U511" s="146"/>
      <c r="V511" s="146"/>
      <c r="W511" s="146"/>
      <c r="X511" s="146"/>
      <c r="Y511" s="146"/>
      <c r="Z511" s="146"/>
      <c r="AA511" s="146"/>
    </row>
    <row r="512" spans="1:27" s="118" customFormat="1" x14ac:dyDescent="0.2">
      <c r="A512" s="6"/>
      <c r="B512" s="6"/>
      <c r="C512" s="155"/>
      <c r="D512" s="2" t="s">
        <v>345</v>
      </c>
      <c r="E512" s="148"/>
      <c r="F512" s="253">
        <v>1</v>
      </c>
      <c r="G512" s="253"/>
      <c r="H512" s="253"/>
      <c r="I512" s="246"/>
      <c r="J512" s="253">
        <f>ROUND(PRODUCT(F512:I512),2)</f>
        <v>1</v>
      </c>
      <c r="K512" s="137"/>
      <c r="L512" s="137"/>
      <c r="M512" s="137"/>
      <c r="N512" s="138"/>
      <c r="O512" s="167"/>
      <c r="P512" s="111"/>
      <c r="Q512" s="111"/>
      <c r="R512" s="111"/>
      <c r="S512" s="111"/>
      <c r="T512" s="111"/>
      <c r="U512" s="111"/>
      <c r="V512" s="111"/>
      <c r="W512" s="111"/>
      <c r="X512" s="111"/>
      <c r="Y512" s="111"/>
      <c r="Z512" s="111"/>
      <c r="AA512" s="111"/>
    </row>
    <row r="513" spans="1:27" s="118" customFormat="1" x14ac:dyDescent="0.2">
      <c r="A513" s="6"/>
      <c r="B513" s="6"/>
      <c r="C513" s="156"/>
      <c r="D513" s="108"/>
      <c r="E513" s="148"/>
      <c r="F513" s="253"/>
      <c r="G513" s="253"/>
      <c r="H513" s="253"/>
      <c r="I513" s="246" t="str">
        <f>"Total item "&amp;A511</f>
        <v>Total item 6.4.2</v>
      </c>
      <c r="J513" s="261">
        <f>SUM(J512:J512)</f>
        <v>1</v>
      </c>
      <c r="K513" s="137"/>
      <c r="L513" s="137"/>
      <c r="M513" s="137"/>
      <c r="N513" s="138"/>
      <c r="O513" s="167"/>
      <c r="P513" s="111"/>
      <c r="Q513" s="111"/>
      <c r="R513" s="111"/>
      <c r="S513" s="111"/>
      <c r="T513" s="111"/>
      <c r="U513" s="111"/>
      <c r="V513" s="111"/>
      <c r="W513" s="111"/>
      <c r="X513" s="111"/>
      <c r="Y513" s="111"/>
      <c r="Z513" s="111"/>
      <c r="AA513" s="111"/>
    </row>
    <row r="514" spans="1:27" s="139" customFormat="1" x14ac:dyDescent="0.2">
      <c r="A514" s="6"/>
      <c r="B514" s="6"/>
      <c r="C514" s="7"/>
      <c r="D514" s="116"/>
      <c r="E514" s="6"/>
      <c r="F514" s="258"/>
      <c r="G514" s="258"/>
      <c r="H514" s="258"/>
      <c r="I514" s="246"/>
      <c r="J514" s="258"/>
      <c r="K514" s="137"/>
      <c r="L514" s="137"/>
      <c r="M514" s="137"/>
      <c r="N514" s="138"/>
      <c r="O514" s="283"/>
      <c r="P514" s="120"/>
      <c r="Q514" s="120"/>
      <c r="R514" s="120"/>
      <c r="S514" s="120"/>
      <c r="T514" s="120"/>
      <c r="U514" s="120"/>
      <c r="V514" s="120"/>
      <c r="W514" s="120"/>
      <c r="X514" s="120"/>
      <c r="Y514" s="120"/>
      <c r="Z514" s="120"/>
      <c r="AA514" s="120"/>
    </row>
    <row r="515" spans="1:27" s="147" customFormat="1" ht="30.6" x14ac:dyDescent="0.2">
      <c r="A515" s="9" t="s">
        <v>619</v>
      </c>
      <c r="B515" s="9" t="s">
        <v>89</v>
      </c>
      <c r="C515" s="13">
        <v>86906</v>
      </c>
      <c r="D515" s="113" t="s">
        <v>261</v>
      </c>
      <c r="E515" s="9" t="s">
        <v>33</v>
      </c>
      <c r="F515" s="261"/>
      <c r="G515" s="261"/>
      <c r="H515" s="261"/>
      <c r="I515" s="245"/>
      <c r="J515" s="261"/>
      <c r="K515" s="131">
        <f>J518</f>
        <v>2</v>
      </c>
      <c r="L515" s="131">
        <v>47.41</v>
      </c>
      <c r="M515" s="131">
        <f>ROUND(L515*(1+$Q$7),2)</f>
        <v>59.99</v>
      </c>
      <c r="N515" s="133">
        <f>TRUNC(K515*M515,2)</f>
        <v>119.98</v>
      </c>
      <c r="O515" s="286"/>
      <c r="P515" s="146"/>
      <c r="Q515" s="146"/>
      <c r="R515" s="146"/>
      <c r="S515" s="146"/>
      <c r="T515" s="146"/>
      <c r="U515" s="146"/>
      <c r="V515" s="146"/>
      <c r="W515" s="146"/>
      <c r="X515" s="146"/>
      <c r="Y515" s="146"/>
      <c r="Z515" s="146"/>
      <c r="AA515" s="146"/>
    </row>
    <row r="516" spans="1:27" s="118" customFormat="1" x14ac:dyDescent="0.2">
      <c r="A516" s="6"/>
      <c r="B516" s="6"/>
      <c r="C516" s="155"/>
      <c r="D516" s="2" t="s">
        <v>467</v>
      </c>
      <c r="E516" s="148"/>
      <c r="F516" s="253">
        <v>1</v>
      </c>
      <c r="G516" s="253"/>
      <c r="H516" s="253"/>
      <c r="I516" s="246"/>
      <c r="J516" s="253">
        <f>ROUND(PRODUCT(F516:I516),2)</f>
        <v>1</v>
      </c>
      <c r="K516" s="137"/>
      <c r="L516" s="137"/>
      <c r="M516" s="137"/>
      <c r="N516" s="138"/>
      <c r="O516" s="167"/>
      <c r="P516" s="111"/>
      <c r="Q516" s="111"/>
      <c r="R516" s="111"/>
      <c r="S516" s="111"/>
      <c r="T516" s="111"/>
      <c r="U516" s="111"/>
      <c r="V516" s="111"/>
      <c r="W516" s="111"/>
      <c r="X516" s="111"/>
      <c r="Y516" s="111"/>
      <c r="Z516" s="111"/>
      <c r="AA516" s="111"/>
    </row>
    <row r="517" spans="1:27" s="118" customFormat="1" x14ac:dyDescent="0.2">
      <c r="A517" s="6"/>
      <c r="B517" s="6"/>
      <c r="C517" s="155"/>
      <c r="D517" s="2" t="s">
        <v>345</v>
      </c>
      <c r="E517" s="148"/>
      <c r="F517" s="253">
        <v>1</v>
      </c>
      <c r="G517" s="253"/>
      <c r="H517" s="253"/>
      <c r="I517" s="246"/>
      <c r="J517" s="253">
        <f>ROUND(PRODUCT(F517:I517),2)</f>
        <v>1</v>
      </c>
      <c r="K517" s="137"/>
      <c r="L517" s="137"/>
      <c r="M517" s="137"/>
      <c r="N517" s="138"/>
      <c r="O517" s="167"/>
      <c r="P517" s="111"/>
      <c r="Q517" s="111"/>
      <c r="R517" s="111"/>
      <c r="S517" s="111"/>
      <c r="T517" s="111"/>
      <c r="U517" s="111"/>
      <c r="V517" s="111"/>
      <c r="W517" s="111"/>
      <c r="X517" s="111"/>
      <c r="Y517" s="111"/>
      <c r="Z517" s="111"/>
      <c r="AA517" s="111"/>
    </row>
    <row r="518" spans="1:27" s="118" customFormat="1" x14ac:dyDescent="0.2">
      <c r="A518" s="6"/>
      <c r="B518" s="6"/>
      <c r="C518" s="156"/>
      <c r="D518" s="108"/>
      <c r="E518" s="148"/>
      <c r="F518" s="253"/>
      <c r="G518" s="253"/>
      <c r="H518" s="253"/>
      <c r="I518" s="246" t="str">
        <f>"Total item "&amp;A515</f>
        <v>Total item 6.4.3</v>
      </c>
      <c r="J518" s="261">
        <f>SUM(J516:J517)</f>
        <v>2</v>
      </c>
      <c r="K518" s="137"/>
      <c r="L518" s="137"/>
      <c r="M518" s="137"/>
      <c r="N518" s="138"/>
      <c r="O518" s="167"/>
      <c r="P518" s="111"/>
      <c r="Q518" s="111"/>
      <c r="R518" s="111"/>
      <c r="S518" s="111"/>
      <c r="T518" s="111"/>
      <c r="U518" s="111"/>
      <c r="V518" s="111"/>
      <c r="W518" s="111"/>
      <c r="X518" s="111"/>
      <c r="Y518" s="111"/>
      <c r="Z518" s="111"/>
      <c r="AA518" s="111"/>
    </row>
    <row r="519" spans="1:27" s="139" customFormat="1" x14ac:dyDescent="0.2">
      <c r="A519" s="6"/>
      <c r="B519" s="6"/>
      <c r="C519" s="7"/>
      <c r="D519" s="116"/>
      <c r="E519" s="6"/>
      <c r="F519" s="258"/>
      <c r="G519" s="258"/>
      <c r="H519" s="258"/>
      <c r="I519" s="246"/>
      <c r="J519" s="258"/>
      <c r="K519" s="137"/>
      <c r="L519" s="137"/>
      <c r="M519" s="137"/>
      <c r="N519" s="138"/>
      <c r="O519" s="283"/>
      <c r="P519" s="120"/>
      <c r="Q519" s="120"/>
      <c r="R519" s="120"/>
      <c r="S519" s="120"/>
      <c r="T519" s="120"/>
      <c r="U519" s="120"/>
      <c r="V519" s="120"/>
      <c r="W519" s="120"/>
      <c r="X519" s="120"/>
      <c r="Y519" s="120"/>
      <c r="Z519" s="120"/>
      <c r="AA519" s="120"/>
    </row>
    <row r="520" spans="1:27" s="147" customFormat="1" ht="51" x14ac:dyDescent="0.2">
      <c r="A520" s="9" t="s">
        <v>620</v>
      </c>
      <c r="B520" s="9" t="s">
        <v>89</v>
      </c>
      <c r="C520" s="13">
        <v>86942</v>
      </c>
      <c r="D520" s="113" t="s">
        <v>262</v>
      </c>
      <c r="E520" s="9" t="s">
        <v>33</v>
      </c>
      <c r="F520" s="261"/>
      <c r="G520" s="261"/>
      <c r="H520" s="261"/>
      <c r="I520" s="245"/>
      <c r="J520" s="261"/>
      <c r="K520" s="131">
        <f>J522</f>
        <v>1</v>
      </c>
      <c r="L520" s="131">
        <v>168.74</v>
      </c>
      <c r="M520" s="131">
        <f>ROUND(L520*(1+$Q$7),2)</f>
        <v>213.51</v>
      </c>
      <c r="N520" s="133">
        <f>TRUNC(K520*M520,2)</f>
        <v>213.51</v>
      </c>
      <c r="O520" s="286"/>
      <c r="P520" s="146"/>
      <c r="Q520" s="146"/>
      <c r="R520" s="146"/>
      <c r="S520" s="146"/>
      <c r="T520" s="146"/>
      <c r="U520" s="146"/>
      <c r="V520" s="146"/>
      <c r="W520" s="146"/>
      <c r="X520" s="146"/>
      <c r="Y520" s="146"/>
      <c r="Z520" s="146"/>
      <c r="AA520" s="146"/>
    </row>
    <row r="521" spans="1:27" s="118" customFormat="1" x14ac:dyDescent="0.2">
      <c r="A521" s="6"/>
      <c r="B521" s="6"/>
      <c r="C521" s="155"/>
      <c r="D521" s="2" t="s">
        <v>345</v>
      </c>
      <c r="E521" s="148"/>
      <c r="F521" s="253">
        <v>1</v>
      </c>
      <c r="G521" s="253"/>
      <c r="H521" s="253"/>
      <c r="I521" s="246"/>
      <c r="J521" s="253">
        <f>ROUND(PRODUCT(F521:I521),2)</f>
        <v>1</v>
      </c>
      <c r="K521" s="137"/>
      <c r="L521" s="137"/>
      <c r="M521" s="137"/>
      <c r="N521" s="138"/>
      <c r="O521" s="167"/>
      <c r="P521" s="111"/>
      <c r="Q521" s="111"/>
      <c r="R521" s="111"/>
      <c r="S521" s="111"/>
      <c r="T521" s="111"/>
      <c r="U521" s="111"/>
      <c r="V521" s="111"/>
      <c r="W521" s="111"/>
      <c r="X521" s="111"/>
      <c r="Y521" s="111"/>
      <c r="Z521" s="111"/>
      <c r="AA521" s="111"/>
    </row>
    <row r="522" spans="1:27" s="118" customFormat="1" x14ac:dyDescent="0.2">
      <c r="A522" s="6"/>
      <c r="B522" s="6"/>
      <c r="C522" s="156"/>
      <c r="D522" s="108"/>
      <c r="E522" s="148"/>
      <c r="F522" s="253"/>
      <c r="G522" s="253"/>
      <c r="H522" s="253"/>
      <c r="I522" s="246" t="str">
        <f>"Total item "&amp;A520</f>
        <v>Total item 6.4.4</v>
      </c>
      <c r="J522" s="261">
        <f>SUM(J521:J521)</f>
        <v>1</v>
      </c>
      <c r="K522" s="137"/>
      <c r="L522" s="137"/>
      <c r="M522" s="137"/>
      <c r="N522" s="138"/>
      <c r="O522" s="167"/>
      <c r="P522" s="111"/>
      <c r="Q522" s="111"/>
      <c r="R522" s="111"/>
      <c r="S522" s="111"/>
      <c r="T522" s="111"/>
      <c r="U522" s="111"/>
      <c r="V522" s="111"/>
      <c r="W522" s="111"/>
      <c r="X522" s="111"/>
      <c r="Y522" s="111"/>
      <c r="Z522" s="111"/>
      <c r="AA522" s="111"/>
    </row>
    <row r="523" spans="1:27" s="139" customFormat="1" x14ac:dyDescent="0.2">
      <c r="A523" s="6"/>
      <c r="B523" s="6"/>
      <c r="C523" s="7"/>
      <c r="D523" s="116"/>
      <c r="E523" s="6"/>
      <c r="F523" s="258"/>
      <c r="G523" s="258"/>
      <c r="H523" s="258"/>
      <c r="I523" s="246"/>
      <c r="J523" s="258"/>
      <c r="K523" s="137"/>
      <c r="L523" s="137"/>
      <c r="M523" s="137"/>
      <c r="N523" s="138"/>
      <c r="O523" s="283"/>
      <c r="P523" s="120"/>
      <c r="Q523" s="120"/>
      <c r="R523" s="120"/>
      <c r="S523" s="120"/>
      <c r="T523" s="120"/>
      <c r="U523" s="120"/>
      <c r="V523" s="120"/>
      <c r="W523" s="120"/>
      <c r="X523" s="120"/>
      <c r="Y523" s="120"/>
      <c r="Z523" s="120"/>
      <c r="AA523" s="120"/>
    </row>
    <row r="524" spans="1:27" s="145" customFormat="1" x14ac:dyDescent="0.2">
      <c r="A524" s="140" t="s">
        <v>175</v>
      </c>
      <c r="B524" s="140"/>
      <c r="C524" s="141"/>
      <c r="D524" s="112" t="s">
        <v>29</v>
      </c>
      <c r="E524" s="140"/>
      <c r="F524" s="260"/>
      <c r="G524" s="260"/>
      <c r="H524" s="260"/>
      <c r="I524" s="248"/>
      <c r="J524" s="260"/>
      <c r="K524" s="142"/>
      <c r="L524" s="142"/>
      <c r="M524" s="142"/>
      <c r="N524" s="143">
        <f>SUM(N526:N534)</f>
        <v>232.96</v>
      </c>
      <c r="O524" s="285"/>
      <c r="P524" s="144"/>
      <c r="Q524" s="144"/>
      <c r="R524" s="144"/>
      <c r="S524" s="144"/>
      <c r="T524" s="144"/>
      <c r="U524" s="144"/>
      <c r="V524" s="144"/>
      <c r="W524" s="144"/>
      <c r="X524" s="144"/>
      <c r="Y524" s="144"/>
      <c r="Z524" s="144"/>
      <c r="AA524" s="144"/>
    </row>
    <row r="525" spans="1:27" s="118" customFormat="1" x14ac:dyDescent="0.2">
      <c r="A525" s="6"/>
      <c r="B525" s="6"/>
      <c r="C525" s="14"/>
      <c r="D525" s="108"/>
      <c r="E525" s="148"/>
      <c r="F525" s="253"/>
      <c r="G525" s="253"/>
      <c r="H525" s="253"/>
      <c r="I525" s="246"/>
      <c r="J525" s="262"/>
      <c r="K525" s="137"/>
      <c r="L525" s="137"/>
      <c r="M525" s="137"/>
      <c r="N525" s="138"/>
      <c r="O525" s="167"/>
      <c r="P525" s="111"/>
      <c r="Q525" s="111"/>
      <c r="R525" s="111"/>
      <c r="S525" s="111"/>
      <c r="T525" s="111"/>
      <c r="U525" s="111"/>
      <c r="V525" s="111"/>
      <c r="W525" s="111"/>
      <c r="X525" s="111"/>
      <c r="Y525" s="111"/>
      <c r="Z525" s="111"/>
      <c r="AA525" s="111"/>
    </row>
    <row r="526" spans="1:27" s="147" customFormat="1" ht="40.799999999999997" x14ac:dyDescent="0.2">
      <c r="A526" s="9" t="s">
        <v>621</v>
      </c>
      <c r="B526" s="13" t="s">
        <v>163</v>
      </c>
      <c r="C526" s="13" t="s">
        <v>176</v>
      </c>
      <c r="D526" s="113" t="s">
        <v>269</v>
      </c>
      <c r="E526" s="1" t="s">
        <v>9</v>
      </c>
      <c r="F526" s="261"/>
      <c r="G526" s="261"/>
      <c r="H526" s="261"/>
      <c r="I526" s="245"/>
      <c r="J526" s="261"/>
      <c r="K526" s="131">
        <f>J533</f>
        <v>13.72</v>
      </c>
      <c r="L526" s="131">
        <v>13.42</v>
      </c>
      <c r="M526" s="131">
        <f>ROUND(L526*(1+$Q$7),2)</f>
        <v>16.98</v>
      </c>
      <c r="N526" s="133">
        <f>TRUNC(K526*M526,2)</f>
        <v>232.96</v>
      </c>
      <c r="O526" s="286"/>
      <c r="P526" s="146"/>
      <c r="Q526" s="146"/>
      <c r="R526" s="146"/>
      <c r="S526" s="146"/>
      <c r="T526" s="146"/>
      <c r="U526" s="146"/>
      <c r="V526" s="146"/>
      <c r="W526" s="146"/>
      <c r="X526" s="146"/>
      <c r="Y526" s="146"/>
      <c r="Z526" s="146"/>
      <c r="AA526" s="146"/>
    </row>
    <row r="527" spans="1:27" s="118" customFormat="1" x14ac:dyDescent="0.2">
      <c r="A527" s="6"/>
      <c r="B527" s="6"/>
      <c r="C527" s="155"/>
      <c r="D527" s="3" t="s">
        <v>270</v>
      </c>
      <c r="E527" s="148"/>
      <c r="F527" s="253"/>
      <c r="G527" s="253"/>
      <c r="H527" s="253"/>
      <c r="I527" s="249"/>
      <c r="J527" s="253"/>
      <c r="K527" s="137"/>
      <c r="L527" s="137"/>
      <c r="M527" s="137"/>
      <c r="N527" s="138"/>
      <c r="O527" s="167"/>
      <c r="P527" s="111"/>
      <c r="Q527" s="111"/>
      <c r="R527" s="111"/>
      <c r="S527" s="111"/>
      <c r="T527" s="111"/>
      <c r="U527" s="111"/>
      <c r="V527" s="111"/>
      <c r="W527" s="111"/>
      <c r="X527" s="111"/>
      <c r="Y527" s="111"/>
      <c r="Z527" s="111"/>
      <c r="AA527" s="111"/>
    </row>
    <row r="528" spans="1:27" s="118" customFormat="1" x14ac:dyDescent="0.2">
      <c r="A528" s="6"/>
      <c r="B528" s="6"/>
      <c r="C528" s="155"/>
      <c r="D528" s="2" t="s">
        <v>253</v>
      </c>
      <c r="E528" s="148"/>
      <c r="F528" s="253">
        <v>2</v>
      </c>
      <c r="G528" s="253">
        <v>0.8</v>
      </c>
      <c r="H528" s="253"/>
      <c r="I528" s="249">
        <v>2.1</v>
      </c>
      <c r="J528" s="253">
        <f>ROUND(PRODUCT(F528:I528),2)</f>
        <v>3.36</v>
      </c>
      <c r="K528" s="137"/>
      <c r="L528" s="137"/>
      <c r="M528" s="137"/>
      <c r="N528" s="138"/>
      <c r="O528" s="167"/>
      <c r="P528" s="111"/>
      <c r="Q528" s="111"/>
      <c r="R528" s="111"/>
      <c r="S528" s="111"/>
      <c r="T528" s="111"/>
      <c r="U528" s="111"/>
      <c r="V528" s="111"/>
      <c r="W528" s="111"/>
      <c r="X528" s="111"/>
      <c r="Y528" s="111"/>
      <c r="Z528" s="111"/>
      <c r="AA528" s="111"/>
    </row>
    <row r="529" spans="1:27" s="118" customFormat="1" x14ac:dyDescent="0.2">
      <c r="A529" s="6"/>
      <c r="B529" s="6"/>
      <c r="C529" s="155"/>
      <c r="D529" s="2" t="s">
        <v>479</v>
      </c>
      <c r="E529" s="148"/>
      <c r="F529" s="253">
        <v>2</v>
      </c>
      <c r="G529" s="253">
        <v>0.6</v>
      </c>
      <c r="H529" s="253"/>
      <c r="I529" s="249">
        <v>2.1</v>
      </c>
      <c r="J529" s="253">
        <f t="shared" ref="J529:J532" si="56">ROUND(PRODUCT(F529:I529),2)</f>
        <v>2.52</v>
      </c>
      <c r="K529" s="137"/>
      <c r="L529" s="137"/>
      <c r="M529" s="137"/>
      <c r="N529" s="138"/>
      <c r="O529" s="167"/>
      <c r="P529" s="111"/>
      <c r="Q529" s="111"/>
      <c r="R529" s="111"/>
      <c r="S529" s="111"/>
      <c r="T529" s="111"/>
      <c r="U529" s="111"/>
      <c r="V529" s="111"/>
      <c r="W529" s="111"/>
      <c r="X529" s="111"/>
      <c r="Y529" s="111"/>
      <c r="Z529" s="111"/>
      <c r="AA529" s="111"/>
    </row>
    <row r="530" spans="1:27" s="118" customFormat="1" x14ac:dyDescent="0.2">
      <c r="A530" s="6"/>
      <c r="B530" s="6"/>
      <c r="C530" s="155"/>
      <c r="D530" s="2" t="s">
        <v>478</v>
      </c>
      <c r="E530" s="148"/>
      <c r="F530" s="253">
        <v>2</v>
      </c>
      <c r="G530" s="253">
        <v>0.8</v>
      </c>
      <c r="H530" s="253"/>
      <c r="I530" s="249">
        <v>2.1</v>
      </c>
      <c r="J530" s="253">
        <f t="shared" si="56"/>
        <v>3.36</v>
      </c>
      <c r="K530" s="137"/>
      <c r="L530" s="137"/>
      <c r="M530" s="137"/>
      <c r="N530" s="138"/>
      <c r="O530" s="167"/>
      <c r="P530" s="111"/>
      <c r="Q530" s="111"/>
      <c r="R530" s="111"/>
      <c r="S530" s="111"/>
      <c r="T530" s="111"/>
      <c r="U530" s="111"/>
      <c r="V530" s="111"/>
      <c r="W530" s="111"/>
      <c r="X530" s="111"/>
      <c r="Y530" s="111"/>
      <c r="Z530" s="111"/>
      <c r="AA530" s="111"/>
    </row>
    <row r="531" spans="1:27" s="118" customFormat="1" x14ac:dyDescent="0.2">
      <c r="A531" s="6"/>
      <c r="B531" s="6"/>
      <c r="C531" s="155"/>
      <c r="D531" s="2" t="s">
        <v>345</v>
      </c>
      <c r="E531" s="148"/>
      <c r="F531" s="253">
        <v>2</v>
      </c>
      <c r="G531" s="253">
        <v>0.6</v>
      </c>
      <c r="H531" s="253"/>
      <c r="I531" s="249">
        <v>1.6</v>
      </c>
      <c r="J531" s="253">
        <f t="shared" si="56"/>
        <v>1.92</v>
      </c>
      <c r="K531" s="137"/>
      <c r="L531" s="137"/>
      <c r="M531" s="137"/>
      <c r="N531" s="138"/>
      <c r="O531" s="167"/>
      <c r="P531" s="111"/>
      <c r="Q531" s="111"/>
      <c r="R531" s="111"/>
      <c r="S531" s="111"/>
      <c r="T531" s="111"/>
      <c r="U531" s="111"/>
      <c r="V531" s="111"/>
      <c r="W531" s="111"/>
      <c r="X531" s="111"/>
      <c r="Y531" s="111"/>
      <c r="Z531" s="111"/>
      <c r="AA531" s="111"/>
    </row>
    <row r="532" spans="1:27" s="118" customFormat="1" x14ac:dyDescent="0.2">
      <c r="A532" s="6"/>
      <c r="B532" s="6"/>
      <c r="C532" s="155"/>
      <c r="D532" s="2"/>
      <c r="E532" s="148"/>
      <c r="F532" s="253">
        <v>2</v>
      </c>
      <c r="G532" s="253">
        <v>0.8</v>
      </c>
      <c r="H532" s="253"/>
      <c r="I532" s="249">
        <v>1.6</v>
      </c>
      <c r="J532" s="253">
        <f t="shared" si="56"/>
        <v>2.56</v>
      </c>
      <c r="K532" s="137"/>
      <c r="L532" s="137"/>
      <c r="M532" s="137"/>
      <c r="N532" s="138"/>
      <c r="O532" s="167"/>
      <c r="P532" s="111"/>
      <c r="Q532" s="111"/>
      <c r="R532" s="111"/>
      <c r="S532" s="111"/>
      <c r="T532" s="111"/>
      <c r="U532" s="111"/>
      <c r="V532" s="111"/>
      <c r="W532" s="111"/>
      <c r="X532" s="111"/>
      <c r="Y532" s="111"/>
      <c r="Z532" s="111"/>
      <c r="AA532" s="111"/>
    </row>
    <row r="533" spans="1:27" s="118" customFormat="1" x14ac:dyDescent="0.2">
      <c r="A533" s="6"/>
      <c r="B533" s="6"/>
      <c r="C533" s="156"/>
      <c r="D533" s="108"/>
      <c r="E533" s="148"/>
      <c r="F533" s="253"/>
      <c r="G533" s="253"/>
      <c r="H533" s="253"/>
      <c r="I533" s="246" t="str">
        <f>"Total item "&amp;A526</f>
        <v>Total item 6.5.1</v>
      </c>
      <c r="J533" s="261">
        <f>SUM(J527:J532)</f>
        <v>13.72</v>
      </c>
      <c r="K533" s="137"/>
      <c r="L533" s="137"/>
      <c r="M533" s="137"/>
      <c r="N533" s="138"/>
      <c r="O533" s="167"/>
      <c r="P533" s="111"/>
      <c r="Q533" s="111"/>
      <c r="R533" s="111"/>
      <c r="S533" s="111"/>
      <c r="T533" s="111"/>
      <c r="U533" s="111"/>
      <c r="V533" s="111"/>
      <c r="W533" s="111"/>
      <c r="X533" s="111"/>
      <c r="Y533" s="111"/>
      <c r="Z533" s="111"/>
      <c r="AA533" s="111"/>
    </row>
    <row r="534" spans="1:27" s="118" customFormat="1" x14ac:dyDescent="0.2">
      <c r="A534" s="6"/>
      <c r="B534" s="6"/>
      <c r="C534" s="156"/>
      <c r="D534" s="108"/>
      <c r="E534" s="148"/>
      <c r="F534" s="253"/>
      <c r="G534" s="253"/>
      <c r="H534" s="253"/>
      <c r="I534" s="246"/>
      <c r="J534" s="246"/>
      <c r="K534" s="137"/>
      <c r="L534" s="137"/>
      <c r="M534" s="137"/>
      <c r="N534" s="138"/>
      <c r="O534" s="167"/>
      <c r="P534" s="111"/>
      <c r="Q534" s="111"/>
      <c r="R534" s="111"/>
      <c r="S534" s="111"/>
      <c r="T534" s="111"/>
      <c r="U534" s="111"/>
      <c r="V534" s="111"/>
      <c r="W534" s="111"/>
      <c r="X534" s="111"/>
      <c r="Y534" s="111"/>
      <c r="Z534" s="111"/>
      <c r="AA534" s="111"/>
    </row>
    <row r="535" spans="1:27" s="241" customFormat="1" ht="26.4" x14ac:dyDescent="0.25">
      <c r="A535" s="236" t="s">
        <v>24</v>
      </c>
      <c r="B535" s="236"/>
      <c r="C535" s="237"/>
      <c r="D535" s="289" t="s">
        <v>216</v>
      </c>
      <c r="E535" s="236"/>
      <c r="F535" s="259"/>
      <c r="G535" s="259"/>
      <c r="H535" s="259"/>
      <c r="I535" s="247"/>
      <c r="J535" s="259"/>
      <c r="K535" s="238"/>
      <c r="L535" s="238"/>
      <c r="M535" s="238"/>
      <c r="N535" s="239" t="e">
        <f>N537+N578+N592</f>
        <v>#VALUE!</v>
      </c>
      <c r="O535" s="284" t="e">
        <f>N535/$N$2057</f>
        <v>#VALUE!</v>
      </c>
      <c r="P535" s="240"/>
      <c r="Q535" s="240" t="s">
        <v>533</v>
      </c>
      <c r="R535" s="240"/>
      <c r="S535" s="240"/>
      <c r="T535" s="240"/>
      <c r="U535" s="240"/>
      <c r="V535" s="240"/>
      <c r="W535" s="240"/>
      <c r="X535" s="240"/>
      <c r="Y535" s="240"/>
      <c r="Z535" s="240"/>
      <c r="AA535" s="240"/>
    </row>
    <row r="536" spans="1:27" s="118" customFormat="1" x14ac:dyDescent="0.2">
      <c r="A536" s="6"/>
      <c r="B536" s="6"/>
      <c r="C536" s="14"/>
      <c r="D536" s="108"/>
      <c r="E536" s="148"/>
      <c r="F536" s="253"/>
      <c r="G536" s="253"/>
      <c r="H536" s="253"/>
      <c r="I536" s="246"/>
      <c r="J536" s="262"/>
      <c r="K536" s="137"/>
      <c r="L536" s="137"/>
      <c r="M536" s="137"/>
      <c r="N536" s="138"/>
      <c r="O536" s="167"/>
      <c r="P536" s="111"/>
      <c r="Q536" s="111"/>
      <c r="R536" s="111"/>
      <c r="S536" s="111"/>
      <c r="T536" s="111"/>
      <c r="U536" s="111"/>
      <c r="V536" s="111"/>
      <c r="W536" s="111"/>
      <c r="X536" s="111"/>
      <c r="Y536" s="111"/>
      <c r="Z536" s="111"/>
      <c r="AA536" s="111"/>
    </row>
    <row r="537" spans="1:27" s="145" customFormat="1" x14ac:dyDescent="0.2">
      <c r="A537" s="140" t="s">
        <v>25</v>
      </c>
      <c r="B537" s="140"/>
      <c r="C537" s="141"/>
      <c r="D537" s="112" t="s">
        <v>30</v>
      </c>
      <c r="E537" s="140"/>
      <c r="F537" s="260"/>
      <c r="G537" s="260"/>
      <c r="H537" s="260"/>
      <c r="I537" s="248"/>
      <c r="J537" s="260"/>
      <c r="K537" s="142"/>
      <c r="L537" s="142"/>
      <c r="M537" s="142"/>
      <c r="N537" s="143" t="e">
        <f>SUM(N539:N577)</f>
        <v>#VALUE!</v>
      </c>
      <c r="O537" s="285"/>
      <c r="P537" s="144"/>
      <c r="Q537" s="144"/>
      <c r="R537" s="144"/>
      <c r="S537" s="144"/>
      <c r="T537" s="144"/>
      <c r="U537" s="144"/>
      <c r="V537" s="144"/>
      <c r="W537" s="144"/>
      <c r="X537" s="144"/>
      <c r="Y537" s="144"/>
      <c r="Z537" s="144"/>
      <c r="AA537" s="144"/>
    </row>
    <row r="538" spans="1:27" s="118" customFormat="1" x14ac:dyDescent="0.2">
      <c r="A538" s="6"/>
      <c r="B538" s="6"/>
      <c r="C538" s="14"/>
      <c r="D538" s="108"/>
      <c r="E538" s="148"/>
      <c r="F538" s="253"/>
      <c r="G538" s="253"/>
      <c r="H538" s="253"/>
      <c r="I538" s="246"/>
      <c r="J538" s="262"/>
      <c r="K538" s="137"/>
      <c r="L538" s="137"/>
      <c r="M538" s="137"/>
      <c r="N538" s="138"/>
      <c r="O538" s="167"/>
      <c r="P538" s="111"/>
      <c r="Q538" s="111"/>
      <c r="R538" s="111"/>
      <c r="S538" s="111"/>
      <c r="T538" s="111"/>
      <c r="U538" s="111"/>
      <c r="V538" s="111"/>
      <c r="W538" s="111"/>
      <c r="X538" s="111"/>
      <c r="Y538" s="111"/>
      <c r="Z538" s="111"/>
      <c r="AA538" s="111"/>
    </row>
    <row r="539" spans="1:27" s="147" customFormat="1" ht="61.2" x14ac:dyDescent="0.2">
      <c r="A539" s="9" t="s">
        <v>762</v>
      </c>
      <c r="B539" s="9" t="s">
        <v>179</v>
      </c>
      <c r="C539" s="13" t="s">
        <v>417</v>
      </c>
      <c r="D539" s="113" t="s">
        <v>561</v>
      </c>
      <c r="E539" s="9" t="s">
        <v>31</v>
      </c>
      <c r="F539" s="261"/>
      <c r="G539" s="261"/>
      <c r="H539" s="261"/>
      <c r="I539" s="245"/>
      <c r="J539" s="261"/>
      <c r="K539" s="131">
        <f>J542</f>
        <v>3</v>
      </c>
      <c r="L539" s="131" t="e">
        <f>'COMPOSICOES - SINAPI COM DESON'!G36</f>
        <v>#VALUE!</v>
      </c>
      <c r="M539" s="131" t="e">
        <f>ROUND(L539*(1+$Q$7),2)</f>
        <v>#VALUE!</v>
      </c>
      <c r="N539" s="133" t="e">
        <f>TRUNC(K539*M539,2)</f>
        <v>#VALUE!</v>
      </c>
      <c r="O539" s="286"/>
      <c r="P539" s="146"/>
      <c r="Q539" s="146"/>
      <c r="R539" s="146"/>
      <c r="S539" s="146"/>
      <c r="T539" s="146"/>
      <c r="U539" s="146"/>
      <c r="V539" s="146"/>
      <c r="W539" s="146"/>
      <c r="X539" s="146"/>
      <c r="Y539" s="146"/>
      <c r="Z539" s="146"/>
      <c r="AA539" s="146"/>
    </row>
    <row r="540" spans="1:27" s="118" customFormat="1" x14ac:dyDescent="0.2">
      <c r="A540" s="6"/>
      <c r="B540" s="6"/>
      <c r="C540" s="155"/>
      <c r="D540" s="2" t="s">
        <v>242</v>
      </c>
      <c r="E540" s="148"/>
      <c r="F540" s="253">
        <v>2</v>
      </c>
      <c r="G540" s="253"/>
      <c r="H540" s="253"/>
      <c r="I540" s="246"/>
      <c r="J540" s="253">
        <f t="shared" ref="J540:J541" si="57">ROUND(PRODUCT(F540:I540),2)</f>
        <v>2</v>
      </c>
      <c r="K540" s="137"/>
      <c r="L540" s="137"/>
      <c r="M540" s="137"/>
      <c r="N540" s="138"/>
      <c r="O540" s="167"/>
      <c r="P540" s="111"/>
      <c r="Q540" s="111"/>
      <c r="R540" s="111"/>
      <c r="S540" s="111"/>
      <c r="T540" s="111"/>
      <c r="U540" s="111"/>
      <c r="V540" s="111"/>
      <c r="W540" s="111"/>
      <c r="X540" s="111"/>
      <c r="Y540" s="111"/>
      <c r="Z540" s="111"/>
      <c r="AA540" s="111"/>
    </row>
    <row r="541" spans="1:27" s="118" customFormat="1" x14ac:dyDescent="0.2">
      <c r="A541" s="6"/>
      <c r="B541" s="6"/>
      <c r="C541" s="155"/>
      <c r="D541" s="2" t="s">
        <v>243</v>
      </c>
      <c r="E541" s="148"/>
      <c r="F541" s="253">
        <v>1</v>
      </c>
      <c r="G541" s="253"/>
      <c r="H541" s="253"/>
      <c r="I541" s="246"/>
      <c r="J541" s="253">
        <f t="shared" si="57"/>
        <v>1</v>
      </c>
      <c r="K541" s="137"/>
      <c r="L541" s="137"/>
      <c r="M541" s="137"/>
      <c r="N541" s="138"/>
      <c r="O541" s="167"/>
      <c r="P541" s="111"/>
      <c r="Q541" s="111"/>
      <c r="R541" s="111"/>
      <c r="S541" s="111"/>
      <c r="T541" s="111"/>
      <c r="U541" s="111"/>
      <c r="V541" s="111"/>
      <c r="W541" s="111"/>
      <c r="X541" s="111"/>
      <c r="Y541" s="111"/>
      <c r="Z541" s="111"/>
      <c r="AA541" s="111"/>
    </row>
    <row r="542" spans="1:27" s="118" customFormat="1" x14ac:dyDescent="0.2">
      <c r="A542" s="6"/>
      <c r="B542" s="6"/>
      <c r="C542" s="156"/>
      <c r="D542" s="108"/>
      <c r="E542" s="148"/>
      <c r="F542" s="253"/>
      <c r="G542" s="253"/>
      <c r="H542" s="253"/>
      <c r="I542" s="246" t="str">
        <f>"Total item "&amp;A539</f>
        <v>Total item 7.1.1</v>
      </c>
      <c r="J542" s="261">
        <f>SUM(J540:J541)</f>
        <v>3</v>
      </c>
      <c r="K542" s="137"/>
      <c r="L542" s="137"/>
      <c r="M542" s="137"/>
      <c r="N542" s="138"/>
      <c r="O542" s="167"/>
      <c r="P542" s="111"/>
      <c r="Q542" s="111"/>
      <c r="R542" s="111"/>
      <c r="S542" s="111"/>
      <c r="T542" s="111"/>
      <c r="U542" s="111"/>
      <c r="V542" s="111"/>
      <c r="W542" s="111"/>
      <c r="X542" s="111"/>
      <c r="Y542" s="111"/>
      <c r="Z542" s="111"/>
      <c r="AA542" s="111"/>
    </row>
    <row r="543" spans="1:27" s="139" customFormat="1" x14ac:dyDescent="0.2">
      <c r="A543" s="6"/>
      <c r="B543" s="6"/>
      <c r="C543" s="7"/>
      <c r="D543" s="116"/>
      <c r="E543" s="6"/>
      <c r="F543" s="258"/>
      <c r="G543" s="258"/>
      <c r="H543" s="258"/>
      <c r="I543" s="246"/>
      <c r="J543" s="258"/>
      <c r="K543" s="137"/>
      <c r="L543" s="137"/>
      <c r="M543" s="137"/>
      <c r="N543" s="138"/>
      <c r="O543" s="283"/>
      <c r="P543" s="120"/>
      <c r="Q543" s="120"/>
      <c r="R543" s="120"/>
      <c r="S543" s="120"/>
      <c r="T543" s="120"/>
      <c r="U543" s="120"/>
      <c r="V543" s="120"/>
      <c r="W543" s="120"/>
      <c r="X543" s="120"/>
      <c r="Y543" s="120"/>
      <c r="Z543" s="120"/>
      <c r="AA543" s="120"/>
    </row>
    <row r="544" spans="1:27" s="147" customFormat="1" ht="51" x14ac:dyDescent="0.2">
      <c r="A544" s="9" t="s">
        <v>768</v>
      </c>
      <c r="B544" s="9" t="s">
        <v>163</v>
      </c>
      <c r="C544" s="13" t="s">
        <v>244</v>
      </c>
      <c r="D544" s="113" t="s">
        <v>245</v>
      </c>
      <c r="E544" s="9" t="s">
        <v>31</v>
      </c>
      <c r="F544" s="261"/>
      <c r="G544" s="261"/>
      <c r="H544" s="261"/>
      <c r="I544" s="245"/>
      <c r="J544" s="261"/>
      <c r="K544" s="131">
        <f>J548</f>
        <v>3</v>
      </c>
      <c r="L544" s="131">
        <v>116.08</v>
      </c>
      <c r="M544" s="131">
        <f>ROUND(L544*(1+$Q$7),2)</f>
        <v>146.88</v>
      </c>
      <c r="N544" s="133">
        <f>TRUNC(K544*M544,2)</f>
        <v>440.64</v>
      </c>
      <c r="O544" s="286"/>
      <c r="P544" s="146"/>
      <c r="Q544" s="146"/>
      <c r="R544" s="146"/>
      <c r="S544" s="146"/>
      <c r="T544" s="146"/>
      <c r="U544" s="146"/>
      <c r="V544" s="146"/>
      <c r="W544" s="146"/>
      <c r="X544" s="146"/>
      <c r="Y544" s="146"/>
      <c r="Z544" s="146"/>
      <c r="AA544" s="146"/>
    </row>
    <row r="545" spans="1:27" s="118" customFormat="1" x14ac:dyDescent="0.2">
      <c r="A545" s="6"/>
      <c r="B545" s="6"/>
      <c r="C545" s="155"/>
      <c r="D545" s="2" t="s">
        <v>253</v>
      </c>
      <c r="E545" s="148"/>
      <c r="F545" s="253">
        <v>1</v>
      </c>
      <c r="G545" s="253"/>
      <c r="H545" s="253"/>
      <c r="I545" s="246"/>
      <c r="J545" s="253">
        <f t="shared" ref="J545:J547" si="58">ROUND(PRODUCT(F545:I545),2)</f>
        <v>1</v>
      </c>
      <c r="K545" s="137"/>
      <c r="L545" s="137"/>
      <c r="M545" s="137"/>
      <c r="N545" s="138"/>
      <c r="O545" s="167"/>
      <c r="P545" s="111"/>
      <c r="Q545" s="111"/>
      <c r="R545" s="111"/>
      <c r="S545" s="111"/>
      <c r="T545" s="111"/>
      <c r="U545" s="111"/>
      <c r="V545" s="111"/>
      <c r="W545" s="111"/>
      <c r="X545" s="111"/>
      <c r="Y545" s="111"/>
      <c r="Z545" s="111"/>
      <c r="AA545" s="111"/>
    </row>
    <row r="546" spans="1:27" s="118" customFormat="1" x14ac:dyDescent="0.2">
      <c r="A546" s="6"/>
      <c r="B546" s="6"/>
      <c r="C546" s="155"/>
      <c r="D546" s="2" t="s">
        <v>257</v>
      </c>
      <c r="E546" s="148"/>
      <c r="F546" s="253">
        <v>1</v>
      </c>
      <c r="G546" s="253"/>
      <c r="H546" s="253"/>
      <c r="I546" s="246"/>
      <c r="J546" s="253">
        <f t="shared" si="58"/>
        <v>1</v>
      </c>
      <c r="K546" s="137"/>
      <c r="L546" s="137"/>
      <c r="M546" s="137"/>
      <c r="N546" s="138"/>
      <c r="O546" s="167"/>
      <c r="P546" s="111"/>
      <c r="Q546" s="111"/>
      <c r="R546" s="111"/>
      <c r="S546" s="111"/>
      <c r="T546" s="111"/>
      <c r="U546" s="111"/>
      <c r="V546" s="111"/>
      <c r="W546" s="111"/>
      <c r="X546" s="111"/>
      <c r="Y546" s="111"/>
      <c r="Z546" s="111"/>
      <c r="AA546" s="111"/>
    </row>
    <row r="547" spans="1:27" s="118" customFormat="1" x14ac:dyDescent="0.2">
      <c r="A547" s="6"/>
      <c r="B547" s="6"/>
      <c r="C547" s="155"/>
      <c r="D547" s="2" t="s">
        <v>305</v>
      </c>
      <c r="E547" s="148"/>
      <c r="F547" s="253">
        <v>1</v>
      </c>
      <c r="G547" s="253"/>
      <c r="H547" s="253"/>
      <c r="I547" s="246"/>
      <c r="J547" s="253">
        <f t="shared" si="58"/>
        <v>1</v>
      </c>
      <c r="K547" s="137"/>
      <c r="L547" s="137"/>
      <c r="M547" s="137"/>
      <c r="N547" s="138"/>
      <c r="O547" s="167"/>
      <c r="P547" s="111"/>
      <c r="Q547" s="111"/>
      <c r="R547" s="111"/>
      <c r="S547" s="111"/>
      <c r="T547" s="111"/>
      <c r="U547" s="111"/>
      <c r="V547" s="111"/>
      <c r="W547" s="111"/>
      <c r="X547" s="111"/>
      <c r="Y547" s="111"/>
      <c r="Z547" s="111"/>
      <c r="AA547" s="111"/>
    </row>
    <row r="548" spans="1:27" s="118" customFormat="1" x14ac:dyDescent="0.2">
      <c r="A548" s="6"/>
      <c r="B548" s="6"/>
      <c r="C548" s="156"/>
      <c r="D548" s="108"/>
      <c r="E548" s="148"/>
      <c r="F548" s="253"/>
      <c r="G548" s="253"/>
      <c r="H548" s="253"/>
      <c r="I548" s="246" t="str">
        <f>"Total item "&amp;A544</f>
        <v>Total item 7.1.2</v>
      </c>
      <c r="J548" s="261">
        <f>SUM(J545:J547)</f>
        <v>3</v>
      </c>
      <c r="K548" s="137"/>
      <c r="L548" s="137"/>
      <c r="M548" s="137"/>
      <c r="N548" s="138"/>
      <c r="O548" s="167"/>
      <c r="P548" s="111"/>
      <c r="Q548" s="111"/>
      <c r="R548" s="111"/>
      <c r="S548" s="111"/>
      <c r="T548" s="111"/>
      <c r="U548" s="111"/>
      <c r="V548" s="111"/>
      <c r="W548" s="111"/>
      <c r="X548" s="111"/>
      <c r="Y548" s="111"/>
      <c r="Z548" s="111"/>
      <c r="AA548" s="111"/>
    </row>
    <row r="549" spans="1:27" s="139" customFormat="1" x14ac:dyDescent="0.2">
      <c r="A549" s="6"/>
      <c r="B549" s="6"/>
      <c r="C549" s="7"/>
      <c r="D549" s="116"/>
      <c r="E549" s="6"/>
      <c r="F549" s="258"/>
      <c r="G549" s="258"/>
      <c r="H549" s="258"/>
      <c r="I549" s="246"/>
      <c r="J549" s="258"/>
      <c r="K549" s="137"/>
      <c r="L549" s="137"/>
      <c r="M549" s="137"/>
      <c r="N549" s="138"/>
      <c r="O549" s="283"/>
      <c r="P549" s="120"/>
      <c r="Q549" s="120"/>
      <c r="R549" s="120"/>
      <c r="S549" s="120"/>
      <c r="T549" s="120"/>
      <c r="U549" s="120"/>
      <c r="V549" s="120"/>
      <c r="W549" s="120"/>
      <c r="X549" s="120"/>
      <c r="Y549" s="120"/>
      <c r="Z549" s="120"/>
      <c r="AA549" s="120"/>
    </row>
    <row r="550" spans="1:27" s="147" customFormat="1" ht="40.799999999999997" x14ac:dyDescent="0.2">
      <c r="A550" s="9" t="s">
        <v>769</v>
      </c>
      <c r="B550" s="9" t="s">
        <v>89</v>
      </c>
      <c r="C550" s="13">
        <v>93144</v>
      </c>
      <c r="D550" s="113" t="s">
        <v>295</v>
      </c>
      <c r="E550" s="9" t="s">
        <v>33</v>
      </c>
      <c r="F550" s="261"/>
      <c r="G550" s="261"/>
      <c r="H550" s="261"/>
      <c r="I550" s="245"/>
      <c r="J550" s="261"/>
      <c r="K550" s="131">
        <f>J556</f>
        <v>4</v>
      </c>
      <c r="L550" s="131">
        <v>166.81</v>
      </c>
      <c r="M550" s="131">
        <f>ROUND(L550*(1+$Q$7),2)</f>
        <v>211.06</v>
      </c>
      <c r="N550" s="133">
        <f>TRUNC(K550*M550,2)</f>
        <v>844.24</v>
      </c>
      <c r="O550" s="286"/>
      <c r="P550" s="146"/>
      <c r="Q550" s="146"/>
      <c r="R550" s="146"/>
      <c r="S550" s="146"/>
      <c r="T550" s="146"/>
      <c r="U550" s="146"/>
      <c r="V550" s="146"/>
      <c r="W550" s="146"/>
      <c r="X550" s="146"/>
      <c r="Y550" s="146"/>
      <c r="Z550" s="146"/>
      <c r="AA550" s="146"/>
    </row>
    <row r="551" spans="1:27" s="118" customFormat="1" x14ac:dyDescent="0.2">
      <c r="A551" s="6"/>
      <c r="B551" s="6"/>
      <c r="C551" s="155"/>
      <c r="D551" s="3" t="s">
        <v>296</v>
      </c>
      <c r="E551" s="148"/>
      <c r="F551" s="253"/>
      <c r="G551" s="253"/>
      <c r="H551" s="253"/>
      <c r="I551" s="246"/>
      <c r="J551" s="253"/>
      <c r="K551" s="137"/>
      <c r="L551" s="137"/>
      <c r="M551" s="137"/>
      <c r="N551" s="138"/>
      <c r="O551" s="167"/>
      <c r="P551" s="111"/>
      <c r="Q551" s="111"/>
      <c r="R551" s="111"/>
      <c r="S551" s="111"/>
      <c r="T551" s="111"/>
      <c r="U551" s="111"/>
      <c r="V551" s="111"/>
      <c r="W551" s="111"/>
      <c r="X551" s="111"/>
      <c r="Y551" s="111"/>
      <c r="Z551" s="111"/>
      <c r="AA551" s="111"/>
    </row>
    <row r="552" spans="1:27" s="118" customFormat="1" x14ac:dyDescent="0.2">
      <c r="A552" s="6"/>
      <c r="B552" s="6"/>
      <c r="C552" s="155"/>
      <c r="D552" s="2" t="s">
        <v>253</v>
      </c>
      <c r="E552" s="148"/>
      <c r="F552" s="253">
        <v>1</v>
      </c>
      <c r="G552" s="253"/>
      <c r="H552" s="253"/>
      <c r="I552" s="246"/>
      <c r="J552" s="253">
        <f t="shared" ref="J552:J555" si="59">ROUND(PRODUCT(F552:I552),2)</f>
        <v>1</v>
      </c>
      <c r="K552" s="137"/>
      <c r="L552" s="137"/>
      <c r="M552" s="137"/>
      <c r="N552" s="138"/>
      <c r="O552" s="167"/>
      <c r="P552" s="111"/>
      <c r="Q552" s="111"/>
      <c r="R552" s="111"/>
      <c r="S552" s="111"/>
      <c r="T552" s="111"/>
      <c r="U552" s="111"/>
      <c r="V552" s="111"/>
      <c r="W552" s="111"/>
      <c r="X552" s="111"/>
      <c r="Y552" s="111"/>
      <c r="Z552" s="111"/>
      <c r="AA552" s="111"/>
    </row>
    <row r="553" spans="1:27" s="118" customFormat="1" x14ac:dyDescent="0.2">
      <c r="A553" s="6"/>
      <c r="B553" s="6"/>
      <c r="C553" s="155"/>
      <c r="D553" s="2" t="s">
        <v>257</v>
      </c>
      <c r="E553" s="148"/>
      <c r="F553" s="253">
        <v>1</v>
      </c>
      <c r="G553" s="253"/>
      <c r="H553" s="253"/>
      <c r="I553" s="246"/>
      <c r="J553" s="253">
        <f t="shared" si="59"/>
        <v>1</v>
      </c>
      <c r="K553" s="137"/>
      <c r="L553" s="137"/>
      <c r="M553" s="137"/>
      <c r="N553" s="138"/>
      <c r="O553" s="167"/>
      <c r="P553" s="111"/>
      <c r="Q553" s="111"/>
      <c r="R553" s="111"/>
      <c r="S553" s="111"/>
      <c r="T553" s="111"/>
      <c r="U553" s="111"/>
      <c r="V553" s="111"/>
      <c r="W553" s="111"/>
      <c r="X553" s="111"/>
      <c r="Y553" s="111"/>
      <c r="Z553" s="111"/>
      <c r="AA553" s="111"/>
    </row>
    <row r="554" spans="1:27" s="118" customFormat="1" x14ac:dyDescent="0.2">
      <c r="A554" s="6"/>
      <c r="B554" s="6"/>
      <c r="C554" s="155"/>
      <c r="D554" s="2" t="s">
        <v>242</v>
      </c>
      <c r="E554" s="148"/>
      <c r="F554" s="253">
        <v>1</v>
      </c>
      <c r="G554" s="253"/>
      <c r="H554" s="253"/>
      <c r="I554" s="246"/>
      <c r="J554" s="253">
        <f t="shared" si="59"/>
        <v>1</v>
      </c>
      <c r="K554" s="137"/>
      <c r="L554" s="137"/>
      <c r="M554" s="137"/>
      <c r="N554" s="138"/>
      <c r="O554" s="167"/>
      <c r="P554" s="111"/>
      <c r="Q554" s="111"/>
      <c r="R554" s="111"/>
      <c r="S554" s="111"/>
      <c r="T554" s="111"/>
      <c r="U554" s="111"/>
      <c r="V554" s="111"/>
      <c r="W554" s="111"/>
      <c r="X554" s="111"/>
      <c r="Y554" s="111"/>
      <c r="Z554" s="111"/>
      <c r="AA554" s="111"/>
    </row>
    <row r="555" spans="1:27" s="118" customFormat="1" x14ac:dyDescent="0.2">
      <c r="A555" s="6"/>
      <c r="B555" s="6"/>
      <c r="C555" s="155"/>
      <c r="D555" s="2" t="s">
        <v>305</v>
      </c>
      <c r="E555" s="148"/>
      <c r="F555" s="253">
        <v>1</v>
      </c>
      <c r="G555" s="253"/>
      <c r="H555" s="253"/>
      <c r="I555" s="246"/>
      <c r="J555" s="253">
        <f t="shared" si="59"/>
        <v>1</v>
      </c>
      <c r="K555" s="137"/>
      <c r="L555" s="137"/>
      <c r="M555" s="137"/>
      <c r="N555" s="138"/>
      <c r="O555" s="167"/>
      <c r="P555" s="111"/>
      <c r="Q555" s="111"/>
      <c r="R555" s="111"/>
      <c r="S555" s="111"/>
      <c r="T555" s="111"/>
      <c r="U555" s="111"/>
      <c r="V555" s="111"/>
      <c r="W555" s="111"/>
      <c r="X555" s="111"/>
      <c r="Y555" s="111"/>
      <c r="Z555" s="111"/>
      <c r="AA555" s="111"/>
    </row>
    <row r="556" spans="1:27" s="118" customFormat="1" x14ac:dyDescent="0.2">
      <c r="A556" s="6"/>
      <c r="B556" s="6"/>
      <c r="C556" s="156"/>
      <c r="D556" s="108"/>
      <c r="E556" s="148"/>
      <c r="F556" s="253"/>
      <c r="G556" s="253"/>
      <c r="H556" s="253"/>
      <c r="I556" s="246" t="str">
        <f>"Total item "&amp;A550</f>
        <v>Total item 7.1.3</v>
      </c>
      <c r="J556" s="261">
        <f>SUM(J552:J555)</f>
        <v>4</v>
      </c>
      <c r="K556" s="137"/>
      <c r="L556" s="137"/>
      <c r="M556" s="137"/>
      <c r="N556" s="138"/>
      <c r="O556" s="167"/>
      <c r="P556" s="111"/>
      <c r="Q556" s="111"/>
      <c r="R556" s="111"/>
      <c r="S556" s="111"/>
      <c r="T556" s="111"/>
      <c r="U556" s="111"/>
      <c r="V556" s="111"/>
      <c r="W556" s="111"/>
      <c r="X556" s="111"/>
      <c r="Y556" s="111"/>
      <c r="Z556" s="111"/>
      <c r="AA556" s="111"/>
    </row>
    <row r="557" spans="1:27" s="161" customFormat="1" x14ac:dyDescent="0.2">
      <c r="A557" s="10"/>
      <c r="B557" s="10"/>
      <c r="C557" s="15"/>
      <c r="D557" s="117"/>
      <c r="E557" s="10"/>
      <c r="F557" s="263"/>
      <c r="G557" s="263"/>
      <c r="H557" s="263"/>
      <c r="I557" s="250"/>
      <c r="J557" s="263"/>
      <c r="K557" s="151"/>
      <c r="L557" s="151"/>
      <c r="M557" s="151"/>
      <c r="N557" s="198"/>
      <c r="O557" s="167"/>
      <c r="P557" s="114"/>
      <c r="Q557" s="114"/>
      <c r="R557" s="114"/>
      <c r="S557" s="114"/>
      <c r="T557" s="114"/>
      <c r="U557" s="114"/>
      <c r="V557" s="114"/>
      <c r="W557" s="114"/>
      <c r="X557" s="114"/>
      <c r="Y557" s="114"/>
      <c r="Z557" s="114"/>
      <c r="AA557" s="114"/>
    </row>
    <row r="558" spans="1:27" s="147" customFormat="1" ht="40.799999999999997" x14ac:dyDescent="0.2">
      <c r="A558" s="9" t="s">
        <v>770</v>
      </c>
      <c r="B558" s="9" t="s">
        <v>163</v>
      </c>
      <c r="C558" s="197" t="s">
        <v>192</v>
      </c>
      <c r="D558" s="113" t="s">
        <v>712</v>
      </c>
      <c r="E558" s="9" t="s">
        <v>31</v>
      </c>
      <c r="F558" s="261"/>
      <c r="G558" s="261"/>
      <c r="H558" s="261"/>
      <c r="I558" s="245"/>
      <c r="J558" s="261"/>
      <c r="K558" s="131">
        <f>J564</f>
        <v>4</v>
      </c>
      <c r="L558" s="131">
        <v>46.44</v>
      </c>
      <c r="M558" s="131">
        <f>ROUND(L558*(1+$Q$7),2)</f>
        <v>58.76</v>
      </c>
      <c r="N558" s="133">
        <f>TRUNC(K558*M558,2)</f>
        <v>235.04</v>
      </c>
      <c r="O558" s="286"/>
      <c r="P558" s="146"/>
      <c r="Q558" s="146"/>
      <c r="R558" s="146"/>
      <c r="S558" s="146"/>
      <c r="T558" s="146"/>
      <c r="U558" s="146"/>
      <c r="V558" s="146"/>
      <c r="W558" s="146"/>
      <c r="X558" s="146"/>
      <c r="Y558" s="146"/>
      <c r="Z558" s="146"/>
      <c r="AA558" s="146"/>
    </row>
    <row r="559" spans="1:27" s="118" customFormat="1" x14ac:dyDescent="0.2">
      <c r="A559" s="6"/>
      <c r="B559" s="6"/>
      <c r="C559" s="155"/>
      <c r="D559" s="3" t="s">
        <v>296</v>
      </c>
      <c r="E559" s="148"/>
      <c r="F559" s="253"/>
      <c r="G559" s="253"/>
      <c r="H559" s="253"/>
      <c r="I559" s="246"/>
      <c r="J559" s="253"/>
      <c r="K559" s="137"/>
      <c r="L559" s="137"/>
      <c r="M559" s="137"/>
      <c r="N559" s="138"/>
      <c r="O559" s="167"/>
      <c r="P559" s="111"/>
      <c r="Q559" s="111"/>
      <c r="R559" s="111"/>
      <c r="S559" s="111"/>
      <c r="T559" s="111"/>
      <c r="U559" s="111"/>
      <c r="V559" s="111"/>
      <c r="W559" s="111"/>
      <c r="X559" s="111"/>
      <c r="Y559" s="111"/>
      <c r="Z559" s="111"/>
      <c r="AA559" s="111"/>
    </row>
    <row r="560" spans="1:27" s="118" customFormat="1" x14ac:dyDescent="0.2">
      <c r="A560" s="6"/>
      <c r="B560" s="6"/>
      <c r="C560" s="155"/>
      <c r="D560" s="2" t="s">
        <v>253</v>
      </c>
      <c r="E560" s="148"/>
      <c r="F560" s="253">
        <v>1</v>
      </c>
      <c r="G560" s="253"/>
      <c r="H560" s="253"/>
      <c r="I560" s="246"/>
      <c r="J560" s="253">
        <f t="shared" ref="J560:J563" si="60">ROUND(PRODUCT(F560:I560),2)</f>
        <v>1</v>
      </c>
      <c r="K560" s="137"/>
      <c r="L560" s="137"/>
      <c r="M560" s="137"/>
      <c r="N560" s="138"/>
      <c r="O560" s="167"/>
      <c r="P560" s="111"/>
      <c r="Q560" s="111"/>
      <c r="R560" s="111"/>
      <c r="S560" s="111"/>
      <c r="T560" s="111"/>
      <c r="U560" s="111"/>
      <c r="V560" s="111"/>
      <c r="W560" s="111"/>
      <c r="X560" s="111"/>
      <c r="Y560" s="111"/>
      <c r="Z560" s="111"/>
      <c r="AA560" s="111"/>
    </row>
    <row r="561" spans="1:27" s="118" customFormat="1" x14ac:dyDescent="0.2">
      <c r="A561" s="6"/>
      <c r="B561" s="6"/>
      <c r="C561" s="155"/>
      <c r="D561" s="2" t="s">
        <v>257</v>
      </c>
      <c r="E561" s="148"/>
      <c r="F561" s="253">
        <v>1</v>
      </c>
      <c r="G561" s="253"/>
      <c r="H561" s="253"/>
      <c r="I561" s="246"/>
      <c r="J561" s="253">
        <f t="shared" si="60"/>
        <v>1</v>
      </c>
      <c r="K561" s="137"/>
      <c r="L561" s="137"/>
      <c r="M561" s="137"/>
      <c r="N561" s="138"/>
      <c r="O561" s="167"/>
      <c r="P561" s="111"/>
      <c r="Q561" s="111"/>
      <c r="R561" s="111"/>
      <c r="S561" s="111"/>
      <c r="T561" s="111"/>
      <c r="U561" s="111"/>
      <c r="V561" s="111"/>
      <c r="W561" s="111"/>
      <c r="X561" s="111"/>
      <c r="Y561" s="111"/>
      <c r="Z561" s="111"/>
      <c r="AA561" s="111"/>
    </row>
    <row r="562" spans="1:27" s="118" customFormat="1" x14ac:dyDescent="0.2">
      <c r="A562" s="6"/>
      <c r="B562" s="6"/>
      <c r="C562" s="155"/>
      <c r="D562" s="2" t="s">
        <v>242</v>
      </c>
      <c r="E562" s="148"/>
      <c r="F562" s="253">
        <v>1</v>
      </c>
      <c r="G562" s="253"/>
      <c r="H562" s="253"/>
      <c r="I562" s="246"/>
      <c r="J562" s="253">
        <f t="shared" si="60"/>
        <v>1</v>
      </c>
      <c r="K562" s="137"/>
      <c r="L562" s="137"/>
      <c r="M562" s="137"/>
      <c r="N562" s="138"/>
      <c r="O562" s="167"/>
      <c r="P562" s="111"/>
      <c r="Q562" s="111"/>
      <c r="R562" s="111"/>
      <c r="S562" s="111"/>
      <c r="T562" s="111"/>
      <c r="U562" s="111"/>
      <c r="V562" s="111"/>
      <c r="W562" s="111"/>
      <c r="X562" s="111"/>
      <c r="Y562" s="111"/>
      <c r="Z562" s="111"/>
      <c r="AA562" s="111"/>
    </row>
    <row r="563" spans="1:27" s="118" customFormat="1" x14ac:dyDescent="0.2">
      <c r="A563" s="6"/>
      <c r="B563" s="6"/>
      <c r="C563" s="155"/>
      <c r="D563" s="2" t="s">
        <v>305</v>
      </c>
      <c r="E563" s="148"/>
      <c r="F563" s="253">
        <v>1</v>
      </c>
      <c r="G563" s="253"/>
      <c r="H563" s="253"/>
      <c r="I563" s="246"/>
      <c r="J563" s="253">
        <f t="shared" si="60"/>
        <v>1</v>
      </c>
      <c r="K563" s="137"/>
      <c r="L563" s="137"/>
      <c r="M563" s="137"/>
      <c r="N563" s="138"/>
      <c r="O563" s="167"/>
      <c r="P563" s="111"/>
      <c r="Q563" s="111"/>
      <c r="R563" s="111"/>
      <c r="S563" s="111"/>
      <c r="T563" s="111"/>
      <c r="U563" s="111"/>
      <c r="V563" s="111"/>
      <c r="W563" s="111"/>
      <c r="X563" s="111"/>
      <c r="Y563" s="111"/>
      <c r="Z563" s="111"/>
      <c r="AA563" s="111"/>
    </row>
    <row r="564" spans="1:27" s="118" customFormat="1" x14ac:dyDescent="0.2">
      <c r="A564" s="6"/>
      <c r="B564" s="6"/>
      <c r="C564" s="156"/>
      <c r="D564" s="108"/>
      <c r="E564" s="148"/>
      <c r="F564" s="253"/>
      <c r="G564" s="253"/>
      <c r="H564" s="253"/>
      <c r="I564" s="246" t="str">
        <f>"Total item "&amp;A558</f>
        <v>Total item 7.1.4</v>
      </c>
      <c r="J564" s="261">
        <f>SUM(J560:J563)</f>
        <v>4</v>
      </c>
      <c r="K564" s="137"/>
      <c r="L564" s="137"/>
      <c r="M564" s="137"/>
      <c r="N564" s="138"/>
      <c r="O564" s="167"/>
      <c r="P564" s="111"/>
      <c r="Q564" s="111"/>
      <c r="R564" s="111"/>
      <c r="S564" s="111"/>
      <c r="T564" s="111"/>
      <c r="U564" s="111"/>
      <c r="V564" s="111"/>
      <c r="W564" s="111"/>
      <c r="X564" s="111"/>
      <c r="Y564" s="111"/>
      <c r="Z564" s="111"/>
      <c r="AA564" s="111"/>
    </row>
    <row r="565" spans="1:27" s="161" customFormat="1" x14ac:dyDescent="0.2">
      <c r="A565" s="10"/>
      <c r="B565" s="10"/>
      <c r="C565" s="191"/>
      <c r="D565" s="110"/>
      <c r="E565" s="158"/>
      <c r="F565" s="267"/>
      <c r="G565" s="267"/>
      <c r="H565" s="267"/>
      <c r="I565" s="250"/>
      <c r="J565" s="263"/>
      <c r="K565" s="151"/>
      <c r="L565" s="151"/>
      <c r="M565" s="151"/>
      <c r="N565" s="152"/>
      <c r="O565" s="167"/>
      <c r="P565" s="114"/>
      <c r="Q565" s="114"/>
      <c r="R565" s="114"/>
      <c r="S565" s="114"/>
      <c r="T565" s="114"/>
      <c r="U565" s="114"/>
      <c r="V565" s="114"/>
      <c r="W565" s="114"/>
      <c r="X565" s="114"/>
      <c r="Y565" s="114"/>
      <c r="Z565" s="114"/>
      <c r="AA565" s="114"/>
    </row>
    <row r="566" spans="1:27" s="147" customFormat="1" ht="30.6" x14ac:dyDescent="0.2">
      <c r="A566" s="9" t="s">
        <v>771</v>
      </c>
      <c r="B566" s="9" t="s">
        <v>179</v>
      </c>
      <c r="C566" s="13" t="s">
        <v>672</v>
      </c>
      <c r="D566" s="113" t="s">
        <v>567</v>
      </c>
      <c r="E566" s="9" t="s">
        <v>33</v>
      </c>
      <c r="F566" s="261"/>
      <c r="G566" s="261"/>
      <c r="H566" s="261"/>
      <c r="I566" s="245"/>
      <c r="J566" s="261"/>
      <c r="K566" s="131">
        <f>J568</f>
        <v>1</v>
      </c>
      <c r="L566" s="131">
        <f>'COMPOSICOES - SINAPI COM DESON'!G50</f>
        <v>104.48</v>
      </c>
      <c r="M566" s="131">
        <f>ROUND(L566*(1+$Q$7),2)</f>
        <v>132.19999999999999</v>
      </c>
      <c r="N566" s="133">
        <f>TRUNC(K566*M566,2)</f>
        <v>132.19999999999999</v>
      </c>
      <c r="O566" s="286"/>
      <c r="P566" s="146"/>
      <c r="Q566" s="146"/>
      <c r="R566" s="146"/>
      <c r="S566" s="146"/>
      <c r="T566" s="146"/>
      <c r="U566" s="146"/>
      <c r="V566" s="146"/>
      <c r="W566" s="146"/>
      <c r="X566" s="146"/>
      <c r="Y566" s="146"/>
      <c r="Z566" s="146"/>
      <c r="AA566" s="146"/>
    </row>
    <row r="567" spans="1:27" s="174" customFormat="1" x14ac:dyDescent="0.2">
      <c r="A567" s="170"/>
      <c r="B567" s="170"/>
      <c r="C567" s="171"/>
      <c r="D567" s="2" t="s">
        <v>490</v>
      </c>
      <c r="E567" s="170"/>
      <c r="F567" s="253">
        <v>1</v>
      </c>
      <c r="G567" s="253"/>
      <c r="H567" s="253"/>
      <c r="I567" s="249"/>
      <c r="J567" s="253">
        <f t="shared" ref="J567" si="61">ROUND(PRODUCT(F567:I567),2)</f>
        <v>1</v>
      </c>
      <c r="K567" s="172"/>
      <c r="L567" s="172"/>
      <c r="M567" s="172"/>
      <c r="N567" s="173"/>
      <c r="O567" s="287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</row>
    <row r="568" spans="1:27" s="174" customFormat="1" x14ac:dyDescent="0.2">
      <c r="A568" s="170"/>
      <c r="B568" s="170"/>
      <c r="C568" s="171"/>
      <c r="D568" s="175"/>
      <c r="E568" s="176"/>
      <c r="F568" s="264"/>
      <c r="G568" s="264"/>
      <c r="H568" s="264"/>
      <c r="I568" s="251" t="str">
        <f>"Total item "&amp;A566</f>
        <v>Total item 7.1.5</v>
      </c>
      <c r="J568" s="261">
        <f>SUM(J567:J567)</f>
        <v>1</v>
      </c>
      <c r="K568" s="172"/>
      <c r="L568" s="172"/>
      <c r="M568" s="172"/>
      <c r="N568" s="173"/>
      <c r="O568" s="287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</row>
    <row r="569" spans="1:27" s="183" customFormat="1" x14ac:dyDescent="0.2">
      <c r="A569" s="177"/>
      <c r="B569" s="177"/>
      <c r="C569" s="178"/>
      <c r="D569" s="179"/>
      <c r="E569" s="180"/>
      <c r="F569" s="265"/>
      <c r="G569" s="265"/>
      <c r="H569" s="265"/>
      <c r="I569" s="252"/>
      <c r="J569" s="266"/>
      <c r="K569" s="181"/>
      <c r="L569" s="181"/>
      <c r="M569" s="181"/>
      <c r="N569" s="182"/>
      <c r="O569" s="287"/>
      <c r="P569" s="121"/>
      <c r="Q569" s="121"/>
      <c r="R569" s="121"/>
      <c r="S569" s="121"/>
      <c r="T569" s="121"/>
      <c r="U569" s="121"/>
      <c r="V569" s="121"/>
      <c r="W569" s="121"/>
      <c r="X569" s="121"/>
      <c r="Y569" s="121"/>
      <c r="Z569" s="121"/>
      <c r="AA569" s="121"/>
    </row>
    <row r="570" spans="1:27" s="147" customFormat="1" ht="40.799999999999997" x14ac:dyDescent="0.2">
      <c r="A570" s="9" t="s">
        <v>772</v>
      </c>
      <c r="B570" s="9" t="s">
        <v>163</v>
      </c>
      <c r="C570" s="13" t="s">
        <v>188</v>
      </c>
      <c r="D570" s="113" t="s">
        <v>719</v>
      </c>
      <c r="E570" s="9" t="s">
        <v>33</v>
      </c>
      <c r="F570" s="261"/>
      <c r="G570" s="261"/>
      <c r="H570" s="261"/>
      <c r="I570" s="245"/>
      <c r="J570" s="261"/>
      <c r="K570" s="131">
        <f>J572</f>
        <v>1</v>
      </c>
      <c r="L570" s="131">
        <v>65.69</v>
      </c>
      <c r="M570" s="131">
        <f>ROUND(L570*(1+$Q$7),2)</f>
        <v>83.12</v>
      </c>
      <c r="N570" s="133">
        <f>TRUNC(K570*M570,2)</f>
        <v>83.12</v>
      </c>
      <c r="O570" s="286"/>
      <c r="P570" s="146"/>
      <c r="Q570" s="146"/>
      <c r="R570" s="146"/>
      <c r="S570" s="146"/>
      <c r="T570" s="146"/>
      <c r="U570" s="146"/>
      <c r="V570" s="146"/>
      <c r="W570" s="146"/>
      <c r="X570" s="146"/>
      <c r="Y570" s="146"/>
      <c r="Z570" s="146"/>
      <c r="AA570" s="146"/>
    </row>
    <row r="571" spans="1:27" s="118" customFormat="1" x14ac:dyDescent="0.2">
      <c r="A571" s="10"/>
      <c r="B571" s="6"/>
      <c r="C571" s="6"/>
      <c r="D571" s="2"/>
      <c r="E571" s="148"/>
      <c r="F571" s="253">
        <v>1</v>
      </c>
      <c r="G571" s="253"/>
      <c r="H571" s="253"/>
      <c r="I571" s="246"/>
      <c r="J571" s="253">
        <f>ROUND(PRODUCT(F571:I571),2)</f>
        <v>1</v>
      </c>
      <c r="K571" s="137"/>
      <c r="L571" s="137"/>
      <c r="M571" s="137"/>
      <c r="N571" s="138"/>
      <c r="O571" s="167"/>
      <c r="P571" s="111"/>
      <c r="Q571" s="111"/>
      <c r="R571" s="111"/>
      <c r="S571" s="111"/>
      <c r="T571" s="111"/>
      <c r="U571" s="111"/>
      <c r="V571" s="111"/>
      <c r="W571" s="111"/>
      <c r="X571" s="111"/>
      <c r="Y571" s="111"/>
      <c r="Z571" s="111"/>
      <c r="AA571" s="111"/>
    </row>
    <row r="572" spans="1:27" s="118" customFormat="1" x14ac:dyDescent="0.2">
      <c r="A572" s="10"/>
      <c r="B572" s="6"/>
      <c r="C572" s="156"/>
      <c r="D572" s="108"/>
      <c r="E572" s="148"/>
      <c r="F572" s="253"/>
      <c r="G572" s="253"/>
      <c r="H572" s="253"/>
      <c r="I572" s="246" t="str">
        <f>"Total item "&amp;A570</f>
        <v>Total item 7.1.6</v>
      </c>
      <c r="J572" s="261">
        <f>SUM(J571:J571)</f>
        <v>1</v>
      </c>
      <c r="K572" s="137"/>
      <c r="L572" s="137"/>
      <c r="M572" s="137"/>
      <c r="N572" s="138"/>
      <c r="O572" s="167"/>
      <c r="P572" s="111"/>
      <c r="Q572" s="111"/>
      <c r="R572" s="111"/>
      <c r="S572" s="111"/>
      <c r="T572" s="111"/>
      <c r="U572" s="111"/>
      <c r="V572" s="111"/>
      <c r="W572" s="111"/>
      <c r="X572" s="111"/>
      <c r="Y572" s="111"/>
      <c r="Z572" s="111"/>
      <c r="AA572" s="111"/>
    </row>
    <row r="573" spans="1:27" s="118" customFormat="1" x14ac:dyDescent="0.2">
      <c r="A573" s="10"/>
      <c r="B573" s="6"/>
      <c r="C573" s="155"/>
      <c r="D573" s="108"/>
      <c r="E573" s="148"/>
      <c r="F573" s="253"/>
      <c r="G573" s="253"/>
      <c r="H573" s="253"/>
      <c r="I573" s="246"/>
      <c r="J573" s="258"/>
      <c r="K573" s="137"/>
      <c r="L573" s="137"/>
      <c r="M573" s="137"/>
      <c r="N573" s="138"/>
      <c r="O573" s="167"/>
      <c r="P573" s="111"/>
      <c r="Q573" s="111"/>
      <c r="R573" s="111"/>
      <c r="S573" s="111"/>
      <c r="T573" s="111"/>
      <c r="U573" s="111"/>
      <c r="V573" s="111"/>
      <c r="W573" s="111"/>
      <c r="X573" s="111"/>
      <c r="Y573" s="111"/>
      <c r="Z573" s="111"/>
      <c r="AA573" s="111"/>
    </row>
    <row r="574" spans="1:27" s="147" customFormat="1" ht="30.6" x14ac:dyDescent="0.2">
      <c r="A574" s="9" t="s">
        <v>773</v>
      </c>
      <c r="B574" s="9" t="s">
        <v>163</v>
      </c>
      <c r="C574" s="13" t="s">
        <v>190</v>
      </c>
      <c r="D574" s="113" t="s">
        <v>290</v>
      </c>
      <c r="E574" s="9" t="s">
        <v>33</v>
      </c>
      <c r="F574" s="261"/>
      <c r="G574" s="261"/>
      <c r="H574" s="261"/>
      <c r="I574" s="245"/>
      <c r="J574" s="261"/>
      <c r="K574" s="131">
        <f>J576</f>
        <v>6</v>
      </c>
      <c r="L574" s="131">
        <v>14.55</v>
      </c>
      <c r="M574" s="131">
        <f>ROUND(L574*(1+$Q$7),2)</f>
        <v>18.41</v>
      </c>
      <c r="N574" s="133">
        <f>TRUNC(K574*M574,2)</f>
        <v>110.46</v>
      </c>
      <c r="O574" s="286"/>
      <c r="P574" s="146"/>
      <c r="Q574" s="146"/>
      <c r="R574" s="146"/>
      <c r="S574" s="146"/>
      <c r="T574" s="146"/>
      <c r="U574" s="146"/>
      <c r="V574" s="146"/>
      <c r="W574" s="146"/>
      <c r="X574" s="146"/>
      <c r="Y574" s="146"/>
      <c r="Z574" s="146"/>
      <c r="AA574" s="146"/>
    </row>
    <row r="575" spans="1:27" s="118" customFormat="1" x14ac:dyDescent="0.2">
      <c r="A575" s="6"/>
      <c r="B575" s="6"/>
      <c r="C575" s="6"/>
      <c r="D575" s="2"/>
      <c r="E575" s="148"/>
      <c r="F575" s="253">
        <v>6</v>
      </c>
      <c r="G575" s="253"/>
      <c r="H575" s="253"/>
      <c r="I575" s="246"/>
      <c r="J575" s="253">
        <f>ROUND(PRODUCT(F575:I575),2)</f>
        <v>6</v>
      </c>
      <c r="K575" s="137"/>
      <c r="L575" s="137"/>
      <c r="M575" s="137"/>
      <c r="N575" s="138"/>
      <c r="O575" s="167"/>
      <c r="P575" s="111"/>
      <c r="Q575" s="111"/>
      <c r="R575" s="111"/>
      <c r="S575" s="111"/>
      <c r="T575" s="111"/>
      <c r="U575" s="111"/>
      <c r="V575" s="111"/>
      <c r="W575" s="111"/>
      <c r="X575" s="111"/>
      <c r="Y575" s="111"/>
      <c r="Z575" s="111"/>
      <c r="AA575" s="111"/>
    </row>
    <row r="576" spans="1:27" s="118" customFormat="1" x14ac:dyDescent="0.2">
      <c r="A576" s="6"/>
      <c r="B576" s="6"/>
      <c r="C576" s="156"/>
      <c r="D576" s="108"/>
      <c r="E576" s="148"/>
      <c r="F576" s="253"/>
      <c r="G576" s="253"/>
      <c r="H576" s="253"/>
      <c r="I576" s="246" t="str">
        <f>"Total item "&amp;A574</f>
        <v>Total item 7.1.7</v>
      </c>
      <c r="J576" s="261">
        <f>SUM(J575:J575)</f>
        <v>6</v>
      </c>
      <c r="K576" s="137"/>
      <c r="L576" s="137"/>
      <c r="M576" s="137"/>
      <c r="N576" s="138"/>
      <c r="O576" s="167"/>
      <c r="P576" s="111"/>
      <c r="Q576" s="111"/>
      <c r="R576" s="111"/>
      <c r="S576" s="111"/>
      <c r="T576" s="111"/>
      <c r="U576" s="111"/>
      <c r="V576" s="111"/>
      <c r="W576" s="111"/>
      <c r="X576" s="111"/>
      <c r="Y576" s="111"/>
      <c r="Z576" s="111"/>
      <c r="AA576" s="111"/>
    </row>
    <row r="577" spans="1:27" s="118" customFormat="1" x14ac:dyDescent="0.2">
      <c r="A577" s="6"/>
      <c r="B577" s="6"/>
      <c r="C577" s="155"/>
      <c r="D577" s="108"/>
      <c r="E577" s="148"/>
      <c r="F577" s="253"/>
      <c r="G577" s="253"/>
      <c r="H577" s="253"/>
      <c r="I577" s="246"/>
      <c r="J577" s="258"/>
      <c r="K577" s="137"/>
      <c r="L577" s="137"/>
      <c r="M577" s="137"/>
      <c r="N577" s="138"/>
      <c r="O577" s="167"/>
      <c r="P577" s="111"/>
      <c r="Q577" s="111"/>
      <c r="R577" s="111"/>
      <c r="S577" s="111"/>
      <c r="T577" s="111"/>
      <c r="U577" s="111"/>
      <c r="V577" s="111"/>
      <c r="W577" s="111"/>
      <c r="X577" s="111"/>
      <c r="Y577" s="111"/>
      <c r="Z577" s="111"/>
      <c r="AA577" s="111"/>
    </row>
    <row r="578" spans="1:27" s="145" customFormat="1" x14ac:dyDescent="0.2">
      <c r="A578" s="140" t="s">
        <v>46</v>
      </c>
      <c r="B578" s="140"/>
      <c r="C578" s="141"/>
      <c r="D578" s="112" t="s">
        <v>211</v>
      </c>
      <c r="E578" s="140"/>
      <c r="F578" s="260"/>
      <c r="G578" s="260"/>
      <c r="H578" s="260"/>
      <c r="I578" s="248"/>
      <c r="J578" s="260"/>
      <c r="K578" s="142"/>
      <c r="L578" s="142"/>
      <c r="M578" s="142"/>
      <c r="N578" s="143">
        <f>SUM(N580:N591)</f>
        <v>238.23000000000002</v>
      </c>
      <c r="O578" s="285"/>
      <c r="P578" s="144"/>
      <c r="Q578" s="144"/>
      <c r="R578" s="144"/>
      <c r="S578" s="144"/>
      <c r="T578" s="144"/>
      <c r="U578" s="144"/>
      <c r="V578" s="144"/>
      <c r="W578" s="144"/>
      <c r="X578" s="144"/>
      <c r="Y578" s="144"/>
      <c r="Z578" s="144"/>
      <c r="AA578" s="144"/>
    </row>
    <row r="579" spans="1:27" s="118" customFormat="1" x14ac:dyDescent="0.2">
      <c r="A579" s="6"/>
      <c r="B579" s="6"/>
      <c r="C579" s="14"/>
      <c r="D579" s="108"/>
      <c r="E579" s="148"/>
      <c r="F579" s="253"/>
      <c r="G579" s="253"/>
      <c r="H579" s="253"/>
      <c r="I579" s="246"/>
      <c r="J579" s="262"/>
      <c r="K579" s="137"/>
      <c r="L579" s="137"/>
      <c r="M579" s="137"/>
      <c r="N579" s="138"/>
      <c r="O579" s="167"/>
      <c r="P579" s="111"/>
      <c r="Q579" s="111"/>
      <c r="R579" s="111"/>
      <c r="S579" s="111"/>
      <c r="T579" s="111"/>
      <c r="U579" s="111"/>
      <c r="V579" s="111"/>
      <c r="W579" s="111"/>
      <c r="X579" s="111"/>
      <c r="Y579" s="111"/>
      <c r="Z579" s="111"/>
      <c r="AA579" s="111"/>
    </row>
    <row r="580" spans="1:27" s="147" customFormat="1" ht="30.6" x14ac:dyDescent="0.2">
      <c r="A580" s="9" t="s">
        <v>763</v>
      </c>
      <c r="B580" s="9" t="s">
        <v>163</v>
      </c>
      <c r="C580" s="13" t="s">
        <v>249</v>
      </c>
      <c r="D580" s="113" t="s">
        <v>414</v>
      </c>
      <c r="E580" s="9" t="s">
        <v>32</v>
      </c>
      <c r="F580" s="261"/>
      <c r="G580" s="261"/>
      <c r="H580" s="261"/>
      <c r="I580" s="245"/>
      <c r="J580" s="261"/>
      <c r="K580" s="131">
        <f>J582</f>
        <v>1</v>
      </c>
      <c r="L580" s="131">
        <v>116.1</v>
      </c>
      <c r="M580" s="131">
        <f>ROUND(L580*(1+$Q$7),2)</f>
        <v>146.9</v>
      </c>
      <c r="N580" s="133">
        <f>TRUNC(K580*M580,2)</f>
        <v>146.9</v>
      </c>
      <c r="O580" s="286"/>
      <c r="P580" s="146"/>
      <c r="Q580" s="146"/>
      <c r="R580" s="146"/>
      <c r="S580" s="146"/>
      <c r="T580" s="146"/>
      <c r="U580" s="146"/>
      <c r="V580" s="146"/>
      <c r="W580" s="146"/>
      <c r="X580" s="146"/>
      <c r="Y580" s="146"/>
      <c r="Z580" s="146"/>
      <c r="AA580" s="146"/>
    </row>
    <row r="581" spans="1:27" s="118" customFormat="1" x14ac:dyDescent="0.2">
      <c r="A581" s="6"/>
      <c r="B581" s="6"/>
      <c r="C581" s="155"/>
      <c r="D581" s="2" t="s">
        <v>491</v>
      </c>
      <c r="E581" s="148"/>
      <c r="F581" s="253">
        <v>1</v>
      </c>
      <c r="G581" s="253"/>
      <c r="H581" s="253"/>
      <c r="I581" s="246"/>
      <c r="J581" s="253">
        <f t="shared" ref="J581" si="62">ROUND(PRODUCT(F581:I581),2)</f>
        <v>1</v>
      </c>
      <c r="K581" s="137"/>
      <c r="L581" s="137"/>
      <c r="M581" s="137"/>
      <c r="N581" s="138"/>
      <c r="O581" s="167"/>
      <c r="P581" s="111"/>
      <c r="Q581" s="111"/>
      <c r="R581" s="111"/>
      <c r="S581" s="111"/>
      <c r="T581" s="111"/>
      <c r="U581" s="111"/>
      <c r="V581" s="111"/>
      <c r="W581" s="111"/>
      <c r="X581" s="111"/>
      <c r="Y581" s="111"/>
      <c r="Z581" s="111"/>
      <c r="AA581" s="111"/>
    </row>
    <row r="582" spans="1:27" s="118" customFormat="1" x14ac:dyDescent="0.2">
      <c r="A582" s="6"/>
      <c r="B582" s="6"/>
      <c r="C582" s="156"/>
      <c r="D582" s="108"/>
      <c r="E582" s="148"/>
      <c r="F582" s="253"/>
      <c r="G582" s="253"/>
      <c r="H582" s="253"/>
      <c r="I582" s="246" t="str">
        <f>"Total item "&amp;A580</f>
        <v>Total item 7.2.1</v>
      </c>
      <c r="J582" s="261">
        <f>SUM(J581:J581)</f>
        <v>1</v>
      </c>
      <c r="K582" s="137"/>
      <c r="L582" s="137"/>
      <c r="M582" s="137"/>
      <c r="N582" s="138"/>
      <c r="O582" s="167"/>
      <c r="P582" s="111"/>
      <c r="Q582" s="111"/>
      <c r="R582" s="111"/>
      <c r="S582" s="111"/>
      <c r="T582" s="111"/>
      <c r="U582" s="111"/>
      <c r="V582" s="111"/>
      <c r="W582" s="111"/>
      <c r="X582" s="111"/>
      <c r="Y582" s="111"/>
      <c r="Z582" s="111"/>
      <c r="AA582" s="111"/>
    </row>
    <row r="583" spans="1:27" s="139" customFormat="1" x14ac:dyDescent="0.2">
      <c r="A583" s="6"/>
      <c r="B583" s="6"/>
      <c r="C583" s="7"/>
      <c r="D583" s="116"/>
      <c r="E583" s="6"/>
      <c r="F583" s="258"/>
      <c r="G583" s="258"/>
      <c r="H583" s="258"/>
      <c r="I583" s="246"/>
      <c r="J583" s="258"/>
      <c r="K583" s="137"/>
      <c r="L583" s="137"/>
      <c r="M583" s="137"/>
      <c r="N583" s="138"/>
      <c r="O583" s="283"/>
      <c r="P583" s="120"/>
      <c r="Q583" s="120"/>
      <c r="R583" s="120"/>
      <c r="S583" s="120"/>
      <c r="T583" s="120"/>
      <c r="U583" s="120"/>
      <c r="V583" s="120"/>
      <c r="W583" s="120"/>
      <c r="X583" s="120"/>
      <c r="Y583" s="120"/>
      <c r="Z583" s="120"/>
      <c r="AA583" s="120"/>
    </row>
    <row r="584" spans="1:27" s="147" customFormat="1" ht="30.6" x14ac:dyDescent="0.2">
      <c r="A584" s="9" t="s">
        <v>764</v>
      </c>
      <c r="B584" s="9" t="s">
        <v>163</v>
      </c>
      <c r="C584" s="13" t="s">
        <v>194</v>
      </c>
      <c r="D584" s="113" t="s">
        <v>315</v>
      </c>
      <c r="E584" s="9" t="s">
        <v>31</v>
      </c>
      <c r="F584" s="261"/>
      <c r="G584" s="261"/>
      <c r="H584" s="261"/>
      <c r="I584" s="245"/>
      <c r="J584" s="261"/>
      <c r="K584" s="131">
        <f>J586</f>
        <v>1</v>
      </c>
      <c r="L584" s="131">
        <v>64.06</v>
      </c>
      <c r="M584" s="131">
        <f>ROUND(L584*(1+$Q$7),2)</f>
        <v>81.06</v>
      </c>
      <c r="N584" s="133">
        <f>TRUNC(K584*M584,2)</f>
        <v>81.06</v>
      </c>
      <c r="O584" s="286"/>
      <c r="P584" s="146"/>
      <c r="Q584" s="146"/>
      <c r="R584" s="146"/>
      <c r="S584" s="146"/>
      <c r="T584" s="146"/>
      <c r="U584" s="146"/>
      <c r="V584" s="146"/>
      <c r="W584" s="146"/>
      <c r="X584" s="146"/>
      <c r="Y584" s="146"/>
      <c r="Z584" s="146"/>
      <c r="AA584" s="146"/>
    </row>
    <row r="585" spans="1:27" s="118" customFormat="1" x14ac:dyDescent="0.2">
      <c r="A585" s="6"/>
      <c r="B585" s="6"/>
      <c r="C585" s="155"/>
      <c r="D585" s="2" t="s">
        <v>419</v>
      </c>
      <c r="E585" s="148"/>
      <c r="F585" s="253">
        <v>1</v>
      </c>
      <c r="G585" s="253"/>
      <c r="H585" s="253"/>
      <c r="I585" s="246"/>
      <c r="J585" s="253">
        <f t="shared" ref="J585" si="63">ROUND(PRODUCT(F585:I585),2)</f>
        <v>1</v>
      </c>
      <c r="K585" s="137"/>
      <c r="L585" s="137"/>
      <c r="M585" s="137"/>
      <c r="N585" s="138"/>
      <c r="O585" s="167"/>
      <c r="P585" s="111"/>
      <c r="Q585" s="111"/>
      <c r="R585" s="111"/>
      <c r="S585" s="111"/>
      <c r="T585" s="111"/>
      <c r="U585" s="111"/>
      <c r="V585" s="111"/>
      <c r="W585" s="111"/>
      <c r="X585" s="111"/>
      <c r="Y585" s="111"/>
      <c r="Z585" s="111"/>
      <c r="AA585" s="111"/>
    </row>
    <row r="586" spans="1:27" s="118" customFormat="1" x14ac:dyDescent="0.2">
      <c r="A586" s="6"/>
      <c r="B586" s="6"/>
      <c r="C586" s="156"/>
      <c r="D586" s="108"/>
      <c r="E586" s="148"/>
      <c r="F586" s="253"/>
      <c r="G586" s="253"/>
      <c r="H586" s="253"/>
      <c r="I586" s="246" t="str">
        <f>"Total item "&amp;A584</f>
        <v>Total item 7.2.2</v>
      </c>
      <c r="J586" s="261">
        <f>SUM(J585:J585)</f>
        <v>1</v>
      </c>
      <c r="K586" s="137"/>
      <c r="L586" s="137"/>
      <c r="M586" s="137"/>
      <c r="N586" s="138"/>
      <c r="O586" s="167"/>
      <c r="P586" s="111"/>
      <c r="Q586" s="111"/>
      <c r="R586" s="111"/>
      <c r="S586" s="111"/>
      <c r="T586" s="111"/>
      <c r="U586" s="111"/>
      <c r="V586" s="111"/>
      <c r="W586" s="111"/>
      <c r="X586" s="111"/>
      <c r="Y586" s="111"/>
      <c r="Z586" s="111"/>
      <c r="AA586" s="111"/>
    </row>
    <row r="587" spans="1:27" s="139" customFormat="1" x14ac:dyDescent="0.2">
      <c r="A587" s="6"/>
      <c r="B587" s="6"/>
      <c r="C587" s="7"/>
      <c r="D587" s="116"/>
      <c r="E587" s="6"/>
      <c r="F587" s="258"/>
      <c r="G587" s="258"/>
      <c r="H587" s="258"/>
      <c r="I587" s="246"/>
      <c r="J587" s="258"/>
      <c r="K587" s="137"/>
      <c r="L587" s="137"/>
      <c r="M587" s="137"/>
      <c r="N587" s="138"/>
      <c r="O587" s="283"/>
      <c r="P587" s="120"/>
      <c r="Q587" s="120"/>
      <c r="R587" s="120"/>
      <c r="S587" s="120"/>
      <c r="T587" s="120"/>
      <c r="U587" s="120"/>
      <c r="V587" s="120"/>
      <c r="W587" s="120"/>
      <c r="X587" s="120"/>
      <c r="Y587" s="120"/>
      <c r="Z587" s="120"/>
      <c r="AA587" s="120"/>
    </row>
    <row r="588" spans="1:27" s="147" customFormat="1" ht="20.399999999999999" x14ac:dyDescent="0.2">
      <c r="A588" s="9" t="s">
        <v>765</v>
      </c>
      <c r="B588" s="9" t="s">
        <v>89</v>
      </c>
      <c r="C588" s="13">
        <v>86883</v>
      </c>
      <c r="D588" s="113" t="s">
        <v>629</v>
      </c>
      <c r="E588" s="9" t="s">
        <v>33</v>
      </c>
      <c r="F588" s="261"/>
      <c r="G588" s="261"/>
      <c r="H588" s="261"/>
      <c r="I588" s="245"/>
      <c r="J588" s="261"/>
      <c r="K588" s="131">
        <f>J590</f>
        <v>1</v>
      </c>
      <c r="L588" s="131">
        <v>8.1199999999999992</v>
      </c>
      <c r="M588" s="131">
        <f>ROUND(L588*(1+$Q$7),2)</f>
        <v>10.27</v>
      </c>
      <c r="N588" s="133">
        <f>TRUNC(K588*M588,2)</f>
        <v>10.27</v>
      </c>
      <c r="O588" s="286"/>
      <c r="P588" s="146"/>
      <c r="Q588" s="146"/>
      <c r="R588" s="146"/>
      <c r="S588" s="146"/>
      <c r="T588" s="146"/>
      <c r="U588" s="146"/>
      <c r="V588" s="146"/>
      <c r="W588" s="146"/>
      <c r="X588" s="146"/>
      <c r="Y588" s="146"/>
      <c r="Z588" s="146"/>
      <c r="AA588" s="146"/>
    </row>
    <row r="589" spans="1:27" s="118" customFormat="1" x14ac:dyDescent="0.2">
      <c r="A589" s="6"/>
      <c r="B589" s="6"/>
      <c r="C589" s="155"/>
      <c r="D589" s="2" t="s">
        <v>492</v>
      </c>
      <c r="E589" s="148"/>
      <c r="F589" s="253">
        <v>1</v>
      </c>
      <c r="G589" s="253"/>
      <c r="H589" s="253"/>
      <c r="I589" s="246"/>
      <c r="J589" s="253">
        <f t="shared" ref="J589" si="64">ROUND(PRODUCT(F589:I589),2)</f>
        <v>1</v>
      </c>
      <c r="K589" s="137"/>
      <c r="L589" s="137"/>
      <c r="M589" s="137"/>
      <c r="N589" s="138"/>
      <c r="O589" s="167"/>
      <c r="P589" s="111"/>
      <c r="Q589" s="111"/>
      <c r="R589" s="111"/>
      <c r="S589" s="111"/>
      <c r="T589" s="111"/>
      <c r="U589" s="111"/>
      <c r="V589" s="111"/>
      <c r="W589" s="111"/>
      <c r="X589" s="111"/>
      <c r="Y589" s="111"/>
      <c r="Z589" s="111"/>
      <c r="AA589" s="111"/>
    </row>
    <row r="590" spans="1:27" s="118" customFormat="1" x14ac:dyDescent="0.2">
      <c r="A590" s="6"/>
      <c r="B590" s="6"/>
      <c r="C590" s="156"/>
      <c r="D590" s="108"/>
      <c r="E590" s="148"/>
      <c r="F590" s="253"/>
      <c r="G590" s="253"/>
      <c r="H590" s="253"/>
      <c r="I590" s="246" t="str">
        <f>"Total item "&amp;A588</f>
        <v>Total item 7.2.3</v>
      </c>
      <c r="J590" s="261">
        <f>SUM(J589:J589)</f>
        <v>1</v>
      </c>
      <c r="K590" s="137"/>
      <c r="L590" s="137"/>
      <c r="M590" s="137"/>
      <c r="N590" s="138"/>
      <c r="O590" s="167"/>
      <c r="P590" s="111"/>
      <c r="Q590" s="111"/>
      <c r="R590" s="111"/>
      <c r="S590" s="111"/>
      <c r="T590" s="111"/>
      <c r="U590" s="111"/>
      <c r="V590" s="111"/>
      <c r="W590" s="111"/>
      <c r="X590" s="111"/>
      <c r="Y590" s="111"/>
      <c r="Z590" s="111"/>
      <c r="AA590" s="111"/>
    </row>
    <row r="591" spans="1:27" s="139" customFormat="1" x14ac:dyDescent="0.2">
      <c r="A591" s="6"/>
      <c r="B591" s="6"/>
      <c r="C591" s="7"/>
      <c r="D591" s="116"/>
      <c r="E591" s="6"/>
      <c r="F591" s="258"/>
      <c r="G591" s="258"/>
      <c r="H591" s="258"/>
      <c r="I591" s="246"/>
      <c r="J591" s="258"/>
      <c r="K591" s="137"/>
      <c r="L591" s="137"/>
      <c r="M591" s="137"/>
      <c r="N591" s="138"/>
      <c r="O591" s="283"/>
      <c r="P591" s="120"/>
      <c r="Q591" s="120"/>
      <c r="R591" s="120"/>
      <c r="S591" s="120"/>
      <c r="T591" s="120"/>
      <c r="U591" s="120"/>
      <c r="V591" s="120"/>
      <c r="W591" s="120"/>
      <c r="X591" s="120"/>
      <c r="Y591" s="120"/>
      <c r="Z591" s="120"/>
      <c r="AA591" s="120"/>
    </row>
    <row r="592" spans="1:27" s="145" customFormat="1" x14ac:dyDescent="0.2">
      <c r="A592" s="140" t="s">
        <v>47</v>
      </c>
      <c r="B592" s="140"/>
      <c r="C592" s="141"/>
      <c r="D592" s="112" t="s">
        <v>80</v>
      </c>
      <c r="E592" s="140"/>
      <c r="F592" s="260"/>
      <c r="G592" s="260"/>
      <c r="H592" s="260"/>
      <c r="I592" s="248"/>
      <c r="J592" s="260"/>
      <c r="K592" s="142"/>
      <c r="L592" s="142"/>
      <c r="M592" s="142"/>
      <c r="N592" s="143">
        <f>SUM(N594:N601)</f>
        <v>2398.6800000000003</v>
      </c>
      <c r="O592" s="285"/>
      <c r="P592" s="144"/>
      <c r="Q592" s="144"/>
      <c r="R592" s="144"/>
      <c r="S592" s="144"/>
      <c r="T592" s="144"/>
      <c r="U592" s="144"/>
      <c r="V592" s="144"/>
      <c r="W592" s="144"/>
      <c r="X592" s="144"/>
      <c r="Y592" s="144"/>
      <c r="Z592" s="144"/>
      <c r="AA592" s="144"/>
    </row>
    <row r="593" spans="1:27" s="118" customFormat="1" x14ac:dyDescent="0.2">
      <c r="A593" s="6"/>
      <c r="B593" s="6"/>
      <c r="C593" s="14"/>
      <c r="D593" s="108"/>
      <c r="E593" s="148"/>
      <c r="F593" s="253"/>
      <c r="G593" s="253"/>
      <c r="H593" s="253"/>
      <c r="I593" s="246"/>
      <c r="J593" s="262"/>
      <c r="K593" s="137"/>
      <c r="L593" s="137"/>
      <c r="M593" s="137"/>
      <c r="N593" s="138"/>
      <c r="O593" s="167"/>
      <c r="P593" s="111"/>
      <c r="Q593" s="111"/>
      <c r="R593" s="111"/>
      <c r="S593" s="111"/>
      <c r="T593" s="111"/>
      <c r="U593" s="111"/>
      <c r="V593" s="111"/>
      <c r="W593" s="111"/>
      <c r="X593" s="111"/>
      <c r="Y593" s="111"/>
      <c r="Z593" s="111"/>
      <c r="AA593" s="111"/>
    </row>
    <row r="594" spans="1:27" s="147" customFormat="1" ht="30.6" x14ac:dyDescent="0.2">
      <c r="A594" s="9" t="s">
        <v>766</v>
      </c>
      <c r="B594" s="9" t="s">
        <v>421</v>
      </c>
      <c r="C594" s="13">
        <v>11587</v>
      </c>
      <c r="D594" s="109" t="s">
        <v>714</v>
      </c>
      <c r="E594" s="9" t="s">
        <v>9</v>
      </c>
      <c r="F594" s="261"/>
      <c r="G594" s="261"/>
      <c r="H594" s="261"/>
      <c r="I594" s="245"/>
      <c r="J594" s="261"/>
      <c r="K594" s="131">
        <f>J596</f>
        <v>16.43</v>
      </c>
      <c r="L594" s="106">
        <v>59.97</v>
      </c>
      <c r="M594" s="131">
        <f>ROUND(L594*(1+$Q$7),2)</f>
        <v>75.88</v>
      </c>
      <c r="N594" s="133">
        <f>TRUNC(K594*M594,2)</f>
        <v>1246.7</v>
      </c>
      <c r="O594" s="286"/>
      <c r="P594" s="146"/>
      <c r="Q594" s="146"/>
      <c r="R594" s="146"/>
      <c r="S594" s="146"/>
      <c r="T594" s="146"/>
      <c r="U594" s="146"/>
      <c r="V594" s="146"/>
      <c r="W594" s="146"/>
      <c r="X594" s="146"/>
      <c r="Y594" s="146"/>
      <c r="Z594" s="146"/>
      <c r="AA594" s="146"/>
    </row>
    <row r="595" spans="1:27" s="118" customFormat="1" x14ac:dyDescent="0.2">
      <c r="A595" s="6"/>
      <c r="B595" s="6"/>
      <c r="C595" s="155"/>
      <c r="D595" s="2" t="s">
        <v>243</v>
      </c>
      <c r="E595" s="148"/>
      <c r="F595" s="253"/>
      <c r="G595" s="253">
        <v>3.1</v>
      </c>
      <c r="H595" s="253">
        <v>5.3</v>
      </c>
      <c r="I595" s="246"/>
      <c r="J595" s="253">
        <f t="shared" ref="J595" si="65">ROUND(PRODUCT(F595:I595),2)</f>
        <v>16.43</v>
      </c>
      <c r="K595" s="137"/>
      <c r="L595" s="137"/>
      <c r="M595" s="137"/>
      <c r="N595" s="138"/>
      <c r="O595" s="167"/>
      <c r="P595" s="111"/>
      <c r="Q595" s="111"/>
      <c r="R595" s="111"/>
      <c r="S595" s="111"/>
      <c r="T595" s="111"/>
      <c r="U595" s="111"/>
      <c r="V595" s="111"/>
      <c r="W595" s="111"/>
      <c r="X595" s="111"/>
      <c r="Y595" s="111"/>
      <c r="Z595" s="111"/>
      <c r="AA595" s="111"/>
    </row>
    <row r="596" spans="1:27" s="118" customFormat="1" x14ac:dyDescent="0.2">
      <c r="A596" s="6"/>
      <c r="B596" s="6"/>
      <c r="C596" s="156"/>
      <c r="D596" s="108"/>
      <c r="E596" s="148"/>
      <c r="F596" s="253"/>
      <c r="G596" s="253"/>
      <c r="H596" s="253"/>
      <c r="I596" s="246" t="str">
        <f>"Total item "&amp;A594</f>
        <v>Total item 7.3.1</v>
      </c>
      <c r="J596" s="261">
        <f>SUM(J595:J595)</f>
        <v>16.43</v>
      </c>
      <c r="K596" s="137"/>
      <c r="L596" s="137"/>
      <c r="M596" s="137"/>
      <c r="N596" s="138"/>
      <c r="O596" s="167"/>
      <c r="P596" s="111"/>
      <c r="Q596" s="111"/>
      <c r="R596" s="111"/>
      <c r="S596" s="111"/>
      <c r="T596" s="111"/>
      <c r="U596" s="111"/>
      <c r="V596" s="111"/>
      <c r="W596" s="111"/>
      <c r="X596" s="111"/>
      <c r="Y596" s="111"/>
      <c r="Z596" s="111"/>
      <c r="AA596" s="111"/>
    </row>
    <row r="597" spans="1:27" s="118" customFormat="1" x14ac:dyDescent="0.2">
      <c r="A597" s="6"/>
      <c r="B597" s="6"/>
      <c r="C597" s="14"/>
      <c r="D597" s="108"/>
      <c r="E597" s="148"/>
      <c r="F597" s="253"/>
      <c r="G597" s="253"/>
      <c r="H597" s="253"/>
      <c r="I597" s="246"/>
      <c r="J597" s="262"/>
      <c r="K597" s="137"/>
      <c r="L597" s="137"/>
      <c r="M597" s="137"/>
      <c r="N597" s="138"/>
      <c r="O597" s="167"/>
      <c r="P597" s="111"/>
      <c r="Q597" s="111"/>
      <c r="R597" s="111"/>
      <c r="S597" s="111"/>
      <c r="T597" s="111"/>
      <c r="U597" s="111"/>
      <c r="V597" s="111"/>
      <c r="W597" s="111"/>
      <c r="X597" s="111"/>
      <c r="Y597" s="111"/>
      <c r="Z597" s="111"/>
      <c r="AA597" s="111"/>
    </row>
    <row r="598" spans="1:27" s="147" customFormat="1" x14ac:dyDescent="0.2">
      <c r="A598" s="9" t="s">
        <v>767</v>
      </c>
      <c r="B598" s="9" t="s">
        <v>179</v>
      </c>
      <c r="C598" s="13" t="s">
        <v>316</v>
      </c>
      <c r="D598" s="109" t="s">
        <v>317</v>
      </c>
      <c r="E598" s="9" t="s">
        <v>9</v>
      </c>
      <c r="F598" s="261"/>
      <c r="G598" s="261"/>
      <c r="H598" s="261"/>
      <c r="I598" s="245"/>
      <c r="J598" s="261"/>
      <c r="K598" s="131">
        <f>J601</f>
        <v>157.16</v>
      </c>
      <c r="L598" s="131">
        <f>'COMPOSICOES - SINAPI COM DESON'!G18</f>
        <v>5.79</v>
      </c>
      <c r="M598" s="131">
        <f>ROUND(L598*(1+$Q$7),2)</f>
        <v>7.33</v>
      </c>
      <c r="N598" s="133">
        <f>TRUNC(K598*M598,2)</f>
        <v>1151.98</v>
      </c>
      <c r="O598" s="286"/>
      <c r="P598" s="146"/>
      <c r="Q598" s="146"/>
      <c r="R598" s="146"/>
      <c r="S598" s="146"/>
      <c r="T598" s="146"/>
      <c r="U598" s="146"/>
      <c r="V598" s="146"/>
      <c r="W598" s="146"/>
      <c r="X598" s="146"/>
      <c r="Y598" s="146"/>
      <c r="Z598" s="146"/>
      <c r="AA598" s="146"/>
    </row>
    <row r="599" spans="1:27" s="118" customFormat="1" x14ac:dyDescent="0.2">
      <c r="A599" s="6"/>
      <c r="B599" s="6"/>
      <c r="C599" s="155"/>
      <c r="D599" s="2"/>
      <c r="E599" s="148"/>
      <c r="F599" s="253"/>
      <c r="G599" s="253">
        <v>9.5500000000000007</v>
      </c>
      <c r="H599" s="253">
        <v>9.1999999999999993</v>
      </c>
      <c r="I599" s="246"/>
      <c r="J599" s="253">
        <f t="shared" ref="J599:J600" si="66">ROUND(PRODUCT(F599:I599),2)</f>
        <v>87.86</v>
      </c>
      <c r="K599" s="137"/>
      <c r="L599" s="137"/>
      <c r="M599" s="137"/>
      <c r="N599" s="138"/>
      <c r="O599" s="167"/>
      <c r="P599" s="111"/>
      <c r="Q599" s="111"/>
      <c r="R599" s="111"/>
      <c r="S599" s="111"/>
      <c r="T599" s="111"/>
      <c r="U599" s="111"/>
      <c r="V599" s="111"/>
      <c r="W599" s="111"/>
      <c r="X599" s="111"/>
      <c r="Y599" s="111"/>
      <c r="Z599" s="111"/>
      <c r="AA599" s="111"/>
    </row>
    <row r="600" spans="1:27" s="118" customFormat="1" x14ac:dyDescent="0.2">
      <c r="A600" s="6"/>
      <c r="B600" s="6"/>
      <c r="C600" s="155"/>
      <c r="D600" s="2"/>
      <c r="E600" s="148"/>
      <c r="F600" s="253"/>
      <c r="G600" s="253">
        <v>6.6</v>
      </c>
      <c r="H600" s="253">
        <v>10.5</v>
      </c>
      <c r="I600" s="246"/>
      <c r="J600" s="253">
        <f t="shared" si="66"/>
        <v>69.3</v>
      </c>
      <c r="K600" s="137"/>
      <c r="L600" s="137"/>
      <c r="M600" s="137"/>
      <c r="N600" s="138"/>
      <c r="O600" s="167"/>
      <c r="P600" s="111"/>
      <c r="Q600" s="111"/>
      <c r="R600" s="111"/>
      <c r="S600" s="111"/>
      <c r="T600" s="111"/>
      <c r="U600" s="111"/>
      <c r="V600" s="111"/>
      <c r="W600" s="111"/>
      <c r="X600" s="111"/>
      <c r="Y600" s="111"/>
      <c r="Z600" s="111"/>
      <c r="AA600" s="111"/>
    </row>
    <row r="601" spans="1:27" s="118" customFormat="1" x14ac:dyDescent="0.2">
      <c r="A601" s="6"/>
      <c r="B601" s="6"/>
      <c r="C601" s="156"/>
      <c r="D601" s="108"/>
      <c r="E601" s="148"/>
      <c r="F601" s="253"/>
      <c r="G601" s="253"/>
      <c r="H601" s="253"/>
      <c r="I601" s="246" t="str">
        <f>"Total item "&amp;A598</f>
        <v>Total item 7.3.2</v>
      </c>
      <c r="J601" s="261">
        <f>SUM(J599:J600)</f>
        <v>157.16</v>
      </c>
      <c r="K601" s="137"/>
      <c r="L601" s="137"/>
      <c r="M601" s="137"/>
      <c r="N601" s="138"/>
      <c r="O601" s="167"/>
      <c r="P601" s="111"/>
      <c r="Q601" s="111"/>
      <c r="R601" s="111"/>
      <c r="S601" s="111"/>
      <c r="T601" s="111"/>
      <c r="U601" s="111"/>
      <c r="V601" s="111"/>
      <c r="W601" s="111"/>
      <c r="X601" s="111"/>
      <c r="Y601" s="111"/>
      <c r="Z601" s="111"/>
      <c r="AA601" s="111"/>
    </row>
    <row r="602" spans="1:27" s="118" customFormat="1" x14ac:dyDescent="0.2">
      <c r="A602" s="6"/>
      <c r="B602" s="6"/>
      <c r="C602" s="14"/>
      <c r="D602" s="108"/>
      <c r="E602" s="148"/>
      <c r="F602" s="253"/>
      <c r="G602" s="253"/>
      <c r="H602" s="253"/>
      <c r="I602" s="246"/>
      <c r="J602" s="262"/>
      <c r="K602" s="137"/>
      <c r="L602" s="137"/>
      <c r="M602" s="137"/>
      <c r="N602" s="138"/>
      <c r="O602" s="167"/>
      <c r="P602" s="111"/>
      <c r="Q602" s="111"/>
      <c r="R602" s="111"/>
      <c r="S602" s="111"/>
      <c r="T602" s="111"/>
      <c r="U602" s="111"/>
      <c r="V602" s="111"/>
      <c r="W602" s="111"/>
      <c r="X602" s="111"/>
      <c r="Y602" s="111"/>
      <c r="Z602" s="111"/>
      <c r="AA602" s="111"/>
    </row>
    <row r="603" spans="1:27" s="241" customFormat="1" ht="26.4" x14ac:dyDescent="0.25">
      <c r="A603" s="236" t="s">
        <v>157</v>
      </c>
      <c r="B603" s="236"/>
      <c r="C603" s="237"/>
      <c r="D603" s="289" t="s">
        <v>217</v>
      </c>
      <c r="E603" s="236"/>
      <c r="F603" s="259"/>
      <c r="G603" s="259"/>
      <c r="H603" s="259"/>
      <c r="I603" s="247"/>
      <c r="J603" s="259"/>
      <c r="K603" s="238"/>
      <c r="L603" s="238"/>
      <c r="M603" s="238"/>
      <c r="N603" s="239" t="e">
        <f>N605+N650+N662+N675+N668</f>
        <v>#VALUE!</v>
      </c>
      <c r="O603" s="284" t="e">
        <f>N603/$N$2057</f>
        <v>#VALUE!</v>
      </c>
      <c r="P603" s="240" t="s">
        <v>533</v>
      </c>
      <c r="Q603" s="240" t="s">
        <v>533</v>
      </c>
      <c r="R603" s="240"/>
      <c r="S603" s="240"/>
      <c r="T603" s="240"/>
      <c r="U603" s="240"/>
      <c r="V603" s="240"/>
      <c r="W603" s="240"/>
      <c r="X603" s="240"/>
      <c r="Y603" s="240"/>
      <c r="Z603" s="240"/>
      <c r="AA603" s="240"/>
    </row>
    <row r="604" spans="1:27" s="118" customFormat="1" x14ac:dyDescent="0.2">
      <c r="A604" s="6"/>
      <c r="B604" s="6"/>
      <c r="C604" s="14"/>
      <c r="D604" s="108"/>
      <c r="E604" s="148"/>
      <c r="F604" s="253"/>
      <c r="G604" s="253"/>
      <c r="H604" s="253"/>
      <c r="I604" s="246"/>
      <c r="J604" s="262"/>
      <c r="K604" s="137"/>
      <c r="L604" s="137"/>
      <c r="M604" s="137"/>
      <c r="N604" s="138"/>
      <c r="O604" s="167"/>
      <c r="P604" s="111"/>
      <c r="Q604" s="111"/>
      <c r="R604" s="111"/>
      <c r="S604" s="111"/>
      <c r="T604" s="111"/>
      <c r="U604" s="111"/>
      <c r="V604" s="111"/>
      <c r="W604" s="111"/>
      <c r="X604" s="111"/>
      <c r="Y604" s="111"/>
      <c r="Z604" s="111"/>
      <c r="AA604" s="111"/>
    </row>
    <row r="605" spans="1:27" s="145" customFormat="1" x14ac:dyDescent="0.2">
      <c r="A605" s="140" t="s">
        <v>26</v>
      </c>
      <c r="B605" s="140"/>
      <c r="C605" s="141"/>
      <c r="D605" s="112" t="s">
        <v>30</v>
      </c>
      <c r="E605" s="140"/>
      <c r="F605" s="260"/>
      <c r="G605" s="260"/>
      <c r="H605" s="260"/>
      <c r="I605" s="248"/>
      <c r="J605" s="260"/>
      <c r="K605" s="142"/>
      <c r="L605" s="142"/>
      <c r="M605" s="142"/>
      <c r="N605" s="143" t="e">
        <f>SUM(N607:N649)</f>
        <v>#VALUE!</v>
      </c>
      <c r="O605" s="285"/>
      <c r="P605" s="144"/>
      <c r="Q605" s="144"/>
      <c r="R605" s="144"/>
      <c r="S605" s="144"/>
      <c r="T605" s="144"/>
      <c r="U605" s="144"/>
      <c r="V605" s="144"/>
      <c r="W605" s="144"/>
      <c r="X605" s="144"/>
      <c r="Y605" s="144"/>
      <c r="Z605" s="144"/>
      <c r="AA605" s="144"/>
    </row>
    <row r="606" spans="1:27" s="118" customFormat="1" x14ac:dyDescent="0.2">
      <c r="A606" s="6"/>
      <c r="B606" s="6"/>
      <c r="C606" s="14"/>
      <c r="D606" s="108"/>
      <c r="E606" s="148"/>
      <c r="F606" s="253"/>
      <c r="G606" s="253"/>
      <c r="H606" s="253"/>
      <c r="I606" s="246"/>
      <c r="J606" s="262"/>
      <c r="K606" s="137"/>
      <c r="L606" s="137"/>
      <c r="M606" s="137"/>
      <c r="N606" s="138"/>
      <c r="O606" s="167"/>
      <c r="P606" s="111"/>
      <c r="Q606" s="111"/>
      <c r="R606" s="111"/>
      <c r="S606" s="111"/>
      <c r="T606" s="111"/>
      <c r="U606" s="111"/>
      <c r="V606" s="111"/>
      <c r="W606" s="111"/>
      <c r="X606" s="111"/>
      <c r="Y606" s="111"/>
      <c r="Z606" s="111"/>
      <c r="AA606" s="111"/>
    </row>
    <row r="607" spans="1:27" s="147" customFormat="1" ht="30.6" x14ac:dyDescent="0.2">
      <c r="A607" s="9" t="s">
        <v>48</v>
      </c>
      <c r="B607" s="9" t="s">
        <v>163</v>
      </c>
      <c r="C607" s="13" t="s">
        <v>240</v>
      </c>
      <c r="D607" s="113" t="s">
        <v>241</v>
      </c>
      <c r="E607" s="9" t="s">
        <v>31</v>
      </c>
      <c r="F607" s="261"/>
      <c r="G607" s="261"/>
      <c r="H607" s="261"/>
      <c r="I607" s="245"/>
      <c r="J607" s="261"/>
      <c r="K607" s="131">
        <f>J610</f>
        <v>2</v>
      </c>
      <c r="L607" s="131">
        <v>73.44</v>
      </c>
      <c r="M607" s="131">
        <f>ROUND(L607*(1+$Q$7),2)</f>
        <v>92.92</v>
      </c>
      <c r="N607" s="133">
        <f>TRUNC(K607*M607,2)</f>
        <v>185.84</v>
      </c>
      <c r="O607" s="286"/>
      <c r="P607" s="146"/>
      <c r="Q607" s="146"/>
      <c r="R607" s="146"/>
      <c r="S607" s="146"/>
      <c r="T607" s="146"/>
      <c r="U607" s="146"/>
      <c r="V607" s="146"/>
      <c r="W607" s="146"/>
      <c r="X607" s="146"/>
      <c r="Y607" s="146"/>
      <c r="Z607" s="146"/>
      <c r="AA607" s="146"/>
    </row>
    <row r="608" spans="1:27" s="118" customFormat="1" x14ac:dyDescent="0.2">
      <c r="A608" s="6"/>
      <c r="B608" s="6"/>
      <c r="C608" s="155"/>
      <c r="D608" s="2" t="s">
        <v>345</v>
      </c>
      <c r="E608" s="148"/>
      <c r="F608" s="253">
        <v>1</v>
      </c>
      <c r="G608" s="253"/>
      <c r="H608" s="253"/>
      <c r="I608" s="246"/>
      <c r="J608" s="253">
        <f>ROUND(PRODUCT(F608:I608),2)</f>
        <v>1</v>
      </c>
      <c r="K608" s="137"/>
      <c r="L608" s="137"/>
      <c r="M608" s="137"/>
      <c r="N608" s="138"/>
      <c r="O608" s="167"/>
      <c r="P608" s="111"/>
      <c r="Q608" s="111"/>
      <c r="R608" s="111"/>
      <c r="S608" s="111"/>
      <c r="T608" s="111"/>
      <c r="U608" s="111"/>
      <c r="V608" s="111"/>
      <c r="W608" s="111"/>
      <c r="X608" s="111"/>
      <c r="Y608" s="111"/>
      <c r="Z608" s="111"/>
      <c r="AA608" s="111"/>
    </row>
    <row r="609" spans="1:27" s="118" customFormat="1" x14ac:dyDescent="0.2">
      <c r="A609" s="6"/>
      <c r="B609" s="6"/>
      <c r="C609" s="155"/>
      <c r="D609" s="2" t="s">
        <v>346</v>
      </c>
      <c r="E609" s="148"/>
      <c r="F609" s="253">
        <v>1</v>
      </c>
      <c r="G609" s="253"/>
      <c r="H609" s="253"/>
      <c r="I609" s="246"/>
      <c r="J609" s="253">
        <f t="shared" ref="J609" si="67">ROUND(PRODUCT(F609:I609),2)</f>
        <v>1</v>
      </c>
      <c r="K609" s="137"/>
      <c r="L609" s="137"/>
      <c r="M609" s="137"/>
      <c r="N609" s="138"/>
      <c r="O609" s="167"/>
      <c r="P609" s="111"/>
      <c r="Q609" s="111"/>
      <c r="R609" s="111"/>
      <c r="S609" s="111"/>
      <c r="T609" s="111"/>
      <c r="U609" s="111"/>
      <c r="V609" s="111"/>
      <c r="W609" s="111"/>
      <c r="X609" s="111"/>
      <c r="Y609" s="111"/>
      <c r="Z609" s="111"/>
      <c r="AA609" s="111"/>
    </row>
    <row r="610" spans="1:27" s="118" customFormat="1" x14ac:dyDescent="0.2">
      <c r="A610" s="6"/>
      <c r="B610" s="6"/>
      <c r="C610" s="156"/>
      <c r="D610" s="108"/>
      <c r="E610" s="148"/>
      <c r="F610" s="253"/>
      <c r="G610" s="253"/>
      <c r="H610" s="253"/>
      <c r="I610" s="246" t="str">
        <f>"Total item "&amp;A607</f>
        <v>Total item 8.1.1</v>
      </c>
      <c r="J610" s="261">
        <f>SUM(J608:J609)</f>
        <v>2</v>
      </c>
      <c r="K610" s="137"/>
      <c r="L610" s="137"/>
      <c r="M610" s="137"/>
      <c r="N610" s="138"/>
      <c r="O610" s="167"/>
      <c r="P610" s="111"/>
      <c r="Q610" s="111"/>
      <c r="R610" s="111"/>
      <c r="S610" s="111"/>
      <c r="T610" s="111"/>
      <c r="U610" s="111"/>
      <c r="V610" s="111"/>
      <c r="W610" s="111"/>
      <c r="X610" s="111"/>
      <c r="Y610" s="111"/>
      <c r="Z610" s="111"/>
      <c r="AA610" s="111"/>
    </row>
    <row r="611" spans="1:27" s="154" customFormat="1" x14ac:dyDescent="0.2">
      <c r="A611" s="10"/>
      <c r="B611" s="10"/>
      <c r="C611" s="15"/>
      <c r="D611" s="117"/>
      <c r="E611" s="10"/>
      <c r="F611" s="263"/>
      <c r="G611" s="263"/>
      <c r="H611" s="263"/>
      <c r="I611" s="250"/>
      <c r="J611" s="263"/>
      <c r="K611" s="151"/>
      <c r="L611" s="151"/>
      <c r="M611" s="151"/>
      <c r="N611" s="152"/>
      <c r="O611" s="283"/>
      <c r="P611" s="153"/>
      <c r="Q611" s="153"/>
      <c r="R611" s="153"/>
      <c r="S611" s="153"/>
      <c r="T611" s="153"/>
      <c r="U611" s="153"/>
      <c r="V611" s="153"/>
      <c r="W611" s="153"/>
      <c r="X611" s="153"/>
      <c r="Y611" s="153"/>
      <c r="Z611" s="153"/>
      <c r="AA611" s="153"/>
    </row>
    <row r="612" spans="1:27" s="147" customFormat="1" ht="61.2" x14ac:dyDescent="0.2">
      <c r="A612" s="9" t="s">
        <v>49</v>
      </c>
      <c r="B612" s="9" t="s">
        <v>179</v>
      </c>
      <c r="C612" s="13" t="s">
        <v>417</v>
      </c>
      <c r="D612" s="113" t="s">
        <v>561</v>
      </c>
      <c r="E612" s="9" t="s">
        <v>31</v>
      </c>
      <c r="F612" s="261"/>
      <c r="G612" s="261"/>
      <c r="H612" s="261"/>
      <c r="I612" s="245"/>
      <c r="J612" s="261"/>
      <c r="K612" s="131">
        <f>J615</f>
        <v>5</v>
      </c>
      <c r="L612" s="131" t="e">
        <f>'COMPOSICOES - SINAPI COM DESON'!G36</f>
        <v>#VALUE!</v>
      </c>
      <c r="M612" s="131" t="e">
        <f>ROUND(L612*(1+$Q$7),2)</f>
        <v>#VALUE!</v>
      </c>
      <c r="N612" s="133" t="e">
        <f>TRUNC(K612*M612,2)</f>
        <v>#VALUE!</v>
      </c>
      <c r="O612" s="286"/>
      <c r="P612" s="146"/>
      <c r="Q612" s="146"/>
      <c r="R612" s="146"/>
      <c r="S612" s="146"/>
      <c r="T612" s="146"/>
      <c r="U612" s="146"/>
      <c r="V612" s="146"/>
      <c r="W612" s="146"/>
      <c r="X612" s="146"/>
      <c r="Y612" s="146"/>
      <c r="Z612" s="146"/>
      <c r="AA612" s="146"/>
    </row>
    <row r="613" spans="1:27" s="118" customFormat="1" x14ac:dyDescent="0.2">
      <c r="A613" s="6"/>
      <c r="B613" s="6"/>
      <c r="C613" s="155"/>
      <c r="D613" s="2" t="s">
        <v>253</v>
      </c>
      <c r="E613" s="148"/>
      <c r="F613" s="253">
        <v>3</v>
      </c>
      <c r="G613" s="253"/>
      <c r="H613" s="253"/>
      <c r="I613" s="246"/>
      <c r="J613" s="253">
        <f t="shared" ref="J613:J614" si="68">ROUND(PRODUCT(F613:I613),2)</f>
        <v>3</v>
      </c>
      <c r="K613" s="137"/>
      <c r="L613" s="137"/>
      <c r="M613" s="137"/>
      <c r="N613" s="138"/>
      <c r="O613" s="167"/>
      <c r="P613" s="111"/>
      <c r="Q613" s="111"/>
      <c r="R613" s="111"/>
      <c r="S613" s="111"/>
      <c r="T613" s="111"/>
      <c r="U613" s="111"/>
      <c r="V613" s="111"/>
      <c r="W613" s="111"/>
      <c r="X613" s="111"/>
      <c r="Y613" s="111"/>
      <c r="Z613" s="111"/>
      <c r="AA613" s="111"/>
    </row>
    <row r="614" spans="1:27" s="118" customFormat="1" x14ac:dyDescent="0.2">
      <c r="A614" s="6"/>
      <c r="B614" s="6"/>
      <c r="C614" s="155"/>
      <c r="D614" s="2" t="s">
        <v>257</v>
      </c>
      <c r="E614" s="148"/>
      <c r="F614" s="253">
        <v>2</v>
      </c>
      <c r="G614" s="253"/>
      <c r="H614" s="253"/>
      <c r="I614" s="246"/>
      <c r="J614" s="253">
        <f t="shared" si="68"/>
        <v>2</v>
      </c>
      <c r="K614" s="137"/>
      <c r="L614" s="137"/>
      <c r="M614" s="137"/>
      <c r="N614" s="138"/>
      <c r="O614" s="167"/>
      <c r="P614" s="111"/>
      <c r="Q614" s="111"/>
      <c r="R614" s="111"/>
      <c r="S614" s="111"/>
      <c r="T614" s="111"/>
      <c r="U614" s="111"/>
      <c r="V614" s="111"/>
      <c r="W614" s="111"/>
      <c r="X614" s="111"/>
      <c r="Y614" s="111"/>
      <c r="Z614" s="111"/>
      <c r="AA614" s="111"/>
    </row>
    <row r="615" spans="1:27" s="118" customFormat="1" x14ac:dyDescent="0.2">
      <c r="A615" s="6"/>
      <c r="B615" s="6"/>
      <c r="C615" s="156"/>
      <c r="D615" s="108"/>
      <c r="E615" s="148"/>
      <c r="F615" s="253"/>
      <c r="G615" s="253"/>
      <c r="H615" s="253"/>
      <c r="I615" s="246" t="str">
        <f>"Total item "&amp;A612</f>
        <v>Total item 8.1.2</v>
      </c>
      <c r="J615" s="261">
        <f>SUM(J613:J614)</f>
        <v>5</v>
      </c>
      <c r="K615" s="137"/>
      <c r="L615" s="137"/>
      <c r="M615" s="137"/>
      <c r="N615" s="138"/>
      <c r="O615" s="167"/>
      <c r="P615" s="111"/>
      <c r="Q615" s="111"/>
      <c r="R615" s="111"/>
      <c r="S615" s="111"/>
      <c r="T615" s="111"/>
      <c r="U615" s="111"/>
      <c r="V615" s="111"/>
      <c r="W615" s="111"/>
      <c r="X615" s="111"/>
      <c r="Y615" s="111"/>
      <c r="Z615" s="111"/>
      <c r="AA615" s="111"/>
    </row>
    <row r="616" spans="1:27" s="139" customFormat="1" x14ac:dyDescent="0.2">
      <c r="A616" s="6"/>
      <c r="B616" s="6"/>
      <c r="C616" s="7"/>
      <c r="D616" s="116"/>
      <c r="E616" s="6"/>
      <c r="F616" s="258"/>
      <c r="G616" s="258"/>
      <c r="H616" s="258"/>
      <c r="I616" s="246"/>
      <c r="J616" s="258"/>
      <c r="K616" s="137"/>
      <c r="L616" s="137"/>
      <c r="M616" s="137"/>
      <c r="N616" s="138"/>
      <c r="O616" s="283"/>
      <c r="P616" s="120"/>
      <c r="Q616" s="120"/>
      <c r="R616" s="120"/>
      <c r="S616" s="120"/>
      <c r="T616" s="120"/>
      <c r="U616" s="120"/>
      <c r="V616" s="120"/>
      <c r="W616" s="120"/>
      <c r="X616" s="120"/>
      <c r="Y616" s="120"/>
      <c r="Z616" s="120"/>
      <c r="AA616" s="120"/>
    </row>
    <row r="617" spans="1:27" s="147" customFormat="1" ht="51" x14ac:dyDescent="0.2">
      <c r="A617" s="9" t="s">
        <v>50</v>
      </c>
      <c r="B617" s="9" t="s">
        <v>163</v>
      </c>
      <c r="C617" s="13" t="s">
        <v>244</v>
      </c>
      <c r="D617" s="113" t="s">
        <v>245</v>
      </c>
      <c r="E617" s="9" t="s">
        <v>31</v>
      </c>
      <c r="F617" s="261"/>
      <c r="G617" s="261"/>
      <c r="H617" s="261"/>
      <c r="I617" s="245"/>
      <c r="J617" s="261"/>
      <c r="K617" s="131">
        <f>J621</f>
        <v>4</v>
      </c>
      <c r="L617" s="131">
        <v>116.08</v>
      </c>
      <c r="M617" s="131">
        <f>ROUND(L617*(1+$Q$7),2)</f>
        <v>146.88</v>
      </c>
      <c r="N617" s="133">
        <f>TRUNC(K617*M617,2)</f>
        <v>587.52</v>
      </c>
      <c r="O617" s="286"/>
      <c r="P617" s="146"/>
      <c r="Q617" s="146"/>
      <c r="R617" s="146"/>
      <c r="S617" s="146"/>
      <c r="T617" s="146"/>
      <c r="U617" s="146"/>
      <c r="V617" s="146"/>
      <c r="W617" s="146"/>
      <c r="X617" s="146"/>
      <c r="Y617" s="146"/>
      <c r="Z617" s="146"/>
      <c r="AA617" s="146"/>
    </row>
    <row r="618" spans="1:27" s="118" customFormat="1" x14ac:dyDescent="0.2">
      <c r="A618" s="6"/>
      <c r="B618" s="6"/>
      <c r="C618" s="155"/>
      <c r="D618" s="2" t="s">
        <v>242</v>
      </c>
      <c r="E618" s="148"/>
      <c r="F618" s="253">
        <v>2</v>
      </c>
      <c r="G618" s="253"/>
      <c r="H618" s="253"/>
      <c r="I618" s="246"/>
      <c r="J618" s="253">
        <f t="shared" ref="J618:J620" si="69">ROUND(PRODUCT(F618:I618),2)</f>
        <v>2</v>
      </c>
      <c r="K618" s="137"/>
      <c r="L618" s="137"/>
      <c r="M618" s="137"/>
      <c r="N618" s="138"/>
      <c r="O618" s="167"/>
      <c r="P618" s="111"/>
      <c r="Q618" s="111"/>
      <c r="R618" s="111"/>
      <c r="S618" s="111"/>
      <c r="T618" s="111"/>
      <c r="U618" s="111"/>
      <c r="V618" s="111"/>
      <c r="W618" s="111"/>
      <c r="X618" s="111"/>
      <c r="Y618" s="111"/>
      <c r="Z618" s="111"/>
      <c r="AA618" s="111"/>
    </row>
    <row r="619" spans="1:27" s="118" customFormat="1" x14ac:dyDescent="0.2">
      <c r="A619" s="6"/>
      <c r="B619" s="6"/>
      <c r="C619" s="155"/>
      <c r="D619" s="2" t="s">
        <v>348</v>
      </c>
      <c r="E619" s="148"/>
      <c r="F619" s="253">
        <v>1</v>
      </c>
      <c r="G619" s="253"/>
      <c r="H619" s="253"/>
      <c r="I619" s="246"/>
      <c r="J619" s="253">
        <f t="shared" si="69"/>
        <v>1</v>
      </c>
      <c r="K619" s="137"/>
      <c r="L619" s="137"/>
      <c r="M619" s="137"/>
      <c r="N619" s="138"/>
      <c r="O619" s="167"/>
      <c r="P619" s="111"/>
      <c r="Q619" s="111"/>
      <c r="R619" s="111"/>
      <c r="S619" s="111"/>
      <c r="T619" s="111"/>
      <c r="U619" s="111"/>
      <c r="V619" s="111"/>
      <c r="W619" s="111"/>
      <c r="X619" s="111"/>
      <c r="Y619" s="111"/>
      <c r="Z619" s="111"/>
      <c r="AA619" s="111"/>
    </row>
    <row r="620" spans="1:27" s="118" customFormat="1" x14ac:dyDescent="0.2">
      <c r="A620" s="6"/>
      <c r="B620" s="6"/>
      <c r="C620" s="155"/>
      <c r="D620" s="2" t="s">
        <v>347</v>
      </c>
      <c r="E620" s="148"/>
      <c r="F620" s="253">
        <v>1</v>
      </c>
      <c r="G620" s="253"/>
      <c r="H620" s="253"/>
      <c r="I620" s="246"/>
      <c r="J620" s="253">
        <f t="shared" si="69"/>
        <v>1</v>
      </c>
      <c r="K620" s="137"/>
      <c r="L620" s="137"/>
      <c r="M620" s="137"/>
      <c r="N620" s="138"/>
      <c r="O620" s="167"/>
      <c r="P620" s="111"/>
      <c r="Q620" s="111"/>
      <c r="R620" s="111"/>
      <c r="S620" s="111"/>
      <c r="T620" s="111"/>
      <c r="U620" s="111"/>
      <c r="V620" s="111"/>
      <c r="W620" s="111"/>
      <c r="X620" s="111"/>
      <c r="Y620" s="111"/>
      <c r="Z620" s="111"/>
      <c r="AA620" s="111"/>
    </row>
    <row r="621" spans="1:27" s="118" customFormat="1" x14ac:dyDescent="0.2">
      <c r="A621" s="6"/>
      <c r="B621" s="6"/>
      <c r="C621" s="156"/>
      <c r="D621" s="108"/>
      <c r="E621" s="148"/>
      <c r="F621" s="253"/>
      <c r="G621" s="253"/>
      <c r="H621" s="253"/>
      <c r="I621" s="246" t="str">
        <f>"Total item "&amp;A617</f>
        <v>Total item 8.1.3</v>
      </c>
      <c r="J621" s="261">
        <f>SUM(J618:J620)</f>
        <v>4</v>
      </c>
      <c r="K621" s="137"/>
      <c r="L621" s="137"/>
      <c r="M621" s="137"/>
      <c r="N621" s="138"/>
      <c r="O621" s="167"/>
      <c r="P621" s="111"/>
      <c r="Q621" s="111"/>
      <c r="R621" s="111"/>
      <c r="S621" s="111"/>
      <c r="T621" s="111"/>
      <c r="U621" s="111"/>
      <c r="V621" s="111"/>
      <c r="W621" s="111"/>
      <c r="X621" s="111"/>
      <c r="Y621" s="111"/>
      <c r="Z621" s="111"/>
      <c r="AA621" s="111"/>
    </row>
    <row r="622" spans="1:27" s="139" customFormat="1" x14ac:dyDescent="0.2">
      <c r="A622" s="6"/>
      <c r="B622" s="6"/>
      <c r="C622" s="7"/>
      <c r="D622" s="116"/>
      <c r="E622" s="6"/>
      <c r="F622" s="258"/>
      <c r="G622" s="258"/>
      <c r="H622" s="258"/>
      <c r="I622" s="246"/>
      <c r="J622" s="258"/>
      <c r="K622" s="137"/>
      <c r="L622" s="137"/>
      <c r="M622" s="137"/>
      <c r="N622" s="138"/>
      <c r="O622" s="283"/>
      <c r="P622" s="120"/>
      <c r="Q622" s="120"/>
      <c r="R622" s="120"/>
      <c r="S622" s="120"/>
      <c r="T622" s="120"/>
      <c r="U622" s="120"/>
      <c r="V622" s="120"/>
      <c r="W622" s="120"/>
      <c r="X622" s="120"/>
      <c r="Y622" s="120"/>
      <c r="Z622" s="120"/>
      <c r="AA622" s="120"/>
    </row>
    <row r="623" spans="1:27" s="147" customFormat="1" ht="30.6" x14ac:dyDescent="0.2">
      <c r="A623" s="9" t="s">
        <v>51</v>
      </c>
      <c r="B623" s="9" t="s">
        <v>179</v>
      </c>
      <c r="C623" s="13" t="s">
        <v>672</v>
      </c>
      <c r="D623" s="113" t="s">
        <v>671</v>
      </c>
      <c r="E623" s="9" t="s">
        <v>33</v>
      </c>
      <c r="F623" s="261"/>
      <c r="G623" s="261"/>
      <c r="H623" s="261"/>
      <c r="I623" s="245"/>
      <c r="J623" s="261"/>
      <c r="K623" s="131">
        <f>J625</f>
        <v>1</v>
      </c>
      <c r="L623" s="131">
        <f>'COMPOSICOES - SINAPI COM DESON'!G50</f>
        <v>104.48</v>
      </c>
      <c r="M623" s="131">
        <f>ROUND(L623*(1+$Q$7),2)</f>
        <v>132.19999999999999</v>
      </c>
      <c r="N623" s="133">
        <f>TRUNC(K623*M623,2)</f>
        <v>132.19999999999999</v>
      </c>
      <c r="O623" s="286"/>
      <c r="P623" s="146"/>
      <c r="Q623" s="146"/>
      <c r="R623" s="146"/>
      <c r="S623" s="146"/>
      <c r="T623" s="146"/>
      <c r="U623" s="146"/>
      <c r="V623" s="146"/>
      <c r="W623" s="146"/>
      <c r="X623" s="146"/>
      <c r="Y623" s="146"/>
      <c r="Z623" s="146"/>
      <c r="AA623" s="146"/>
    </row>
    <row r="624" spans="1:27" s="174" customFormat="1" x14ac:dyDescent="0.2">
      <c r="A624" s="170"/>
      <c r="B624" s="170"/>
      <c r="C624" s="171"/>
      <c r="D624" s="2" t="s">
        <v>348</v>
      </c>
      <c r="E624" s="170"/>
      <c r="F624" s="253">
        <v>1</v>
      </c>
      <c r="G624" s="253"/>
      <c r="H624" s="253"/>
      <c r="I624" s="249"/>
      <c r="J624" s="253">
        <f t="shared" ref="J624:J625" si="70">ROUND(PRODUCT(F624:I624),2)</f>
        <v>1</v>
      </c>
      <c r="K624" s="172"/>
      <c r="L624" s="172"/>
      <c r="M624" s="172"/>
      <c r="N624" s="173"/>
      <c r="O624" s="287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3"/>
    </row>
    <row r="625" spans="1:27" s="174" customFormat="1" x14ac:dyDescent="0.2">
      <c r="A625" s="170"/>
      <c r="B625" s="170"/>
      <c r="C625" s="171"/>
      <c r="D625" s="2" t="s">
        <v>253</v>
      </c>
      <c r="E625" s="148"/>
      <c r="F625" s="253">
        <v>1</v>
      </c>
      <c r="G625" s="253"/>
      <c r="H625" s="253"/>
      <c r="I625" s="249"/>
      <c r="J625" s="253">
        <f t="shared" si="70"/>
        <v>1</v>
      </c>
      <c r="K625" s="172"/>
      <c r="L625" s="172"/>
      <c r="M625" s="172"/>
      <c r="N625" s="173"/>
      <c r="O625" s="287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3"/>
    </row>
    <row r="626" spans="1:27" s="174" customFormat="1" x14ac:dyDescent="0.2">
      <c r="A626" s="170"/>
      <c r="B626" s="170"/>
      <c r="C626" s="171"/>
      <c r="D626" s="175"/>
      <c r="E626" s="176"/>
      <c r="F626" s="264"/>
      <c r="G626" s="264"/>
      <c r="H626" s="264"/>
      <c r="I626" s="251" t="str">
        <f>"Total item "&amp;A623</f>
        <v>Total item 8.1.4</v>
      </c>
      <c r="J626" s="261">
        <f>SUM(J624:J625)</f>
        <v>2</v>
      </c>
      <c r="K626" s="172"/>
      <c r="L626" s="172"/>
      <c r="M626" s="172"/>
      <c r="N626" s="173"/>
      <c r="O626" s="287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3"/>
    </row>
    <row r="627" spans="1:27" s="174" customFormat="1" x14ac:dyDescent="0.2">
      <c r="A627" s="170"/>
      <c r="B627" s="170"/>
      <c r="C627" s="171"/>
      <c r="D627" s="175"/>
      <c r="E627" s="176"/>
      <c r="F627" s="264"/>
      <c r="G627" s="264"/>
      <c r="H627" s="264"/>
      <c r="I627" s="251"/>
      <c r="J627" s="262"/>
      <c r="K627" s="172"/>
      <c r="L627" s="172"/>
      <c r="M627" s="172"/>
      <c r="N627" s="173"/>
      <c r="O627" s="287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3"/>
    </row>
    <row r="628" spans="1:27" s="147" customFormat="1" ht="40.799999999999997" x14ac:dyDescent="0.2">
      <c r="A628" s="9" t="s">
        <v>52</v>
      </c>
      <c r="B628" s="9" t="s">
        <v>89</v>
      </c>
      <c r="C628" s="13">
        <v>93144</v>
      </c>
      <c r="D628" s="113" t="s">
        <v>295</v>
      </c>
      <c r="E628" s="9" t="s">
        <v>33</v>
      </c>
      <c r="F628" s="261"/>
      <c r="G628" s="261"/>
      <c r="H628" s="261"/>
      <c r="I628" s="245"/>
      <c r="J628" s="261"/>
      <c r="K628" s="131">
        <f>J633</f>
        <v>3</v>
      </c>
      <c r="L628" s="131">
        <v>166.81</v>
      </c>
      <c r="M628" s="131">
        <f>ROUND(L628*(1+$Q$7),2)</f>
        <v>211.06</v>
      </c>
      <c r="N628" s="133">
        <f>TRUNC(K628*M628,2)</f>
        <v>633.17999999999995</v>
      </c>
      <c r="O628" s="286"/>
      <c r="P628" s="146"/>
      <c r="Q628" s="146"/>
      <c r="R628" s="146"/>
      <c r="S628" s="146"/>
      <c r="T628" s="146"/>
      <c r="U628" s="146"/>
      <c r="V628" s="146"/>
      <c r="W628" s="146"/>
      <c r="X628" s="146"/>
      <c r="Y628" s="146"/>
      <c r="Z628" s="146"/>
      <c r="AA628" s="146"/>
    </row>
    <row r="629" spans="1:27" s="118" customFormat="1" x14ac:dyDescent="0.2">
      <c r="A629" s="6"/>
      <c r="B629" s="6"/>
      <c r="C629" s="155"/>
      <c r="D629" s="3" t="s">
        <v>296</v>
      </c>
      <c r="E629" s="148"/>
      <c r="F629" s="253"/>
      <c r="G629" s="253"/>
      <c r="H629" s="253"/>
      <c r="I629" s="246"/>
      <c r="J629" s="253"/>
      <c r="K629" s="137"/>
      <c r="L629" s="137"/>
      <c r="M629" s="137"/>
      <c r="N629" s="138"/>
      <c r="O629" s="167"/>
      <c r="P629" s="111"/>
      <c r="Q629" s="111"/>
      <c r="R629" s="111"/>
      <c r="S629" s="111"/>
      <c r="T629" s="111"/>
      <c r="U629" s="111"/>
      <c r="V629" s="111"/>
      <c r="W629" s="111"/>
      <c r="X629" s="111"/>
      <c r="Y629" s="111"/>
      <c r="Z629" s="111"/>
      <c r="AA629" s="111"/>
    </row>
    <row r="630" spans="1:27" s="118" customFormat="1" x14ac:dyDescent="0.2">
      <c r="A630" s="6"/>
      <c r="B630" s="6"/>
      <c r="C630" s="155"/>
      <c r="D630" s="2" t="s">
        <v>347</v>
      </c>
      <c r="E630" s="148"/>
      <c r="F630" s="253">
        <v>1</v>
      </c>
      <c r="G630" s="253"/>
      <c r="H630" s="253"/>
      <c r="I630" s="246"/>
      <c r="J630" s="253">
        <f t="shared" ref="J630:J632" si="71">ROUND(PRODUCT(F630:I630),2)</f>
        <v>1</v>
      </c>
      <c r="K630" s="137"/>
      <c r="L630" s="137"/>
      <c r="M630" s="137"/>
      <c r="N630" s="138"/>
      <c r="O630" s="167"/>
      <c r="P630" s="111"/>
      <c r="Q630" s="111"/>
      <c r="R630" s="111"/>
      <c r="S630" s="111"/>
      <c r="T630" s="111"/>
      <c r="U630" s="111"/>
      <c r="V630" s="111"/>
      <c r="W630" s="111"/>
      <c r="X630" s="111"/>
      <c r="Y630" s="111"/>
      <c r="Z630" s="111"/>
      <c r="AA630" s="111"/>
    </row>
    <row r="631" spans="1:27" s="118" customFormat="1" x14ac:dyDescent="0.2">
      <c r="A631" s="6"/>
      <c r="B631" s="6"/>
      <c r="C631" s="155"/>
      <c r="D631" s="2" t="s">
        <v>257</v>
      </c>
      <c r="E631" s="148"/>
      <c r="F631" s="253">
        <v>1</v>
      </c>
      <c r="G631" s="253"/>
      <c r="H631" s="253"/>
      <c r="I631" s="246"/>
      <c r="J631" s="253">
        <f t="shared" si="71"/>
        <v>1</v>
      </c>
      <c r="K631" s="137"/>
      <c r="L631" s="137"/>
      <c r="M631" s="137"/>
      <c r="N631" s="138"/>
      <c r="O631" s="167"/>
      <c r="P631" s="111"/>
      <c r="Q631" s="111"/>
      <c r="R631" s="111"/>
      <c r="S631" s="111"/>
      <c r="T631" s="111"/>
      <c r="U631" s="111"/>
      <c r="V631" s="111"/>
      <c r="W631" s="111"/>
      <c r="X631" s="111"/>
      <c r="Y631" s="111"/>
      <c r="Z631" s="111"/>
      <c r="AA631" s="111"/>
    </row>
    <row r="632" spans="1:27" s="118" customFormat="1" x14ac:dyDescent="0.2">
      <c r="A632" s="6"/>
      <c r="B632" s="6"/>
      <c r="C632" s="155"/>
      <c r="D632" s="2" t="s">
        <v>242</v>
      </c>
      <c r="E632" s="148"/>
      <c r="F632" s="253">
        <v>1</v>
      </c>
      <c r="G632" s="253"/>
      <c r="H632" s="253"/>
      <c r="I632" s="246"/>
      <c r="J632" s="253">
        <f t="shared" si="71"/>
        <v>1</v>
      </c>
      <c r="K632" s="137"/>
      <c r="L632" s="137"/>
      <c r="M632" s="137"/>
      <c r="N632" s="138"/>
      <c r="O632" s="167"/>
      <c r="P632" s="111"/>
      <c r="Q632" s="111"/>
      <c r="R632" s="111"/>
      <c r="S632" s="111"/>
      <c r="T632" s="111"/>
      <c r="U632" s="111"/>
      <c r="V632" s="111"/>
      <c r="W632" s="111"/>
      <c r="X632" s="111"/>
      <c r="Y632" s="111"/>
      <c r="Z632" s="111"/>
      <c r="AA632" s="111"/>
    </row>
    <row r="633" spans="1:27" s="118" customFormat="1" x14ac:dyDescent="0.2">
      <c r="A633" s="6"/>
      <c r="B633" s="6"/>
      <c r="C633" s="156"/>
      <c r="D633" s="108"/>
      <c r="E633" s="148"/>
      <c r="F633" s="253"/>
      <c r="G633" s="253"/>
      <c r="H633" s="253"/>
      <c r="I633" s="246" t="str">
        <f>"Total item "&amp;A628</f>
        <v>Total item 8.1.5</v>
      </c>
      <c r="J633" s="261">
        <f>SUM(J629:J632)</f>
        <v>3</v>
      </c>
      <c r="K633" s="137"/>
      <c r="L633" s="137"/>
      <c r="M633" s="137"/>
      <c r="N633" s="138"/>
      <c r="O633" s="167"/>
      <c r="P633" s="111"/>
      <c r="Q633" s="111"/>
      <c r="R633" s="111"/>
      <c r="S633" s="111"/>
      <c r="T633" s="111"/>
      <c r="U633" s="111"/>
      <c r="V633" s="111"/>
      <c r="W633" s="111"/>
      <c r="X633" s="111"/>
      <c r="Y633" s="111"/>
      <c r="Z633" s="111"/>
      <c r="AA633" s="111"/>
    </row>
    <row r="634" spans="1:27" s="118" customFormat="1" x14ac:dyDescent="0.2">
      <c r="A634" s="6"/>
      <c r="B634" s="6"/>
      <c r="C634" s="155"/>
      <c r="D634" s="108"/>
      <c r="E634" s="148"/>
      <c r="F634" s="253"/>
      <c r="G634" s="253"/>
      <c r="H634" s="253"/>
      <c r="I634" s="246"/>
      <c r="J634" s="258"/>
      <c r="K634" s="137"/>
      <c r="L634" s="137"/>
      <c r="M634" s="137"/>
      <c r="N634" s="138"/>
      <c r="O634" s="167"/>
      <c r="P634" s="111"/>
      <c r="Q634" s="111"/>
      <c r="R634" s="111"/>
      <c r="S634" s="111"/>
      <c r="T634" s="111"/>
      <c r="U634" s="111"/>
      <c r="V634" s="111"/>
      <c r="W634" s="111"/>
      <c r="X634" s="111"/>
      <c r="Y634" s="111"/>
      <c r="Z634" s="111"/>
      <c r="AA634" s="111"/>
    </row>
    <row r="635" spans="1:27" s="147" customFormat="1" ht="40.799999999999997" x14ac:dyDescent="0.2">
      <c r="A635" s="9" t="s">
        <v>53</v>
      </c>
      <c r="B635" s="9" t="s">
        <v>163</v>
      </c>
      <c r="C635" s="197" t="s">
        <v>192</v>
      </c>
      <c r="D635" s="113" t="s">
        <v>712</v>
      </c>
      <c r="E635" s="9" t="s">
        <v>31</v>
      </c>
      <c r="F635" s="261"/>
      <c r="G635" s="261"/>
      <c r="H635" s="261"/>
      <c r="I635" s="245"/>
      <c r="J635" s="261"/>
      <c r="K635" s="131">
        <f>J640</f>
        <v>3</v>
      </c>
      <c r="L635" s="131">
        <v>46.44</v>
      </c>
      <c r="M635" s="131">
        <f>ROUND(L635*(1+$Q$7),2)</f>
        <v>58.76</v>
      </c>
      <c r="N635" s="133">
        <f>TRUNC(K635*M635,2)</f>
        <v>176.28</v>
      </c>
      <c r="O635" s="286"/>
      <c r="P635" s="146"/>
      <c r="Q635" s="146"/>
      <c r="R635" s="146"/>
      <c r="S635" s="146"/>
      <c r="T635" s="146"/>
      <c r="U635" s="146"/>
      <c r="V635" s="146"/>
      <c r="W635" s="146"/>
      <c r="X635" s="146"/>
      <c r="Y635" s="146"/>
      <c r="Z635" s="146"/>
      <c r="AA635" s="146"/>
    </row>
    <row r="636" spans="1:27" s="118" customFormat="1" x14ac:dyDescent="0.2">
      <c r="A636" s="6"/>
      <c r="B636" s="6"/>
      <c r="C636" s="155"/>
      <c r="D636" s="3" t="s">
        <v>296</v>
      </c>
      <c r="E636" s="148"/>
      <c r="F636" s="253"/>
      <c r="G636" s="253"/>
      <c r="H636" s="253"/>
      <c r="I636" s="246"/>
      <c r="J636" s="253"/>
      <c r="K636" s="137"/>
      <c r="L636" s="137"/>
      <c r="M636" s="137"/>
      <c r="N636" s="138"/>
      <c r="O636" s="167"/>
      <c r="P636" s="111"/>
      <c r="Q636" s="111"/>
      <c r="R636" s="111"/>
      <c r="S636" s="111"/>
      <c r="T636" s="111"/>
      <c r="U636" s="111"/>
      <c r="V636" s="111"/>
      <c r="W636" s="111"/>
      <c r="X636" s="111"/>
      <c r="Y636" s="111"/>
      <c r="Z636" s="111"/>
      <c r="AA636" s="111"/>
    </row>
    <row r="637" spans="1:27" s="118" customFormat="1" x14ac:dyDescent="0.2">
      <c r="A637" s="6"/>
      <c r="B637" s="6"/>
      <c r="C637" s="155"/>
      <c r="D637" s="2" t="s">
        <v>347</v>
      </c>
      <c r="E637" s="148"/>
      <c r="F637" s="253">
        <v>1</v>
      </c>
      <c r="G637" s="253"/>
      <c r="H637" s="253"/>
      <c r="I637" s="246"/>
      <c r="J637" s="253">
        <f t="shared" ref="J637:J639" si="72">ROUND(PRODUCT(F637:I637),2)</f>
        <v>1</v>
      </c>
      <c r="K637" s="137"/>
      <c r="L637" s="137"/>
      <c r="M637" s="137"/>
      <c r="N637" s="138"/>
      <c r="O637" s="167"/>
      <c r="P637" s="111"/>
      <c r="Q637" s="111"/>
      <c r="R637" s="111"/>
      <c r="S637" s="111"/>
      <c r="T637" s="111"/>
      <c r="U637" s="111"/>
      <c r="V637" s="111"/>
      <c r="W637" s="111"/>
      <c r="X637" s="111"/>
      <c r="Y637" s="111"/>
      <c r="Z637" s="111"/>
      <c r="AA637" s="111"/>
    </row>
    <row r="638" spans="1:27" s="118" customFormat="1" x14ac:dyDescent="0.2">
      <c r="A638" s="6"/>
      <c r="B638" s="6"/>
      <c r="C638" s="155"/>
      <c r="D638" s="2" t="s">
        <v>257</v>
      </c>
      <c r="E638" s="148"/>
      <c r="F638" s="253">
        <v>1</v>
      </c>
      <c r="G638" s="253"/>
      <c r="H638" s="253"/>
      <c r="I638" s="246"/>
      <c r="J638" s="253">
        <f t="shared" si="72"/>
        <v>1</v>
      </c>
      <c r="K638" s="137"/>
      <c r="L638" s="137"/>
      <c r="M638" s="137"/>
      <c r="N638" s="138"/>
      <c r="O638" s="167"/>
      <c r="P638" s="111"/>
      <c r="Q638" s="111"/>
      <c r="R638" s="111"/>
      <c r="S638" s="111"/>
      <c r="T638" s="111"/>
      <c r="U638" s="111"/>
      <c r="V638" s="111"/>
      <c r="W638" s="111"/>
      <c r="X638" s="111"/>
      <c r="Y638" s="111"/>
      <c r="Z638" s="111"/>
      <c r="AA638" s="111"/>
    </row>
    <row r="639" spans="1:27" s="118" customFormat="1" x14ac:dyDescent="0.2">
      <c r="A639" s="6"/>
      <c r="B639" s="6"/>
      <c r="C639" s="155"/>
      <c r="D639" s="2" t="s">
        <v>242</v>
      </c>
      <c r="E639" s="148"/>
      <c r="F639" s="253">
        <v>1</v>
      </c>
      <c r="G639" s="253"/>
      <c r="H639" s="253"/>
      <c r="I639" s="246"/>
      <c r="J639" s="253">
        <f t="shared" si="72"/>
        <v>1</v>
      </c>
      <c r="K639" s="137"/>
      <c r="L639" s="137"/>
      <c r="M639" s="137"/>
      <c r="N639" s="138"/>
      <c r="O639" s="167"/>
      <c r="P639" s="111"/>
      <c r="Q639" s="111"/>
      <c r="R639" s="111"/>
      <c r="S639" s="111"/>
      <c r="T639" s="111"/>
      <c r="U639" s="111"/>
      <c r="V639" s="111"/>
      <c r="W639" s="111"/>
      <c r="X639" s="111"/>
      <c r="Y639" s="111"/>
      <c r="Z639" s="111"/>
      <c r="AA639" s="111"/>
    </row>
    <row r="640" spans="1:27" s="118" customFormat="1" x14ac:dyDescent="0.2">
      <c r="A640" s="6"/>
      <c r="B640" s="6"/>
      <c r="C640" s="156"/>
      <c r="D640" s="108"/>
      <c r="E640" s="148"/>
      <c r="F640" s="253"/>
      <c r="G640" s="253"/>
      <c r="H640" s="253"/>
      <c r="I640" s="246" t="str">
        <f>"Total item "&amp;A635</f>
        <v>Total item 8.1.6</v>
      </c>
      <c r="J640" s="261">
        <f>SUM(J637:J639)</f>
        <v>3</v>
      </c>
      <c r="K640" s="137"/>
      <c r="L640" s="137"/>
      <c r="M640" s="137"/>
      <c r="N640" s="138"/>
      <c r="O640" s="167"/>
      <c r="P640" s="111"/>
      <c r="Q640" s="111"/>
      <c r="R640" s="111"/>
      <c r="S640" s="111"/>
      <c r="T640" s="111"/>
      <c r="U640" s="111"/>
      <c r="V640" s="111"/>
      <c r="W640" s="111"/>
      <c r="X640" s="111"/>
      <c r="Y640" s="111"/>
      <c r="Z640" s="111"/>
      <c r="AA640" s="111"/>
    </row>
    <row r="641" spans="1:27" s="161" customFormat="1" x14ac:dyDescent="0.2">
      <c r="A641" s="10"/>
      <c r="B641" s="10"/>
      <c r="C641" s="191"/>
      <c r="D641" s="110"/>
      <c r="E641" s="158"/>
      <c r="F641" s="267"/>
      <c r="G641" s="267"/>
      <c r="H641" s="267"/>
      <c r="I641" s="250"/>
      <c r="J641" s="263"/>
      <c r="K641" s="151"/>
      <c r="L641" s="151"/>
      <c r="M641" s="151"/>
      <c r="N641" s="152"/>
      <c r="O641" s="167"/>
      <c r="P641" s="114"/>
      <c r="Q641" s="114"/>
      <c r="R641" s="114"/>
      <c r="S641" s="114"/>
      <c r="T641" s="114"/>
      <c r="U641" s="114"/>
      <c r="V641" s="114"/>
      <c r="W641" s="114"/>
      <c r="X641" s="114"/>
      <c r="Y641" s="114"/>
      <c r="Z641" s="114"/>
      <c r="AA641" s="114"/>
    </row>
    <row r="642" spans="1:27" s="147" customFormat="1" ht="40.799999999999997" x14ac:dyDescent="0.2">
      <c r="A642" s="9" t="s">
        <v>54</v>
      </c>
      <c r="B642" s="9" t="s">
        <v>163</v>
      </c>
      <c r="C642" s="13" t="s">
        <v>188</v>
      </c>
      <c r="D642" s="113" t="s">
        <v>719</v>
      </c>
      <c r="E642" s="9" t="s">
        <v>33</v>
      </c>
      <c r="F642" s="261"/>
      <c r="G642" s="261"/>
      <c r="H642" s="261"/>
      <c r="I642" s="245"/>
      <c r="J642" s="261"/>
      <c r="K642" s="131">
        <f>J644</f>
        <v>1</v>
      </c>
      <c r="L642" s="131">
        <v>65.69</v>
      </c>
      <c r="M642" s="131">
        <f>ROUND(L642*(1+$Q$7),2)</f>
        <v>83.12</v>
      </c>
      <c r="N642" s="133">
        <f>TRUNC(K642*M642,2)</f>
        <v>83.12</v>
      </c>
      <c r="O642" s="286"/>
      <c r="P642" s="146"/>
      <c r="Q642" s="146"/>
      <c r="R642" s="146"/>
      <c r="S642" s="146"/>
      <c r="T642" s="146"/>
      <c r="U642" s="146"/>
      <c r="V642" s="146"/>
      <c r="W642" s="146"/>
      <c r="X642" s="146"/>
      <c r="Y642" s="146"/>
      <c r="Z642" s="146"/>
      <c r="AA642" s="146"/>
    </row>
    <row r="643" spans="1:27" s="118" customFormat="1" x14ac:dyDescent="0.2">
      <c r="A643" s="10"/>
      <c r="B643" s="6"/>
      <c r="C643" s="6"/>
      <c r="D643" s="2"/>
      <c r="E643" s="148"/>
      <c r="F643" s="253">
        <v>1</v>
      </c>
      <c r="G643" s="253"/>
      <c r="H643" s="253"/>
      <c r="I643" s="246"/>
      <c r="J643" s="253">
        <f>ROUND(PRODUCT(F643:I643),2)</f>
        <v>1</v>
      </c>
      <c r="K643" s="137"/>
      <c r="L643" s="137"/>
      <c r="M643" s="137"/>
      <c r="N643" s="138"/>
      <c r="O643" s="167"/>
      <c r="P643" s="111"/>
      <c r="Q643" s="111"/>
      <c r="R643" s="111"/>
      <c r="S643" s="111"/>
      <c r="T643" s="111"/>
      <c r="U643" s="111"/>
      <c r="V643" s="111"/>
      <c r="W643" s="111"/>
      <c r="X643" s="111"/>
      <c r="Y643" s="111"/>
      <c r="Z643" s="111"/>
      <c r="AA643" s="111"/>
    </row>
    <row r="644" spans="1:27" s="118" customFormat="1" x14ac:dyDescent="0.2">
      <c r="A644" s="10"/>
      <c r="B644" s="6"/>
      <c r="C644" s="156"/>
      <c r="D644" s="108"/>
      <c r="E644" s="148"/>
      <c r="F644" s="253"/>
      <c r="G644" s="253"/>
      <c r="H644" s="253"/>
      <c r="I644" s="246" t="str">
        <f>"Total item "&amp;A642</f>
        <v>Total item 8.1.7</v>
      </c>
      <c r="J644" s="261">
        <f>SUM(J643:J643)</f>
        <v>1</v>
      </c>
      <c r="K644" s="137"/>
      <c r="L644" s="137"/>
      <c r="M644" s="137"/>
      <c r="N644" s="138"/>
      <c r="O644" s="167"/>
      <c r="P644" s="111"/>
      <c r="Q644" s="111"/>
      <c r="R644" s="111"/>
      <c r="S644" s="111"/>
      <c r="T644" s="111"/>
      <c r="U644" s="111"/>
      <c r="V644" s="111"/>
      <c r="W644" s="111"/>
      <c r="X644" s="111"/>
      <c r="Y644" s="111"/>
      <c r="Z644" s="111"/>
      <c r="AA644" s="111"/>
    </row>
    <row r="645" spans="1:27" s="118" customFormat="1" x14ac:dyDescent="0.2">
      <c r="A645" s="10"/>
      <c r="B645" s="6"/>
      <c r="C645" s="155"/>
      <c r="D645" s="108"/>
      <c r="E645" s="148"/>
      <c r="F645" s="253"/>
      <c r="G645" s="253"/>
      <c r="H645" s="253"/>
      <c r="I645" s="246"/>
      <c r="J645" s="258"/>
      <c r="K645" s="137"/>
      <c r="L645" s="137"/>
      <c r="M645" s="137"/>
      <c r="N645" s="138"/>
      <c r="O645" s="167"/>
      <c r="P645" s="111"/>
      <c r="Q645" s="111"/>
      <c r="R645" s="111"/>
      <c r="S645" s="111"/>
      <c r="T645" s="111"/>
      <c r="U645" s="111"/>
      <c r="V645" s="111"/>
      <c r="W645" s="111"/>
      <c r="X645" s="111"/>
      <c r="Y645" s="111"/>
      <c r="Z645" s="111"/>
      <c r="AA645" s="111"/>
    </row>
    <row r="646" spans="1:27" s="147" customFormat="1" ht="30.6" x14ac:dyDescent="0.2">
      <c r="A646" s="9" t="s">
        <v>55</v>
      </c>
      <c r="B646" s="9" t="s">
        <v>163</v>
      </c>
      <c r="C646" s="13" t="s">
        <v>190</v>
      </c>
      <c r="D646" s="113" t="s">
        <v>290</v>
      </c>
      <c r="E646" s="9" t="s">
        <v>33</v>
      </c>
      <c r="F646" s="261"/>
      <c r="G646" s="261"/>
      <c r="H646" s="261"/>
      <c r="I646" s="245"/>
      <c r="J646" s="261"/>
      <c r="K646" s="131">
        <f>J648</f>
        <v>6</v>
      </c>
      <c r="L646" s="131">
        <v>14.55</v>
      </c>
      <c r="M646" s="131">
        <f>ROUND(L646*(1+$Q$7),2)</f>
        <v>18.41</v>
      </c>
      <c r="N646" s="133">
        <f>TRUNC(K646*M646,2)</f>
        <v>110.46</v>
      </c>
      <c r="O646" s="286"/>
      <c r="P646" s="146"/>
      <c r="Q646" s="146"/>
      <c r="R646" s="146"/>
      <c r="S646" s="146"/>
      <c r="T646" s="146"/>
      <c r="U646" s="146"/>
      <c r="V646" s="146"/>
      <c r="W646" s="146"/>
      <c r="X646" s="146"/>
      <c r="Y646" s="146"/>
      <c r="Z646" s="146"/>
      <c r="AA646" s="146"/>
    </row>
    <row r="647" spans="1:27" s="118" customFormat="1" x14ac:dyDescent="0.2">
      <c r="A647" s="6"/>
      <c r="B647" s="6"/>
      <c r="C647" s="6"/>
      <c r="D647" s="2"/>
      <c r="E647" s="148"/>
      <c r="F647" s="253">
        <v>6</v>
      </c>
      <c r="G647" s="253"/>
      <c r="H647" s="253"/>
      <c r="I647" s="246"/>
      <c r="J647" s="253">
        <f>ROUND(PRODUCT(F647:I647),2)</f>
        <v>6</v>
      </c>
      <c r="K647" s="137"/>
      <c r="L647" s="137"/>
      <c r="M647" s="137"/>
      <c r="N647" s="138"/>
      <c r="O647" s="167"/>
      <c r="P647" s="111"/>
      <c r="Q647" s="111"/>
      <c r="R647" s="111"/>
      <c r="S647" s="111"/>
      <c r="T647" s="111"/>
      <c r="U647" s="111"/>
      <c r="V647" s="111"/>
      <c r="W647" s="111"/>
      <c r="X647" s="111"/>
      <c r="Y647" s="111"/>
      <c r="Z647" s="111"/>
      <c r="AA647" s="111"/>
    </row>
    <row r="648" spans="1:27" s="118" customFormat="1" x14ac:dyDescent="0.2">
      <c r="A648" s="6"/>
      <c r="B648" s="6"/>
      <c r="C648" s="156"/>
      <c r="D648" s="108"/>
      <c r="E648" s="148"/>
      <c r="F648" s="253"/>
      <c r="G648" s="253"/>
      <c r="H648" s="253"/>
      <c r="I648" s="246" t="str">
        <f>"Total item "&amp;A646</f>
        <v>Total item 8.1.8</v>
      </c>
      <c r="J648" s="261">
        <f>SUM(J647:J647)</f>
        <v>6</v>
      </c>
      <c r="K648" s="137"/>
      <c r="L648" s="137"/>
      <c r="M648" s="137"/>
      <c r="N648" s="138"/>
      <c r="O648" s="167"/>
      <c r="P648" s="111"/>
      <c r="Q648" s="111"/>
      <c r="R648" s="111"/>
      <c r="S648" s="111"/>
      <c r="T648" s="111"/>
      <c r="U648" s="111"/>
      <c r="V648" s="111"/>
      <c r="W648" s="111"/>
      <c r="X648" s="111"/>
      <c r="Y648" s="111"/>
      <c r="Z648" s="111"/>
      <c r="AA648" s="111"/>
    </row>
    <row r="649" spans="1:27" s="118" customFormat="1" x14ac:dyDescent="0.2">
      <c r="A649" s="6"/>
      <c r="B649" s="6"/>
      <c r="C649" s="155"/>
      <c r="D649" s="108"/>
      <c r="E649" s="148"/>
      <c r="F649" s="253"/>
      <c r="G649" s="253"/>
      <c r="H649" s="253"/>
      <c r="I649" s="246"/>
      <c r="J649" s="258"/>
      <c r="K649" s="137"/>
      <c r="L649" s="137"/>
      <c r="M649" s="137"/>
      <c r="N649" s="138"/>
      <c r="O649" s="167"/>
      <c r="P649" s="111"/>
      <c r="Q649" s="111"/>
      <c r="R649" s="111"/>
      <c r="S649" s="111"/>
      <c r="T649" s="111"/>
      <c r="U649" s="111"/>
      <c r="V649" s="111"/>
      <c r="W649" s="111"/>
      <c r="X649" s="111"/>
      <c r="Y649" s="111"/>
      <c r="Z649" s="111"/>
      <c r="AA649" s="111"/>
    </row>
    <row r="650" spans="1:27" s="145" customFormat="1" x14ac:dyDescent="0.2">
      <c r="A650" s="140" t="s">
        <v>37</v>
      </c>
      <c r="B650" s="140"/>
      <c r="C650" s="141"/>
      <c r="D650" s="112" t="s">
        <v>211</v>
      </c>
      <c r="E650" s="140"/>
      <c r="F650" s="260"/>
      <c r="G650" s="260"/>
      <c r="H650" s="260"/>
      <c r="I650" s="248"/>
      <c r="J650" s="260"/>
      <c r="K650" s="142"/>
      <c r="L650" s="142"/>
      <c r="M650" s="142"/>
      <c r="N650" s="143">
        <f>SUM(N652:N660)</f>
        <v>325.3</v>
      </c>
      <c r="O650" s="285"/>
      <c r="P650" s="144"/>
      <c r="Q650" s="144"/>
      <c r="R650" s="144"/>
      <c r="S650" s="144"/>
      <c r="T650" s="144"/>
      <c r="U650" s="144"/>
      <c r="V650" s="144"/>
      <c r="W650" s="144"/>
      <c r="X650" s="144"/>
      <c r="Y650" s="144"/>
      <c r="Z650" s="144"/>
      <c r="AA650" s="144"/>
    </row>
    <row r="651" spans="1:27" s="161" customFormat="1" x14ac:dyDescent="0.2">
      <c r="A651" s="10"/>
      <c r="B651" s="10"/>
      <c r="C651" s="191"/>
      <c r="D651" s="110"/>
      <c r="E651" s="158"/>
      <c r="F651" s="267"/>
      <c r="G651" s="267"/>
      <c r="H651" s="267"/>
      <c r="I651" s="250"/>
      <c r="J651" s="263"/>
      <c r="K651" s="151"/>
      <c r="L651" s="151"/>
      <c r="M651" s="151"/>
      <c r="N651" s="152"/>
      <c r="O651" s="167"/>
      <c r="P651" s="114"/>
      <c r="Q651" s="114"/>
      <c r="R651" s="114"/>
      <c r="S651" s="114"/>
      <c r="T651" s="114"/>
      <c r="U651" s="114"/>
      <c r="V651" s="114"/>
      <c r="W651" s="114"/>
      <c r="X651" s="114"/>
      <c r="Y651" s="114"/>
      <c r="Z651" s="114"/>
      <c r="AA651" s="114"/>
    </row>
    <row r="652" spans="1:27" s="147" customFormat="1" ht="30.6" x14ac:dyDescent="0.2">
      <c r="A652" s="9" t="s">
        <v>623</v>
      </c>
      <c r="B652" s="9" t="s">
        <v>163</v>
      </c>
      <c r="C652" s="13" t="s">
        <v>249</v>
      </c>
      <c r="D652" s="113" t="s">
        <v>250</v>
      </c>
      <c r="E652" s="9" t="s">
        <v>33</v>
      </c>
      <c r="F652" s="261"/>
      <c r="G652" s="261"/>
      <c r="H652" s="261"/>
      <c r="I652" s="245"/>
      <c r="J652" s="261"/>
      <c r="K652" s="131">
        <f>J655</f>
        <v>2</v>
      </c>
      <c r="L652" s="131">
        <v>116.1</v>
      </c>
      <c r="M652" s="131">
        <f>ROUND(L652*(1+$Q$7),2)</f>
        <v>146.9</v>
      </c>
      <c r="N652" s="133">
        <f>TRUNC(K652*M652,2)</f>
        <v>293.8</v>
      </c>
      <c r="O652" s="286"/>
      <c r="P652" s="146"/>
      <c r="Q652" s="146"/>
      <c r="R652" s="146"/>
      <c r="S652" s="146"/>
      <c r="T652" s="146"/>
      <c r="U652" s="146"/>
      <c r="V652" s="146"/>
      <c r="W652" s="146"/>
      <c r="X652" s="146"/>
      <c r="Y652" s="146"/>
      <c r="Z652" s="146"/>
      <c r="AA652" s="146"/>
    </row>
    <row r="653" spans="1:27" s="118" customFormat="1" x14ac:dyDescent="0.2">
      <c r="A653" s="6"/>
      <c r="B653" s="6"/>
      <c r="C653" s="155"/>
      <c r="D653" s="2" t="s">
        <v>345</v>
      </c>
      <c r="E653" s="148"/>
      <c r="F653" s="253">
        <v>1</v>
      </c>
      <c r="G653" s="253"/>
      <c r="H653" s="253"/>
      <c r="I653" s="246"/>
      <c r="J653" s="253">
        <f>ROUND(PRODUCT(F653:I653),2)</f>
        <v>1</v>
      </c>
      <c r="K653" s="137"/>
      <c r="L653" s="137"/>
      <c r="M653" s="137"/>
      <c r="N653" s="138"/>
      <c r="O653" s="167"/>
      <c r="P653" s="111"/>
      <c r="Q653" s="111"/>
      <c r="R653" s="111"/>
      <c r="S653" s="111"/>
      <c r="T653" s="111"/>
      <c r="U653" s="111"/>
      <c r="V653" s="111"/>
      <c r="W653" s="111"/>
      <c r="X653" s="111"/>
      <c r="Y653" s="111"/>
      <c r="Z653" s="111"/>
      <c r="AA653" s="111"/>
    </row>
    <row r="654" spans="1:27" s="118" customFormat="1" x14ac:dyDescent="0.2">
      <c r="A654" s="6"/>
      <c r="B654" s="6"/>
      <c r="C654" s="155"/>
      <c r="D654" s="2" t="s">
        <v>346</v>
      </c>
      <c r="E654" s="148"/>
      <c r="F654" s="253">
        <v>1</v>
      </c>
      <c r="G654" s="253"/>
      <c r="H654" s="253"/>
      <c r="I654" s="246"/>
      <c r="J654" s="253">
        <f>ROUND(PRODUCT(F654:I654),2)</f>
        <v>1</v>
      </c>
      <c r="K654" s="137"/>
      <c r="L654" s="137"/>
      <c r="M654" s="137"/>
      <c r="N654" s="138"/>
      <c r="O654" s="167"/>
      <c r="P654" s="111"/>
      <c r="Q654" s="111"/>
      <c r="R654" s="111"/>
      <c r="S654" s="111"/>
      <c r="T654" s="111"/>
      <c r="U654" s="111"/>
      <c r="V654" s="111"/>
      <c r="W654" s="111"/>
      <c r="X654" s="111"/>
      <c r="Y654" s="111"/>
      <c r="Z654" s="111"/>
      <c r="AA654" s="111"/>
    </row>
    <row r="655" spans="1:27" s="118" customFormat="1" x14ac:dyDescent="0.2">
      <c r="A655" s="6"/>
      <c r="B655" s="6"/>
      <c r="C655" s="156"/>
      <c r="D655" s="108"/>
      <c r="E655" s="148"/>
      <c r="F655" s="253"/>
      <c r="G655" s="253"/>
      <c r="H655" s="253"/>
      <c r="I655" s="246" t="str">
        <f>"Total item "&amp;A652</f>
        <v>Total item 8.2.1</v>
      </c>
      <c r="J655" s="261">
        <f>SUM(J653:J654)</f>
        <v>2</v>
      </c>
      <c r="K655" s="137"/>
      <c r="L655" s="137"/>
      <c r="M655" s="137"/>
      <c r="N655" s="138"/>
      <c r="O655" s="167"/>
      <c r="P655" s="111"/>
      <c r="Q655" s="111"/>
      <c r="R655" s="111"/>
      <c r="S655" s="111"/>
      <c r="T655" s="111"/>
      <c r="U655" s="111"/>
      <c r="V655" s="111"/>
      <c r="W655" s="111"/>
      <c r="X655" s="111"/>
      <c r="Y655" s="111"/>
      <c r="Z655" s="111"/>
      <c r="AA655" s="111"/>
    </row>
    <row r="656" spans="1:27" s="154" customFormat="1" x14ac:dyDescent="0.2">
      <c r="A656" s="10"/>
      <c r="B656" s="10"/>
      <c r="C656" s="15"/>
      <c r="D656" s="117"/>
      <c r="E656" s="10"/>
      <c r="F656" s="263"/>
      <c r="G656" s="263"/>
      <c r="H656" s="263"/>
      <c r="I656" s="250"/>
      <c r="J656" s="263"/>
      <c r="K656" s="151"/>
      <c r="L656" s="151"/>
      <c r="M656" s="151"/>
      <c r="N656" s="152"/>
      <c r="O656" s="283"/>
      <c r="P656" s="153"/>
      <c r="Q656" s="153"/>
      <c r="R656" s="153"/>
      <c r="S656" s="153"/>
      <c r="T656" s="153"/>
      <c r="U656" s="153"/>
      <c r="V656" s="153"/>
      <c r="W656" s="153"/>
      <c r="X656" s="153"/>
      <c r="Y656" s="153"/>
      <c r="Z656" s="153"/>
      <c r="AA656" s="153"/>
    </row>
    <row r="657" spans="1:27" s="147" customFormat="1" ht="20.399999999999999" x14ac:dyDescent="0.2">
      <c r="A657" s="9" t="s">
        <v>624</v>
      </c>
      <c r="B657" s="9" t="s">
        <v>163</v>
      </c>
      <c r="C657" s="197" t="s">
        <v>349</v>
      </c>
      <c r="D657" s="113" t="s">
        <v>350</v>
      </c>
      <c r="E657" s="9" t="s">
        <v>33</v>
      </c>
      <c r="F657" s="261"/>
      <c r="G657" s="261"/>
      <c r="H657" s="261"/>
      <c r="I657" s="245"/>
      <c r="J657" s="261"/>
      <c r="K657" s="131">
        <f>J660</f>
        <v>2</v>
      </c>
      <c r="L657" s="131">
        <v>12.45</v>
      </c>
      <c r="M657" s="131">
        <f>ROUND(L657*(1+$Q$7),2)</f>
        <v>15.75</v>
      </c>
      <c r="N657" s="133">
        <f>TRUNC(K657*M657,2)</f>
        <v>31.5</v>
      </c>
      <c r="O657" s="286"/>
      <c r="P657" s="146"/>
      <c r="Q657" s="146"/>
      <c r="R657" s="146"/>
      <c r="S657" s="146"/>
      <c r="T657" s="146"/>
      <c r="U657" s="146"/>
      <c r="V657" s="146"/>
      <c r="W657" s="146"/>
      <c r="X657" s="146"/>
      <c r="Y657" s="146"/>
      <c r="Z657" s="146"/>
      <c r="AA657" s="146"/>
    </row>
    <row r="658" spans="1:27" s="118" customFormat="1" x14ac:dyDescent="0.2">
      <c r="A658" s="6"/>
      <c r="B658" s="6"/>
      <c r="C658" s="155"/>
      <c r="D658" s="2" t="s">
        <v>345</v>
      </c>
      <c r="E658" s="148"/>
      <c r="F658" s="253">
        <v>1</v>
      </c>
      <c r="G658" s="253"/>
      <c r="H658" s="253"/>
      <c r="I658" s="246"/>
      <c r="J658" s="253">
        <f>ROUND(PRODUCT(F658:I658),2)</f>
        <v>1</v>
      </c>
      <c r="K658" s="137"/>
      <c r="L658" s="137"/>
      <c r="M658" s="137"/>
      <c r="N658" s="138"/>
      <c r="O658" s="167"/>
      <c r="P658" s="111"/>
      <c r="Q658" s="111"/>
      <c r="R658" s="111"/>
      <c r="S658" s="111"/>
      <c r="T658" s="111"/>
      <c r="U658" s="111"/>
      <c r="V658" s="111"/>
      <c r="W658" s="111"/>
      <c r="X658" s="111"/>
      <c r="Y658" s="111"/>
      <c r="Z658" s="111"/>
      <c r="AA658" s="111"/>
    </row>
    <row r="659" spans="1:27" s="118" customFormat="1" x14ac:dyDescent="0.2">
      <c r="A659" s="6"/>
      <c r="B659" s="6"/>
      <c r="C659" s="155"/>
      <c r="D659" s="2" t="s">
        <v>346</v>
      </c>
      <c r="E659" s="148"/>
      <c r="F659" s="253">
        <v>1</v>
      </c>
      <c r="G659" s="253"/>
      <c r="H659" s="253"/>
      <c r="I659" s="246"/>
      <c r="J659" s="253">
        <f t="shared" ref="J659" si="73">ROUND(PRODUCT(F659:I659),2)</f>
        <v>1</v>
      </c>
      <c r="K659" s="137"/>
      <c r="L659" s="137"/>
      <c r="M659" s="137"/>
      <c r="N659" s="138"/>
      <c r="O659" s="167"/>
      <c r="P659" s="111"/>
      <c r="Q659" s="111"/>
      <c r="R659" s="111"/>
      <c r="S659" s="111"/>
      <c r="T659" s="111"/>
      <c r="U659" s="111"/>
      <c r="V659" s="111"/>
      <c r="W659" s="111"/>
      <c r="X659" s="111"/>
      <c r="Y659" s="111"/>
      <c r="Z659" s="111"/>
      <c r="AA659" s="111"/>
    </row>
    <row r="660" spans="1:27" s="118" customFormat="1" x14ac:dyDescent="0.2">
      <c r="A660" s="6"/>
      <c r="B660" s="6"/>
      <c r="C660" s="156"/>
      <c r="D660" s="108"/>
      <c r="E660" s="148"/>
      <c r="F660" s="253"/>
      <c r="G660" s="253"/>
      <c r="H660" s="253"/>
      <c r="I660" s="246" t="str">
        <f>"Total item "&amp;A657</f>
        <v>Total item 8.2.2</v>
      </c>
      <c r="J660" s="261">
        <f>SUM(J658:J659)</f>
        <v>2</v>
      </c>
      <c r="K660" s="137"/>
      <c r="L660" s="137"/>
      <c r="M660" s="137"/>
      <c r="N660" s="138"/>
      <c r="O660" s="167"/>
      <c r="P660" s="111"/>
      <c r="Q660" s="111"/>
      <c r="R660" s="111"/>
      <c r="S660" s="111"/>
      <c r="T660" s="111"/>
      <c r="U660" s="111"/>
      <c r="V660" s="111"/>
      <c r="W660" s="111"/>
      <c r="X660" s="111"/>
      <c r="Y660" s="111"/>
      <c r="Z660" s="111"/>
      <c r="AA660" s="111"/>
    </row>
    <row r="661" spans="1:27" s="161" customFormat="1" x14ac:dyDescent="0.2">
      <c r="A661" s="10"/>
      <c r="B661" s="10"/>
      <c r="C661" s="191"/>
      <c r="D661" s="110"/>
      <c r="E661" s="158"/>
      <c r="F661" s="267"/>
      <c r="G661" s="267"/>
      <c r="H661" s="267"/>
      <c r="I661" s="250"/>
      <c r="J661" s="263"/>
      <c r="K661" s="151"/>
      <c r="L661" s="151"/>
      <c r="M661" s="151"/>
      <c r="N661" s="152"/>
      <c r="O661" s="167"/>
      <c r="P661" s="114"/>
      <c r="Q661" s="114"/>
      <c r="R661" s="114"/>
      <c r="S661" s="114"/>
      <c r="T661" s="114"/>
      <c r="U661" s="114"/>
      <c r="V661" s="114"/>
      <c r="W661" s="114"/>
      <c r="X661" s="114"/>
      <c r="Y661" s="114"/>
      <c r="Z661" s="114"/>
      <c r="AA661" s="114"/>
    </row>
    <row r="662" spans="1:27" s="145" customFormat="1" x14ac:dyDescent="0.2">
      <c r="A662" s="140" t="s">
        <v>56</v>
      </c>
      <c r="B662" s="140"/>
      <c r="C662" s="141"/>
      <c r="D662" s="112" t="s">
        <v>28</v>
      </c>
      <c r="E662" s="140"/>
      <c r="F662" s="260"/>
      <c r="G662" s="260"/>
      <c r="H662" s="260"/>
      <c r="I662" s="248"/>
      <c r="J662" s="260"/>
      <c r="K662" s="142"/>
      <c r="L662" s="142"/>
      <c r="M662" s="142"/>
      <c r="N662" s="143">
        <f>SUM(N664:N667)</f>
        <v>611.16</v>
      </c>
      <c r="O662" s="285"/>
      <c r="P662" s="144"/>
      <c r="Q662" s="144"/>
      <c r="R662" s="144"/>
      <c r="S662" s="144"/>
      <c r="T662" s="144"/>
      <c r="U662" s="144"/>
      <c r="V662" s="144"/>
      <c r="W662" s="144"/>
      <c r="X662" s="144"/>
      <c r="Y662" s="144"/>
      <c r="Z662" s="144"/>
      <c r="AA662" s="144"/>
    </row>
    <row r="663" spans="1:27" s="118" customFormat="1" x14ac:dyDescent="0.2">
      <c r="A663" s="6"/>
      <c r="B663" s="6"/>
      <c r="C663" s="156"/>
      <c r="D663" s="108"/>
      <c r="E663" s="148"/>
      <c r="F663" s="253"/>
      <c r="G663" s="253"/>
      <c r="H663" s="253"/>
      <c r="I663" s="246"/>
      <c r="J663" s="246"/>
      <c r="K663" s="137"/>
      <c r="L663" s="137"/>
      <c r="M663" s="137"/>
      <c r="N663" s="138"/>
      <c r="O663" s="167"/>
      <c r="P663" s="111"/>
      <c r="Q663" s="111"/>
      <c r="R663" s="111"/>
      <c r="S663" s="111"/>
      <c r="T663" s="111"/>
      <c r="U663" s="111"/>
      <c r="V663" s="111"/>
      <c r="W663" s="111"/>
      <c r="X663" s="111"/>
      <c r="Y663" s="111"/>
      <c r="Z663" s="111"/>
      <c r="AA663" s="111"/>
    </row>
    <row r="664" spans="1:27" s="147" customFormat="1" ht="30.6" x14ac:dyDescent="0.2">
      <c r="A664" s="9" t="s">
        <v>625</v>
      </c>
      <c r="B664" s="9" t="s">
        <v>163</v>
      </c>
      <c r="C664" s="13" t="s">
        <v>263</v>
      </c>
      <c r="D664" s="113" t="s">
        <v>264</v>
      </c>
      <c r="E664" s="9" t="s">
        <v>33</v>
      </c>
      <c r="F664" s="261"/>
      <c r="G664" s="261"/>
      <c r="H664" s="261"/>
      <c r="I664" s="245"/>
      <c r="J664" s="261"/>
      <c r="K664" s="131">
        <f>J666</f>
        <v>1.68</v>
      </c>
      <c r="L664" s="131">
        <v>287.51</v>
      </c>
      <c r="M664" s="131">
        <f>ROUND(L664*(1+$Q$7),2)</f>
        <v>363.79</v>
      </c>
      <c r="N664" s="133">
        <f>TRUNC(K664*M664,2)</f>
        <v>611.16</v>
      </c>
      <c r="O664" s="286"/>
      <c r="P664" s="146"/>
      <c r="Q664" s="146"/>
      <c r="R664" s="146"/>
      <c r="S664" s="146"/>
      <c r="T664" s="146"/>
      <c r="U664" s="146"/>
      <c r="V664" s="146"/>
      <c r="W664" s="146"/>
      <c r="X664" s="146"/>
      <c r="Y664" s="146"/>
      <c r="Z664" s="146"/>
      <c r="AA664" s="146"/>
    </row>
    <row r="665" spans="1:27" s="118" customFormat="1" x14ac:dyDescent="0.2">
      <c r="A665" s="6"/>
      <c r="B665" s="6"/>
      <c r="C665" s="155"/>
      <c r="D665" s="2" t="s">
        <v>257</v>
      </c>
      <c r="E665" s="148"/>
      <c r="F665" s="253"/>
      <c r="G665" s="253">
        <v>0.8</v>
      </c>
      <c r="H665" s="253"/>
      <c r="I665" s="249">
        <v>2.1</v>
      </c>
      <c r="J665" s="253">
        <f>ROUND(PRODUCT(F665:I665),2)</f>
        <v>1.68</v>
      </c>
      <c r="K665" s="137"/>
      <c r="L665" s="137"/>
      <c r="M665" s="137"/>
      <c r="N665" s="138"/>
      <c r="O665" s="167"/>
      <c r="P665" s="111"/>
      <c r="Q665" s="111"/>
      <c r="R665" s="111"/>
      <c r="S665" s="111"/>
      <c r="T665" s="111"/>
      <c r="U665" s="111"/>
      <c r="V665" s="111"/>
      <c r="W665" s="111"/>
      <c r="X665" s="111"/>
      <c r="Y665" s="111"/>
      <c r="Z665" s="111"/>
      <c r="AA665" s="111"/>
    </row>
    <row r="666" spans="1:27" s="118" customFormat="1" x14ac:dyDescent="0.2">
      <c r="A666" s="6"/>
      <c r="B666" s="6"/>
      <c r="C666" s="156"/>
      <c r="D666" s="108"/>
      <c r="E666" s="148"/>
      <c r="F666" s="253"/>
      <c r="G666" s="253"/>
      <c r="H666" s="253"/>
      <c r="I666" s="246" t="str">
        <f>"Total item "&amp;A664</f>
        <v>Total item 8.3.1</v>
      </c>
      <c r="J666" s="261">
        <f>SUM(J665:J665)</f>
        <v>1.68</v>
      </c>
      <c r="K666" s="137"/>
      <c r="L666" s="137"/>
      <c r="M666" s="137"/>
      <c r="N666" s="138"/>
      <c r="O666" s="167"/>
      <c r="P666" s="111"/>
      <c r="Q666" s="111"/>
      <c r="R666" s="111"/>
      <c r="S666" s="111"/>
      <c r="T666" s="111"/>
      <c r="U666" s="111"/>
      <c r="V666" s="111"/>
      <c r="W666" s="111"/>
      <c r="X666" s="111"/>
      <c r="Y666" s="111"/>
      <c r="Z666" s="111"/>
      <c r="AA666" s="111"/>
    </row>
    <row r="667" spans="1:27" s="161" customFormat="1" x14ac:dyDescent="0.2">
      <c r="A667" s="10"/>
      <c r="B667" s="10"/>
      <c r="C667" s="190"/>
      <c r="D667" s="110"/>
      <c r="E667" s="158"/>
      <c r="F667" s="267"/>
      <c r="G667" s="267"/>
      <c r="H667" s="267"/>
      <c r="I667" s="250"/>
      <c r="J667" s="250"/>
      <c r="K667" s="151"/>
      <c r="L667" s="151"/>
      <c r="M667" s="151"/>
      <c r="N667" s="152"/>
      <c r="O667" s="167"/>
      <c r="P667" s="114"/>
      <c r="Q667" s="114"/>
      <c r="R667" s="114"/>
      <c r="S667" s="114"/>
      <c r="T667" s="114"/>
      <c r="U667" s="114"/>
      <c r="V667" s="114"/>
      <c r="W667" s="114"/>
      <c r="X667" s="114"/>
      <c r="Y667" s="114"/>
      <c r="Z667" s="114"/>
      <c r="AA667" s="114"/>
    </row>
    <row r="668" spans="1:27" s="145" customFormat="1" x14ac:dyDescent="0.2">
      <c r="A668" s="140" t="s">
        <v>57</v>
      </c>
      <c r="B668" s="140"/>
      <c r="C668" s="141"/>
      <c r="D668" s="112" t="s">
        <v>29</v>
      </c>
      <c r="E668" s="140"/>
      <c r="F668" s="260"/>
      <c r="G668" s="260"/>
      <c r="H668" s="260"/>
      <c r="I668" s="248"/>
      <c r="J668" s="260"/>
      <c r="K668" s="142"/>
      <c r="L668" s="142"/>
      <c r="M668" s="142"/>
      <c r="N668" s="143">
        <f>SUM(N670:N674)</f>
        <v>57.05</v>
      </c>
      <c r="O668" s="285"/>
      <c r="P668" s="144"/>
      <c r="Q668" s="144"/>
      <c r="R668" s="144"/>
      <c r="S668" s="144"/>
      <c r="T668" s="144"/>
      <c r="U668" s="144"/>
      <c r="V668" s="144"/>
      <c r="W668" s="144"/>
      <c r="X668" s="144"/>
      <c r="Y668" s="144"/>
      <c r="Z668" s="144"/>
      <c r="AA668" s="144"/>
    </row>
    <row r="669" spans="1:27" s="118" customFormat="1" x14ac:dyDescent="0.2">
      <c r="A669" s="6"/>
      <c r="B669" s="6"/>
      <c r="C669" s="156"/>
      <c r="D669" s="108"/>
      <c r="E669" s="148"/>
      <c r="F669" s="253"/>
      <c r="G669" s="253"/>
      <c r="H669" s="253"/>
      <c r="I669" s="246"/>
      <c r="J669" s="246"/>
      <c r="K669" s="137"/>
      <c r="L669" s="137"/>
      <c r="M669" s="137"/>
      <c r="N669" s="138"/>
      <c r="O669" s="167"/>
      <c r="P669" s="111"/>
      <c r="Q669" s="111"/>
      <c r="R669" s="111"/>
      <c r="S669" s="111"/>
      <c r="T669" s="111"/>
      <c r="U669" s="111"/>
      <c r="V669" s="111"/>
      <c r="W669" s="111"/>
      <c r="X669" s="111"/>
      <c r="Y669" s="111"/>
      <c r="Z669" s="111"/>
      <c r="AA669" s="111"/>
    </row>
    <row r="670" spans="1:27" s="147" customFormat="1" ht="40.799999999999997" x14ac:dyDescent="0.2">
      <c r="A670" s="9" t="s">
        <v>776</v>
      </c>
      <c r="B670" s="13" t="s">
        <v>163</v>
      </c>
      <c r="C670" s="13" t="s">
        <v>176</v>
      </c>
      <c r="D670" s="113" t="s">
        <v>269</v>
      </c>
      <c r="E670" s="1" t="s">
        <v>9</v>
      </c>
      <c r="F670" s="261"/>
      <c r="G670" s="261"/>
      <c r="H670" s="261"/>
      <c r="I670" s="245"/>
      <c r="J670" s="261"/>
      <c r="K670" s="131">
        <f>J673</f>
        <v>3.36</v>
      </c>
      <c r="L670" s="131">
        <v>13.42</v>
      </c>
      <c r="M670" s="131">
        <f>ROUND(L670*(1+$Q$7),2)</f>
        <v>16.98</v>
      </c>
      <c r="N670" s="133">
        <f>TRUNC(K670*M670,2)</f>
        <v>57.05</v>
      </c>
      <c r="O670" s="286"/>
      <c r="P670" s="146"/>
      <c r="Q670" s="146"/>
      <c r="R670" s="146"/>
      <c r="S670" s="146"/>
      <c r="T670" s="146"/>
      <c r="U670" s="146"/>
      <c r="V670" s="146"/>
      <c r="W670" s="146"/>
      <c r="X670" s="146"/>
      <c r="Y670" s="146"/>
      <c r="Z670" s="146"/>
      <c r="AA670" s="146"/>
    </row>
    <row r="671" spans="1:27" s="118" customFormat="1" x14ac:dyDescent="0.2">
      <c r="A671" s="6"/>
      <c r="B671" s="6"/>
      <c r="C671" s="155"/>
      <c r="D671" s="3" t="s">
        <v>270</v>
      </c>
      <c r="E671" s="148"/>
      <c r="F671" s="253"/>
      <c r="G671" s="253"/>
      <c r="H671" s="253"/>
      <c r="I671" s="249"/>
      <c r="J671" s="253"/>
      <c r="K671" s="137"/>
      <c r="L671" s="137"/>
      <c r="M671" s="137"/>
      <c r="N671" s="138"/>
      <c r="O671" s="167"/>
      <c r="P671" s="111"/>
      <c r="Q671" s="111"/>
      <c r="R671" s="111"/>
      <c r="S671" s="111"/>
      <c r="T671" s="111"/>
      <c r="U671" s="111"/>
      <c r="V671" s="111"/>
      <c r="W671" s="111"/>
      <c r="X671" s="111"/>
      <c r="Y671" s="111"/>
      <c r="Z671" s="111"/>
      <c r="AA671" s="111"/>
    </row>
    <row r="672" spans="1:27" s="118" customFormat="1" x14ac:dyDescent="0.2">
      <c r="A672" s="6"/>
      <c r="B672" s="6"/>
      <c r="C672" s="155"/>
      <c r="D672" s="2" t="s">
        <v>257</v>
      </c>
      <c r="E672" s="148"/>
      <c r="F672" s="253">
        <v>2</v>
      </c>
      <c r="G672" s="253">
        <v>0.8</v>
      </c>
      <c r="H672" s="253"/>
      <c r="I672" s="249">
        <v>2.1</v>
      </c>
      <c r="J672" s="253">
        <f>ROUND(PRODUCT(F672:I672),2)</f>
        <v>3.36</v>
      </c>
      <c r="K672" s="137"/>
      <c r="L672" s="137"/>
      <c r="M672" s="137"/>
      <c r="N672" s="138"/>
      <c r="O672" s="167"/>
      <c r="P672" s="111"/>
      <c r="Q672" s="111"/>
      <c r="R672" s="111"/>
      <c r="S672" s="111"/>
      <c r="T672" s="111"/>
      <c r="U672" s="111"/>
      <c r="V672" s="111"/>
      <c r="W672" s="111"/>
      <c r="X672" s="111"/>
      <c r="Y672" s="111"/>
      <c r="Z672" s="111"/>
      <c r="AA672" s="111"/>
    </row>
    <row r="673" spans="1:27" s="118" customFormat="1" x14ac:dyDescent="0.2">
      <c r="A673" s="6"/>
      <c r="B673" s="6"/>
      <c r="C673" s="156"/>
      <c r="D673" s="108"/>
      <c r="E673" s="148"/>
      <c r="F673" s="253"/>
      <c r="G673" s="253"/>
      <c r="H673" s="253"/>
      <c r="I673" s="246" t="str">
        <f>"Total item "&amp;A670</f>
        <v>Total item 8.4.1</v>
      </c>
      <c r="J673" s="261">
        <f>SUM(J671:J672)</f>
        <v>3.36</v>
      </c>
      <c r="K673" s="137"/>
      <c r="L673" s="137"/>
      <c r="M673" s="137"/>
      <c r="N673" s="138"/>
      <c r="O673" s="167"/>
      <c r="P673" s="111"/>
      <c r="Q673" s="111"/>
      <c r="R673" s="111"/>
      <c r="S673" s="111"/>
      <c r="T673" s="111"/>
      <c r="U673" s="111"/>
      <c r="V673" s="111"/>
      <c r="W673" s="111"/>
      <c r="X673" s="111"/>
      <c r="Y673" s="111"/>
      <c r="Z673" s="111"/>
      <c r="AA673" s="111"/>
    </row>
    <row r="674" spans="1:27" s="118" customFormat="1" x14ac:dyDescent="0.2">
      <c r="A674" s="6"/>
      <c r="B674" s="6"/>
      <c r="C674" s="156"/>
      <c r="D674" s="108"/>
      <c r="E674" s="148"/>
      <c r="F674" s="253"/>
      <c r="G674" s="253"/>
      <c r="H674" s="253"/>
      <c r="I674" s="246"/>
      <c r="J674" s="246"/>
      <c r="K674" s="137"/>
      <c r="L674" s="137"/>
      <c r="M674" s="137"/>
      <c r="N674" s="138"/>
      <c r="O674" s="167"/>
      <c r="P674" s="111"/>
      <c r="Q674" s="111"/>
      <c r="R674" s="111"/>
      <c r="S674" s="111"/>
      <c r="T674" s="111"/>
      <c r="U674" s="111"/>
      <c r="V674" s="111"/>
      <c r="W674" s="111"/>
      <c r="X674" s="111"/>
      <c r="Y674" s="111"/>
      <c r="Z674" s="111"/>
      <c r="AA674" s="111"/>
    </row>
    <row r="675" spans="1:27" s="145" customFormat="1" x14ac:dyDescent="0.2">
      <c r="A675" s="140" t="s">
        <v>40</v>
      </c>
      <c r="B675" s="140"/>
      <c r="C675" s="141"/>
      <c r="D675" s="112" t="s">
        <v>80</v>
      </c>
      <c r="E675" s="140"/>
      <c r="F675" s="260"/>
      <c r="G675" s="260"/>
      <c r="H675" s="260"/>
      <c r="I675" s="248"/>
      <c r="J675" s="260"/>
      <c r="K675" s="142"/>
      <c r="L675" s="142"/>
      <c r="M675" s="142"/>
      <c r="N675" s="143">
        <f>SUM(N677:N687)</f>
        <v>10622.69</v>
      </c>
      <c r="O675" s="285"/>
      <c r="P675" s="144"/>
      <c r="Q675" s="144"/>
      <c r="R675" s="144"/>
      <c r="S675" s="144"/>
      <c r="T675" s="144"/>
      <c r="U675" s="144"/>
      <c r="V675" s="144"/>
      <c r="W675" s="144"/>
      <c r="X675" s="144"/>
      <c r="Y675" s="144"/>
      <c r="Z675" s="144"/>
      <c r="AA675" s="144"/>
    </row>
    <row r="676" spans="1:27" s="118" customFormat="1" x14ac:dyDescent="0.2">
      <c r="A676" s="6"/>
      <c r="B676" s="6"/>
      <c r="C676" s="14"/>
      <c r="D676" s="108"/>
      <c r="E676" s="148"/>
      <c r="F676" s="253"/>
      <c r="G676" s="253"/>
      <c r="H676" s="253"/>
      <c r="I676" s="246"/>
      <c r="J676" s="262"/>
      <c r="K676" s="137"/>
      <c r="L676" s="137"/>
      <c r="M676" s="137"/>
      <c r="N676" s="138"/>
      <c r="O676" s="167"/>
      <c r="P676" s="111"/>
      <c r="Q676" s="111"/>
      <c r="R676" s="111"/>
      <c r="S676" s="111"/>
      <c r="T676" s="111"/>
      <c r="U676" s="111"/>
      <c r="V676" s="111"/>
      <c r="W676" s="111"/>
      <c r="X676" s="111"/>
      <c r="Y676" s="111"/>
      <c r="Z676" s="111"/>
      <c r="AA676" s="111"/>
    </row>
    <row r="677" spans="1:27" s="147" customFormat="1" ht="30.6" x14ac:dyDescent="0.2">
      <c r="A677" s="9" t="s">
        <v>777</v>
      </c>
      <c r="B677" s="9" t="s">
        <v>89</v>
      </c>
      <c r="C677" s="197" t="s">
        <v>437</v>
      </c>
      <c r="D677" s="113" t="s">
        <v>714</v>
      </c>
      <c r="E677" s="9" t="s">
        <v>9</v>
      </c>
      <c r="F677" s="261"/>
      <c r="G677" s="261"/>
      <c r="H677" s="261"/>
      <c r="I677" s="245"/>
      <c r="J677" s="261"/>
      <c r="K677" s="131">
        <f>J682</f>
        <v>109.49</v>
      </c>
      <c r="L677" s="131">
        <v>59.97</v>
      </c>
      <c r="M677" s="131">
        <f>ROUND(L677*(1+$Q$7),2)</f>
        <v>75.88</v>
      </c>
      <c r="N677" s="133">
        <f>TRUNC(K677*M677,2)</f>
        <v>8308.1</v>
      </c>
      <c r="O677" s="286"/>
      <c r="P677" s="146"/>
      <c r="Q677" s="146"/>
      <c r="R677" s="146"/>
      <c r="S677" s="146"/>
      <c r="T677" s="146"/>
      <c r="U677" s="146"/>
      <c r="V677" s="146"/>
      <c r="W677" s="146"/>
      <c r="X677" s="146"/>
      <c r="Y677" s="146"/>
      <c r="Z677" s="146"/>
      <c r="AA677" s="146"/>
    </row>
    <row r="678" spans="1:27" s="118" customFormat="1" x14ac:dyDescent="0.2">
      <c r="A678" s="6"/>
      <c r="B678" s="6"/>
      <c r="C678" s="155"/>
      <c r="D678" s="2" t="s">
        <v>347</v>
      </c>
      <c r="E678" s="148"/>
      <c r="F678" s="253"/>
      <c r="G678" s="253">
        <v>3</v>
      </c>
      <c r="H678" s="253">
        <v>4.5</v>
      </c>
      <c r="I678" s="249"/>
      <c r="J678" s="253">
        <f>ROUND(PRODUCT(F678:I678),2)</f>
        <v>13.5</v>
      </c>
      <c r="K678" s="137"/>
      <c r="L678" s="137"/>
      <c r="M678" s="137"/>
      <c r="N678" s="138"/>
      <c r="O678" s="167"/>
      <c r="P678" s="111"/>
      <c r="Q678" s="111"/>
      <c r="R678" s="111"/>
      <c r="S678" s="111"/>
      <c r="T678" s="111"/>
      <c r="U678" s="111"/>
      <c r="V678" s="111"/>
      <c r="W678" s="111"/>
      <c r="X678" s="111"/>
      <c r="Y678" s="111"/>
      <c r="Z678" s="111"/>
      <c r="AA678" s="111"/>
    </row>
    <row r="679" spans="1:27" s="118" customFormat="1" x14ac:dyDescent="0.2">
      <c r="A679" s="6"/>
      <c r="B679" s="6"/>
      <c r="C679" s="155"/>
      <c r="D679" s="2" t="s">
        <v>253</v>
      </c>
      <c r="E679" s="148"/>
      <c r="F679" s="253"/>
      <c r="G679" s="253">
        <v>5.6</v>
      </c>
      <c r="H679" s="253">
        <v>4.5999999999999996</v>
      </c>
      <c r="I679" s="249"/>
      <c r="J679" s="253">
        <f t="shared" ref="J679:J681" si="74">ROUND(PRODUCT(F679:I679),2)</f>
        <v>25.76</v>
      </c>
      <c r="K679" s="137"/>
      <c r="L679" s="137"/>
      <c r="M679" s="137"/>
      <c r="N679" s="138"/>
      <c r="O679" s="167"/>
      <c r="P679" s="111"/>
      <c r="Q679" s="111"/>
      <c r="R679" s="111"/>
      <c r="S679" s="111"/>
      <c r="T679" s="111"/>
      <c r="U679" s="111"/>
      <c r="V679" s="111"/>
      <c r="W679" s="111"/>
      <c r="X679" s="111"/>
      <c r="Y679" s="111"/>
      <c r="Z679" s="111"/>
      <c r="AA679" s="111"/>
    </row>
    <row r="680" spans="1:27" s="118" customFormat="1" x14ac:dyDescent="0.2">
      <c r="A680" s="6"/>
      <c r="B680" s="6"/>
      <c r="C680" s="155"/>
      <c r="D680" s="2" t="s">
        <v>257</v>
      </c>
      <c r="E680" s="148"/>
      <c r="F680" s="253"/>
      <c r="G680" s="253">
        <v>7.13</v>
      </c>
      <c r="H680" s="253">
        <v>5.6</v>
      </c>
      <c r="I680" s="249"/>
      <c r="J680" s="253">
        <f t="shared" si="74"/>
        <v>39.93</v>
      </c>
      <c r="K680" s="137"/>
      <c r="L680" s="137"/>
      <c r="M680" s="137"/>
      <c r="N680" s="138"/>
      <c r="O680" s="167"/>
      <c r="P680" s="111"/>
      <c r="Q680" s="111"/>
      <c r="R680" s="111"/>
      <c r="S680" s="111"/>
      <c r="T680" s="111"/>
      <c r="U680" s="111"/>
      <c r="V680" s="111"/>
      <c r="W680" s="111"/>
      <c r="X680" s="111"/>
      <c r="Y680" s="111"/>
      <c r="Z680" s="111"/>
      <c r="AA680" s="111"/>
    </row>
    <row r="681" spans="1:27" s="118" customFormat="1" x14ac:dyDescent="0.2">
      <c r="A681" s="6"/>
      <c r="B681" s="6"/>
      <c r="C681" s="155"/>
      <c r="D681" s="2" t="s">
        <v>242</v>
      </c>
      <c r="E681" s="148"/>
      <c r="F681" s="253"/>
      <c r="G681" s="253">
        <v>5.05</v>
      </c>
      <c r="H681" s="253">
        <v>6</v>
      </c>
      <c r="I681" s="249"/>
      <c r="J681" s="253">
        <f t="shared" si="74"/>
        <v>30.3</v>
      </c>
      <c r="K681" s="137"/>
      <c r="L681" s="137"/>
      <c r="M681" s="137"/>
      <c r="N681" s="138"/>
      <c r="O681" s="167"/>
      <c r="P681" s="111"/>
      <c r="Q681" s="111"/>
      <c r="R681" s="111"/>
      <c r="S681" s="111"/>
      <c r="T681" s="111"/>
      <c r="U681" s="111"/>
      <c r="V681" s="111"/>
      <c r="W681" s="111"/>
      <c r="X681" s="111"/>
      <c r="Y681" s="111"/>
      <c r="Z681" s="111"/>
      <c r="AA681" s="111"/>
    </row>
    <row r="682" spans="1:27" s="118" customFormat="1" x14ac:dyDescent="0.2">
      <c r="A682" s="6"/>
      <c r="B682" s="6"/>
      <c r="C682" s="156"/>
      <c r="D682" s="108"/>
      <c r="E682" s="148"/>
      <c r="F682" s="253"/>
      <c r="G682" s="253"/>
      <c r="H682" s="253"/>
      <c r="I682" s="246" t="str">
        <f>"Total item "&amp;A677</f>
        <v>Total item 8.5.1</v>
      </c>
      <c r="J682" s="261">
        <f>SUM(J678:J681)</f>
        <v>109.49</v>
      </c>
      <c r="K682" s="137"/>
      <c r="L682" s="137"/>
      <c r="M682" s="137"/>
      <c r="N682" s="138"/>
      <c r="O682" s="167"/>
      <c r="P682" s="111"/>
      <c r="Q682" s="111"/>
      <c r="R682" s="111"/>
      <c r="S682" s="111"/>
      <c r="T682" s="111"/>
      <c r="U682" s="111"/>
      <c r="V682" s="111"/>
      <c r="W682" s="111"/>
      <c r="X682" s="111"/>
      <c r="Y682" s="111"/>
      <c r="Z682" s="111"/>
      <c r="AA682" s="111"/>
    </row>
    <row r="683" spans="1:27" s="154" customFormat="1" x14ac:dyDescent="0.2">
      <c r="A683" s="10"/>
      <c r="B683" s="10"/>
      <c r="C683" s="15"/>
      <c r="D683" s="117"/>
      <c r="E683" s="10"/>
      <c r="F683" s="263"/>
      <c r="G683" s="263"/>
      <c r="H683" s="263"/>
      <c r="I683" s="250"/>
      <c r="J683" s="263"/>
      <c r="K683" s="151"/>
      <c r="L683" s="151"/>
      <c r="M683" s="151"/>
      <c r="N683" s="152"/>
      <c r="O683" s="283"/>
      <c r="P683" s="153"/>
      <c r="Q683" s="153"/>
      <c r="R683" s="153"/>
      <c r="S683" s="153"/>
      <c r="T683" s="153"/>
      <c r="U683" s="153"/>
      <c r="V683" s="153"/>
      <c r="W683" s="153"/>
      <c r="X683" s="153"/>
      <c r="Y683" s="153"/>
      <c r="Z683" s="153"/>
      <c r="AA683" s="153"/>
    </row>
    <row r="684" spans="1:27" s="147" customFormat="1" x14ac:dyDescent="0.2">
      <c r="A684" s="9" t="s">
        <v>778</v>
      </c>
      <c r="B684" s="9" t="s">
        <v>179</v>
      </c>
      <c r="C684" s="13" t="s">
        <v>316</v>
      </c>
      <c r="D684" s="109" t="s">
        <v>317</v>
      </c>
      <c r="E684" s="9" t="s">
        <v>9</v>
      </c>
      <c r="F684" s="261"/>
      <c r="G684" s="261"/>
      <c r="H684" s="261"/>
      <c r="I684" s="245"/>
      <c r="J684" s="261"/>
      <c r="K684" s="131">
        <f>J686</f>
        <v>315.77</v>
      </c>
      <c r="L684" s="131">
        <f>'COMPOSICOES - SINAPI COM DESON'!G18</f>
        <v>5.79</v>
      </c>
      <c r="M684" s="131">
        <f>ROUND(L684*(1+$Q$7),2)</f>
        <v>7.33</v>
      </c>
      <c r="N684" s="133">
        <f>TRUNC(K684*M684,2)</f>
        <v>2314.59</v>
      </c>
      <c r="O684" s="286"/>
      <c r="P684" s="146"/>
      <c r="Q684" s="146"/>
      <c r="R684" s="146"/>
      <c r="S684" s="146"/>
      <c r="T684" s="146"/>
      <c r="U684" s="146"/>
      <c r="V684" s="146"/>
      <c r="W684" s="146"/>
      <c r="X684" s="146"/>
      <c r="Y684" s="146"/>
      <c r="Z684" s="146"/>
      <c r="AA684" s="146"/>
    </row>
    <row r="685" spans="1:27" s="118" customFormat="1" x14ac:dyDescent="0.2">
      <c r="A685" s="6"/>
      <c r="B685" s="6"/>
      <c r="C685" s="155"/>
      <c r="D685" s="2"/>
      <c r="E685" s="148"/>
      <c r="F685" s="253"/>
      <c r="G685" s="253">
        <v>18.2</v>
      </c>
      <c r="H685" s="253">
        <v>17.350000000000001</v>
      </c>
      <c r="I685" s="246"/>
      <c r="J685" s="253">
        <f t="shared" ref="J685" si="75">ROUND(PRODUCT(F685:I685),2)</f>
        <v>315.77</v>
      </c>
      <c r="K685" s="137"/>
      <c r="L685" s="137"/>
      <c r="M685" s="137"/>
      <c r="N685" s="138"/>
      <c r="O685" s="167"/>
      <c r="P685" s="111"/>
      <c r="Q685" s="111"/>
      <c r="R685" s="111"/>
      <c r="S685" s="111"/>
      <c r="T685" s="111"/>
      <c r="U685" s="111"/>
      <c r="V685" s="111"/>
      <c r="W685" s="111"/>
      <c r="X685" s="111"/>
      <c r="Y685" s="111"/>
      <c r="Z685" s="111"/>
      <c r="AA685" s="111"/>
    </row>
    <row r="686" spans="1:27" s="118" customFormat="1" x14ac:dyDescent="0.2">
      <c r="A686" s="6"/>
      <c r="B686" s="6"/>
      <c r="C686" s="156"/>
      <c r="D686" s="108"/>
      <c r="E686" s="148"/>
      <c r="F686" s="253"/>
      <c r="G686" s="253"/>
      <c r="H686" s="253"/>
      <c r="I686" s="246" t="str">
        <f>"Total item "&amp;A684</f>
        <v>Total item 8.5.2</v>
      </c>
      <c r="J686" s="261">
        <f>SUM(J685:J685)</f>
        <v>315.77</v>
      </c>
      <c r="K686" s="137"/>
      <c r="L686" s="137"/>
      <c r="M686" s="137"/>
      <c r="N686" s="138"/>
      <c r="O686" s="167"/>
      <c r="P686" s="111"/>
      <c r="Q686" s="111"/>
      <c r="R686" s="111"/>
      <c r="S686" s="111"/>
      <c r="T686" s="111"/>
      <c r="U686" s="111"/>
      <c r="V686" s="111"/>
      <c r="W686" s="111"/>
      <c r="X686" s="111"/>
      <c r="Y686" s="111"/>
      <c r="Z686" s="111"/>
      <c r="AA686" s="111"/>
    </row>
    <row r="687" spans="1:27" s="118" customFormat="1" x14ac:dyDescent="0.2">
      <c r="A687" s="6"/>
      <c r="B687" s="6"/>
      <c r="C687" s="14"/>
      <c r="D687" s="108"/>
      <c r="E687" s="148"/>
      <c r="F687" s="253"/>
      <c r="G687" s="253"/>
      <c r="H687" s="253"/>
      <c r="I687" s="246"/>
      <c r="J687" s="262"/>
      <c r="K687" s="137"/>
      <c r="L687" s="137"/>
      <c r="M687" s="137"/>
      <c r="N687" s="138"/>
      <c r="O687" s="167"/>
      <c r="P687" s="111"/>
      <c r="Q687" s="111"/>
      <c r="R687" s="111"/>
      <c r="S687" s="111"/>
      <c r="T687" s="111"/>
      <c r="U687" s="111"/>
      <c r="V687" s="111"/>
      <c r="W687" s="111"/>
      <c r="X687" s="111"/>
      <c r="Y687" s="111"/>
      <c r="Z687" s="111"/>
      <c r="AA687" s="111"/>
    </row>
    <row r="688" spans="1:27" s="241" customFormat="1" ht="26.4" x14ac:dyDescent="0.25">
      <c r="A688" s="236" t="s">
        <v>27</v>
      </c>
      <c r="B688" s="236"/>
      <c r="C688" s="237"/>
      <c r="D688" s="289" t="s">
        <v>218</v>
      </c>
      <c r="E688" s="236"/>
      <c r="F688" s="259"/>
      <c r="G688" s="259"/>
      <c r="H688" s="259"/>
      <c r="I688" s="247"/>
      <c r="J688" s="259"/>
      <c r="K688" s="238"/>
      <c r="L688" s="238"/>
      <c r="M688" s="238"/>
      <c r="N688" s="239" t="e">
        <f>N690+N699+N709+N759+N770</f>
        <v>#VALUE!</v>
      </c>
      <c r="O688" s="284" t="e">
        <f>N688/$N$2057</f>
        <v>#VALUE!</v>
      </c>
      <c r="P688" s="240" t="s">
        <v>533</v>
      </c>
      <c r="Q688" s="240" t="s">
        <v>533</v>
      </c>
      <c r="R688" s="240"/>
      <c r="S688" s="240"/>
      <c r="T688" s="240"/>
      <c r="U688" s="240"/>
      <c r="V688" s="240"/>
      <c r="W688" s="240"/>
      <c r="X688" s="240"/>
      <c r="Y688" s="240"/>
      <c r="Z688" s="240"/>
      <c r="AA688" s="240"/>
    </row>
    <row r="689" spans="1:27" s="118" customFormat="1" x14ac:dyDescent="0.2">
      <c r="A689" s="6"/>
      <c r="B689" s="6"/>
      <c r="C689" s="155"/>
      <c r="D689" s="108"/>
      <c r="E689" s="148"/>
      <c r="F689" s="253"/>
      <c r="G689" s="253"/>
      <c r="H689" s="253"/>
      <c r="I689" s="246"/>
      <c r="J689" s="258"/>
      <c r="K689" s="137"/>
      <c r="L689" s="137"/>
      <c r="M689" s="137"/>
      <c r="N689" s="138"/>
      <c r="O689" s="167"/>
      <c r="P689" s="111"/>
      <c r="Q689" s="111"/>
      <c r="R689" s="111"/>
      <c r="S689" s="111"/>
      <c r="T689" s="111"/>
      <c r="U689" s="111"/>
      <c r="V689" s="111"/>
      <c r="W689" s="111"/>
      <c r="X689" s="111"/>
      <c r="Y689" s="111"/>
      <c r="Z689" s="111"/>
      <c r="AA689" s="111"/>
    </row>
    <row r="690" spans="1:27" s="145" customFormat="1" x14ac:dyDescent="0.2">
      <c r="A690" s="140" t="s">
        <v>178</v>
      </c>
      <c r="B690" s="140"/>
      <c r="C690" s="141"/>
      <c r="D690" s="112" t="s">
        <v>28</v>
      </c>
      <c r="E690" s="140"/>
      <c r="F690" s="260"/>
      <c r="G690" s="260"/>
      <c r="H690" s="260"/>
      <c r="I690" s="248"/>
      <c r="J690" s="260"/>
      <c r="K690" s="142"/>
      <c r="L690" s="142"/>
      <c r="M690" s="142"/>
      <c r="N690" s="143">
        <f>SUM(N692:N697)</f>
        <v>2597.46</v>
      </c>
      <c r="O690" s="285"/>
      <c r="P690" s="144"/>
      <c r="Q690" s="144"/>
      <c r="R690" s="144"/>
      <c r="S690" s="144"/>
      <c r="T690" s="144"/>
      <c r="U690" s="144"/>
      <c r="V690" s="144"/>
      <c r="W690" s="144"/>
      <c r="X690" s="144"/>
      <c r="Y690" s="144"/>
      <c r="Z690" s="144"/>
      <c r="AA690" s="144"/>
    </row>
    <row r="691" spans="1:27" s="118" customFormat="1" x14ac:dyDescent="0.2">
      <c r="A691" s="6"/>
      <c r="B691" s="6"/>
      <c r="C691" s="155"/>
      <c r="D691" s="108"/>
      <c r="E691" s="148"/>
      <c r="F691" s="253"/>
      <c r="G691" s="253"/>
      <c r="H691" s="253"/>
      <c r="I691" s="246"/>
      <c r="J691" s="258"/>
      <c r="K691" s="137"/>
      <c r="L691" s="137"/>
      <c r="M691" s="137"/>
      <c r="N691" s="138"/>
      <c r="O691" s="167"/>
      <c r="P691" s="111"/>
      <c r="Q691" s="111"/>
      <c r="R691" s="111"/>
      <c r="S691" s="111"/>
      <c r="T691" s="111"/>
      <c r="U691" s="111"/>
      <c r="V691" s="111"/>
      <c r="W691" s="111"/>
      <c r="X691" s="111"/>
      <c r="Y691" s="111"/>
      <c r="Z691" s="111"/>
      <c r="AA691" s="111"/>
    </row>
    <row r="692" spans="1:27" s="147" customFormat="1" ht="34.5" customHeight="1" x14ac:dyDescent="0.2">
      <c r="A692" s="9" t="s">
        <v>351</v>
      </c>
      <c r="B692" s="9" t="s">
        <v>163</v>
      </c>
      <c r="C692" s="13" t="s">
        <v>263</v>
      </c>
      <c r="D692" s="113" t="s">
        <v>423</v>
      </c>
      <c r="E692" s="9" t="s">
        <v>9</v>
      </c>
      <c r="F692" s="261"/>
      <c r="G692" s="261"/>
      <c r="H692" s="261"/>
      <c r="I692" s="245"/>
      <c r="J692" s="261"/>
      <c r="K692" s="131">
        <f>J697</f>
        <v>7.14</v>
      </c>
      <c r="L692" s="131">
        <v>287.51</v>
      </c>
      <c r="M692" s="131">
        <f>ROUND(L692*(1+$Q$7),2)</f>
        <v>363.79</v>
      </c>
      <c r="N692" s="133">
        <f>TRUNC(K692*M692,2)</f>
        <v>2597.46</v>
      </c>
      <c r="O692" s="286"/>
      <c r="P692" s="146"/>
      <c r="Q692" s="146"/>
      <c r="R692" s="146"/>
      <c r="S692" s="146"/>
      <c r="T692" s="146"/>
      <c r="U692" s="146"/>
      <c r="V692" s="146"/>
      <c r="W692" s="146"/>
      <c r="X692" s="146"/>
      <c r="Y692" s="146"/>
      <c r="Z692" s="146"/>
      <c r="AA692" s="146"/>
    </row>
    <row r="693" spans="1:27" s="118" customFormat="1" x14ac:dyDescent="0.2">
      <c r="A693" s="6"/>
      <c r="B693" s="6"/>
      <c r="C693" s="7"/>
      <c r="D693" s="2" t="s">
        <v>422</v>
      </c>
      <c r="E693" s="148"/>
      <c r="F693" s="253"/>
      <c r="G693" s="253">
        <v>0.9</v>
      </c>
      <c r="H693" s="253"/>
      <c r="I693" s="253">
        <v>2.1</v>
      </c>
      <c r="J693" s="253">
        <f t="shared" ref="J693:J696" si="76">ROUND(PRODUCT(F693:I693),2)</f>
        <v>1.89</v>
      </c>
      <c r="K693" s="137"/>
      <c r="L693" s="137"/>
      <c r="M693" s="137"/>
      <c r="N693" s="138"/>
      <c r="O693" s="167"/>
      <c r="P693" s="111"/>
      <c r="Q693" s="111"/>
      <c r="R693" s="111"/>
      <c r="S693" s="111"/>
      <c r="T693" s="111"/>
      <c r="U693" s="111"/>
      <c r="V693" s="111"/>
      <c r="W693" s="111"/>
      <c r="X693" s="111"/>
      <c r="Y693" s="111"/>
      <c r="Z693" s="111"/>
      <c r="AA693" s="111"/>
    </row>
    <row r="694" spans="1:27" s="118" customFormat="1" x14ac:dyDescent="0.2">
      <c r="A694" s="6"/>
      <c r="B694" s="6"/>
      <c r="C694" s="7"/>
      <c r="D694" s="2" t="s">
        <v>459</v>
      </c>
      <c r="E694" s="148"/>
      <c r="F694" s="253"/>
      <c r="G694" s="253">
        <v>0.9</v>
      </c>
      <c r="H694" s="253"/>
      <c r="I694" s="253">
        <v>2.1</v>
      </c>
      <c r="J694" s="253">
        <f t="shared" si="76"/>
        <v>1.89</v>
      </c>
      <c r="K694" s="137"/>
      <c r="L694" s="137"/>
      <c r="M694" s="137"/>
      <c r="N694" s="138"/>
      <c r="O694" s="167"/>
      <c r="P694" s="111"/>
      <c r="Q694" s="111"/>
      <c r="R694" s="111"/>
      <c r="S694" s="111"/>
      <c r="T694" s="111"/>
      <c r="U694" s="111"/>
      <c r="V694" s="111"/>
      <c r="W694" s="111"/>
      <c r="X694" s="111"/>
      <c r="Y694" s="111"/>
      <c r="Z694" s="111"/>
      <c r="AA694" s="111"/>
    </row>
    <row r="695" spans="1:27" s="118" customFormat="1" x14ac:dyDescent="0.2">
      <c r="A695" s="6"/>
      <c r="B695" s="6"/>
      <c r="C695" s="7"/>
      <c r="D695" s="2" t="s">
        <v>346</v>
      </c>
      <c r="E695" s="148"/>
      <c r="F695" s="253"/>
      <c r="G695" s="253">
        <v>0.8</v>
      </c>
      <c r="H695" s="253"/>
      <c r="I695" s="253">
        <v>2.1</v>
      </c>
      <c r="J695" s="253">
        <f t="shared" si="76"/>
        <v>1.68</v>
      </c>
      <c r="K695" s="137"/>
      <c r="L695" s="137"/>
      <c r="M695" s="137"/>
      <c r="N695" s="138"/>
      <c r="O695" s="167"/>
      <c r="P695" s="111"/>
      <c r="Q695" s="111"/>
      <c r="R695" s="111"/>
      <c r="S695" s="111"/>
      <c r="T695" s="111"/>
      <c r="U695" s="111"/>
      <c r="V695" s="111"/>
      <c r="W695" s="111"/>
      <c r="X695" s="111"/>
      <c r="Y695" s="111"/>
      <c r="Z695" s="111"/>
      <c r="AA695" s="111"/>
    </row>
    <row r="696" spans="1:27" s="118" customFormat="1" x14ac:dyDescent="0.2">
      <c r="A696" s="6"/>
      <c r="B696" s="6"/>
      <c r="C696" s="7"/>
      <c r="D696" s="2" t="s">
        <v>345</v>
      </c>
      <c r="E696" s="148"/>
      <c r="F696" s="253"/>
      <c r="G696" s="253">
        <v>0.8</v>
      </c>
      <c r="H696" s="253"/>
      <c r="I696" s="253">
        <v>2.1</v>
      </c>
      <c r="J696" s="253">
        <f t="shared" si="76"/>
        <v>1.68</v>
      </c>
      <c r="K696" s="137"/>
      <c r="L696" s="137"/>
      <c r="M696" s="137"/>
      <c r="N696" s="138"/>
      <c r="O696" s="167"/>
      <c r="P696" s="111"/>
      <c r="Q696" s="111"/>
      <c r="R696" s="111"/>
      <c r="S696" s="111"/>
      <c r="T696" s="111"/>
      <c r="U696" s="111"/>
      <c r="V696" s="111"/>
      <c r="W696" s="111"/>
      <c r="X696" s="111"/>
      <c r="Y696" s="111"/>
      <c r="Z696" s="111"/>
      <c r="AA696" s="111"/>
    </row>
    <row r="697" spans="1:27" s="118" customFormat="1" x14ac:dyDescent="0.2">
      <c r="A697" s="6"/>
      <c r="B697" s="6"/>
      <c r="C697" s="7"/>
      <c r="D697" s="149"/>
      <c r="E697" s="148"/>
      <c r="F697" s="253"/>
      <c r="G697" s="253"/>
      <c r="H697" s="253"/>
      <c r="I697" s="246" t="str">
        <f>"Total item "&amp;A692</f>
        <v>Total item 9.1.1</v>
      </c>
      <c r="J697" s="261">
        <f>SUM(J693:J696)</f>
        <v>7.14</v>
      </c>
      <c r="K697" s="137"/>
      <c r="L697" s="137"/>
      <c r="M697" s="137"/>
      <c r="N697" s="138"/>
      <c r="O697" s="167"/>
      <c r="P697" s="111"/>
      <c r="Q697" s="111"/>
      <c r="R697" s="111"/>
      <c r="S697" s="111"/>
      <c r="T697" s="111"/>
      <c r="U697" s="111"/>
      <c r="V697" s="111"/>
      <c r="W697" s="111"/>
      <c r="X697" s="111"/>
      <c r="Y697" s="111"/>
      <c r="Z697" s="111"/>
      <c r="AA697" s="111"/>
    </row>
    <row r="698" spans="1:27" s="118" customFormat="1" x14ac:dyDescent="0.2">
      <c r="A698" s="6"/>
      <c r="B698" s="6"/>
      <c r="C698" s="7"/>
      <c r="D698" s="3"/>
      <c r="E698" s="148"/>
      <c r="F698" s="253"/>
      <c r="G698" s="253"/>
      <c r="H698" s="253"/>
      <c r="I698" s="249"/>
      <c r="J698" s="253"/>
      <c r="K698" s="137"/>
      <c r="L698" s="137"/>
      <c r="M698" s="137"/>
      <c r="N698" s="138"/>
      <c r="O698" s="167"/>
      <c r="P698" s="111"/>
      <c r="Q698" s="111"/>
      <c r="R698" s="111"/>
      <c r="S698" s="111"/>
      <c r="T698" s="111"/>
      <c r="U698" s="111"/>
      <c r="V698" s="111"/>
      <c r="W698" s="111"/>
      <c r="X698" s="111"/>
      <c r="Y698" s="111"/>
      <c r="Z698" s="111"/>
      <c r="AA698" s="111"/>
    </row>
    <row r="699" spans="1:27" s="145" customFormat="1" x14ac:dyDescent="0.2">
      <c r="A699" s="140" t="s">
        <v>181</v>
      </c>
      <c r="B699" s="140"/>
      <c r="C699" s="141"/>
      <c r="D699" s="112" t="s">
        <v>29</v>
      </c>
      <c r="E699" s="140"/>
      <c r="F699" s="260"/>
      <c r="G699" s="260"/>
      <c r="H699" s="260"/>
      <c r="I699" s="248"/>
      <c r="J699" s="260"/>
      <c r="K699" s="142"/>
      <c r="L699" s="142"/>
      <c r="M699" s="142"/>
      <c r="N699" s="143">
        <f>SUM(N701:N706)</f>
        <v>242.47</v>
      </c>
      <c r="O699" s="285"/>
      <c r="P699" s="144"/>
      <c r="Q699" s="144"/>
      <c r="R699" s="144"/>
      <c r="S699" s="144"/>
      <c r="T699" s="144"/>
      <c r="U699" s="144"/>
      <c r="V699" s="144"/>
      <c r="W699" s="144"/>
      <c r="X699" s="144"/>
      <c r="Y699" s="144"/>
      <c r="Z699" s="144"/>
      <c r="AA699" s="144"/>
    </row>
    <row r="700" spans="1:27" s="118" customFormat="1" x14ac:dyDescent="0.2">
      <c r="A700" s="6"/>
      <c r="B700" s="6"/>
      <c r="C700" s="155"/>
      <c r="D700" s="108"/>
      <c r="E700" s="148"/>
      <c r="F700" s="253"/>
      <c r="G700" s="253"/>
      <c r="H700" s="253"/>
      <c r="I700" s="246"/>
      <c r="J700" s="258"/>
      <c r="K700" s="137"/>
      <c r="L700" s="137"/>
      <c r="M700" s="137"/>
      <c r="N700" s="138"/>
      <c r="O700" s="167"/>
      <c r="P700" s="111"/>
      <c r="Q700" s="111"/>
      <c r="R700" s="111"/>
      <c r="S700" s="111"/>
      <c r="T700" s="111"/>
      <c r="U700" s="111"/>
      <c r="V700" s="111"/>
      <c r="W700" s="111"/>
      <c r="X700" s="111"/>
      <c r="Y700" s="111"/>
      <c r="Z700" s="111"/>
      <c r="AA700" s="111"/>
    </row>
    <row r="701" spans="1:27" s="147" customFormat="1" ht="40.799999999999997" x14ac:dyDescent="0.2">
      <c r="A701" s="9" t="s">
        <v>352</v>
      </c>
      <c r="B701" s="13" t="s">
        <v>163</v>
      </c>
      <c r="C701" s="13" t="s">
        <v>176</v>
      </c>
      <c r="D701" s="113" t="s">
        <v>269</v>
      </c>
      <c r="E701" s="1" t="s">
        <v>9</v>
      </c>
      <c r="F701" s="261"/>
      <c r="G701" s="261"/>
      <c r="H701" s="261"/>
      <c r="I701" s="245"/>
      <c r="J701" s="261"/>
      <c r="K701" s="131">
        <f>J707</f>
        <v>14.28</v>
      </c>
      <c r="L701" s="131">
        <v>13.42</v>
      </c>
      <c r="M701" s="131">
        <f>ROUND(L701*(1+$Q$7),2)</f>
        <v>16.98</v>
      </c>
      <c r="N701" s="133">
        <f>TRUNC(K701*M701,2)</f>
        <v>242.47</v>
      </c>
      <c r="O701" s="286"/>
      <c r="P701" s="146"/>
      <c r="Q701" s="146"/>
      <c r="R701" s="146"/>
      <c r="S701" s="146"/>
      <c r="T701" s="146"/>
      <c r="U701" s="146"/>
      <c r="V701" s="146"/>
      <c r="W701" s="146"/>
      <c r="X701" s="146"/>
      <c r="Y701" s="146"/>
      <c r="Z701" s="146"/>
      <c r="AA701" s="146"/>
    </row>
    <row r="702" spans="1:27" s="118" customFormat="1" x14ac:dyDescent="0.2">
      <c r="A702" s="6"/>
      <c r="B702" s="6"/>
      <c r="C702" s="155"/>
      <c r="D702" s="3" t="s">
        <v>270</v>
      </c>
      <c r="E702" s="148"/>
      <c r="F702" s="253"/>
      <c r="G702" s="253"/>
      <c r="H702" s="253"/>
      <c r="I702" s="249"/>
      <c r="J702" s="253"/>
      <c r="K702" s="137"/>
      <c r="L702" s="137"/>
      <c r="M702" s="137"/>
      <c r="N702" s="138"/>
      <c r="O702" s="167"/>
      <c r="P702" s="111"/>
      <c r="Q702" s="111"/>
      <c r="R702" s="111"/>
      <c r="S702" s="111"/>
      <c r="T702" s="111"/>
      <c r="U702" s="111"/>
      <c r="V702" s="111"/>
      <c r="W702" s="111"/>
      <c r="X702" s="111"/>
      <c r="Y702" s="111"/>
      <c r="Z702" s="111"/>
      <c r="AA702" s="111"/>
    </row>
    <row r="703" spans="1:27" s="118" customFormat="1" x14ac:dyDescent="0.2">
      <c r="A703" s="6"/>
      <c r="B703" s="6"/>
      <c r="C703" s="7"/>
      <c r="D703" s="2" t="s">
        <v>422</v>
      </c>
      <c r="E703" s="148"/>
      <c r="F703" s="253">
        <v>2</v>
      </c>
      <c r="G703" s="253">
        <v>0.9</v>
      </c>
      <c r="H703" s="253"/>
      <c r="I703" s="253">
        <v>2.1</v>
      </c>
      <c r="J703" s="253">
        <f t="shared" ref="J703:J706" si="77">ROUND(PRODUCT(F703:I703),2)</f>
        <v>3.78</v>
      </c>
      <c r="K703" s="137"/>
      <c r="L703" s="137"/>
      <c r="M703" s="137"/>
      <c r="N703" s="138"/>
      <c r="O703" s="167"/>
      <c r="P703" s="111"/>
      <c r="Q703" s="111"/>
      <c r="R703" s="111"/>
      <c r="S703" s="111"/>
      <c r="T703" s="111"/>
      <c r="U703" s="111"/>
      <c r="V703" s="111"/>
      <c r="W703" s="111"/>
      <c r="X703" s="111"/>
      <c r="Y703" s="111"/>
      <c r="Z703" s="111"/>
      <c r="AA703" s="111"/>
    </row>
    <row r="704" spans="1:27" s="118" customFormat="1" x14ac:dyDescent="0.2">
      <c r="A704" s="6"/>
      <c r="B704" s="6"/>
      <c r="C704" s="7"/>
      <c r="D704" s="2" t="s">
        <v>459</v>
      </c>
      <c r="E704" s="148"/>
      <c r="F704" s="253">
        <v>2</v>
      </c>
      <c r="G704" s="253">
        <v>0.9</v>
      </c>
      <c r="H704" s="253"/>
      <c r="I704" s="253">
        <v>2.1</v>
      </c>
      <c r="J704" s="253">
        <f t="shared" si="77"/>
        <v>3.78</v>
      </c>
      <c r="K704" s="137"/>
      <c r="L704" s="137"/>
      <c r="M704" s="137"/>
      <c r="N704" s="138"/>
      <c r="O704" s="167"/>
      <c r="P704" s="111"/>
      <c r="Q704" s="111"/>
      <c r="R704" s="111"/>
      <c r="S704" s="111"/>
      <c r="T704" s="111"/>
      <c r="U704" s="111"/>
      <c r="V704" s="111"/>
      <c r="W704" s="111"/>
      <c r="X704" s="111"/>
      <c r="Y704" s="111"/>
      <c r="Z704" s="111"/>
      <c r="AA704" s="111"/>
    </row>
    <row r="705" spans="1:27" s="118" customFormat="1" x14ac:dyDescent="0.2">
      <c r="A705" s="6"/>
      <c r="B705" s="6"/>
      <c r="C705" s="7"/>
      <c r="D705" s="2" t="s">
        <v>346</v>
      </c>
      <c r="E705" s="148"/>
      <c r="F705" s="253">
        <v>2</v>
      </c>
      <c r="G705" s="253">
        <v>0.8</v>
      </c>
      <c r="H705" s="253"/>
      <c r="I705" s="253">
        <v>2.1</v>
      </c>
      <c r="J705" s="253">
        <f t="shared" si="77"/>
        <v>3.36</v>
      </c>
      <c r="K705" s="137"/>
      <c r="L705" s="137"/>
      <c r="M705" s="137"/>
      <c r="N705" s="138"/>
      <c r="O705" s="167"/>
      <c r="P705" s="111"/>
      <c r="Q705" s="111"/>
      <c r="R705" s="111"/>
      <c r="S705" s="111"/>
      <c r="T705" s="111"/>
      <c r="U705" s="111"/>
      <c r="V705" s="111"/>
      <c r="W705" s="111"/>
      <c r="X705" s="111"/>
      <c r="Y705" s="111"/>
      <c r="Z705" s="111"/>
      <c r="AA705" s="111"/>
    </row>
    <row r="706" spans="1:27" s="118" customFormat="1" x14ac:dyDescent="0.2">
      <c r="A706" s="6"/>
      <c r="B706" s="6"/>
      <c r="C706" s="7"/>
      <c r="D706" s="2" t="s">
        <v>345</v>
      </c>
      <c r="E706" s="148"/>
      <c r="F706" s="253">
        <v>2</v>
      </c>
      <c r="G706" s="253">
        <v>0.8</v>
      </c>
      <c r="H706" s="253"/>
      <c r="I706" s="253">
        <v>2.1</v>
      </c>
      <c r="J706" s="253">
        <f t="shared" si="77"/>
        <v>3.36</v>
      </c>
      <c r="K706" s="137"/>
      <c r="L706" s="137"/>
      <c r="M706" s="137"/>
      <c r="N706" s="138"/>
      <c r="O706" s="167"/>
      <c r="P706" s="111"/>
      <c r="Q706" s="111"/>
      <c r="R706" s="111"/>
      <c r="S706" s="111"/>
      <c r="T706" s="111"/>
      <c r="U706" s="111"/>
      <c r="V706" s="111"/>
      <c r="W706" s="111"/>
      <c r="X706" s="111"/>
      <c r="Y706" s="111"/>
      <c r="Z706" s="111"/>
      <c r="AA706" s="111"/>
    </row>
    <row r="707" spans="1:27" s="118" customFormat="1" x14ac:dyDescent="0.2">
      <c r="A707" s="6"/>
      <c r="B707" s="6"/>
      <c r="C707" s="156"/>
      <c r="D707" s="108"/>
      <c r="E707" s="148"/>
      <c r="F707" s="253"/>
      <c r="G707" s="253"/>
      <c r="H707" s="253"/>
      <c r="I707" s="246" t="str">
        <f>"Total item "&amp;A701</f>
        <v>Total item 9.2.1</v>
      </c>
      <c r="J707" s="261">
        <f>SUM(J703:J706)</f>
        <v>14.28</v>
      </c>
      <c r="K707" s="137"/>
      <c r="L707" s="137"/>
      <c r="M707" s="137"/>
      <c r="N707" s="138"/>
      <c r="O707" s="167"/>
      <c r="P707" s="111"/>
      <c r="Q707" s="111"/>
      <c r="R707" s="111"/>
      <c r="S707" s="111"/>
      <c r="T707" s="111"/>
      <c r="U707" s="111"/>
      <c r="V707" s="111"/>
      <c r="W707" s="111"/>
      <c r="X707" s="111"/>
      <c r="Y707" s="111"/>
      <c r="Z707" s="111"/>
      <c r="AA707" s="111"/>
    </row>
    <row r="708" spans="1:27" s="118" customFormat="1" x14ac:dyDescent="0.2">
      <c r="A708" s="6"/>
      <c r="B708" s="6"/>
      <c r="C708" s="156"/>
      <c r="D708" s="108"/>
      <c r="E708" s="148"/>
      <c r="F708" s="253"/>
      <c r="G708" s="253"/>
      <c r="H708" s="253"/>
      <c r="I708" s="246"/>
      <c r="J708" s="246"/>
      <c r="K708" s="137"/>
      <c r="L708" s="137"/>
      <c r="M708" s="137"/>
      <c r="N708" s="138"/>
      <c r="O708" s="167"/>
      <c r="P708" s="111"/>
      <c r="Q708" s="111"/>
      <c r="R708" s="111"/>
      <c r="S708" s="111"/>
      <c r="T708" s="111"/>
      <c r="U708" s="111"/>
      <c r="V708" s="111"/>
      <c r="W708" s="111"/>
      <c r="X708" s="111"/>
      <c r="Y708" s="111"/>
      <c r="Z708" s="111"/>
      <c r="AA708" s="111"/>
    </row>
    <row r="709" spans="1:27" s="145" customFormat="1" x14ac:dyDescent="0.2">
      <c r="A709" s="140" t="s">
        <v>182</v>
      </c>
      <c r="B709" s="140"/>
      <c r="C709" s="141"/>
      <c r="D709" s="112" t="s">
        <v>30</v>
      </c>
      <c r="E709" s="140"/>
      <c r="F709" s="260"/>
      <c r="G709" s="260"/>
      <c r="H709" s="260"/>
      <c r="I709" s="248"/>
      <c r="J709" s="260"/>
      <c r="K709" s="142"/>
      <c r="L709" s="142"/>
      <c r="M709" s="142"/>
      <c r="N709" s="143" t="e">
        <f>SUM(N711:N758)</f>
        <v>#VALUE!</v>
      </c>
      <c r="O709" s="285"/>
      <c r="P709" s="144"/>
      <c r="Q709" s="144"/>
      <c r="R709" s="144"/>
      <c r="S709" s="144"/>
      <c r="T709" s="144"/>
      <c r="U709" s="144"/>
      <c r="V709" s="144"/>
      <c r="W709" s="144"/>
      <c r="X709" s="144"/>
      <c r="Y709" s="144"/>
      <c r="Z709" s="144"/>
      <c r="AA709" s="144"/>
    </row>
    <row r="710" spans="1:27" s="118" customFormat="1" x14ac:dyDescent="0.2">
      <c r="A710" s="6"/>
      <c r="B710" s="6"/>
      <c r="C710" s="155"/>
      <c r="D710" s="108"/>
      <c r="E710" s="148"/>
      <c r="F710" s="253"/>
      <c r="G710" s="253"/>
      <c r="H710" s="253"/>
      <c r="I710" s="246"/>
      <c r="J710" s="258"/>
      <c r="K710" s="137"/>
      <c r="L710" s="137"/>
      <c r="M710" s="137"/>
      <c r="N710" s="138"/>
      <c r="O710" s="167"/>
      <c r="P710" s="111"/>
      <c r="Q710" s="111"/>
      <c r="R710" s="111"/>
      <c r="S710" s="111"/>
      <c r="T710" s="111"/>
      <c r="U710" s="111"/>
      <c r="V710" s="111"/>
      <c r="W710" s="111"/>
      <c r="X710" s="111"/>
      <c r="Y710" s="111"/>
      <c r="Z710" s="111"/>
      <c r="AA710" s="111"/>
    </row>
    <row r="711" spans="1:27" s="147" customFormat="1" ht="33" customHeight="1" x14ac:dyDescent="0.2">
      <c r="A711" s="9" t="s">
        <v>353</v>
      </c>
      <c r="B711" s="9" t="s">
        <v>179</v>
      </c>
      <c r="C711" s="13" t="s">
        <v>672</v>
      </c>
      <c r="D711" s="113" t="s">
        <v>567</v>
      </c>
      <c r="E711" s="9" t="s">
        <v>33</v>
      </c>
      <c r="F711" s="261"/>
      <c r="G711" s="261"/>
      <c r="H711" s="261"/>
      <c r="I711" s="245"/>
      <c r="J711" s="261"/>
      <c r="K711" s="131">
        <f>J713</f>
        <v>2</v>
      </c>
      <c r="L711" s="131">
        <f>'COMPOSICOES - SINAPI COM DESON'!G50</f>
        <v>104.48</v>
      </c>
      <c r="M711" s="131">
        <f>ROUND(L711*(1+$Q$7),2)</f>
        <v>132.19999999999999</v>
      </c>
      <c r="N711" s="133">
        <f>TRUNC(K711*M711,2)</f>
        <v>264.39999999999998</v>
      </c>
      <c r="O711" s="286"/>
      <c r="P711" s="146"/>
      <c r="Q711" s="146"/>
      <c r="R711" s="146"/>
      <c r="S711" s="146"/>
      <c r="T711" s="146"/>
      <c r="U711" s="146"/>
      <c r="V711" s="146"/>
      <c r="W711" s="146"/>
      <c r="X711" s="146"/>
      <c r="Y711" s="146"/>
      <c r="Z711" s="146"/>
      <c r="AA711" s="146"/>
    </row>
    <row r="712" spans="1:27" s="174" customFormat="1" x14ac:dyDescent="0.2">
      <c r="A712" s="170"/>
      <c r="B712" s="170"/>
      <c r="C712" s="171"/>
      <c r="D712" s="2" t="s">
        <v>63</v>
      </c>
      <c r="E712" s="170"/>
      <c r="F712" s="253">
        <v>2</v>
      </c>
      <c r="G712" s="253"/>
      <c r="H712" s="253"/>
      <c r="I712" s="249"/>
      <c r="J712" s="253">
        <f t="shared" ref="J712" si="78">ROUND(PRODUCT(F712:I712),2)</f>
        <v>2</v>
      </c>
      <c r="K712" s="172"/>
      <c r="L712" s="172"/>
      <c r="M712" s="172"/>
      <c r="N712" s="173"/>
      <c r="O712" s="287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3"/>
    </row>
    <row r="713" spans="1:27" s="174" customFormat="1" x14ac:dyDescent="0.2">
      <c r="A713" s="170"/>
      <c r="B713" s="170"/>
      <c r="C713" s="171"/>
      <c r="D713" s="175"/>
      <c r="E713" s="176"/>
      <c r="F713" s="264"/>
      <c r="G713" s="264"/>
      <c r="H713" s="264"/>
      <c r="I713" s="251" t="str">
        <f>"Total item "&amp;A711</f>
        <v>Total item 9.3.1</v>
      </c>
      <c r="J713" s="261">
        <f>SUM(J712:J712)</f>
        <v>2</v>
      </c>
      <c r="K713" s="172"/>
      <c r="L713" s="172"/>
      <c r="M713" s="172"/>
      <c r="N713" s="173"/>
      <c r="O713" s="287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3"/>
    </row>
    <row r="714" spans="1:27" s="183" customFormat="1" x14ac:dyDescent="0.2">
      <c r="A714" s="170"/>
      <c r="B714" s="170"/>
      <c r="C714" s="171"/>
      <c r="D714" s="175"/>
      <c r="E714" s="180"/>
      <c r="F714" s="265"/>
      <c r="G714" s="265"/>
      <c r="H714" s="265"/>
      <c r="I714" s="252"/>
      <c r="J714" s="266"/>
      <c r="K714" s="181"/>
      <c r="L714" s="181"/>
      <c r="M714" s="181"/>
      <c r="N714" s="182"/>
      <c r="O714" s="287"/>
      <c r="P714" s="121"/>
      <c r="Q714" s="121"/>
      <c r="R714" s="121"/>
      <c r="S714" s="121"/>
      <c r="T714" s="121"/>
      <c r="U714" s="121"/>
      <c r="V714" s="121"/>
      <c r="W714" s="121"/>
      <c r="X714" s="121"/>
      <c r="Y714" s="121"/>
      <c r="Z714" s="121"/>
      <c r="AA714" s="121"/>
    </row>
    <row r="715" spans="1:27" s="147" customFormat="1" ht="61.2" x14ac:dyDescent="0.2">
      <c r="A715" s="9" t="s">
        <v>779</v>
      </c>
      <c r="B715" s="9" t="s">
        <v>179</v>
      </c>
      <c r="C715" s="13" t="s">
        <v>417</v>
      </c>
      <c r="D715" s="113" t="s">
        <v>561</v>
      </c>
      <c r="E715" s="9" t="s">
        <v>31</v>
      </c>
      <c r="F715" s="261"/>
      <c r="G715" s="261"/>
      <c r="H715" s="261"/>
      <c r="I715" s="245"/>
      <c r="J715" s="261"/>
      <c r="K715" s="131">
        <f>J719</f>
        <v>5</v>
      </c>
      <c r="L715" s="131" t="e">
        <f>'COMPOSICOES - SINAPI COM DESON'!G36</f>
        <v>#VALUE!</v>
      </c>
      <c r="M715" s="131" t="e">
        <f>ROUND(L715*(1+$Q$7),2)</f>
        <v>#VALUE!</v>
      </c>
      <c r="N715" s="133" t="e">
        <f>TRUNC(K715*M715,2)</f>
        <v>#VALUE!</v>
      </c>
      <c r="O715" s="286"/>
      <c r="P715" s="146"/>
      <c r="Q715" s="146"/>
      <c r="R715" s="146"/>
      <c r="S715" s="146"/>
      <c r="T715" s="146"/>
      <c r="U715" s="146"/>
      <c r="V715" s="146"/>
      <c r="W715" s="146"/>
      <c r="X715" s="146"/>
      <c r="Y715" s="146"/>
      <c r="Z715" s="146"/>
      <c r="AA715" s="146"/>
    </row>
    <row r="716" spans="1:27" s="118" customFormat="1" x14ac:dyDescent="0.2">
      <c r="A716" s="6"/>
      <c r="B716" s="6"/>
      <c r="C716" s="155"/>
      <c r="D716" s="2" t="s">
        <v>459</v>
      </c>
      <c r="E716" s="148"/>
      <c r="F716" s="253">
        <v>2</v>
      </c>
      <c r="G716" s="253"/>
      <c r="H716" s="253"/>
      <c r="I716" s="246"/>
      <c r="J716" s="253">
        <f t="shared" ref="J716:J718" si="79">ROUND(PRODUCT(F716:I716),2)</f>
        <v>2</v>
      </c>
      <c r="K716" s="137"/>
      <c r="L716" s="137"/>
      <c r="M716" s="137"/>
      <c r="N716" s="138"/>
      <c r="O716" s="167"/>
      <c r="P716" s="111"/>
      <c r="Q716" s="111"/>
      <c r="R716" s="111"/>
      <c r="S716" s="111"/>
      <c r="T716" s="111"/>
      <c r="U716" s="111"/>
      <c r="V716" s="111"/>
      <c r="W716" s="111"/>
      <c r="X716" s="111"/>
      <c r="Y716" s="111"/>
      <c r="Z716" s="111"/>
      <c r="AA716" s="111"/>
    </row>
    <row r="717" spans="1:27" s="118" customFormat="1" x14ac:dyDescent="0.2">
      <c r="A717" s="6"/>
      <c r="B717" s="6"/>
      <c r="C717" s="155"/>
      <c r="D717" s="2" t="s">
        <v>461</v>
      </c>
      <c r="E717" s="148"/>
      <c r="F717" s="253">
        <v>2</v>
      </c>
      <c r="G717" s="253"/>
      <c r="H717" s="253"/>
      <c r="I717" s="246"/>
      <c r="J717" s="253">
        <f t="shared" si="79"/>
        <v>2</v>
      </c>
      <c r="K717" s="137"/>
      <c r="L717" s="137"/>
      <c r="M717" s="137"/>
      <c r="N717" s="138"/>
      <c r="O717" s="167"/>
      <c r="P717" s="111"/>
      <c r="Q717" s="111"/>
      <c r="R717" s="111"/>
      <c r="S717" s="111"/>
      <c r="T717" s="111"/>
      <c r="U717" s="111"/>
      <c r="V717" s="111"/>
      <c r="W717" s="111"/>
      <c r="X717" s="111"/>
      <c r="Y717" s="111"/>
      <c r="Z717" s="111"/>
      <c r="AA717" s="111"/>
    </row>
    <row r="718" spans="1:27" s="118" customFormat="1" x14ac:dyDescent="0.2">
      <c r="A718" s="6"/>
      <c r="B718" s="6"/>
      <c r="C718" s="155"/>
      <c r="D718" s="2" t="s">
        <v>259</v>
      </c>
      <c r="E718" s="148"/>
      <c r="F718" s="253">
        <v>1</v>
      </c>
      <c r="G718" s="253"/>
      <c r="H718" s="253"/>
      <c r="I718" s="246"/>
      <c r="J718" s="253">
        <f t="shared" si="79"/>
        <v>1</v>
      </c>
      <c r="K718" s="137"/>
      <c r="L718" s="137"/>
      <c r="M718" s="137"/>
      <c r="N718" s="138"/>
      <c r="O718" s="167"/>
      <c r="P718" s="111"/>
      <c r="Q718" s="111"/>
      <c r="R718" s="111"/>
      <c r="S718" s="111"/>
      <c r="T718" s="111"/>
      <c r="U718" s="111"/>
      <c r="V718" s="111"/>
      <c r="W718" s="111"/>
      <c r="X718" s="111"/>
      <c r="Y718" s="111"/>
      <c r="Z718" s="111"/>
      <c r="AA718" s="111"/>
    </row>
    <row r="719" spans="1:27" s="118" customFormat="1" x14ac:dyDescent="0.2">
      <c r="A719" s="6"/>
      <c r="B719" s="6"/>
      <c r="C719" s="156"/>
      <c r="D719" s="108"/>
      <c r="E719" s="148"/>
      <c r="F719" s="253"/>
      <c r="G719" s="253"/>
      <c r="H719" s="253"/>
      <c r="I719" s="246" t="str">
        <f>"Total item "&amp;A715</f>
        <v>Total item 9.3.2</v>
      </c>
      <c r="J719" s="261">
        <f>SUM(J716:J718)</f>
        <v>5</v>
      </c>
      <c r="K719" s="137"/>
      <c r="L719" s="137"/>
      <c r="M719" s="137"/>
      <c r="N719" s="138"/>
      <c r="O719" s="167"/>
      <c r="P719" s="111"/>
      <c r="Q719" s="111"/>
      <c r="R719" s="111"/>
      <c r="S719" s="111"/>
      <c r="T719" s="111"/>
      <c r="U719" s="111"/>
      <c r="V719" s="111"/>
      <c r="W719" s="111"/>
      <c r="X719" s="111"/>
      <c r="Y719" s="111"/>
      <c r="Z719" s="111"/>
      <c r="AA719" s="111"/>
    </row>
    <row r="720" spans="1:27" s="139" customFormat="1" x14ac:dyDescent="0.2">
      <c r="A720" s="6"/>
      <c r="B720" s="6"/>
      <c r="C720" s="7"/>
      <c r="D720" s="116"/>
      <c r="E720" s="6"/>
      <c r="F720" s="258"/>
      <c r="G720" s="258"/>
      <c r="H720" s="258"/>
      <c r="I720" s="246"/>
      <c r="J720" s="258"/>
      <c r="K720" s="137"/>
      <c r="L720" s="137"/>
      <c r="M720" s="137"/>
      <c r="N720" s="138"/>
      <c r="O720" s="283"/>
      <c r="P720" s="120"/>
      <c r="Q720" s="120"/>
      <c r="R720" s="120"/>
      <c r="S720" s="120"/>
      <c r="T720" s="120"/>
      <c r="U720" s="120"/>
      <c r="V720" s="120"/>
      <c r="W720" s="120"/>
      <c r="X720" s="120"/>
      <c r="Y720" s="120"/>
      <c r="Z720" s="120"/>
      <c r="AA720" s="120"/>
    </row>
    <row r="721" spans="1:27" s="147" customFormat="1" ht="51" x14ac:dyDescent="0.2">
      <c r="A721" s="9" t="s">
        <v>780</v>
      </c>
      <c r="B721" s="9" t="s">
        <v>163</v>
      </c>
      <c r="C721" s="13" t="s">
        <v>244</v>
      </c>
      <c r="D721" s="113" t="s">
        <v>245</v>
      </c>
      <c r="E721" s="9" t="s">
        <v>31</v>
      </c>
      <c r="F721" s="261"/>
      <c r="G721" s="261"/>
      <c r="H721" s="261"/>
      <c r="I721" s="245"/>
      <c r="J721" s="261"/>
      <c r="K721" s="131">
        <f>J725</f>
        <v>8</v>
      </c>
      <c r="L721" s="131">
        <v>116.08</v>
      </c>
      <c r="M721" s="131">
        <f>ROUND(L721*(1+$Q$7),2)</f>
        <v>146.88</v>
      </c>
      <c r="N721" s="133">
        <f>TRUNC(K721*M721,2)</f>
        <v>1175.04</v>
      </c>
      <c r="O721" s="286"/>
      <c r="P721" s="146"/>
      <c r="Q721" s="146"/>
      <c r="R721" s="146"/>
      <c r="S721" s="146"/>
      <c r="T721" s="146"/>
      <c r="U721" s="146"/>
      <c r="V721" s="146"/>
      <c r="W721" s="146"/>
      <c r="X721" s="146"/>
      <c r="Y721" s="146"/>
      <c r="Z721" s="146"/>
      <c r="AA721" s="146"/>
    </row>
    <row r="722" spans="1:27" s="118" customFormat="1" x14ac:dyDescent="0.2">
      <c r="A722" s="6"/>
      <c r="B722" s="6"/>
      <c r="C722" s="155"/>
      <c r="D722" s="2" t="s">
        <v>424</v>
      </c>
      <c r="E722" s="148"/>
      <c r="F722" s="253">
        <v>3</v>
      </c>
      <c r="G722" s="253"/>
      <c r="H722" s="253"/>
      <c r="I722" s="246"/>
      <c r="J722" s="253">
        <f t="shared" ref="J722:J724" si="80">ROUND(PRODUCT(F722:I722),2)</f>
        <v>3</v>
      </c>
      <c r="K722" s="137"/>
      <c r="L722" s="137"/>
      <c r="M722" s="137"/>
      <c r="N722" s="138"/>
      <c r="O722" s="167"/>
      <c r="P722" s="111"/>
      <c r="Q722" s="111"/>
      <c r="R722" s="111"/>
      <c r="S722" s="111"/>
      <c r="T722" s="111"/>
      <c r="U722" s="111"/>
      <c r="V722" s="111"/>
      <c r="W722" s="111"/>
      <c r="X722" s="111"/>
      <c r="Y722" s="111"/>
      <c r="Z722" s="111"/>
      <c r="AA722" s="111"/>
    </row>
    <row r="723" spans="1:27" s="118" customFormat="1" x14ac:dyDescent="0.2">
      <c r="A723" s="6"/>
      <c r="B723" s="6"/>
      <c r="C723" s="155"/>
      <c r="D723" s="2" t="s">
        <v>256</v>
      </c>
      <c r="E723" s="148"/>
      <c r="F723" s="253">
        <v>3</v>
      </c>
      <c r="G723" s="253"/>
      <c r="H723" s="253"/>
      <c r="I723" s="246"/>
      <c r="J723" s="253">
        <f t="shared" si="80"/>
        <v>3</v>
      </c>
      <c r="K723" s="137"/>
      <c r="L723" s="137"/>
      <c r="M723" s="137"/>
      <c r="N723" s="138"/>
      <c r="O723" s="167"/>
      <c r="P723" s="111"/>
      <c r="Q723" s="111"/>
      <c r="R723" s="111"/>
      <c r="S723" s="111"/>
      <c r="T723" s="111"/>
      <c r="U723" s="111"/>
      <c r="V723" s="111"/>
      <c r="W723" s="111"/>
      <c r="X723" s="111"/>
      <c r="Y723" s="111"/>
      <c r="Z723" s="111"/>
      <c r="AA723" s="111"/>
    </row>
    <row r="724" spans="1:27" s="118" customFormat="1" x14ac:dyDescent="0.2">
      <c r="A724" s="6"/>
      <c r="B724" s="6"/>
      <c r="C724" s="155"/>
      <c r="D724" s="2" t="s">
        <v>305</v>
      </c>
      <c r="E724" s="148"/>
      <c r="F724" s="253">
        <v>2</v>
      </c>
      <c r="G724" s="253"/>
      <c r="H724" s="253"/>
      <c r="I724" s="246"/>
      <c r="J724" s="253">
        <f t="shared" si="80"/>
        <v>2</v>
      </c>
      <c r="K724" s="137"/>
      <c r="L724" s="137"/>
      <c r="M724" s="137"/>
      <c r="N724" s="138"/>
      <c r="O724" s="167"/>
      <c r="P724" s="111"/>
      <c r="Q724" s="111"/>
      <c r="R724" s="111"/>
      <c r="S724" s="111"/>
      <c r="T724" s="111"/>
      <c r="U724" s="111"/>
      <c r="V724" s="111"/>
      <c r="W724" s="111"/>
      <c r="X724" s="111"/>
      <c r="Y724" s="111"/>
      <c r="Z724" s="111"/>
      <c r="AA724" s="111"/>
    </row>
    <row r="725" spans="1:27" s="118" customFormat="1" x14ac:dyDescent="0.2">
      <c r="A725" s="6"/>
      <c r="B725" s="6"/>
      <c r="C725" s="156"/>
      <c r="D725" s="108"/>
      <c r="E725" s="148"/>
      <c r="F725" s="253"/>
      <c r="G725" s="253"/>
      <c r="H725" s="253"/>
      <c r="I725" s="246" t="str">
        <f>"Total item "&amp;A721</f>
        <v>Total item 9.3.3</v>
      </c>
      <c r="J725" s="261">
        <f>SUM(J722:J724)</f>
        <v>8</v>
      </c>
      <c r="K725" s="137"/>
      <c r="L725" s="137"/>
      <c r="M725" s="137"/>
      <c r="N725" s="138"/>
      <c r="O725" s="167"/>
      <c r="P725" s="111"/>
      <c r="Q725" s="111"/>
      <c r="R725" s="111"/>
      <c r="S725" s="111"/>
      <c r="T725" s="111"/>
      <c r="U725" s="111"/>
      <c r="V725" s="111"/>
      <c r="W725" s="111"/>
      <c r="X725" s="111"/>
      <c r="Y725" s="111"/>
      <c r="Z725" s="111"/>
      <c r="AA725" s="111"/>
    </row>
    <row r="726" spans="1:27" s="139" customFormat="1" x14ac:dyDescent="0.2">
      <c r="A726" s="6"/>
      <c r="B726" s="6"/>
      <c r="C726" s="7"/>
      <c r="D726" s="116"/>
      <c r="E726" s="6"/>
      <c r="F726" s="258"/>
      <c r="G726" s="258"/>
      <c r="H726" s="258"/>
      <c r="I726" s="246"/>
      <c r="J726" s="258"/>
      <c r="K726" s="137"/>
      <c r="L726" s="137"/>
      <c r="M726" s="137"/>
      <c r="N726" s="138"/>
      <c r="O726" s="283"/>
      <c r="P726" s="120"/>
      <c r="Q726" s="120"/>
      <c r="R726" s="120"/>
      <c r="S726" s="120"/>
      <c r="T726" s="120"/>
      <c r="U726" s="120"/>
      <c r="V726" s="120"/>
      <c r="W726" s="120"/>
      <c r="X726" s="120"/>
      <c r="Y726" s="120"/>
      <c r="Z726" s="120"/>
      <c r="AA726" s="120"/>
    </row>
    <row r="727" spans="1:27" s="147" customFormat="1" ht="40.799999999999997" x14ac:dyDescent="0.2">
      <c r="A727" s="9" t="s">
        <v>781</v>
      </c>
      <c r="B727" s="9" t="s">
        <v>89</v>
      </c>
      <c r="C727" s="13">
        <v>93144</v>
      </c>
      <c r="D727" s="113" t="s">
        <v>295</v>
      </c>
      <c r="E727" s="9" t="s">
        <v>33</v>
      </c>
      <c r="F727" s="261"/>
      <c r="G727" s="261"/>
      <c r="H727" s="261"/>
      <c r="I727" s="245"/>
      <c r="J727" s="261"/>
      <c r="K727" s="131">
        <f>J737</f>
        <v>8</v>
      </c>
      <c r="L727" s="131">
        <v>166.81</v>
      </c>
      <c r="M727" s="131">
        <f>ROUND(L727*(1+$Q$7),2)</f>
        <v>211.06</v>
      </c>
      <c r="N727" s="133">
        <f>TRUNC(K727*M727,2)</f>
        <v>1688.48</v>
      </c>
      <c r="O727" s="286"/>
      <c r="P727" s="146"/>
      <c r="Q727" s="146"/>
      <c r="R727" s="146"/>
      <c r="S727" s="146"/>
      <c r="T727" s="146"/>
      <c r="U727" s="146"/>
      <c r="V727" s="146"/>
      <c r="W727" s="146"/>
      <c r="X727" s="146"/>
      <c r="Y727" s="146"/>
      <c r="Z727" s="146"/>
      <c r="AA727" s="146"/>
    </row>
    <row r="728" spans="1:27" s="118" customFormat="1" x14ac:dyDescent="0.2">
      <c r="A728" s="6"/>
      <c r="B728" s="6"/>
      <c r="C728" s="155"/>
      <c r="D728" s="3" t="s">
        <v>296</v>
      </c>
      <c r="E728" s="148"/>
      <c r="F728" s="253"/>
      <c r="G728" s="253"/>
      <c r="H728" s="253"/>
      <c r="I728" s="246"/>
      <c r="J728" s="253"/>
      <c r="K728" s="137"/>
      <c r="L728" s="137"/>
      <c r="M728" s="137"/>
      <c r="N728" s="138"/>
      <c r="O728" s="167"/>
      <c r="P728" s="111"/>
      <c r="Q728" s="111"/>
      <c r="R728" s="111"/>
      <c r="S728" s="111"/>
      <c r="T728" s="111"/>
      <c r="U728" s="111"/>
      <c r="V728" s="111"/>
      <c r="W728" s="111"/>
      <c r="X728" s="111"/>
      <c r="Y728" s="111"/>
      <c r="Z728" s="111"/>
      <c r="AA728" s="111"/>
    </row>
    <row r="729" spans="1:27" s="118" customFormat="1" x14ac:dyDescent="0.2">
      <c r="A729" s="6"/>
      <c r="B729" s="6"/>
      <c r="C729" s="155"/>
      <c r="D729" s="2" t="s">
        <v>460</v>
      </c>
      <c r="E729" s="148"/>
      <c r="F729" s="253">
        <v>1</v>
      </c>
      <c r="G729" s="253"/>
      <c r="H729" s="253"/>
      <c r="I729" s="246"/>
      <c r="J729" s="253">
        <f t="shared" ref="J729:J736" si="81">ROUND(PRODUCT(F729:I729),2)</f>
        <v>1</v>
      </c>
      <c r="K729" s="137"/>
      <c r="L729" s="137"/>
      <c r="M729" s="137"/>
      <c r="N729" s="138"/>
      <c r="O729" s="167"/>
      <c r="P729" s="111"/>
      <c r="Q729" s="111"/>
      <c r="R729" s="111"/>
      <c r="S729" s="111"/>
      <c r="T729" s="111"/>
      <c r="U729" s="111"/>
      <c r="V729" s="111"/>
      <c r="W729" s="111"/>
      <c r="X729" s="111"/>
      <c r="Y729" s="111"/>
      <c r="Z729" s="111"/>
      <c r="AA729" s="111"/>
    </row>
    <row r="730" spans="1:27" s="118" customFormat="1" x14ac:dyDescent="0.2">
      <c r="A730" s="6"/>
      <c r="B730" s="6"/>
      <c r="C730" s="155"/>
      <c r="D730" s="2" t="s">
        <v>256</v>
      </c>
      <c r="E730" s="148"/>
      <c r="F730" s="253">
        <v>1</v>
      </c>
      <c r="G730" s="253"/>
      <c r="H730" s="253"/>
      <c r="I730" s="246"/>
      <c r="J730" s="253">
        <f t="shared" si="81"/>
        <v>1</v>
      </c>
      <c r="K730" s="137"/>
      <c r="L730" s="137"/>
      <c r="M730" s="137"/>
      <c r="N730" s="138"/>
      <c r="O730" s="167"/>
      <c r="P730" s="111"/>
      <c r="Q730" s="111"/>
      <c r="R730" s="111"/>
      <c r="S730" s="111"/>
      <c r="T730" s="111"/>
      <c r="U730" s="111"/>
      <c r="V730" s="111"/>
      <c r="W730" s="111"/>
      <c r="X730" s="111"/>
      <c r="Y730" s="111"/>
      <c r="Z730" s="111"/>
      <c r="AA730" s="111"/>
    </row>
    <row r="731" spans="1:27" s="118" customFormat="1" x14ac:dyDescent="0.2">
      <c r="A731" s="6"/>
      <c r="B731" s="6"/>
      <c r="C731" s="155"/>
      <c r="D731" s="2" t="s">
        <v>305</v>
      </c>
      <c r="E731" s="148"/>
      <c r="F731" s="253">
        <v>1</v>
      </c>
      <c r="G731" s="253"/>
      <c r="H731" s="253"/>
      <c r="I731" s="246"/>
      <c r="J731" s="253">
        <f t="shared" si="81"/>
        <v>1</v>
      </c>
      <c r="K731" s="137"/>
      <c r="L731" s="137"/>
      <c r="M731" s="137"/>
      <c r="N731" s="138"/>
      <c r="O731" s="167"/>
      <c r="P731" s="111"/>
      <c r="Q731" s="111"/>
      <c r="R731" s="111"/>
      <c r="S731" s="111"/>
      <c r="T731" s="111"/>
      <c r="U731" s="111"/>
      <c r="V731" s="111"/>
      <c r="W731" s="111"/>
      <c r="X731" s="111"/>
      <c r="Y731" s="111"/>
      <c r="Z731" s="111"/>
      <c r="AA731" s="111"/>
    </row>
    <row r="732" spans="1:27" s="118" customFormat="1" x14ac:dyDescent="0.2">
      <c r="A732" s="6"/>
      <c r="B732" s="6"/>
      <c r="C732" s="155"/>
      <c r="D732" s="2" t="s">
        <v>459</v>
      </c>
      <c r="E732" s="148"/>
      <c r="F732" s="253">
        <v>1</v>
      </c>
      <c r="G732" s="253"/>
      <c r="H732" s="253"/>
      <c r="I732" s="246"/>
      <c r="J732" s="253">
        <f t="shared" si="81"/>
        <v>1</v>
      </c>
      <c r="K732" s="137"/>
      <c r="L732" s="137"/>
      <c r="M732" s="137"/>
      <c r="N732" s="138"/>
      <c r="O732" s="167"/>
      <c r="P732" s="111"/>
      <c r="Q732" s="111"/>
      <c r="R732" s="111"/>
      <c r="S732" s="111"/>
      <c r="T732" s="111"/>
      <c r="U732" s="111"/>
      <c r="V732" s="111"/>
      <c r="W732" s="111"/>
      <c r="X732" s="111"/>
      <c r="Y732" s="111"/>
      <c r="Z732" s="111"/>
      <c r="AA732" s="111"/>
    </row>
    <row r="733" spans="1:27" s="118" customFormat="1" x14ac:dyDescent="0.2">
      <c r="A733" s="6"/>
      <c r="B733" s="6"/>
      <c r="C733" s="155"/>
      <c r="D733" s="2" t="s">
        <v>461</v>
      </c>
      <c r="E733" s="148"/>
      <c r="F733" s="253">
        <v>1</v>
      </c>
      <c r="G733" s="253"/>
      <c r="H733" s="253"/>
      <c r="I733" s="246"/>
      <c r="J733" s="253">
        <f t="shared" si="81"/>
        <v>1</v>
      </c>
      <c r="K733" s="137"/>
      <c r="L733" s="137"/>
      <c r="M733" s="137"/>
      <c r="N733" s="138"/>
      <c r="O733" s="167"/>
      <c r="P733" s="111"/>
      <c r="Q733" s="111"/>
      <c r="R733" s="111"/>
      <c r="S733" s="111"/>
      <c r="T733" s="111"/>
      <c r="U733" s="111"/>
      <c r="V733" s="111"/>
      <c r="W733" s="111"/>
      <c r="X733" s="111"/>
      <c r="Y733" s="111"/>
      <c r="Z733" s="111"/>
      <c r="AA733" s="111"/>
    </row>
    <row r="734" spans="1:27" s="118" customFormat="1" x14ac:dyDescent="0.2">
      <c r="A734" s="6"/>
      <c r="B734" s="6"/>
      <c r="C734" s="155"/>
      <c r="D734" s="2" t="s">
        <v>418</v>
      </c>
      <c r="E734" s="148"/>
      <c r="F734" s="253">
        <v>1</v>
      </c>
      <c r="G734" s="253"/>
      <c r="H734" s="253"/>
      <c r="I734" s="246"/>
      <c r="J734" s="253">
        <f t="shared" si="81"/>
        <v>1</v>
      </c>
      <c r="K734" s="137"/>
      <c r="L734" s="137"/>
      <c r="M734" s="137"/>
      <c r="N734" s="138"/>
      <c r="O734" s="167"/>
      <c r="P734" s="111"/>
      <c r="Q734" s="111"/>
      <c r="R734" s="111"/>
      <c r="S734" s="111"/>
      <c r="T734" s="111"/>
      <c r="U734" s="111"/>
      <c r="V734" s="111"/>
      <c r="W734" s="111"/>
      <c r="X734" s="111"/>
      <c r="Y734" s="111"/>
      <c r="Z734" s="111"/>
      <c r="AA734" s="111"/>
    </row>
    <row r="735" spans="1:27" s="118" customFormat="1" x14ac:dyDescent="0.2">
      <c r="A735" s="6"/>
      <c r="B735" s="6"/>
      <c r="C735" s="155"/>
      <c r="D735" s="2" t="s">
        <v>259</v>
      </c>
      <c r="E735" s="148"/>
      <c r="F735" s="253">
        <v>1</v>
      </c>
      <c r="G735" s="253"/>
      <c r="H735" s="253"/>
      <c r="I735" s="246"/>
      <c r="J735" s="253">
        <f t="shared" si="81"/>
        <v>1</v>
      </c>
      <c r="K735" s="137"/>
      <c r="L735" s="137"/>
      <c r="M735" s="137"/>
      <c r="N735" s="138"/>
      <c r="O735" s="167"/>
      <c r="P735" s="111"/>
      <c r="Q735" s="111"/>
      <c r="R735" s="111"/>
      <c r="S735" s="111"/>
      <c r="T735" s="111"/>
      <c r="U735" s="111"/>
      <c r="V735" s="111"/>
      <c r="W735" s="111"/>
      <c r="X735" s="111"/>
      <c r="Y735" s="111"/>
      <c r="Z735" s="111"/>
      <c r="AA735" s="111"/>
    </row>
    <row r="736" spans="1:27" s="118" customFormat="1" x14ac:dyDescent="0.2">
      <c r="A736" s="6"/>
      <c r="B736" s="6"/>
      <c r="C736" s="155"/>
      <c r="D736" s="2" t="s">
        <v>330</v>
      </c>
      <c r="E736" s="148"/>
      <c r="F736" s="253">
        <v>1</v>
      </c>
      <c r="G736" s="253"/>
      <c r="H736" s="253"/>
      <c r="I736" s="246"/>
      <c r="J736" s="253">
        <f t="shared" si="81"/>
        <v>1</v>
      </c>
      <c r="K736" s="137"/>
      <c r="L736" s="137"/>
      <c r="M736" s="137"/>
      <c r="N736" s="138"/>
      <c r="O736" s="167"/>
      <c r="P736" s="111"/>
      <c r="Q736" s="111"/>
      <c r="R736" s="111"/>
      <c r="S736" s="111"/>
      <c r="T736" s="111"/>
      <c r="U736" s="111"/>
      <c r="V736" s="111"/>
      <c r="W736" s="111"/>
      <c r="X736" s="111"/>
      <c r="Y736" s="111"/>
      <c r="Z736" s="111"/>
      <c r="AA736" s="111"/>
    </row>
    <row r="737" spans="1:27" s="118" customFormat="1" x14ac:dyDescent="0.2">
      <c r="A737" s="6"/>
      <c r="B737" s="6"/>
      <c r="C737" s="156"/>
      <c r="D737" s="108"/>
      <c r="E737" s="148"/>
      <c r="F737" s="253"/>
      <c r="G737" s="253"/>
      <c r="H737" s="253"/>
      <c r="I737" s="246" t="str">
        <f>"Total item "&amp;A727</f>
        <v>Total item 9.3.4</v>
      </c>
      <c r="J737" s="261">
        <f>SUM(J729:J736)</f>
        <v>8</v>
      </c>
      <c r="K737" s="137"/>
      <c r="L737" s="137"/>
      <c r="M737" s="137"/>
      <c r="N737" s="138"/>
      <c r="O737" s="167"/>
      <c r="P737" s="111"/>
      <c r="Q737" s="111"/>
      <c r="R737" s="111"/>
      <c r="S737" s="111"/>
      <c r="T737" s="111"/>
      <c r="U737" s="111"/>
      <c r="V737" s="111"/>
      <c r="W737" s="111"/>
      <c r="X737" s="111"/>
      <c r="Y737" s="111"/>
      <c r="Z737" s="111"/>
      <c r="AA737" s="111"/>
    </row>
    <row r="738" spans="1:27" s="118" customFormat="1" x14ac:dyDescent="0.2">
      <c r="A738" s="6"/>
      <c r="B738" s="6"/>
      <c r="C738" s="155"/>
      <c r="D738" s="108"/>
      <c r="E738" s="148"/>
      <c r="F738" s="253"/>
      <c r="G738" s="253"/>
      <c r="H738" s="253"/>
      <c r="I738" s="246"/>
      <c r="J738" s="258"/>
      <c r="K738" s="137"/>
      <c r="L738" s="137"/>
      <c r="M738" s="137"/>
      <c r="N738" s="138"/>
      <c r="O738" s="167"/>
      <c r="P738" s="111"/>
      <c r="Q738" s="111"/>
      <c r="R738" s="111"/>
      <c r="S738" s="111"/>
      <c r="T738" s="111"/>
      <c r="U738" s="111"/>
      <c r="V738" s="111"/>
      <c r="W738" s="111"/>
      <c r="X738" s="111"/>
      <c r="Y738" s="111"/>
      <c r="Z738" s="111"/>
      <c r="AA738" s="111"/>
    </row>
    <row r="739" spans="1:27" s="147" customFormat="1" ht="40.799999999999997" x14ac:dyDescent="0.2">
      <c r="A739" s="9" t="s">
        <v>782</v>
      </c>
      <c r="B739" s="9" t="s">
        <v>163</v>
      </c>
      <c r="C739" s="197" t="s">
        <v>192</v>
      </c>
      <c r="D739" s="113" t="s">
        <v>712</v>
      </c>
      <c r="E739" s="9" t="s">
        <v>31</v>
      </c>
      <c r="F739" s="261"/>
      <c r="G739" s="261"/>
      <c r="H739" s="261"/>
      <c r="I739" s="245"/>
      <c r="J739" s="261"/>
      <c r="K739" s="131">
        <f>J749</f>
        <v>8</v>
      </c>
      <c r="L739" s="131">
        <v>46.44</v>
      </c>
      <c r="M739" s="131">
        <f>ROUND(L739*(1+$Q$7),2)</f>
        <v>58.76</v>
      </c>
      <c r="N739" s="133">
        <f>TRUNC(K739*M739,2)</f>
        <v>470.08</v>
      </c>
      <c r="O739" s="286"/>
      <c r="P739" s="146"/>
      <c r="Q739" s="146"/>
      <c r="R739" s="146"/>
      <c r="S739" s="146"/>
      <c r="T739" s="146"/>
      <c r="U739" s="146"/>
      <c r="V739" s="146"/>
      <c r="W739" s="146"/>
      <c r="X739" s="146"/>
      <c r="Y739" s="146"/>
      <c r="Z739" s="146"/>
      <c r="AA739" s="146"/>
    </row>
    <row r="740" spans="1:27" s="118" customFormat="1" x14ac:dyDescent="0.2">
      <c r="A740" s="6"/>
      <c r="B740" s="6"/>
      <c r="C740" s="155"/>
      <c r="D740" s="3" t="s">
        <v>296</v>
      </c>
      <c r="E740" s="148"/>
      <c r="F740" s="253"/>
      <c r="G740" s="253"/>
      <c r="H740" s="253"/>
      <c r="I740" s="246"/>
      <c r="J740" s="253"/>
      <c r="K740" s="137"/>
      <c r="L740" s="137"/>
      <c r="M740" s="137"/>
      <c r="N740" s="138"/>
      <c r="O740" s="167"/>
      <c r="P740" s="111"/>
      <c r="Q740" s="111"/>
      <c r="R740" s="111"/>
      <c r="S740" s="111"/>
      <c r="T740" s="111"/>
      <c r="U740" s="111"/>
      <c r="V740" s="111"/>
      <c r="W740" s="111"/>
      <c r="X740" s="111"/>
      <c r="Y740" s="111"/>
      <c r="Z740" s="111"/>
      <c r="AA740" s="111"/>
    </row>
    <row r="741" spans="1:27" s="118" customFormat="1" x14ac:dyDescent="0.2">
      <c r="A741" s="6"/>
      <c r="B741" s="6"/>
      <c r="C741" s="155"/>
      <c r="D741" s="2" t="s">
        <v>460</v>
      </c>
      <c r="E741" s="148"/>
      <c r="F741" s="253">
        <v>1</v>
      </c>
      <c r="G741" s="253"/>
      <c r="H741" s="253"/>
      <c r="I741" s="246"/>
      <c r="J741" s="253">
        <f t="shared" ref="J741:J748" si="82">ROUND(PRODUCT(F741:I741),2)</f>
        <v>1</v>
      </c>
      <c r="K741" s="137"/>
      <c r="L741" s="137"/>
      <c r="M741" s="137"/>
      <c r="N741" s="138"/>
      <c r="O741" s="167"/>
      <c r="P741" s="111"/>
      <c r="Q741" s="111"/>
      <c r="R741" s="111"/>
      <c r="S741" s="111"/>
      <c r="T741" s="111"/>
      <c r="U741" s="111"/>
      <c r="V741" s="111"/>
      <c r="W741" s="111"/>
      <c r="X741" s="111"/>
      <c r="Y741" s="111"/>
      <c r="Z741" s="111"/>
      <c r="AA741" s="111"/>
    </row>
    <row r="742" spans="1:27" s="118" customFormat="1" x14ac:dyDescent="0.2">
      <c r="A742" s="6"/>
      <c r="B742" s="6"/>
      <c r="C742" s="155"/>
      <c r="D742" s="2" t="s">
        <v>256</v>
      </c>
      <c r="E742" s="148"/>
      <c r="F742" s="253">
        <v>1</v>
      </c>
      <c r="G742" s="253"/>
      <c r="H742" s="253"/>
      <c r="I742" s="246"/>
      <c r="J742" s="253">
        <f t="shared" si="82"/>
        <v>1</v>
      </c>
      <c r="K742" s="137"/>
      <c r="L742" s="137"/>
      <c r="M742" s="137"/>
      <c r="N742" s="138"/>
      <c r="O742" s="167"/>
      <c r="P742" s="111"/>
      <c r="Q742" s="111"/>
      <c r="R742" s="111"/>
      <c r="S742" s="111"/>
      <c r="T742" s="111"/>
      <c r="U742" s="111"/>
      <c r="V742" s="111"/>
      <c r="W742" s="111"/>
      <c r="X742" s="111"/>
      <c r="Y742" s="111"/>
      <c r="Z742" s="111"/>
      <c r="AA742" s="111"/>
    </row>
    <row r="743" spans="1:27" s="118" customFormat="1" x14ac:dyDescent="0.2">
      <c r="A743" s="6"/>
      <c r="B743" s="6"/>
      <c r="C743" s="155"/>
      <c r="D743" s="2" t="s">
        <v>305</v>
      </c>
      <c r="E743" s="148"/>
      <c r="F743" s="253">
        <v>1</v>
      </c>
      <c r="G743" s="253"/>
      <c r="H743" s="253"/>
      <c r="I743" s="246"/>
      <c r="J743" s="253">
        <f t="shared" si="82"/>
        <v>1</v>
      </c>
      <c r="K743" s="137"/>
      <c r="L743" s="137"/>
      <c r="M743" s="137"/>
      <c r="N743" s="138"/>
      <c r="O743" s="167"/>
      <c r="P743" s="111"/>
      <c r="Q743" s="111"/>
      <c r="R743" s="111"/>
      <c r="S743" s="111"/>
      <c r="T743" s="111"/>
      <c r="U743" s="111"/>
      <c r="V743" s="111"/>
      <c r="W743" s="111"/>
      <c r="X743" s="111"/>
      <c r="Y743" s="111"/>
      <c r="Z743" s="111"/>
      <c r="AA743" s="111"/>
    </row>
    <row r="744" spans="1:27" s="118" customFormat="1" x14ac:dyDescent="0.2">
      <c r="A744" s="6"/>
      <c r="B744" s="6"/>
      <c r="C744" s="155"/>
      <c r="D744" s="2" t="s">
        <v>459</v>
      </c>
      <c r="E744" s="148"/>
      <c r="F744" s="253">
        <v>1</v>
      </c>
      <c r="G744" s="253"/>
      <c r="H744" s="253"/>
      <c r="I744" s="246"/>
      <c r="J744" s="253">
        <f t="shared" si="82"/>
        <v>1</v>
      </c>
      <c r="K744" s="137"/>
      <c r="L744" s="137"/>
      <c r="M744" s="137"/>
      <c r="N744" s="138"/>
      <c r="O744" s="167"/>
      <c r="P744" s="111"/>
      <c r="Q744" s="111"/>
      <c r="R744" s="111"/>
      <c r="S744" s="111"/>
      <c r="T744" s="111"/>
      <c r="U744" s="111"/>
      <c r="V744" s="111"/>
      <c r="W744" s="111"/>
      <c r="X744" s="111"/>
      <c r="Y744" s="111"/>
      <c r="Z744" s="111"/>
      <c r="AA744" s="111"/>
    </row>
    <row r="745" spans="1:27" s="118" customFormat="1" x14ac:dyDescent="0.2">
      <c r="A745" s="6"/>
      <c r="B745" s="6"/>
      <c r="C745" s="155"/>
      <c r="D745" s="2" t="s">
        <v>461</v>
      </c>
      <c r="E745" s="148"/>
      <c r="F745" s="253">
        <v>1</v>
      </c>
      <c r="G745" s="253"/>
      <c r="H745" s="253"/>
      <c r="I745" s="246"/>
      <c r="J745" s="253">
        <f t="shared" si="82"/>
        <v>1</v>
      </c>
      <c r="K745" s="137"/>
      <c r="L745" s="137"/>
      <c r="M745" s="137"/>
      <c r="N745" s="138"/>
      <c r="O745" s="167"/>
      <c r="P745" s="111"/>
      <c r="Q745" s="111"/>
      <c r="R745" s="111"/>
      <c r="S745" s="111"/>
      <c r="T745" s="111"/>
      <c r="U745" s="111"/>
      <c r="V745" s="111"/>
      <c r="W745" s="111"/>
      <c r="X745" s="111"/>
      <c r="Y745" s="111"/>
      <c r="Z745" s="111"/>
      <c r="AA745" s="111"/>
    </row>
    <row r="746" spans="1:27" s="118" customFormat="1" x14ac:dyDescent="0.2">
      <c r="A746" s="6"/>
      <c r="B746" s="6"/>
      <c r="C746" s="155"/>
      <c r="D746" s="2" t="s">
        <v>418</v>
      </c>
      <c r="E746" s="148"/>
      <c r="F746" s="253">
        <v>1</v>
      </c>
      <c r="G746" s="253"/>
      <c r="H746" s="253"/>
      <c r="I746" s="246"/>
      <c r="J746" s="253">
        <f t="shared" si="82"/>
        <v>1</v>
      </c>
      <c r="K746" s="137"/>
      <c r="L746" s="137"/>
      <c r="M746" s="137"/>
      <c r="N746" s="138"/>
      <c r="O746" s="167"/>
      <c r="P746" s="111"/>
      <c r="Q746" s="111"/>
      <c r="R746" s="111"/>
      <c r="S746" s="111"/>
      <c r="T746" s="111"/>
      <c r="U746" s="111"/>
      <c r="V746" s="111"/>
      <c r="W746" s="111"/>
      <c r="X746" s="111"/>
      <c r="Y746" s="111"/>
      <c r="Z746" s="111"/>
      <c r="AA746" s="111"/>
    </row>
    <row r="747" spans="1:27" s="118" customFormat="1" x14ac:dyDescent="0.2">
      <c r="A747" s="6"/>
      <c r="B747" s="6"/>
      <c r="C747" s="155"/>
      <c r="D747" s="2" t="s">
        <v>259</v>
      </c>
      <c r="E747" s="148"/>
      <c r="F747" s="253">
        <v>1</v>
      </c>
      <c r="G747" s="253"/>
      <c r="H747" s="253"/>
      <c r="I747" s="246"/>
      <c r="J747" s="253">
        <f t="shared" si="82"/>
        <v>1</v>
      </c>
      <c r="K747" s="137"/>
      <c r="L747" s="137"/>
      <c r="M747" s="137"/>
      <c r="N747" s="138"/>
      <c r="O747" s="167"/>
      <c r="P747" s="111"/>
      <c r="Q747" s="111"/>
      <c r="R747" s="111"/>
      <c r="S747" s="111"/>
      <c r="T747" s="111"/>
      <c r="U747" s="111"/>
      <c r="V747" s="111"/>
      <c r="W747" s="111"/>
      <c r="X747" s="111"/>
      <c r="Y747" s="111"/>
      <c r="Z747" s="111"/>
      <c r="AA747" s="111"/>
    </row>
    <row r="748" spans="1:27" s="118" customFormat="1" x14ac:dyDescent="0.2">
      <c r="A748" s="6"/>
      <c r="B748" s="6"/>
      <c r="C748" s="155"/>
      <c r="D748" s="2" t="s">
        <v>330</v>
      </c>
      <c r="E748" s="148"/>
      <c r="F748" s="253">
        <v>1</v>
      </c>
      <c r="G748" s="253"/>
      <c r="H748" s="253"/>
      <c r="I748" s="246"/>
      <c r="J748" s="253">
        <f t="shared" si="82"/>
        <v>1</v>
      </c>
      <c r="K748" s="137"/>
      <c r="L748" s="137"/>
      <c r="M748" s="137"/>
      <c r="N748" s="138"/>
      <c r="O748" s="167"/>
      <c r="P748" s="111"/>
      <c r="Q748" s="111"/>
      <c r="R748" s="111"/>
      <c r="S748" s="111"/>
      <c r="T748" s="111"/>
      <c r="U748" s="111"/>
      <c r="V748" s="111"/>
      <c r="W748" s="111"/>
      <c r="X748" s="111"/>
      <c r="Y748" s="111"/>
      <c r="Z748" s="111"/>
      <c r="AA748" s="111"/>
    </row>
    <row r="749" spans="1:27" s="118" customFormat="1" x14ac:dyDescent="0.2">
      <c r="A749" s="6"/>
      <c r="B749" s="6"/>
      <c r="C749" s="156"/>
      <c r="D749" s="108"/>
      <c r="E749" s="148"/>
      <c r="F749" s="253"/>
      <c r="G749" s="253"/>
      <c r="H749" s="253"/>
      <c r="I749" s="246" t="str">
        <f>"Total item "&amp;A739</f>
        <v>Total item 9.3.5</v>
      </c>
      <c r="J749" s="261">
        <f>SUM(J741:J748)</f>
        <v>8</v>
      </c>
      <c r="K749" s="137"/>
      <c r="L749" s="137"/>
      <c r="M749" s="137"/>
      <c r="N749" s="138"/>
      <c r="O749" s="167"/>
      <c r="P749" s="111"/>
      <c r="Q749" s="111"/>
      <c r="R749" s="111"/>
      <c r="S749" s="111"/>
      <c r="T749" s="111"/>
      <c r="U749" s="111"/>
      <c r="V749" s="111"/>
      <c r="W749" s="111"/>
      <c r="X749" s="111"/>
      <c r="Y749" s="111"/>
      <c r="Z749" s="111"/>
      <c r="AA749" s="111"/>
    </row>
    <row r="750" spans="1:27" s="161" customFormat="1" x14ac:dyDescent="0.2">
      <c r="A750" s="6"/>
      <c r="B750" s="10"/>
      <c r="C750" s="191"/>
      <c r="D750" s="110"/>
      <c r="E750" s="158"/>
      <c r="F750" s="267"/>
      <c r="G750" s="267"/>
      <c r="H750" s="267"/>
      <c r="I750" s="250"/>
      <c r="J750" s="263"/>
      <c r="K750" s="151"/>
      <c r="L750" s="151"/>
      <c r="M750" s="151"/>
      <c r="N750" s="152"/>
      <c r="O750" s="167"/>
      <c r="P750" s="114"/>
      <c r="Q750" s="114"/>
      <c r="R750" s="114"/>
      <c r="S750" s="114"/>
      <c r="T750" s="114"/>
      <c r="U750" s="114"/>
      <c r="V750" s="114"/>
      <c r="W750" s="114"/>
      <c r="X750" s="114"/>
      <c r="Y750" s="114"/>
      <c r="Z750" s="114"/>
      <c r="AA750" s="114"/>
    </row>
    <row r="751" spans="1:27" s="147" customFormat="1" ht="40.799999999999997" x14ac:dyDescent="0.2">
      <c r="A751" s="9" t="s">
        <v>783</v>
      </c>
      <c r="B751" s="9" t="s">
        <v>163</v>
      </c>
      <c r="C751" s="13" t="s">
        <v>188</v>
      </c>
      <c r="D751" s="113" t="s">
        <v>719</v>
      </c>
      <c r="E751" s="9" t="s">
        <v>33</v>
      </c>
      <c r="F751" s="261"/>
      <c r="G751" s="261"/>
      <c r="H751" s="261"/>
      <c r="I751" s="245"/>
      <c r="J751" s="261"/>
      <c r="K751" s="131">
        <f>J753</f>
        <v>1</v>
      </c>
      <c r="L751" s="131">
        <v>65.69</v>
      </c>
      <c r="M751" s="131">
        <f>ROUND(L751*(1+$Q$7),2)</f>
        <v>83.12</v>
      </c>
      <c r="N751" s="133">
        <f>TRUNC(K751*M751,2)</f>
        <v>83.12</v>
      </c>
      <c r="O751" s="286"/>
      <c r="P751" s="146"/>
      <c r="Q751" s="146"/>
      <c r="R751" s="146"/>
      <c r="S751" s="146"/>
      <c r="T751" s="146"/>
      <c r="U751" s="146"/>
      <c r="V751" s="146"/>
      <c r="W751" s="146"/>
      <c r="X751" s="146"/>
      <c r="Y751" s="146"/>
      <c r="Z751" s="146"/>
      <c r="AA751" s="146"/>
    </row>
    <row r="752" spans="1:27" s="118" customFormat="1" x14ac:dyDescent="0.2">
      <c r="A752" s="6"/>
      <c r="B752" s="6"/>
      <c r="C752" s="6"/>
      <c r="D752" s="2"/>
      <c r="E752" s="148"/>
      <c r="F752" s="253">
        <v>1</v>
      </c>
      <c r="G752" s="253"/>
      <c r="H752" s="253"/>
      <c r="I752" s="246"/>
      <c r="J752" s="253">
        <f>ROUND(PRODUCT(F752:I752),2)</f>
        <v>1</v>
      </c>
      <c r="K752" s="137"/>
      <c r="L752" s="137"/>
      <c r="M752" s="137"/>
      <c r="N752" s="138"/>
      <c r="O752" s="167"/>
      <c r="P752" s="111"/>
      <c r="Q752" s="111"/>
      <c r="R752" s="111"/>
      <c r="S752" s="111"/>
      <c r="T752" s="111"/>
      <c r="U752" s="111"/>
      <c r="V752" s="111"/>
      <c r="W752" s="111"/>
      <c r="X752" s="111"/>
      <c r="Y752" s="111"/>
      <c r="Z752" s="111"/>
      <c r="AA752" s="111"/>
    </row>
    <row r="753" spans="1:27" s="118" customFormat="1" x14ac:dyDescent="0.2">
      <c r="A753" s="6"/>
      <c r="B753" s="6"/>
      <c r="C753" s="156"/>
      <c r="D753" s="108"/>
      <c r="E753" s="148"/>
      <c r="F753" s="253"/>
      <c r="G753" s="253"/>
      <c r="H753" s="253"/>
      <c r="I753" s="246" t="str">
        <f>"Total item "&amp;A751</f>
        <v>Total item 9.3.6</v>
      </c>
      <c r="J753" s="261">
        <f>SUM(J752:J752)</f>
        <v>1</v>
      </c>
      <c r="K753" s="137"/>
      <c r="L753" s="137"/>
      <c r="M753" s="137"/>
      <c r="N753" s="138"/>
      <c r="O753" s="167"/>
      <c r="P753" s="111"/>
      <c r="Q753" s="111"/>
      <c r="R753" s="111"/>
      <c r="S753" s="111"/>
      <c r="T753" s="111"/>
      <c r="U753" s="111"/>
      <c r="V753" s="111"/>
      <c r="W753" s="111"/>
      <c r="X753" s="111"/>
      <c r="Y753" s="111"/>
      <c r="Z753" s="111"/>
      <c r="AA753" s="111"/>
    </row>
    <row r="754" spans="1:27" s="118" customFormat="1" x14ac:dyDescent="0.2">
      <c r="A754" s="6"/>
      <c r="B754" s="6"/>
      <c r="C754" s="155"/>
      <c r="D754" s="108"/>
      <c r="E754" s="148"/>
      <c r="F754" s="253"/>
      <c r="G754" s="253"/>
      <c r="H754" s="253"/>
      <c r="I754" s="246"/>
      <c r="J754" s="258"/>
      <c r="K754" s="137"/>
      <c r="L754" s="137"/>
      <c r="M754" s="137"/>
      <c r="N754" s="138"/>
      <c r="O754" s="167"/>
      <c r="P754" s="111"/>
      <c r="Q754" s="111"/>
      <c r="R754" s="111"/>
      <c r="S754" s="111"/>
      <c r="T754" s="111"/>
      <c r="U754" s="111"/>
      <c r="V754" s="111"/>
      <c r="W754" s="111"/>
      <c r="X754" s="111"/>
      <c r="Y754" s="111"/>
      <c r="Z754" s="111"/>
      <c r="AA754" s="111"/>
    </row>
    <row r="755" spans="1:27" s="147" customFormat="1" ht="30.6" x14ac:dyDescent="0.2">
      <c r="A755" s="9" t="s">
        <v>784</v>
      </c>
      <c r="B755" s="9" t="s">
        <v>163</v>
      </c>
      <c r="C755" s="13" t="s">
        <v>190</v>
      </c>
      <c r="D755" s="113" t="s">
        <v>290</v>
      </c>
      <c r="E755" s="9" t="s">
        <v>33</v>
      </c>
      <c r="F755" s="261"/>
      <c r="G755" s="261"/>
      <c r="H755" s="261"/>
      <c r="I755" s="245"/>
      <c r="J755" s="261"/>
      <c r="K755" s="131">
        <f>J757</f>
        <v>6</v>
      </c>
      <c r="L755" s="131">
        <v>14.55</v>
      </c>
      <c r="M755" s="131">
        <f>ROUND(L755*(1+$Q$7),2)</f>
        <v>18.41</v>
      </c>
      <c r="N755" s="133">
        <f>TRUNC(K755*M755,2)</f>
        <v>110.46</v>
      </c>
      <c r="O755" s="286"/>
      <c r="P755" s="146"/>
      <c r="Q755" s="146"/>
      <c r="R755" s="146"/>
      <c r="S755" s="146"/>
      <c r="T755" s="146"/>
      <c r="U755" s="146"/>
      <c r="V755" s="146"/>
      <c r="W755" s="146"/>
      <c r="X755" s="146"/>
      <c r="Y755" s="146"/>
      <c r="Z755" s="146"/>
      <c r="AA755" s="146"/>
    </row>
    <row r="756" spans="1:27" s="118" customFormat="1" x14ac:dyDescent="0.2">
      <c r="A756" s="6"/>
      <c r="B756" s="6"/>
      <c r="C756" s="6"/>
      <c r="D756" s="2"/>
      <c r="E756" s="148"/>
      <c r="F756" s="253">
        <v>6</v>
      </c>
      <c r="G756" s="253"/>
      <c r="H756" s="253"/>
      <c r="I756" s="246"/>
      <c r="J756" s="253">
        <f>ROUND(PRODUCT(F756:I756),2)</f>
        <v>6</v>
      </c>
      <c r="K756" s="137"/>
      <c r="L756" s="137"/>
      <c r="M756" s="137"/>
      <c r="N756" s="138"/>
      <c r="O756" s="167"/>
      <c r="P756" s="111"/>
      <c r="Q756" s="111"/>
      <c r="R756" s="111"/>
      <c r="S756" s="111"/>
      <c r="T756" s="111"/>
      <c r="U756" s="111"/>
      <c r="V756" s="111"/>
      <c r="W756" s="111"/>
      <c r="X756" s="111"/>
      <c r="Y756" s="111"/>
      <c r="Z756" s="111"/>
      <c r="AA756" s="111"/>
    </row>
    <row r="757" spans="1:27" s="118" customFormat="1" x14ac:dyDescent="0.2">
      <c r="A757" s="6"/>
      <c r="B757" s="6"/>
      <c r="C757" s="156"/>
      <c r="D757" s="108"/>
      <c r="E757" s="148"/>
      <c r="F757" s="253"/>
      <c r="G757" s="253"/>
      <c r="H757" s="253"/>
      <c r="I757" s="246" t="str">
        <f>"Total item "&amp;A755</f>
        <v>Total item 9.3.7</v>
      </c>
      <c r="J757" s="261">
        <f>SUM(J756:J756)</f>
        <v>6</v>
      </c>
      <c r="K757" s="137"/>
      <c r="L757" s="137"/>
      <c r="M757" s="137"/>
      <c r="N757" s="138"/>
      <c r="O757" s="167"/>
      <c r="P757" s="111"/>
      <c r="Q757" s="111"/>
      <c r="R757" s="111"/>
      <c r="S757" s="111"/>
      <c r="T757" s="111"/>
      <c r="U757" s="111"/>
      <c r="V757" s="111"/>
      <c r="W757" s="111"/>
      <c r="X757" s="111"/>
      <c r="Y757" s="111"/>
      <c r="Z757" s="111"/>
      <c r="AA757" s="111"/>
    </row>
    <row r="758" spans="1:27" s="118" customFormat="1" x14ac:dyDescent="0.2">
      <c r="A758" s="6"/>
      <c r="B758" s="6"/>
      <c r="C758" s="155"/>
      <c r="D758" s="108"/>
      <c r="E758" s="148"/>
      <c r="F758" s="253"/>
      <c r="G758" s="253"/>
      <c r="H758" s="253"/>
      <c r="I758" s="246"/>
      <c r="J758" s="258"/>
      <c r="K758" s="137"/>
      <c r="L758" s="137"/>
      <c r="M758" s="137"/>
      <c r="N758" s="138"/>
      <c r="O758" s="167"/>
      <c r="P758" s="111"/>
      <c r="Q758" s="111"/>
      <c r="R758" s="111"/>
      <c r="S758" s="111"/>
      <c r="T758" s="111"/>
      <c r="U758" s="111"/>
      <c r="V758" s="111"/>
      <c r="W758" s="111"/>
      <c r="X758" s="111"/>
      <c r="Y758" s="111"/>
      <c r="Z758" s="111"/>
      <c r="AA758" s="111"/>
    </row>
    <row r="759" spans="1:27" s="145" customFormat="1" x14ac:dyDescent="0.2">
      <c r="A759" s="140" t="s">
        <v>183</v>
      </c>
      <c r="B759" s="140"/>
      <c r="C759" s="141"/>
      <c r="D759" s="112" t="s">
        <v>211</v>
      </c>
      <c r="E759" s="140"/>
      <c r="F759" s="260"/>
      <c r="G759" s="260"/>
      <c r="H759" s="260"/>
      <c r="I759" s="248"/>
      <c r="J759" s="260"/>
      <c r="K759" s="142"/>
      <c r="L759" s="142"/>
      <c r="M759" s="142"/>
      <c r="N759" s="143">
        <f>SUM(N761:N769)</f>
        <v>616.58000000000004</v>
      </c>
      <c r="O759" s="285"/>
      <c r="P759" s="144"/>
      <c r="Q759" s="144"/>
      <c r="R759" s="144"/>
      <c r="S759" s="144"/>
      <c r="T759" s="144"/>
      <c r="U759" s="144"/>
      <c r="V759" s="144"/>
      <c r="W759" s="144"/>
      <c r="X759" s="144"/>
      <c r="Y759" s="144"/>
      <c r="Z759" s="144"/>
      <c r="AA759" s="144"/>
    </row>
    <row r="760" spans="1:27" s="118" customFormat="1" x14ac:dyDescent="0.2">
      <c r="A760" s="6"/>
      <c r="B760" s="6"/>
      <c r="C760" s="7"/>
      <c r="D760" s="3"/>
      <c r="E760" s="148"/>
      <c r="F760" s="253"/>
      <c r="G760" s="253"/>
      <c r="H760" s="253"/>
      <c r="I760" s="249"/>
      <c r="J760" s="253"/>
      <c r="K760" s="137"/>
      <c r="L760" s="137"/>
      <c r="M760" s="137"/>
      <c r="N760" s="138"/>
      <c r="O760" s="167"/>
      <c r="P760" s="111"/>
      <c r="Q760" s="111"/>
      <c r="R760" s="111"/>
      <c r="S760" s="111"/>
      <c r="T760" s="111"/>
      <c r="U760" s="111"/>
      <c r="V760" s="111"/>
      <c r="W760" s="111"/>
      <c r="X760" s="111"/>
      <c r="Y760" s="111"/>
      <c r="Z760" s="111"/>
      <c r="AA760" s="111"/>
    </row>
    <row r="761" spans="1:27" s="147" customFormat="1" x14ac:dyDescent="0.2">
      <c r="A761" s="9" t="s">
        <v>354</v>
      </c>
      <c r="B761" s="9" t="s">
        <v>89</v>
      </c>
      <c r="C761" s="197" t="s">
        <v>334</v>
      </c>
      <c r="D761" s="113" t="s">
        <v>335</v>
      </c>
      <c r="E761" s="9" t="s">
        <v>33</v>
      </c>
      <c r="F761" s="261"/>
      <c r="G761" s="261"/>
      <c r="H761" s="261"/>
      <c r="I761" s="245"/>
      <c r="J761" s="261"/>
      <c r="K761" s="131">
        <f>J763</f>
        <v>1</v>
      </c>
      <c r="L761" s="131">
        <v>22.9</v>
      </c>
      <c r="M761" s="131">
        <f>ROUND(L761*(1+$Q$7),2)</f>
        <v>28.98</v>
      </c>
      <c r="N761" s="133">
        <f>TRUNC(K761*M761,2)</f>
        <v>28.98</v>
      </c>
      <c r="O761" s="286"/>
      <c r="P761" s="146"/>
      <c r="Q761" s="146"/>
      <c r="R761" s="146"/>
      <c r="S761" s="146"/>
      <c r="T761" s="146"/>
      <c r="U761" s="146"/>
      <c r="V761" s="146"/>
      <c r="W761" s="146"/>
      <c r="X761" s="146"/>
      <c r="Y761" s="146"/>
      <c r="Z761" s="146"/>
      <c r="AA761" s="146"/>
    </row>
    <row r="762" spans="1:27" s="118" customFormat="1" x14ac:dyDescent="0.2">
      <c r="A762" s="6"/>
      <c r="B762" s="6"/>
      <c r="C762" s="155"/>
      <c r="D762" s="2" t="s">
        <v>462</v>
      </c>
      <c r="E762" s="148"/>
      <c r="F762" s="253">
        <v>1</v>
      </c>
      <c r="G762" s="253"/>
      <c r="H762" s="253"/>
      <c r="I762" s="246"/>
      <c r="J762" s="253">
        <f>ROUND(PRODUCT(F762:I762),2)</f>
        <v>1</v>
      </c>
      <c r="K762" s="137"/>
      <c r="L762" s="137"/>
      <c r="M762" s="137"/>
      <c r="N762" s="138"/>
      <c r="O762" s="167"/>
      <c r="P762" s="111"/>
      <c r="Q762" s="111"/>
      <c r="R762" s="111"/>
      <c r="S762" s="111"/>
      <c r="T762" s="111"/>
      <c r="U762" s="111"/>
      <c r="V762" s="111"/>
      <c r="W762" s="111"/>
      <c r="X762" s="111"/>
      <c r="Y762" s="111"/>
      <c r="Z762" s="111"/>
      <c r="AA762" s="111"/>
    </row>
    <row r="763" spans="1:27" s="118" customFormat="1" x14ac:dyDescent="0.2">
      <c r="A763" s="6"/>
      <c r="B763" s="6"/>
      <c r="C763" s="156"/>
      <c r="D763" s="108"/>
      <c r="E763" s="148"/>
      <c r="F763" s="253"/>
      <c r="G763" s="253"/>
      <c r="H763" s="253"/>
      <c r="I763" s="246" t="str">
        <f>"Total item "&amp;A761</f>
        <v>Total item 9.4.1</v>
      </c>
      <c r="J763" s="261">
        <f>SUM(J762:J762)</f>
        <v>1</v>
      </c>
      <c r="K763" s="137"/>
      <c r="L763" s="137"/>
      <c r="M763" s="137"/>
      <c r="N763" s="138"/>
      <c r="O763" s="167"/>
      <c r="P763" s="111"/>
      <c r="Q763" s="111"/>
      <c r="R763" s="111"/>
      <c r="S763" s="111"/>
      <c r="T763" s="111"/>
      <c r="U763" s="111"/>
      <c r="V763" s="111"/>
      <c r="W763" s="111"/>
      <c r="X763" s="111"/>
      <c r="Y763" s="111"/>
      <c r="Z763" s="111"/>
      <c r="AA763" s="111"/>
    </row>
    <row r="764" spans="1:27" s="118" customFormat="1" x14ac:dyDescent="0.2">
      <c r="A764" s="6"/>
      <c r="B764" s="6"/>
      <c r="C764" s="155"/>
      <c r="D764" s="108"/>
      <c r="E764" s="148"/>
      <c r="F764" s="253"/>
      <c r="G764" s="253"/>
      <c r="H764" s="253"/>
      <c r="I764" s="246"/>
      <c r="J764" s="258"/>
      <c r="K764" s="137"/>
      <c r="L764" s="137"/>
      <c r="M764" s="137"/>
      <c r="N764" s="138"/>
      <c r="O764" s="167"/>
      <c r="P764" s="111"/>
      <c r="Q764" s="111"/>
      <c r="R764" s="111"/>
      <c r="S764" s="111"/>
      <c r="T764" s="111"/>
      <c r="U764" s="111"/>
      <c r="V764" s="111"/>
      <c r="W764" s="111"/>
      <c r="X764" s="111"/>
      <c r="Y764" s="111"/>
      <c r="Z764" s="111"/>
      <c r="AA764" s="111"/>
    </row>
    <row r="765" spans="1:27" s="147" customFormat="1" ht="30.6" x14ac:dyDescent="0.2">
      <c r="A765" s="9" t="s">
        <v>785</v>
      </c>
      <c r="B765" s="9" t="s">
        <v>163</v>
      </c>
      <c r="C765" s="13" t="s">
        <v>249</v>
      </c>
      <c r="D765" s="113" t="s">
        <v>250</v>
      </c>
      <c r="E765" s="9" t="s">
        <v>32</v>
      </c>
      <c r="F765" s="261"/>
      <c r="G765" s="261"/>
      <c r="H765" s="261"/>
      <c r="I765" s="245"/>
      <c r="J765" s="261"/>
      <c r="K765" s="131">
        <f>J768</f>
        <v>4</v>
      </c>
      <c r="L765" s="131">
        <v>116.1</v>
      </c>
      <c r="M765" s="131">
        <f>ROUND(L765*(1+$Q$7),2)</f>
        <v>146.9</v>
      </c>
      <c r="N765" s="133">
        <f>TRUNC(K765*M765,2)</f>
        <v>587.6</v>
      </c>
      <c r="O765" s="286"/>
      <c r="P765" s="146"/>
      <c r="Q765" s="146"/>
      <c r="R765" s="146"/>
      <c r="S765" s="146"/>
      <c r="T765" s="146"/>
      <c r="U765" s="146"/>
      <c r="V765" s="146"/>
      <c r="W765" s="146"/>
      <c r="X765" s="146"/>
      <c r="Y765" s="146"/>
      <c r="Z765" s="146"/>
      <c r="AA765" s="146"/>
    </row>
    <row r="766" spans="1:27" s="118" customFormat="1" x14ac:dyDescent="0.2">
      <c r="A766" s="6"/>
      <c r="B766" s="6"/>
      <c r="C766" s="155"/>
      <c r="D766" s="2" t="s">
        <v>346</v>
      </c>
      <c r="E766" s="148"/>
      <c r="F766" s="253">
        <v>2</v>
      </c>
      <c r="G766" s="253"/>
      <c r="H766" s="253"/>
      <c r="I766" s="246"/>
      <c r="J766" s="253">
        <f>ROUND(PRODUCT(F766:I766),2)</f>
        <v>2</v>
      </c>
      <c r="K766" s="137"/>
      <c r="L766" s="137"/>
      <c r="M766" s="137"/>
      <c r="N766" s="138"/>
      <c r="O766" s="167"/>
      <c r="P766" s="111"/>
      <c r="Q766" s="111"/>
      <c r="R766" s="111"/>
      <c r="S766" s="111"/>
      <c r="T766" s="111"/>
      <c r="U766" s="111"/>
      <c r="V766" s="111"/>
      <c r="W766" s="111"/>
      <c r="X766" s="111"/>
      <c r="Y766" s="111"/>
      <c r="Z766" s="111"/>
      <c r="AA766" s="111"/>
    </row>
    <row r="767" spans="1:27" s="118" customFormat="1" x14ac:dyDescent="0.2">
      <c r="A767" s="6"/>
      <c r="B767" s="6"/>
      <c r="C767" s="155"/>
      <c r="D767" s="2" t="s">
        <v>345</v>
      </c>
      <c r="E767" s="148"/>
      <c r="F767" s="253">
        <v>2</v>
      </c>
      <c r="G767" s="253"/>
      <c r="H767" s="253"/>
      <c r="I767" s="246"/>
      <c r="J767" s="253">
        <f>ROUND(PRODUCT(F767:I767),2)</f>
        <v>2</v>
      </c>
      <c r="K767" s="137"/>
      <c r="L767" s="137"/>
      <c r="M767" s="137"/>
      <c r="N767" s="138"/>
      <c r="O767" s="167"/>
      <c r="P767" s="111"/>
      <c r="Q767" s="111"/>
      <c r="R767" s="111"/>
      <c r="S767" s="111"/>
      <c r="T767" s="111"/>
      <c r="U767" s="111"/>
      <c r="V767" s="111"/>
      <c r="W767" s="111"/>
      <c r="X767" s="111"/>
      <c r="Y767" s="111"/>
      <c r="Z767" s="111"/>
      <c r="AA767" s="111"/>
    </row>
    <row r="768" spans="1:27" s="118" customFormat="1" x14ac:dyDescent="0.2">
      <c r="A768" s="6"/>
      <c r="B768" s="6"/>
      <c r="C768" s="156"/>
      <c r="D768" s="108"/>
      <c r="E768" s="148"/>
      <c r="F768" s="253"/>
      <c r="G768" s="253"/>
      <c r="H768" s="253"/>
      <c r="I768" s="246" t="str">
        <f>"Total item "&amp;A765</f>
        <v>Total item 9.4.2</v>
      </c>
      <c r="J768" s="261">
        <f>SUM(J766:J767)</f>
        <v>4</v>
      </c>
      <c r="K768" s="137"/>
      <c r="L768" s="137"/>
      <c r="M768" s="137"/>
      <c r="N768" s="138"/>
      <c r="O768" s="167"/>
      <c r="P768" s="111"/>
      <c r="Q768" s="111"/>
      <c r="R768" s="111"/>
      <c r="S768" s="111"/>
      <c r="T768" s="111"/>
      <c r="U768" s="111"/>
      <c r="V768" s="111"/>
      <c r="W768" s="111"/>
      <c r="X768" s="111"/>
      <c r="Y768" s="111"/>
      <c r="Z768" s="111"/>
      <c r="AA768" s="111"/>
    </row>
    <row r="769" spans="1:27" s="139" customFormat="1" x14ac:dyDescent="0.2">
      <c r="A769" s="6"/>
      <c r="B769" s="6"/>
      <c r="C769" s="7"/>
      <c r="D769" s="116"/>
      <c r="E769" s="6"/>
      <c r="F769" s="258"/>
      <c r="G769" s="258"/>
      <c r="H769" s="258"/>
      <c r="I769" s="246"/>
      <c r="J769" s="258"/>
      <c r="K769" s="137"/>
      <c r="L769" s="137"/>
      <c r="M769" s="137"/>
      <c r="N769" s="138"/>
      <c r="O769" s="283"/>
      <c r="P769" s="120"/>
      <c r="Q769" s="120"/>
      <c r="R769" s="120"/>
      <c r="S769" s="120"/>
      <c r="T769" s="120"/>
      <c r="U769" s="120"/>
      <c r="V769" s="120"/>
      <c r="W769" s="120"/>
      <c r="X769" s="120"/>
      <c r="Y769" s="120"/>
      <c r="Z769" s="120"/>
      <c r="AA769" s="120"/>
    </row>
    <row r="770" spans="1:27" s="145" customFormat="1" x14ac:dyDescent="0.2">
      <c r="A770" s="140" t="s">
        <v>184</v>
      </c>
      <c r="B770" s="140"/>
      <c r="C770" s="141"/>
      <c r="D770" s="112" t="s">
        <v>177</v>
      </c>
      <c r="E770" s="140"/>
      <c r="F770" s="260"/>
      <c r="G770" s="260"/>
      <c r="H770" s="260"/>
      <c r="I770" s="248"/>
      <c r="J770" s="260"/>
      <c r="K770" s="142"/>
      <c r="L770" s="142"/>
      <c r="M770" s="142"/>
      <c r="N770" s="143">
        <f>SUM(N772:N783)</f>
        <v>25143.4</v>
      </c>
      <c r="O770" s="285"/>
      <c r="P770" s="144"/>
      <c r="Q770" s="144"/>
      <c r="R770" s="144"/>
      <c r="S770" s="144"/>
      <c r="T770" s="144"/>
      <c r="U770" s="144"/>
      <c r="V770" s="144"/>
      <c r="W770" s="144"/>
      <c r="X770" s="144"/>
      <c r="Y770" s="144"/>
      <c r="Z770" s="144"/>
      <c r="AA770" s="144"/>
    </row>
    <row r="771" spans="1:27" s="118" customFormat="1" x14ac:dyDescent="0.2">
      <c r="A771" s="6"/>
      <c r="B771" s="6"/>
      <c r="C771" s="7"/>
      <c r="D771" s="3"/>
      <c r="E771" s="148"/>
      <c r="F771" s="253"/>
      <c r="G771" s="253"/>
      <c r="H771" s="253"/>
      <c r="I771" s="249"/>
      <c r="J771" s="253"/>
      <c r="K771" s="137"/>
      <c r="L771" s="137"/>
      <c r="M771" s="137"/>
      <c r="N771" s="138"/>
      <c r="O771" s="167"/>
      <c r="P771" s="111"/>
      <c r="Q771" s="111"/>
      <c r="R771" s="111"/>
      <c r="S771" s="111"/>
      <c r="T771" s="111"/>
      <c r="U771" s="111"/>
      <c r="V771" s="111"/>
      <c r="W771" s="111"/>
      <c r="X771" s="111"/>
      <c r="Y771" s="111"/>
      <c r="Z771" s="111"/>
      <c r="AA771" s="111"/>
    </row>
    <row r="772" spans="1:27" s="147" customFormat="1" ht="30.6" x14ac:dyDescent="0.2">
      <c r="A772" s="9" t="s">
        <v>477</v>
      </c>
      <c r="B772" s="9" t="s">
        <v>89</v>
      </c>
      <c r="C772" s="197" t="s">
        <v>437</v>
      </c>
      <c r="D772" s="113" t="s">
        <v>714</v>
      </c>
      <c r="E772" s="9" t="s">
        <v>9</v>
      </c>
      <c r="F772" s="261"/>
      <c r="G772" s="261"/>
      <c r="H772" s="261"/>
      <c r="I772" s="245"/>
      <c r="J772" s="261"/>
      <c r="K772" s="131">
        <f>J779</f>
        <v>267.05</v>
      </c>
      <c r="L772" s="131">
        <v>59.97</v>
      </c>
      <c r="M772" s="131">
        <f>ROUND(L772*(1+$Q$7),2)</f>
        <v>75.88</v>
      </c>
      <c r="N772" s="133">
        <f>TRUNC(K772*M772,2)</f>
        <v>20263.75</v>
      </c>
      <c r="O772" s="286"/>
      <c r="P772" s="146"/>
      <c r="Q772" s="146"/>
      <c r="R772" s="146"/>
      <c r="S772" s="146"/>
      <c r="T772" s="146"/>
      <c r="U772" s="146"/>
      <c r="V772" s="146"/>
      <c r="W772" s="146"/>
      <c r="X772" s="146"/>
      <c r="Y772" s="146"/>
      <c r="Z772" s="146"/>
      <c r="AA772" s="146"/>
    </row>
    <row r="773" spans="1:27" s="118" customFormat="1" x14ac:dyDescent="0.2">
      <c r="A773" s="6"/>
      <c r="B773" s="6"/>
      <c r="C773" s="155"/>
      <c r="D773" s="2" t="s">
        <v>63</v>
      </c>
      <c r="E773" s="148"/>
      <c r="F773" s="253"/>
      <c r="G773" s="253">
        <v>6.86</v>
      </c>
      <c r="H773" s="253">
        <v>5.69</v>
      </c>
      <c r="I773" s="246"/>
      <c r="J773" s="253">
        <f t="shared" ref="J773:J778" si="83">ROUND(PRODUCT(F773:I773),2)</f>
        <v>39.03</v>
      </c>
      <c r="K773" s="137"/>
      <c r="L773" s="137"/>
      <c r="M773" s="137"/>
      <c r="N773" s="138"/>
      <c r="O773" s="167"/>
      <c r="P773" s="111"/>
      <c r="Q773" s="111"/>
      <c r="R773" s="111"/>
      <c r="S773" s="111"/>
      <c r="T773" s="111"/>
      <c r="U773" s="111"/>
      <c r="V773" s="111"/>
      <c r="W773" s="111"/>
      <c r="X773" s="111"/>
      <c r="Y773" s="111"/>
      <c r="Z773" s="111"/>
      <c r="AA773" s="111"/>
    </row>
    <row r="774" spans="1:27" s="118" customFormat="1" x14ac:dyDescent="0.2">
      <c r="A774" s="6"/>
      <c r="B774" s="6"/>
      <c r="C774" s="155"/>
      <c r="D774" s="2" t="s">
        <v>256</v>
      </c>
      <c r="E774" s="148"/>
      <c r="F774" s="253"/>
      <c r="G774" s="253">
        <v>6.86</v>
      </c>
      <c r="H774" s="253">
        <v>5.69</v>
      </c>
      <c r="I774" s="246"/>
      <c r="J774" s="253">
        <f t="shared" si="83"/>
        <v>39.03</v>
      </c>
      <c r="K774" s="137"/>
      <c r="L774" s="137"/>
      <c r="M774" s="137"/>
      <c r="N774" s="138"/>
      <c r="O774" s="167"/>
      <c r="P774" s="111"/>
      <c r="Q774" s="111"/>
      <c r="R774" s="111"/>
      <c r="S774" s="111"/>
      <c r="T774" s="111"/>
      <c r="U774" s="111"/>
      <c r="V774" s="111"/>
      <c r="W774" s="111"/>
      <c r="X774" s="111"/>
      <c r="Y774" s="111"/>
      <c r="Z774" s="111"/>
      <c r="AA774" s="111"/>
    </row>
    <row r="775" spans="1:27" s="118" customFormat="1" x14ac:dyDescent="0.2">
      <c r="A775" s="6"/>
      <c r="B775" s="6"/>
      <c r="C775" s="155"/>
      <c r="D775" s="2" t="s">
        <v>305</v>
      </c>
      <c r="E775" s="148"/>
      <c r="F775" s="253"/>
      <c r="G775" s="253">
        <v>6.86</v>
      </c>
      <c r="H775" s="253">
        <v>6.8</v>
      </c>
      <c r="I775" s="246"/>
      <c r="J775" s="253">
        <f t="shared" si="83"/>
        <v>46.65</v>
      </c>
      <c r="K775" s="137"/>
      <c r="L775" s="137"/>
      <c r="M775" s="137"/>
      <c r="N775" s="138"/>
      <c r="O775" s="167"/>
      <c r="P775" s="111"/>
      <c r="Q775" s="111"/>
      <c r="R775" s="111"/>
      <c r="S775" s="111"/>
      <c r="T775" s="111"/>
      <c r="U775" s="111"/>
      <c r="V775" s="111"/>
      <c r="W775" s="111"/>
      <c r="X775" s="111"/>
      <c r="Y775" s="111"/>
      <c r="Z775" s="111"/>
      <c r="AA775" s="111"/>
    </row>
    <row r="776" spans="1:27" s="118" customFormat="1" x14ac:dyDescent="0.2">
      <c r="A776" s="6"/>
      <c r="B776" s="6"/>
      <c r="C776" s="155"/>
      <c r="D776" s="2" t="s">
        <v>459</v>
      </c>
      <c r="E776" s="148"/>
      <c r="F776" s="253"/>
      <c r="G776" s="253">
        <v>6.86</v>
      </c>
      <c r="H776" s="253">
        <v>5.69</v>
      </c>
      <c r="I776" s="246"/>
      <c r="J776" s="253">
        <f t="shared" si="83"/>
        <v>39.03</v>
      </c>
      <c r="K776" s="137"/>
      <c r="L776" s="137"/>
      <c r="M776" s="137"/>
      <c r="N776" s="138"/>
      <c r="O776" s="167"/>
      <c r="P776" s="111"/>
      <c r="Q776" s="111"/>
      <c r="R776" s="111"/>
      <c r="S776" s="111"/>
      <c r="T776" s="111"/>
      <c r="U776" s="111"/>
      <c r="V776" s="111"/>
      <c r="W776" s="111"/>
      <c r="X776" s="111"/>
      <c r="Y776" s="111"/>
      <c r="Z776" s="111"/>
      <c r="AA776" s="111"/>
    </row>
    <row r="777" spans="1:27" s="118" customFormat="1" x14ac:dyDescent="0.2">
      <c r="A777" s="6"/>
      <c r="B777" s="6"/>
      <c r="C777" s="155"/>
      <c r="D777" s="2" t="s">
        <v>461</v>
      </c>
      <c r="E777" s="148"/>
      <c r="F777" s="253"/>
      <c r="G777" s="253">
        <v>6.86</v>
      </c>
      <c r="H777" s="253">
        <v>6.86</v>
      </c>
      <c r="I777" s="246"/>
      <c r="J777" s="253">
        <f t="shared" si="83"/>
        <v>47.06</v>
      </c>
      <c r="K777" s="137"/>
      <c r="L777" s="137"/>
      <c r="M777" s="137"/>
      <c r="N777" s="138"/>
      <c r="O777" s="167"/>
      <c r="P777" s="111"/>
      <c r="Q777" s="111"/>
      <c r="R777" s="111"/>
      <c r="S777" s="111"/>
      <c r="T777" s="111"/>
      <c r="U777" s="111"/>
      <c r="V777" s="111"/>
      <c r="W777" s="111"/>
      <c r="X777" s="111"/>
      <c r="Y777" s="111"/>
      <c r="Z777" s="111"/>
      <c r="AA777" s="111"/>
    </row>
    <row r="778" spans="1:27" s="118" customFormat="1" x14ac:dyDescent="0.2">
      <c r="A778" s="6"/>
      <c r="B778" s="6"/>
      <c r="C778" s="155"/>
      <c r="D778" s="2" t="s">
        <v>463</v>
      </c>
      <c r="E778" s="148"/>
      <c r="F778" s="253"/>
      <c r="G778" s="253">
        <v>6.86</v>
      </c>
      <c r="H778" s="253">
        <v>8.1999999999999993</v>
      </c>
      <c r="I778" s="246"/>
      <c r="J778" s="253">
        <f t="shared" si="83"/>
        <v>56.25</v>
      </c>
      <c r="K778" s="137"/>
      <c r="L778" s="137"/>
      <c r="M778" s="137"/>
      <c r="N778" s="138"/>
      <c r="O778" s="167"/>
      <c r="P778" s="111"/>
      <c r="Q778" s="111"/>
      <c r="R778" s="111"/>
      <c r="S778" s="111"/>
      <c r="T778" s="111"/>
      <c r="U778" s="111"/>
      <c r="V778" s="111"/>
      <c r="W778" s="111"/>
      <c r="X778" s="111"/>
      <c r="Y778" s="111"/>
      <c r="Z778" s="111"/>
      <c r="AA778" s="111"/>
    </row>
    <row r="779" spans="1:27" s="118" customFormat="1" x14ac:dyDescent="0.2">
      <c r="A779" s="6"/>
      <c r="B779" s="6"/>
      <c r="C779" s="156"/>
      <c r="D779" s="108"/>
      <c r="E779" s="148"/>
      <c r="F779" s="253"/>
      <c r="G779" s="253"/>
      <c r="H779" s="253"/>
      <c r="I779" s="246" t="str">
        <f>"Total item "&amp;A772</f>
        <v>Total item 9.5.1</v>
      </c>
      <c r="J779" s="261">
        <f>SUM(J773:J778)</f>
        <v>267.05</v>
      </c>
      <c r="K779" s="137"/>
      <c r="L779" s="137"/>
      <c r="M779" s="137"/>
      <c r="N779" s="138"/>
      <c r="O779" s="167"/>
      <c r="P779" s="111"/>
      <c r="Q779" s="111"/>
      <c r="R779" s="111"/>
      <c r="S779" s="111"/>
      <c r="T779" s="111"/>
      <c r="U779" s="111"/>
      <c r="V779" s="111"/>
      <c r="W779" s="111"/>
      <c r="X779" s="111"/>
      <c r="Y779" s="111"/>
      <c r="Z779" s="111"/>
      <c r="AA779" s="111"/>
    </row>
    <row r="780" spans="1:27" s="161" customFormat="1" x14ac:dyDescent="0.2">
      <c r="A780" s="10"/>
      <c r="B780" s="10"/>
      <c r="C780" s="15"/>
      <c r="D780" s="117"/>
      <c r="E780" s="10"/>
      <c r="F780" s="263"/>
      <c r="G780" s="263"/>
      <c r="H780" s="263"/>
      <c r="I780" s="250"/>
      <c r="J780" s="263"/>
      <c r="K780" s="151"/>
      <c r="L780" s="151"/>
      <c r="M780" s="151"/>
      <c r="N780" s="198"/>
      <c r="O780" s="167"/>
      <c r="P780" s="114"/>
      <c r="Q780" s="114"/>
      <c r="R780" s="114"/>
      <c r="S780" s="114"/>
      <c r="T780" s="114"/>
      <c r="U780" s="114"/>
      <c r="V780" s="114"/>
      <c r="W780" s="114"/>
      <c r="X780" s="114"/>
      <c r="Y780" s="114"/>
      <c r="Z780" s="114"/>
      <c r="AA780" s="114"/>
    </row>
    <row r="781" spans="1:27" s="147" customFormat="1" x14ac:dyDescent="0.2">
      <c r="A781" s="9" t="s">
        <v>626</v>
      </c>
      <c r="B781" s="9" t="s">
        <v>179</v>
      </c>
      <c r="C781" s="13" t="s">
        <v>316</v>
      </c>
      <c r="D781" s="109" t="s">
        <v>317</v>
      </c>
      <c r="E781" s="9" t="s">
        <v>9</v>
      </c>
      <c r="F781" s="261"/>
      <c r="G781" s="261"/>
      <c r="H781" s="261"/>
      <c r="I781" s="245"/>
      <c r="J781" s="261"/>
      <c r="K781" s="131">
        <f>J783</f>
        <v>665.71</v>
      </c>
      <c r="L781" s="131">
        <f>'COMPOSICOES - SINAPI COM DESON'!G18</f>
        <v>5.79</v>
      </c>
      <c r="M781" s="131">
        <f>ROUND(L781*(1+$Q$7),2)</f>
        <v>7.33</v>
      </c>
      <c r="N781" s="133">
        <f>TRUNC(K781*M781,2)</f>
        <v>4879.6499999999996</v>
      </c>
      <c r="O781" s="286"/>
      <c r="P781" s="146"/>
      <c r="Q781" s="146"/>
      <c r="R781" s="146"/>
      <c r="S781" s="146"/>
      <c r="T781" s="146"/>
      <c r="U781" s="146"/>
      <c r="V781" s="146"/>
      <c r="W781" s="146"/>
      <c r="X781" s="146"/>
      <c r="Y781" s="146"/>
      <c r="Z781" s="146"/>
      <c r="AA781" s="146"/>
    </row>
    <row r="782" spans="1:27" s="118" customFormat="1" x14ac:dyDescent="0.2">
      <c r="A782" s="6"/>
      <c r="B782" s="6"/>
      <c r="C782" s="155"/>
      <c r="D782" s="2"/>
      <c r="E782" s="148"/>
      <c r="F782" s="253"/>
      <c r="G782" s="253">
        <v>31.55</v>
      </c>
      <c r="H782" s="253">
        <v>21.1</v>
      </c>
      <c r="I782" s="246"/>
      <c r="J782" s="253">
        <f t="shared" ref="J782" si="84">ROUND(PRODUCT(F782:I782),2)</f>
        <v>665.71</v>
      </c>
      <c r="K782" s="137"/>
      <c r="L782" s="137"/>
      <c r="M782" s="137"/>
      <c r="N782" s="138"/>
      <c r="O782" s="167"/>
      <c r="P782" s="111"/>
      <c r="Q782" s="111"/>
      <c r="R782" s="111"/>
      <c r="S782" s="111"/>
      <c r="T782" s="111"/>
      <c r="U782" s="111"/>
      <c r="V782" s="111"/>
      <c r="W782" s="111"/>
      <c r="X782" s="111"/>
      <c r="Y782" s="111"/>
      <c r="Z782" s="111"/>
      <c r="AA782" s="111"/>
    </row>
    <row r="783" spans="1:27" s="118" customFormat="1" x14ac:dyDescent="0.2">
      <c r="A783" s="6"/>
      <c r="B783" s="6"/>
      <c r="C783" s="156"/>
      <c r="D783" s="108"/>
      <c r="E783" s="148"/>
      <c r="F783" s="253"/>
      <c r="G783" s="253"/>
      <c r="H783" s="253"/>
      <c r="I783" s="246" t="str">
        <f>"Total item "&amp;A781</f>
        <v>Total item 9.5.2</v>
      </c>
      <c r="J783" s="261">
        <f>SUM(J782:J782)</f>
        <v>665.71</v>
      </c>
      <c r="K783" s="137"/>
      <c r="L783" s="137"/>
      <c r="M783" s="137"/>
      <c r="N783" s="138"/>
      <c r="O783" s="167"/>
      <c r="P783" s="111"/>
      <c r="Q783" s="111"/>
      <c r="R783" s="111"/>
      <c r="S783" s="111"/>
      <c r="T783" s="111"/>
      <c r="U783" s="111"/>
      <c r="V783" s="111"/>
      <c r="W783" s="111"/>
      <c r="X783" s="111"/>
      <c r="Y783" s="111"/>
      <c r="Z783" s="111"/>
      <c r="AA783" s="111"/>
    </row>
    <row r="784" spans="1:27" s="118" customFormat="1" x14ac:dyDescent="0.2">
      <c r="A784" s="6"/>
      <c r="B784" s="6"/>
      <c r="C784" s="14"/>
      <c r="D784" s="108"/>
      <c r="E784" s="148"/>
      <c r="F784" s="253"/>
      <c r="G784" s="253"/>
      <c r="H784" s="253"/>
      <c r="I784" s="246"/>
      <c r="J784" s="262"/>
      <c r="K784" s="137"/>
      <c r="L784" s="137"/>
      <c r="M784" s="137"/>
      <c r="N784" s="138"/>
      <c r="O784" s="167"/>
      <c r="P784" s="111"/>
      <c r="Q784" s="111"/>
      <c r="R784" s="111"/>
      <c r="S784" s="111"/>
      <c r="T784" s="111"/>
      <c r="U784" s="111"/>
      <c r="V784" s="111"/>
      <c r="W784" s="111"/>
      <c r="X784" s="111"/>
      <c r="Y784" s="111"/>
      <c r="Z784" s="111"/>
      <c r="AA784" s="111"/>
    </row>
    <row r="785" spans="1:27" s="241" customFormat="1" ht="13.2" x14ac:dyDescent="0.25">
      <c r="A785" s="236" t="s">
        <v>158</v>
      </c>
      <c r="B785" s="236"/>
      <c r="C785" s="237"/>
      <c r="D785" s="289" t="s">
        <v>219</v>
      </c>
      <c r="E785" s="236"/>
      <c r="F785" s="259"/>
      <c r="G785" s="259"/>
      <c r="H785" s="259"/>
      <c r="I785" s="247"/>
      <c r="J785" s="259"/>
      <c r="K785" s="238"/>
      <c r="L785" s="238"/>
      <c r="M785" s="238"/>
      <c r="N785" s="239" t="e">
        <f>N787+N818+N824</f>
        <v>#VALUE!</v>
      </c>
      <c r="O785" s="284" t="e">
        <f>N785/$N$2057</f>
        <v>#VALUE!</v>
      </c>
      <c r="P785" s="240"/>
      <c r="Q785" s="240" t="s">
        <v>533</v>
      </c>
      <c r="R785" s="240"/>
      <c r="S785" s="240"/>
      <c r="T785" s="240"/>
      <c r="U785" s="240"/>
      <c r="V785" s="240"/>
      <c r="W785" s="240"/>
      <c r="X785" s="240"/>
      <c r="Y785" s="240"/>
      <c r="Z785" s="240"/>
      <c r="AA785" s="240"/>
    </row>
    <row r="786" spans="1:27" s="118" customFormat="1" x14ac:dyDescent="0.2">
      <c r="A786" s="6"/>
      <c r="B786" s="6"/>
      <c r="C786" s="14"/>
      <c r="D786" s="108"/>
      <c r="E786" s="148"/>
      <c r="F786" s="253"/>
      <c r="G786" s="253"/>
      <c r="H786" s="253"/>
      <c r="I786" s="246"/>
      <c r="J786" s="262"/>
      <c r="K786" s="137"/>
      <c r="L786" s="137"/>
      <c r="M786" s="137"/>
      <c r="N786" s="138"/>
      <c r="O786" s="167"/>
      <c r="P786" s="111"/>
      <c r="Q786" s="111"/>
      <c r="R786" s="111"/>
      <c r="S786" s="111"/>
      <c r="T786" s="111"/>
      <c r="U786" s="111"/>
      <c r="V786" s="111"/>
      <c r="W786" s="111"/>
      <c r="X786" s="111"/>
      <c r="Y786" s="111"/>
      <c r="Z786" s="111"/>
      <c r="AA786" s="111"/>
    </row>
    <row r="787" spans="1:27" s="145" customFormat="1" x14ac:dyDescent="0.2">
      <c r="A787" s="140" t="s">
        <v>187</v>
      </c>
      <c r="B787" s="140"/>
      <c r="C787" s="141"/>
      <c r="D787" s="112" t="s">
        <v>30</v>
      </c>
      <c r="E787" s="140"/>
      <c r="F787" s="260"/>
      <c r="G787" s="260"/>
      <c r="H787" s="260"/>
      <c r="I787" s="248"/>
      <c r="J787" s="260"/>
      <c r="K787" s="142"/>
      <c r="L787" s="142"/>
      <c r="M787" s="142"/>
      <c r="N787" s="143" t="e">
        <f>SUM(N789:N817)</f>
        <v>#VALUE!</v>
      </c>
      <c r="O787" s="285"/>
      <c r="P787" s="144"/>
      <c r="Q787" s="144"/>
      <c r="R787" s="144"/>
      <c r="S787" s="144"/>
      <c r="T787" s="144"/>
      <c r="U787" s="144"/>
      <c r="V787" s="144"/>
      <c r="W787" s="144"/>
      <c r="X787" s="144"/>
      <c r="Y787" s="144"/>
      <c r="Z787" s="144"/>
      <c r="AA787" s="144"/>
    </row>
    <row r="788" spans="1:27" s="118" customFormat="1" x14ac:dyDescent="0.2">
      <c r="A788" s="6"/>
      <c r="B788" s="6"/>
      <c r="C788" s="14"/>
      <c r="D788" s="108"/>
      <c r="E788" s="148"/>
      <c r="F788" s="253"/>
      <c r="G788" s="253"/>
      <c r="H788" s="253"/>
      <c r="I788" s="246"/>
      <c r="J788" s="262"/>
      <c r="K788" s="137"/>
      <c r="L788" s="137"/>
      <c r="M788" s="137"/>
      <c r="N788" s="138"/>
      <c r="O788" s="167"/>
      <c r="P788" s="111"/>
      <c r="Q788" s="111"/>
      <c r="R788" s="111"/>
      <c r="S788" s="111"/>
      <c r="T788" s="111"/>
      <c r="U788" s="111"/>
      <c r="V788" s="111"/>
      <c r="W788" s="111"/>
      <c r="X788" s="111"/>
      <c r="Y788" s="111"/>
      <c r="Z788" s="111"/>
      <c r="AA788" s="111"/>
    </row>
    <row r="789" spans="1:27" s="147" customFormat="1" ht="61.2" x14ac:dyDescent="0.2">
      <c r="A789" s="9" t="s">
        <v>464</v>
      </c>
      <c r="B789" s="9" t="s">
        <v>179</v>
      </c>
      <c r="C789" s="13" t="s">
        <v>417</v>
      </c>
      <c r="D789" s="113" t="s">
        <v>561</v>
      </c>
      <c r="E789" s="9" t="s">
        <v>31</v>
      </c>
      <c r="F789" s="261"/>
      <c r="G789" s="261"/>
      <c r="H789" s="261"/>
      <c r="I789" s="245"/>
      <c r="J789" s="261"/>
      <c r="K789" s="131">
        <f>J791</f>
        <v>4</v>
      </c>
      <c r="L789" s="131" t="e">
        <f>'COMPOSICOES - SINAPI COM DESON'!G36</f>
        <v>#VALUE!</v>
      </c>
      <c r="M789" s="131" t="e">
        <f>ROUND(L789*(1+$Q$7),2)</f>
        <v>#VALUE!</v>
      </c>
      <c r="N789" s="133" t="e">
        <f>TRUNC(K789*M789,2)</f>
        <v>#VALUE!</v>
      </c>
      <c r="O789" s="286"/>
      <c r="P789" s="146"/>
      <c r="Q789" s="146"/>
      <c r="R789" s="146"/>
      <c r="S789" s="146"/>
      <c r="T789" s="146"/>
      <c r="U789" s="146"/>
      <c r="V789" s="146"/>
      <c r="W789" s="146"/>
      <c r="X789" s="146"/>
      <c r="Y789" s="146"/>
      <c r="Z789" s="146"/>
      <c r="AA789" s="146"/>
    </row>
    <row r="790" spans="1:27" s="118" customFormat="1" x14ac:dyDescent="0.2">
      <c r="A790" s="6"/>
      <c r="B790" s="6"/>
      <c r="C790" s="155"/>
      <c r="D790" s="2" t="s">
        <v>495</v>
      </c>
      <c r="E790" s="2"/>
      <c r="F790" s="253">
        <v>4</v>
      </c>
      <c r="G790" s="253"/>
      <c r="H790" s="253"/>
      <c r="I790" s="246"/>
      <c r="J790" s="253">
        <f t="shared" ref="J790" si="85">ROUND(PRODUCT(F790:I790),2)</f>
        <v>4</v>
      </c>
      <c r="K790" s="137"/>
      <c r="L790" s="137"/>
      <c r="M790" s="137"/>
      <c r="N790" s="138"/>
      <c r="O790" s="167"/>
      <c r="P790" s="111"/>
      <c r="Q790" s="111"/>
      <c r="R790" s="111"/>
      <c r="S790" s="111"/>
      <c r="T790" s="111"/>
      <c r="U790" s="111"/>
      <c r="V790" s="111"/>
      <c r="W790" s="111"/>
      <c r="X790" s="111"/>
      <c r="Y790" s="111"/>
      <c r="Z790" s="111"/>
      <c r="AA790" s="111"/>
    </row>
    <row r="791" spans="1:27" s="118" customFormat="1" x14ac:dyDescent="0.2">
      <c r="A791" s="6"/>
      <c r="B791" s="6"/>
      <c r="C791" s="156"/>
      <c r="D791" s="108"/>
      <c r="E791" s="148"/>
      <c r="F791" s="253"/>
      <c r="G791" s="253"/>
      <c r="H791" s="253"/>
      <c r="I791" s="246" t="str">
        <f>"Total item "&amp;A789</f>
        <v>Total item 10.1.1</v>
      </c>
      <c r="J791" s="261">
        <f>SUM(J790:J790)</f>
        <v>4</v>
      </c>
      <c r="K791" s="137"/>
      <c r="L791" s="137"/>
      <c r="M791" s="137"/>
      <c r="N791" s="138"/>
      <c r="O791" s="167"/>
      <c r="P791" s="111"/>
      <c r="Q791" s="111"/>
      <c r="R791" s="111"/>
      <c r="S791" s="111"/>
      <c r="T791" s="111"/>
      <c r="U791" s="111"/>
      <c r="V791" s="111"/>
      <c r="W791" s="111"/>
      <c r="X791" s="111"/>
      <c r="Y791" s="111"/>
      <c r="Z791" s="111"/>
      <c r="AA791" s="111"/>
    </row>
    <row r="792" spans="1:27" s="139" customFormat="1" x14ac:dyDescent="0.2">
      <c r="A792" s="6"/>
      <c r="B792" s="6"/>
      <c r="C792" s="7"/>
      <c r="D792" s="116"/>
      <c r="E792" s="6"/>
      <c r="F792" s="258"/>
      <c r="G792" s="258"/>
      <c r="H792" s="258"/>
      <c r="I792" s="246"/>
      <c r="J792" s="258"/>
      <c r="K792" s="137"/>
      <c r="L792" s="137"/>
      <c r="M792" s="137"/>
      <c r="N792" s="138"/>
      <c r="O792" s="283"/>
      <c r="P792" s="120"/>
      <c r="Q792" s="120"/>
      <c r="R792" s="120"/>
      <c r="S792" s="120"/>
      <c r="T792" s="120"/>
      <c r="U792" s="120"/>
      <c r="V792" s="120"/>
      <c r="W792" s="120"/>
      <c r="X792" s="120"/>
      <c r="Y792" s="120"/>
      <c r="Z792" s="120"/>
      <c r="AA792" s="120"/>
    </row>
    <row r="793" spans="1:27" s="147" customFormat="1" ht="51" x14ac:dyDescent="0.2">
      <c r="A793" s="9" t="s">
        <v>786</v>
      </c>
      <c r="B793" s="9" t="s">
        <v>163</v>
      </c>
      <c r="C793" s="13" t="s">
        <v>244</v>
      </c>
      <c r="D793" s="113" t="s">
        <v>245</v>
      </c>
      <c r="E793" s="9" t="s">
        <v>31</v>
      </c>
      <c r="F793" s="261"/>
      <c r="G793" s="261"/>
      <c r="H793" s="261"/>
      <c r="I793" s="245"/>
      <c r="J793" s="261"/>
      <c r="K793" s="131">
        <f>J796</f>
        <v>3</v>
      </c>
      <c r="L793" s="131">
        <v>116.08</v>
      </c>
      <c r="M793" s="131">
        <f>ROUND(L793*(1+$Q$7),2)</f>
        <v>146.88</v>
      </c>
      <c r="N793" s="133">
        <f>TRUNC(K793*M793,2)</f>
        <v>440.64</v>
      </c>
      <c r="O793" s="286"/>
      <c r="P793" s="146"/>
      <c r="Q793" s="146"/>
      <c r="R793" s="146"/>
      <c r="S793" s="146"/>
      <c r="T793" s="146"/>
      <c r="U793" s="146"/>
      <c r="V793" s="146"/>
      <c r="W793" s="146"/>
      <c r="X793" s="146"/>
      <c r="Y793" s="146"/>
      <c r="Z793" s="146"/>
      <c r="AA793" s="146"/>
    </row>
    <row r="794" spans="1:27" s="118" customFormat="1" x14ac:dyDescent="0.2">
      <c r="A794" s="6"/>
      <c r="B794" s="6"/>
      <c r="C794" s="155"/>
      <c r="D794" s="2" t="s">
        <v>493</v>
      </c>
      <c r="E794" s="148"/>
      <c r="F794" s="253">
        <v>1</v>
      </c>
      <c r="G794" s="253"/>
      <c r="H794" s="253"/>
      <c r="I794" s="246"/>
      <c r="J794" s="253">
        <f t="shared" ref="J794:J795" si="86">ROUND(PRODUCT(F794:I794),2)</f>
        <v>1</v>
      </c>
      <c r="K794" s="137"/>
      <c r="L794" s="137"/>
      <c r="M794" s="137"/>
      <c r="N794" s="138"/>
      <c r="O794" s="167"/>
      <c r="P794" s="111"/>
      <c r="Q794" s="111"/>
      <c r="R794" s="111"/>
      <c r="S794" s="111"/>
      <c r="T794" s="111"/>
      <c r="U794" s="111"/>
      <c r="V794" s="111"/>
      <c r="W794" s="111"/>
      <c r="X794" s="111"/>
      <c r="Y794" s="111"/>
      <c r="Z794" s="111"/>
      <c r="AA794" s="111"/>
    </row>
    <row r="795" spans="1:27" s="118" customFormat="1" x14ac:dyDescent="0.2">
      <c r="A795" s="6"/>
      <c r="B795" s="6"/>
      <c r="C795" s="155"/>
      <c r="D795" s="2" t="s">
        <v>494</v>
      </c>
      <c r="E795" s="148"/>
      <c r="F795" s="253">
        <v>2</v>
      </c>
      <c r="G795" s="253"/>
      <c r="H795" s="253"/>
      <c r="I795" s="246"/>
      <c r="J795" s="253">
        <f t="shared" si="86"/>
        <v>2</v>
      </c>
      <c r="K795" s="137"/>
      <c r="L795" s="137"/>
      <c r="M795" s="137"/>
      <c r="N795" s="138"/>
      <c r="O795" s="167"/>
      <c r="P795" s="111"/>
      <c r="Q795" s="111"/>
      <c r="R795" s="111"/>
      <c r="S795" s="111"/>
      <c r="T795" s="111"/>
      <c r="U795" s="111"/>
      <c r="V795" s="111"/>
      <c r="W795" s="111"/>
      <c r="X795" s="111"/>
      <c r="Y795" s="111"/>
      <c r="Z795" s="111"/>
      <c r="AA795" s="111"/>
    </row>
    <row r="796" spans="1:27" s="118" customFormat="1" x14ac:dyDescent="0.2">
      <c r="A796" s="6"/>
      <c r="B796" s="6"/>
      <c r="C796" s="156"/>
      <c r="D796" s="108"/>
      <c r="E796" s="148"/>
      <c r="F796" s="253"/>
      <c r="G796" s="253"/>
      <c r="H796" s="253"/>
      <c r="I796" s="246" t="str">
        <f>"Total item "&amp;A793</f>
        <v>Total item 10.1.2</v>
      </c>
      <c r="J796" s="261">
        <f>SUM(J794:J795)</f>
        <v>3</v>
      </c>
      <c r="K796" s="137"/>
      <c r="L796" s="137"/>
      <c r="M796" s="137"/>
      <c r="N796" s="138"/>
      <c r="O796" s="167"/>
      <c r="P796" s="111"/>
      <c r="Q796" s="111"/>
      <c r="R796" s="111"/>
      <c r="S796" s="111"/>
      <c r="T796" s="111"/>
      <c r="U796" s="111"/>
      <c r="V796" s="111"/>
      <c r="W796" s="111"/>
      <c r="X796" s="111"/>
      <c r="Y796" s="111"/>
      <c r="Z796" s="111"/>
      <c r="AA796" s="111"/>
    </row>
    <row r="797" spans="1:27" s="139" customFormat="1" x14ac:dyDescent="0.2">
      <c r="A797" s="6"/>
      <c r="B797" s="6"/>
      <c r="C797" s="7"/>
      <c r="D797" s="116"/>
      <c r="E797" s="6"/>
      <c r="F797" s="258"/>
      <c r="G797" s="258"/>
      <c r="H797" s="258"/>
      <c r="I797" s="246"/>
      <c r="J797" s="258"/>
      <c r="K797" s="137"/>
      <c r="L797" s="137"/>
      <c r="M797" s="137"/>
      <c r="N797" s="138"/>
      <c r="O797" s="283"/>
      <c r="P797" s="120"/>
      <c r="Q797" s="120"/>
      <c r="R797" s="120"/>
      <c r="S797" s="120"/>
      <c r="T797" s="120"/>
      <c r="U797" s="120"/>
      <c r="V797" s="120"/>
      <c r="W797" s="120"/>
      <c r="X797" s="120"/>
      <c r="Y797" s="120"/>
      <c r="Z797" s="120"/>
      <c r="AA797" s="120"/>
    </row>
    <row r="798" spans="1:27" s="147" customFormat="1" ht="30.6" x14ac:dyDescent="0.2">
      <c r="A798" s="9" t="s">
        <v>787</v>
      </c>
      <c r="B798" s="9" t="s">
        <v>163</v>
      </c>
      <c r="C798" s="13" t="s">
        <v>240</v>
      </c>
      <c r="D798" s="113" t="s">
        <v>241</v>
      </c>
      <c r="E798" s="9" t="s">
        <v>31</v>
      </c>
      <c r="F798" s="261"/>
      <c r="G798" s="261"/>
      <c r="H798" s="261"/>
      <c r="I798" s="245"/>
      <c r="J798" s="261"/>
      <c r="K798" s="131">
        <f>J804</f>
        <v>9</v>
      </c>
      <c r="L798" s="131">
        <v>73.44</v>
      </c>
      <c r="M798" s="131">
        <f>ROUND(L798*(1+$Q$7),2)</f>
        <v>92.92</v>
      </c>
      <c r="N798" s="133">
        <f>TRUNC(K798*M798,2)</f>
        <v>836.28</v>
      </c>
      <c r="O798" s="286"/>
      <c r="P798" s="146"/>
      <c r="Q798" s="146"/>
      <c r="R798" s="146"/>
      <c r="S798" s="146"/>
      <c r="T798" s="146"/>
      <c r="U798" s="146"/>
      <c r="V798" s="146"/>
      <c r="W798" s="146"/>
      <c r="X798" s="146"/>
      <c r="Y798" s="146"/>
      <c r="Z798" s="146"/>
      <c r="AA798" s="146"/>
    </row>
    <row r="799" spans="1:27" s="118" customFormat="1" x14ac:dyDescent="0.2">
      <c r="A799" s="6"/>
      <c r="B799" s="6"/>
      <c r="C799" s="155"/>
      <c r="D799" s="2" t="s">
        <v>242</v>
      </c>
      <c r="E799" s="148"/>
      <c r="F799" s="253">
        <v>4</v>
      </c>
      <c r="G799" s="253"/>
      <c r="H799" s="253"/>
      <c r="I799" s="246"/>
      <c r="J799" s="253">
        <f t="shared" ref="J799:J803" si="87">ROUND(PRODUCT(F799:I799),2)</f>
        <v>4</v>
      </c>
      <c r="K799" s="137"/>
      <c r="L799" s="137"/>
      <c r="M799" s="137"/>
      <c r="N799" s="138"/>
      <c r="O799" s="167"/>
      <c r="P799" s="111"/>
      <c r="Q799" s="111"/>
      <c r="R799" s="111"/>
      <c r="S799" s="111"/>
      <c r="T799" s="111"/>
      <c r="U799" s="111"/>
      <c r="V799" s="111"/>
      <c r="W799" s="111"/>
      <c r="X799" s="111"/>
      <c r="Y799" s="111"/>
      <c r="Z799" s="111"/>
      <c r="AA799" s="111"/>
    </row>
    <row r="800" spans="1:27" s="118" customFormat="1" x14ac:dyDescent="0.2">
      <c r="A800" s="6"/>
      <c r="B800" s="6"/>
      <c r="C800" s="155"/>
      <c r="D800" s="2" t="s">
        <v>243</v>
      </c>
      <c r="E800" s="148"/>
      <c r="F800" s="253">
        <v>2</v>
      </c>
      <c r="G800" s="253"/>
      <c r="H800" s="253"/>
      <c r="I800" s="246"/>
      <c r="J800" s="253">
        <f t="shared" si="87"/>
        <v>2</v>
      </c>
      <c r="K800" s="137"/>
      <c r="L800" s="137"/>
      <c r="M800" s="137"/>
      <c r="N800" s="138"/>
      <c r="O800" s="167"/>
      <c r="P800" s="111"/>
      <c r="Q800" s="111"/>
      <c r="R800" s="111"/>
      <c r="S800" s="111"/>
      <c r="T800" s="111"/>
      <c r="U800" s="111"/>
      <c r="V800" s="111"/>
      <c r="W800" s="111"/>
      <c r="X800" s="111"/>
      <c r="Y800" s="111"/>
      <c r="Z800" s="111"/>
      <c r="AA800" s="111"/>
    </row>
    <row r="801" spans="1:27" s="118" customFormat="1" x14ac:dyDescent="0.2">
      <c r="A801" s="6"/>
      <c r="B801" s="6"/>
      <c r="C801" s="155"/>
      <c r="D801" s="2" t="s">
        <v>446</v>
      </c>
      <c r="E801" s="148"/>
      <c r="F801" s="253">
        <v>1</v>
      </c>
      <c r="G801" s="253"/>
      <c r="H801" s="253"/>
      <c r="I801" s="246"/>
      <c r="J801" s="253">
        <f t="shared" si="87"/>
        <v>1</v>
      </c>
      <c r="K801" s="137"/>
      <c r="L801" s="137"/>
      <c r="M801" s="137"/>
      <c r="N801" s="138"/>
      <c r="O801" s="167"/>
      <c r="P801" s="111"/>
      <c r="Q801" s="111"/>
      <c r="R801" s="111"/>
      <c r="S801" s="111"/>
      <c r="T801" s="111"/>
      <c r="U801" s="111"/>
      <c r="V801" s="111"/>
      <c r="W801" s="111"/>
      <c r="X801" s="111"/>
      <c r="Y801" s="111"/>
      <c r="Z801" s="111"/>
      <c r="AA801" s="111"/>
    </row>
    <row r="802" spans="1:27" s="118" customFormat="1" x14ac:dyDescent="0.2">
      <c r="A802" s="6"/>
      <c r="B802" s="6"/>
      <c r="C802" s="155"/>
      <c r="D802" s="2" t="s">
        <v>496</v>
      </c>
      <c r="E802" s="148"/>
      <c r="F802" s="253">
        <v>1</v>
      </c>
      <c r="G802" s="253"/>
      <c r="H802" s="253"/>
      <c r="I802" s="246"/>
      <c r="J802" s="253">
        <f t="shared" si="87"/>
        <v>1</v>
      </c>
      <c r="K802" s="137"/>
      <c r="L802" s="137"/>
      <c r="M802" s="137"/>
      <c r="N802" s="138"/>
      <c r="O802" s="167"/>
      <c r="P802" s="111"/>
      <c r="Q802" s="111"/>
      <c r="R802" s="111"/>
      <c r="S802" s="111"/>
      <c r="T802" s="111"/>
      <c r="U802" s="111"/>
      <c r="V802" s="111"/>
      <c r="W802" s="111"/>
      <c r="X802" s="111"/>
      <c r="Y802" s="111"/>
      <c r="Z802" s="111"/>
      <c r="AA802" s="111"/>
    </row>
    <row r="803" spans="1:27" s="118" customFormat="1" x14ac:dyDescent="0.2">
      <c r="A803" s="6"/>
      <c r="B803" s="6"/>
      <c r="C803" s="155"/>
      <c r="D803" s="2" t="s">
        <v>497</v>
      </c>
      <c r="E803" s="148"/>
      <c r="F803" s="253">
        <v>1</v>
      </c>
      <c r="G803" s="253"/>
      <c r="H803" s="253"/>
      <c r="I803" s="246"/>
      <c r="J803" s="253">
        <f t="shared" si="87"/>
        <v>1</v>
      </c>
      <c r="K803" s="137"/>
      <c r="L803" s="137"/>
      <c r="M803" s="137"/>
      <c r="N803" s="138"/>
      <c r="O803" s="167"/>
      <c r="P803" s="111"/>
      <c r="Q803" s="111"/>
      <c r="R803" s="111"/>
      <c r="S803" s="111"/>
      <c r="T803" s="111"/>
      <c r="U803" s="111"/>
      <c r="V803" s="111"/>
      <c r="W803" s="111"/>
      <c r="X803" s="111"/>
      <c r="Y803" s="111"/>
      <c r="Z803" s="111"/>
      <c r="AA803" s="111"/>
    </row>
    <row r="804" spans="1:27" s="118" customFormat="1" x14ac:dyDescent="0.2">
      <c r="A804" s="6"/>
      <c r="B804" s="6"/>
      <c r="C804" s="156"/>
      <c r="D804" s="108"/>
      <c r="E804" s="148"/>
      <c r="F804" s="253"/>
      <c r="G804" s="253"/>
      <c r="H804" s="253"/>
      <c r="I804" s="246" t="str">
        <f>"Total item "&amp;A798</f>
        <v>Total item 10.1.3</v>
      </c>
      <c r="J804" s="261">
        <f>SUM(J799:J803)</f>
        <v>9</v>
      </c>
      <c r="K804" s="137"/>
      <c r="L804" s="137"/>
      <c r="M804" s="137"/>
      <c r="N804" s="138"/>
      <c r="O804" s="167"/>
      <c r="P804" s="111"/>
      <c r="Q804" s="111"/>
      <c r="R804" s="111"/>
      <c r="S804" s="111"/>
      <c r="T804" s="111"/>
      <c r="U804" s="111"/>
      <c r="V804" s="111"/>
      <c r="W804" s="111"/>
      <c r="X804" s="111"/>
      <c r="Y804" s="111"/>
      <c r="Z804" s="111"/>
      <c r="AA804" s="111"/>
    </row>
    <row r="805" spans="1:27" s="154" customFormat="1" x14ac:dyDescent="0.2">
      <c r="A805" s="10"/>
      <c r="B805" s="10"/>
      <c r="C805" s="15"/>
      <c r="D805" s="117"/>
      <c r="E805" s="10"/>
      <c r="F805" s="263"/>
      <c r="G805" s="263"/>
      <c r="H805" s="263"/>
      <c r="I805" s="250"/>
      <c r="J805" s="263"/>
      <c r="K805" s="151"/>
      <c r="L805" s="151"/>
      <c r="M805" s="151"/>
      <c r="N805" s="152"/>
      <c r="O805" s="283"/>
      <c r="P805" s="153"/>
      <c r="Q805" s="153"/>
      <c r="R805" s="153"/>
      <c r="S805" s="153"/>
      <c r="T805" s="153"/>
      <c r="U805" s="153"/>
      <c r="V805" s="153"/>
      <c r="W805" s="153"/>
      <c r="X805" s="153"/>
      <c r="Y805" s="153"/>
      <c r="Z805" s="153"/>
      <c r="AA805" s="153"/>
    </row>
    <row r="806" spans="1:27" s="147" customFormat="1" ht="30.6" x14ac:dyDescent="0.2">
      <c r="A806" s="9" t="s">
        <v>788</v>
      </c>
      <c r="B806" s="9" t="s">
        <v>179</v>
      </c>
      <c r="C806" s="13" t="s">
        <v>672</v>
      </c>
      <c r="D806" s="113" t="s">
        <v>567</v>
      </c>
      <c r="E806" s="9" t="s">
        <v>33</v>
      </c>
      <c r="F806" s="261"/>
      <c r="G806" s="261"/>
      <c r="H806" s="261"/>
      <c r="I806" s="245"/>
      <c r="J806" s="261"/>
      <c r="K806" s="131">
        <f>J812</f>
        <v>9</v>
      </c>
      <c r="L806" s="131">
        <f>'COMPOSICOES - SINAPI COM DESON'!G50</f>
        <v>104.48</v>
      </c>
      <c r="M806" s="131">
        <f>ROUND(L806*(1+$Q$7),2)</f>
        <v>132.19999999999999</v>
      </c>
      <c r="N806" s="133">
        <f>TRUNC(K806*M806,2)</f>
        <v>1189.8</v>
      </c>
      <c r="O806" s="286"/>
      <c r="P806" s="146"/>
      <c r="Q806" s="146" t="s">
        <v>415</v>
      </c>
      <c r="R806" s="146"/>
      <c r="S806" s="146"/>
      <c r="T806" s="146"/>
      <c r="U806" s="146"/>
      <c r="V806" s="146"/>
      <c r="W806" s="146"/>
      <c r="X806" s="146"/>
      <c r="Y806" s="146"/>
      <c r="Z806" s="146"/>
      <c r="AA806" s="146"/>
    </row>
    <row r="807" spans="1:27" s="118" customFormat="1" x14ac:dyDescent="0.2">
      <c r="A807" s="6"/>
      <c r="B807" s="6"/>
      <c r="C807" s="155"/>
      <c r="D807" s="2" t="s">
        <v>242</v>
      </c>
      <c r="E807" s="148"/>
      <c r="F807" s="253">
        <v>4</v>
      </c>
      <c r="G807" s="253"/>
      <c r="H807" s="253"/>
      <c r="I807" s="246"/>
      <c r="J807" s="253">
        <f t="shared" ref="J807:J811" si="88">ROUND(PRODUCT(F807:I807),2)</f>
        <v>4</v>
      </c>
      <c r="K807" s="137"/>
      <c r="L807" s="137"/>
      <c r="M807" s="137"/>
      <c r="N807" s="138"/>
      <c r="O807" s="167"/>
      <c r="P807" s="111"/>
      <c r="Q807" s="111"/>
      <c r="R807" s="111"/>
      <c r="S807" s="111"/>
      <c r="T807" s="111"/>
      <c r="U807" s="111"/>
      <c r="V807" s="111"/>
      <c r="W807" s="111"/>
      <c r="X807" s="111"/>
      <c r="Y807" s="111"/>
      <c r="Z807" s="111"/>
      <c r="AA807" s="111"/>
    </row>
    <row r="808" spans="1:27" s="118" customFormat="1" x14ac:dyDescent="0.2">
      <c r="A808" s="6"/>
      <c r="B808" s="6"/>
      <c r="C808" s="155"/>
      <c r="D808" s="2" t="s">
        <v>243</v>
      </c>
      <c r="E808" s="148"/>
      <c r="F808" s="253">
        <v>2</v>
      </c>
      <c r="G808" s="253"/>
      <c r="H808" s="253"/>
      <c r="I808" s="246"/>
      <c r="J808" s="253">
        <f t="shared" si="88"/>
        <v>2</v>
      </c>
      <c r="K808" s="137"/>
      <c r="L808" s="137"/>
      <c r="M808" s="137"/>
      <c r="N808" s="138"/>
      <c r="O808" s="167"/>
      <c r="P808" s="111"/>
      <c r="Q808" s="111"/>
      <c r="R808" s="111"/>
      <c r="S808" s="111"/>
      <c r="T808" s="111"/>
      <c r="U808" s="111"/>
      <c r="V808" s="111"/>
      <c r="W808" s="111"/>
      <c r="X808" s="111"/>
      <c r="Y808" s="111"/>
      <c r="Z808" s="111"/>
      <c r="AA808" s="111"/>
    </row>
    <row r="809" spans="1:27" s="118" customFormat="1" x14ac:dyDescent="0.2">
      <c r="A809" s="6"/>
      <c r="B809" s="6"/>
      <c r="C809" s="155"/>
      <c r="D809" s="2" t="s">
        <v>446</v>
      </c>
      <c r="E809" s="148"/>
      <c r="F809" s="253">
        <v>1</v>
      </c>
      <c r="G809" s="253"/>
      <c r="H809" s="253"/>
      <c r="I809" s="246"/>
      <c r="J809" s="253">
        <f t="shared" si="88"/>
        <v>1</v>
      </c>
      <c r="K809" s="137"/>
      <c r="L809" s="137"/>
      <c r="M809" s="137"/>
      <c r="N809" s="138"/>
      <c r="O809" s="167"/>
      <c r="P809" s="111"/>
      <c r="Q809" s="111"/>
      <c r="R809" s="111"/>
      <c r="S809" s="111"/>
      <c r="T809" s="111"/>
      <c r="U809" s="111"/>
      <c r="V809" s="111"/>
      <c r="W809" s="111"/>
      <c r="X809" s="111"/>
      <c r="Y809" s="111"/>
      <c r="Z809" s="111"/>
      <c r="AA809" s="111"/>
    </row>
    <row r="810" spans="1:27" s="118" customFormat="1" x14ac:dyDescent="0.2">
      <c r="A810" s="6"/>
      <c r="B810" s="6"/>
      <c r="C810" s="155"/>
      <c r="D810" s="2" t="s">
        <v>496</v>
      </c>
      <c r="E810" s="148"/>
      <c r="F810" s="253">
        <v>1</v>
      </c>
      <c r="G810" s="253"/>
      <c r="H810" s="253"/>
      <c r="I810" s="246"/>
      <c r="J810" s="253">
        <f t="shared" si="88"/>
        <v>1</v>
      </c>
      <c r="K810" s="137"/>
      <c r="L810" s="137"/>
      <c r="M810" s="137"/>
      <c r="N810" s="138"/>
      <c r="O810" s="167"/>
      <c r="P810" s="111"/>
      <c r="Q810" s="111"/>
      <c r="R810" s="111"/>
      <c r="S810" s="111"/>
      <c r="T810" s="111"/>
      <c r="U810" s="111"/>
      <c r="V810" s="111"/>
      <c r="W810" s="111"/>
      <c r="X810" s="111"/>
      <c r="Y810" s="111"/>
      <c r="Z810" s="111"/>
      <c r="AA810" s="111"/>
    </row>
    <row r="811" spans="1:27" s="118" customFormat="1" x14ac:dyDescent="0.2">
      <c r="A811" s="6"/>
      <c r="B811" s="6"/>
      <c r="C811" s="155"/>
      <c r="D811" s="2" t="s">
        <v>497</v>
      </c>
      <c r="E811" s="148"/>
      <c r="F811" s="253">
        <v>1</v>
      </c>
      <c r="G811" s="253"/>
      <c r="H811" s="253"/>
      <c r="I811" s="246"/>
      <c r="J811" s="253">
        <f t="shared" si="88"/>
        <v>1</v>
      </c>
      <c r="K811" s="137"/>
      <c r="L811" s="137"/>
      <c r="M811" s="137"/>
      <c r="N811" s="138"/>
      <c r="O811" s="167"/>
      <c r="P811" s="111"/>
      <c r="Q811" s="111"/>
      <c r="R811" s="111"/>
      <c r="S811" s="111"/>
      <c r="T811" s="111"/>
      <c r="U811" s="111"/>
      <c r="V811" s="111"/>
      <c r="W811" s="111"/>
      <c r="X811" s="111"/>
      <c r="Y811" s="111"/>
      <c r="Z811" s="111"/>
      <c r="AA811" s="111"/>
    </row>
    <row r="812" spans="1:27" s="118" customFormat="1" x14ac:dyDescent="0.2">
      <c r="A812" s="6"/>
      <c r="B812" s="6"/>
      <c r="C812" s="156"/>
      <c r="D812" s="108"/>
      <c r="E812" s="148"/>
      <c r="F812" s="253"/>
      <c r="G812" s="253"/>
      <c r="H812" s="253"/>
      <c r="I812" s="246" t="str">
        <f>"Total item "&amp;A806</f>
        <v>Total item 10.1.4</v>
      </c>
      <c r="J812" s="261">
        <f>SUM(J807:J811)</f>
        <v>9</v>
      </c>
      <c r="K812" s="137"/>
      <c r="L812" s="137"/>
      <c r="M812" s="137"/>
      <c r="N812" s="138"/>
      <c r="O812" s="167"/>
      <c r="P812" s="111"/>
      <c r="Q812" s="111"/>
      <c r="R812" s="111"/>
      <c r="S812" s="111"/>
      <c r="T812" s="111"/>
      <c r="U812" s="111"/>
      <c r="V812" s="111"/>
      <c r="W812" s="111"/>
      <c r="X812" s="111"/>
      <c r="Y812" s="111"/>
      <c r="Z812" s="111"/>
      <c r="AA812" s="111"/>
    </row>
    <row r="813" spans="1:27" s="139" customFormat="1" x14ac:dyDescent="0.2">
      <c r="A813" s="6"/>
      <c r="B813" s="6"/>
      <c r="C813" s="7"/>
      <c r="D813" s="116"/>
      <c r="E813" s="6"/>
      <c r="F813" s="258"/>
      <c r="G813" s="258"/>
      <c r="H813" s="258"/>
      <c r="I813" s="246"/>
      <c r="J813" s="258"/>
      <c r="K813" s="137"/>
      <c r="L813" s="137"/>
      <c r="M813" s="137"/>
      <c r="N813" s="138"/>
      <c r="O813" s="283"/>
      <c r="P813" s="120"/>
      <c r="Q813" s="120"/>
      <c r="R813" s="120"/>
      <c r="S813" s="120"/>
      <c r="T813" s="120"/>
      <c r="U813" s="120"/>
      <c r="V813" s="120"/>
      <c r="W813" s="120"/>
      <c r="X813" s="120"/>
      <c r="Y813" s="120"/>
      <c r="Z813" s="120"/>
      <c r="AA813" s="120"/>
    </row>
    <row r="814" spans="1:27" s="147" customFormat="1" ht="30.6" x14ac:dyDescent="0.2">
      <c r="A814" s="9" t="s">
        <v>789</v>
      </c>
      <c r="B814" s="9" t="s">
        <v>89</v>
      </c>
      <c r="C814" s="13" t="s">
        <v>498</v>
      </c>
      <c r="D814" s="113" t="s">
        <v>499</v>
      </c>
      <c r="E814" s="9" t="s">
        <v>33</v>
      </c>
      <c r="F814" s="261"/>
      <c r="G814" s="261"/>
      <c r="H814" s="261"/>
      <c r="I814" s="245"/>
      <c r="J814" s="261"/>
      <c r="K814" s="131">
        <f>J816</f>
        <v>2</v>
      </c>
      <c r="L814" s="131">
        <v>286.42</v>
      </c>
      <c r="M814" s="131">
        <f>ROUND(L814*(1+$Q$7),2)</f>
        <v>362.41</v>
      </c>
      <c r="N814" s="133">
        <f>TRUNC(K814*M814,2)</f>
        <v>724.82</v>
      </c>
      <c r="O814" s="286"/>
      <c r="P814" s="146"/>
      <c r="Q814" s="146"/>
      <c r="R814" s="146"/>
      <c r="S814" s="146"/>
      <c r="T814" s="146"/>
      <c r="U814" s="146"/>
      <c r="V814" s="146"/>
      <c r="W814" s="146"/>
      <c r="X814" s="146"/>
      <c r="Y814" s="146"/>
      <c r="Z814" s="146"/>
      <c r="AA814" s="146"/>
    </row>
    <row r="815" spans="1:27" s="118" customFormat="1" x14ac:dyDescent="0.2">
      <c r="A815" s="6"/>
      <c r="B815" s="6"/>
      <c r="C815" s="155"/>
      <c r="D815" s="2" t="s">
        <v>500</v>
      </c>
      <c r="E815" s="148"/>
      <c r="F815" s="253">
        <v>2</v>
      </c>
      <c r="G815" s="253"/>
      <c r="H815" s="253"/>
      <c r="I815" s="246"/>
      <c r="J815" s="253">
        <f t="shared" ref="J815" si="89">ROUND(PRODUCT(F815:I815),2)</f>
        <v>2</v>
      </c>
      <c r="K815" s="137"/>
      <c r="L815" s="137"/>
      <c r="M815" s="137"/>
      <c r="N815" s="138"/>
      <c r="O815" s="167"/>
      <c r="P815" s="111"/>
      <c r="Q815" s="111"/>
      <c r="R815" s="111"/>
      <c r="S815" s="111"/>
      <c r="T815" s="111"/>
      <c r="U815" s="111"/>
      <c r="V815" s="111"/>
      <c r="W815" s="111"/>
      <c r="X815" s="111"/>
      <c r="Y815" s="111"/>
      <c r="Z815" s="111"/>
      <c r="AA815" s="111"/>
    </row>
    <row r="816" spans="1:27" s="118" customFormat="1" x14ac:dyDescent="0.2">
      <c r="A816" s="6"/>
      <c r="B816" s="6"/>
      <c r="C816" s="156"/>
      <c r="D816" s="108"/>
      <c r="E816" s="148"/>
      <c r="F816" s="253"/>
      <c r="G816" s="253"/>
      <c r="H816" s="253"/>
      <c r="I816" s="246" t="str">
        <f>"Total item "&amp;A814</f>
        <v>Total item 10.1.5</v>
      </c>
      <c r="J816" s="261">
        <f>SUM(J815:J815)</f>
        <v>2</v>
      </c>
      <c r="K816" s="137"/>
      <c r="L816" s="137"/>
      <c r="M816" s="137"/>
      <c r="N816" s="138"/>
      <c r="O816" s="167"/>
      <c r="P816" s="111"/>
      <c r="Q816" s="111"/>
      <c r="R816" s="111"/>
      <c r="S816" s="111"/>
      <c r="T816" s="111"/>
      <c r="U816" s="111"/>
      <c r="V816" s="111"/>
      <c r="W816" s="111"/>
      <c r="X816" s="111"/>
      <c r="Y816" s="111"/>
      <c r="Z816" s="111"/>
      <c r="AA816" s="111"/>
    </row>
    <row r="817" spans="1:27" s="139" customFormat="1" x14ac:dyDescent="0.2">
      <c r="A817" s="6"/>
      <c r="B817" s="6"/>
      <c r="C817" s="7"/>
      <c r="D817" s="116"/>
      <c r="E817" s="6"/>
      <c r="F817" s="258"/>
      <c r="G817" s="258"/>
      <c r="H817" s="258"/>
      <c r="I817" s="246"/>
      <c r="J817" s="258"/>
      <c r="K817" s="137"/>
      <c r="L817" s="137"/>
      <c r="M817" s="137"/>
      <c r="N817" s="138"/>
      <c r="O817" s="283"/>
      <c r="P817" s="120"/>
      <c r="Q817" s="120"/>
      <c r="R817" s="120"/>
      <c r="S817" s="120"/>
      <c r="T817" s="120"/>
      <c r="U817" s="120"/>
      <c r="V817" s="120"/>
      <c r="W817" s="120"/>
      <c r="X817" s="120"/>
      <c r="Y817" s="120"/>
      <c r="Z817" s="120"/>
      <c r="AA817" s="120"/>
    </row>
    <row r="818" spans="1:27" s="145" customFormat="1" x14ac:dyDescent="0.2">
      <c r="A818" s="140" t="s">
        <v>189</v>
      </c>
      <c r="B818" s="140"/>
      <c r="C818" s="141"/>
      <c r="D818" s="112" t="s">
        <v>211</v>
      </c>
      <c r="E818" s="140"/>
      <c r="F818" s="260"/>
      <c r="G818" s="260"/>
      <c r="H818" s="260"/>
      <c r="I818" s="248"/>
      <c r="J818" s="260"/>
      <c r="K818" s="142"/>
      <c r="L818" s="142"/>
      <c r="M818" s="142"/>
      <c r="N818" s="143">
        <f>SUM(N820:N822)</f>
        <v>587.6</v>
      </c>
      <c r="O818" s="285"/>
      <c r="P818" s="144"/>
      <c r="Q818" s="144"/>
      <c r="R818" s="144"/>
      <c r="S818" s="144"/>
      <c r="T818" s="144"/>
      <c r="U818" s="144"/>
      <c r="V818" s="144"/>
      <c r="W818" s="144"/>
      <c r="X818" s="144"/>
      <c r="Y818" s="144"/>
      <c r="Z818" s="144"/>
      <c r="AA818" s="144"/>
    </row>
    <row r="819" spans="1:27" s="139" customFormat="1" x14ac:dyDescent="0.2">
      <c r="A819" s="6"/>
      <c r="B819" s="6"/>
      <c r="C819" s="7"/>
      <c r="D819" s="116"/>
      <c r="E819" s="6"/>
      <c r="F819" s="258"/>
      <c r="G819" s="258"/>
      <c r="H819" s="258"/>
      <c r="I819" s="246"/>
      <c r="J819" s="258"/>
      <c r="K819" s="137"/>
      <c r="L819" s="137"/>
      <c r="M819" s="137"/>
      <c r="N819" s="138"/>
      <c r="O819" s="283"/>
      <c r="P819" s="120"/>
      <c r="Q819" s="120"/>
      <c r="R819" s="120"/>
      <c r="S819" s="120"/>
      <c r="T819" s="120"/>
      <c r="U819" s="120"/>
      <c r="V819" s="120"/>
      <c r="W819" s="120"/>
      <c r="X819" s="120"/>
      <c r="Y819" s="120"/>
      <c r="Z819" s="120"/>
      <c r="AA819" s="120"/>
    </row>
    <row r="820" spans="1:27" s="147" customFormat="1" ht="30.6" x14ac:dyDescent="0.2">
      <c r="A820" s="9" t="s">
        <v>465</v>
      </c>
      <c r="B820" s="9" t="s">
        <v>163</v>
      </c>
      <c r="C820" s="13" t="s">
        <v>249</v>
      </c>
      <c r="D820" s="113" t="s">
        <v>414</v>
      </c>
      <c r="E820" s="9" t="s">
        <v>32</v>
      </c>
      <c r="F820" s="261"/>
      <c r="G820" s="261"/>
      <c r="H820" s="261"/>
      <c r="I820" s="245"/>
      <c r="J820" s="261"/>
      <c r="K820" s="131">
        <f>J822</f>
        <v>4</v>
      </c>
      <c r="L820" s="131">
        <v>116.1</v>
      </c>
      <c r="M820" s="131">
        <f>ROUND(L820*(1+$Q$7),2)</f>
        <v>146.9</v>
      </c>
      <c r="N820" s="133">
        <f>TRUNC(K820*M820,2)</f>
        <v>587.6</v>
      </c>
      <c r="O820" s="286"/>
      <c r="P820" s="146"/>
      <c r="Q820" s="146"/>
      <c r="R820" s="146"/>
      <c r="S820" s="146"/>
      <c r="T820" s="146"/>
      <c r="U820" s="146"/>
      <c r="V820" s="146"/>
      <c r="W820" s="146"/>
      <c r="X820" s="146"/>
      <c r="Y820" s="146"/>
      <c r="Z820" s="146"/>
      <c r="AA820" s="146"/>
    </row>
    <row r="821" spans="1:27" s="118" customFormat="1" x14ac:dyDescent="0.2">
      <c r="A821" s="6"/>
      <c r="B821" s="6"/>
      <c r="C821" s="155"/>
      <c r="D821" s="2" t="s">
        <v>501</v>
      </c>
      <c r="E821" s="148"/>
      <c r="F821" s="253">
        <v>4</v>
      </c>
      <c r="G821" s="253"/>
      <c r="H821" s="253"/>
      <c r="I821" s="246"/>
      <c r="J821" s="253">
        <f t="shared" ref="J821" si="90">ROUND(PRODUCT(F821:I821),2)</f>
        <v>4</v>
      </c>
      <c r="K821" s="137"/>
      <c r="L821" s="137"/>
      <c r="M821" s="137"/>
      <c r="N821" s="138"/>
      <c r="O821" s="167"/>
      <c r="P821" s="111"/>
      <c r="Q821" s="111"/>
      <c r="R821" s="111"/>
      <c r="S821" s="111"/>
      <c r="T821" s="111"/>
      <c r="U821" s="111"/>
      <c r="V821" s="111"/>
      <c r="W821" s="111"/>
      <c r="X821" s="111"/>
      <c r="Y821" s="111"/>
      <c r="Z821" s="111"/>
      <c r="AA821" s="111"/>
    </row>
    <row r="822" spans="1:27" s="118" customFormat="1" x14ac:dyDescent="0.2">
      <c r="A822" s="6"/>
      <c r="B822" s="6"/>
      <c r="C822" s="156"/>
      <c r="D822" s="108"/>
      <c r="E822" s="148"/>
      <c r="F822" s="253"/>
      <c r="G822" s="253"/>
      <c r="H822" s="253"/>
      <c r="I822" s="246" t="str">
        <f>"Total item "&amp;A820</f>
        <v>Total item 10.2.1</v>
      </c>
      <c r="J822" s="261">
        <f>SUM(J821:J821)</f>
        <v>4</v>
      </c>
      <c r="K822" s="137"/>
      <c r="L822" s="137"/>
      <c r="M822" s="137"/>
      <c r="N822" s="138"/>
      <c r="O822" s="167"/>
      <c r="P822" s="111"/>
      <c r="Q822" s="111"/>
      <c r="R822" s="111"/>
      <c r="S822" s="111"/>
      <c r="T822" s="111"/>
      <c r="U822" s="111"/>
      <c r="V822" s="111"/>
      <c r="W822" s="111"/>
      <c r="X822" s="111"/>
      <c r="Y822" s="111"/>
      <c r="Z822" s="111"/>
      <c r="AA822" s="111"/>
    </row>
    <row r="823" spans="1:27" s="139" customFormat="1" x14ac:dyDescent="0.2">
      <c r="A823" s="6"/>
      <c r="B823" s="6"/>
      <c r="C823" s="7"/>
      <c r="D823" s="116"/>
      <c r="E823" s="6"/>
      <c r="F823" s="258"/>
      <c r="G823" s="258"/>
      <c r="H823" s="258"/>
      <c r="I823" s="246"/>
      <c r="J823" s="258"/>
      <c r="K823" s="137"/>
      <c r="L823" s="137"/>
      <c r="M823" s="137"/>
      <c r="N823" s="138"/>
      <c r="O823" s="283"/>
      <c r="P823" s="120"/>
      <c r="Q823" s="120"/>
      <c r="R823" s="120"/>
      <c r="S823" s="120"/>
      <c r="T823" s="120"/>
      <c r="U823" s="120"/>
      <c r="V823" s="120"/>
      <c r="W823" s="120"/>
      <c r="X823" s="120"/>
      <c r="Y823" s="120"/>
      <c r="Z823" s="120"/>
      <c r="AA823" s="120"/>
    </row>
    <row r="824" spans="1:27" s="145" customFormat="1" x14ac:dyDescent="0.2">
      <c r="A824" s="140" t="s">
        <v>191</v>
      </c>
      <c r="B824" s="140"/>
      <c r="C824" s="141"/>
      <c r="D824" s="112" t="s">
        <v>80</v>
      </c>
      <c r="E824" s="140"/>
      <c r="F824" s="260"/>
      <c r="G824" s="260"/>
      <c r="H824" s="260"/>
      <c r="I824" s="248"/>
      <c r="J824" s="260"/>
      <c r="K824" s="142"/>
      <c r="L824" s="142"/>
      <c r="M824" s="142"/>
      <c r="N824" s="143">
        <f>SUM(N826:N828)</f>
        <v>7693.56</v>
      </c>
      <c r="O824" s="285"/>
      <c r="P824" s="144"/>
      <c r="Q824" s="144"/>
      <c r="R824" s="144"/>
      <c r="S824" s="144"/>
      <c r="T824" s="144"/>
      <c r="U824" s="144"/>
      <c r="V824" s="144"/>
      <c r="W824" s="144"/>
      <c r="X824" s="144"/>
      <c r="Y824" s="144"/>
      <c r="Z824" s="144"/>
      <c r="AA824" s="144"/>
    </row>
    <row r="825" spans="1:27" s="139" customFormat="1" x14ac:dyDescent="0.2">
      <c r="A825" s="6"/>
      <c r="B825" s="6"/>
      <c r="C825" s="7"/>
      <c r="D825" s="116"/>
      <c r="E825" s="6"/>
      <c r="F825" s="258"/>
      <c r="G825" s="258"/>
      <c r="H825" s="258"/>
      <c r="I825" s="246"/>
      <c r="J825" s="258"/>
      <c r="K825" s="137"/>
      <c r="L825" s="137"/>
      <c r="M825" s="137"/>
      <c r="N825" s="138"/>
      <c r="O825" s="283"/>
      <c r="P825" s="120"/>
      <c r="Q825" s="120"/>
      <c r="R825" s="120"/>
      <c r="S825" s="120"/>
      <c r="T825" s="120"/>
      <c r="U825" s="120"/>
      <c r="V825" s="120"/>
      <c r="W825" s="120"/>
      <c r="X825" s="120"/>
      <c r="Y825" s="120"/>
      <c r="Z825" s="120"/>
      <c r="AA825" s="120"/>
    </row>
    <row r="826" spans="1:27" s="147" customFormat="1" x14ac:dyDescent="0.2">
      <c r="A826" s="9" t="s">
        <v>466</v>
      </c>
      <c r="B826" s="9" t="s">
        <v>179</v>
      </c>
      <c r="C826" s="13" t="s">
        <v>316</v>
      </c>
      <c r="D826" s="109" t="s">
        <v>317</v>
      </c>
      <c r="E826" s="9" t="s">
        <v>9</v>
      </c>
      <c r="F826" s="261"/>
      <c r="G826" s="261"/>
      <c r="H826" s="261"/>
      <c r="I826" s="245"/>
      <c r="J826" s="261"/>
      <c r="K826" s="131">
        <f>J828</f>
        <v>1049.5999999999999</v>
      </c>
      <c r="L826" s="131">
        <f>'COMPOSICOES - SINAPI COM DESON'!G18</f>
        <v>5.79</v>
      </c>
      <c r="M826" s="131">
        <f>ROUND(L826*(1+$Q$7),2)</f>
        <v>7.33</v>
      </c>
      <c r="N826" s="133">
        <f>TRUNC(K826*M826,2)</f>
        <v>7693.56</v>
      </c>
      <c r="O826" s="286"/>
      <c r="P826" s="146"/>
      <c r="Q826" s="146"/>
      <c r="R826" s="146"/>
      <c r="S826" s="146"/>
      <c r="T826" s="146"/>
      <c r="U826" s="146"/>
      <c r="V826" s="146"/>
      <c r="W826" s="146"/>
      <c r="X826" s="146"/>
      <c r="Y826" s="146"/>
      <c r="Z826" s="146"/>
      <c r="AA826" s="146"/>
    </row>
    <row r="827" spans="1:27" s="118" customFormat="1" x14ac:dyDescent="0.2">
      <c r="A827" s="6"/>
      <c r="B827" s="6"/>
      <c r="C827" s="155"/>
      <c r="D827" s="2"/>
      <c r="E827" s="148"/>
      <c r="F827" s="253"/>
      <c r="G827" s="253">
        <v>32.799999999999997</v>
      </c>
      <c r="H827" s="253">
        <v>32</v>
      </c>
      <c r="I827" s="246"/>
      <c r="J827" s="253">
        <f t="shared" ref="J827" si="91">ROUND(PRODUCT(F827:I827),2)</f>
        <v>1049.5999999999999</v>
      </c>
      <c r="K827" s="137"/>
      <c r="L827" s="137"/>
      <c r="M827" s="137"/>
      <c r="N827" s="138"/>
      <c r="O827" s="167"/>
      <c r="P827" s="111"/>
      <c r="Q827" s="111"/>
      <c r="R827" s="111"/>
      <c r="S827" s="111"/>
      <c r="T827" s="111"/>
      <c r="U827" s="111"/>
      <c r="V827" s="111"/>
      <c r="W827" s="111"/>
      <c r="X827" s="111"/>
      <c r="Y827" s="111"/>
      <c r="Z827" s="111"/>
      <c r="AA827" s="111"/>
    </row>
    <row r="828" spans="1:27" s="118" customFormat="1" x14ac:dyDescent="0.2">
      <c r="A828" s="6"/>
      <c r="B828" s="6"/>
      <c r="C828" s="156"/>
      <c r="D828" s="108"/>
      <c r="E828" s="148"/>
      <c r="F828" s="253"/>
      <c r="G828" s="253"/>
      <c r="H828" s="253"/>
      <c r="I828" s="246" t="str">
        <f>"Total item "&amp;A826</f>
        <v>Total item 10.3.1</v>
      </c>
      <c r="J828" s="261">
        <f>SUM(J827:J827)</f>
        <v>1049.5999999999999</v>
      </c>
      <c r="K828" s="137"/>
      <c r="L828" s="137"/>
      <c r="M828" s="137"/>
      <c r="N828" s="138"/>
      <c r="O828" s="167"/>
      <c r="P828" s="111"/>
      <c r="Q828" s="111"/>
      <c r="R828" s="111"/>
      <c r="S828" s="111"/>
      <c r="T828" s="111"/>
      <c r="U828" s="111"/>
      <c r="V828" s="111"/>
      <c r="W828" s="111"/>
      <c r="X828" s="111"/>
      <c r="Y828" s="111"/>
      <c r="Z828" s="111"/>
      <c r="AA828" s="111"/>
    </row>
    <row r="829" spans="1:27" s="118" customFormat="1" x14ac:dyDescent="0.2">
      <c r="A829" s="6"/>
      <c r="B829" s="6"/>
      <c r="C829" s="14"/>
      <c r="D829" s="108"/>
      <c r="E829" s="148"/>
      <c r="F829" s="253"/>
      <c r="G829" s="253"/>
      <c r="H829" s="253"/>
      <c r="I829" s="246"/>
      <c r="J829" s="262"/>
      <c r="K829" s="137"/>
      <c r="L829" s="137"/>
      <c r="M829" s="137"/>
      <c r="N829" s="138"/>
      <c r="O829" s="167"/>
      <c r="P829" s="111"/>
      <c r="Q829" s="111"/>
      <c r="R829" s="111"/>
      <c r="S829" s="111"/>
      <c r="T829" s="111"/>
      <c r="U829" s="111"/>
      <c r="V829" s="111"/>
      <c r="W829" s="111"/>
      <c r="X829" s="111"/>
      <c r="Y829" s="111"/>
      <c r="Z829" s="111"/>
      <c r="AA829" s="111"/>
    </row>
    <row r="830" spans="1:27" s="241" customFormat="1" ht="13.2" x14ac:dyDescent="0.25">
      <c r="A830" s="236" t="s">
        <v>159</v>
      </c>
      <c r="B830" s="236"/>
      <c r="C830" s="237"/>
      <c r="D830" s="289" t="s">
        <v>220</v>
      </c>
      <c r="E830" s="236"/>
      <c r="F830" s="259"/>
      <c r="G830" s="259"/>
      <c r="H830" s="259"/>
      <c r="I830" s="247"/>
      <c r="J830" s="259"/>
      <c r="K830" s="238"/>
      <c r="L830" s="238"/>
      <c r="M830" s="238"/>
      <c r="N830" s="239" t="e">
        <f>N832+N887+N904+N917+N946</f>
        <v>#VALUE!</v>
      </c>
      <c r="O830" s="284" t="e">
        <f>N830/$N$2057</f>
        <v>#VALUE!</v>
      </c>
      <c r="P830" s="240" t="s">
        <v>533</v>
      </c>
      <c r="Q830" s="240" t="s">
        <v>533</v>
      </c>
      <c r="R830" s="240"/>
      <c r="S830" s="240"/>
      <c r="T830" s="240"/>
      <c r="U830" s="240"/>
      <c r="V830" s="240"/>
      <c r="W830" s="240"/>
      <c r="X830" s="240"/>
      <c r="Y830" s="240"/>
      <c r="Z830" s="240"/>
      <c r="AA830" s="240"/>
    </row>
    <row r="831" spans="1:27" s="118" customFormat="1" x14ac:dyDescent="0.2">
      <c r="A831" s="6"/>
      <c r="B831" s="6"/>
      <c r="C831" s="14"/>
      <c r="D831" s="108"/>
      <c r="E831" s="148"/>
      <c r="F831" s="253"/>
      <c r="G831" s="253"/>
      <c r="H831" s="253"/>
      <c r="I831" s="246"/>
      <c r="J831" s="262"/>
      <c r="K831" s="137"/>
      <c r="L831" s="137"/>
      <c r="M831" s="137"/>
      <c r="N831" s="138"/>
      <c r="O831" s="167"/>
      <c r="P831" s="111"/>
      <c r="Q831" s="111"/>
      <c r="R831" s="111"/>
      <c r="S831" s="111"/>
      <c r="T831" s="111"/>
      <c r="U831" s="111"/>
      <c r="V831" s="111"/>
      <c r="W831" s="111"/>
      <c r="X831" s="111"/>
      <c r="Y831" s="111"/>
      <c r="Z831" s="111"/>
      <c r="AA831" s="111"/>
    </row>
    <row r="832" spans="1:27" s="145" customFormat="1" x14ac:dyDescent="0.2">
      <c r="A832" s="140" t="s">
        <v>792</v>
      </c>
      <c r="B832" s="140"/>
      <c r="C832" s="141"/>
      <c r="D832" s="112" t="s">
        <v>30</v>
      </c>
      <c r="E832" s="140"/>
      <c r="F832" s="260"/>
      <c r="G832" s="260"/>
      <c r="H832" s="260"/>
      <c r="I832" s="248"/>
      <c r="J832" s="260"/>
      <c r="K832" s="142"/>
      <c r="L832" s="142"/>
      <c r="M832" s="142"/>
      <c r="N832" s="143" t="e">
        <f>SUM(N834:N885)</f>
        <v>#VALUE!</v>
      </c>
      <c r="O832" s="285"/>
      <c r="P832" s="144"/>
      <c r="Q832" s="144"/>
      <c r="R832" s="144"/>
      <c r="S832" s="144"/>
      <c r="T832" s="144"/>
      <c r="U832" s="144"/>
      <c r="V832" s="144"/>
      <c r="W832" s="144"/>
      <c r="X832" s="144"/>
      <c r="Y832" s="144"/>
      <c r="Z832" s="144"/>
      <c r="AA832" s="144"/>
    </row>
    <row r="833" spans="1:27" s="118" customFormat="1" x14ac:dyDescent="0.2">
      <c r="A833" s="6"/>
      <c r="B833" s="6"/>
      <c r="C833" s="14"/>
      <c r="D833" s="108"/>
      <c r="E833" s="148"/>
      <c r="F833" s="253"/>
      <c r="G833" s="253"/>
      <c r="H833" s="253"/>
      <c r="I833" s="246"/>
      <c r="J833" s="262"/>
      <c r="K833" s="137"/>
      <c r="L833" s="137"/>
      <c r="M833" s="137"/>
      <c r="N833" s="138"/>
      <c r="O833" s="167"/>
      <c r="P833" s="111"/>
      <c r="Q833" s="111"/>
      <c r="R833" s="111"/>
      <c r="S833" s="111"/>
      <c r="T833" s="111"/>
      <c r="U833" s="111"/>
      <c r="V833" s="111"/>
      <c r="W833" s="111"/>
      <c r="X833" s="111"/>
      <c r="Y833" s="111"/>
      <c r="Z833" s="111"/>
      <c r="AA833" s="111"/>
    </row>
    <row r="834" spans="1:27" s="147" customFormat="1" ht="30.6" x14ac:dyDescent="0.2">
      <c r="A834" s="9" t="s">
        <v>793</v>
      </c>
      <c r="B834" s="9" t="s">
        <v>163</v>
      </c>
      <c r="C834" s="13" t="s">
        <v>240</v>
      </c>
      <c r="D834" s="113" t="s">
        <v>241</v>
      </c>
      <c r="E834" s="9" t="s">
        <v>31</v>
      </c>
      <c r="F834" s="261"/>
      <c r="G834" s="261"/>
      <c r="H834" s="261"/>
      <c r="I834" s="245"/>
      <c r="J834" s="261"/>
      <c r="K834" s="131">
        <f>J841</f>
        <v>6</v>
      </c>
      <c r="L834" s="131">
        <v>73.44</v>
      </c>
      <c r="M834" s="131">
        <f>ROUND(L834*(1+$Q$7),2)</f>
        <v>92.92</v>
      </c>
      <c r="N834" s="133">
        <f>TRUNC(K834*M834,2)</f>
        <v>557.52</v>
      </c>
      <c r="O834" s="286"/>
      <c r="P834" s="146"/>
      <c r="Q834" s="146"/>
      <c r="R834" s="146"/>
      <c r="S834" s="146"/>
      <c r="T834" s="146"/>
      <c r="U834" s="146"/>
      <c r="V834" s="146"/>
      <c r="W834" s="146"/>
      <c r="X834" s="146"/>
      <c r="Y834" s="146"/>
      <c r="Z834" s="146"/>
      <c r="AA834" s="146"/>
    </row>
    <row r="835" spans="1:27" s="118" customFormat="1" x14ac:dyDescent="0.2">
      <c r="A835" s="6"/>
      <c r="B835" s="6"/>
      <c r="C835" s="155"/>
      <c r="D835" s="2" t="s">
        <v>467</v>
      </c>
      <c r="E835" s="148"/>
      <c r="F835" s="253">
        <v>1</v>
      </c>
      <c r="G835" s="253"/>
      <c r="H835" s="253"/>
      <c r="I835" s="246"/>
      <c r="J835" s="253">
        <f>ROUND(PRODUCT(F835:I835),2)</f>
        <v>1</v>
      </c>
      <c r="K835" s="137"/>
      <c r="L835" s="137"/>
      <c r="M835" s="137"/>
      <c r="N835" s="138"/>
      <c r="O835" s="167"/>
      <c r="P835" s="111"/>
      <c r="Q835" s="111"/>
      <c r="R835" s="111"/>
      <c r="S835" s="111"/>
      <c r="T835" s="111"/>
      <c r="U835" s="111"/>
      <c r="V835" s="111"/>
      <c r="W835" s="111"/>
      <c r="X835" s="111"/>
      <c r="Y835" s="111"/>
      <c r="Z835" s="111"/>
      <c r="AA835" s="111"/>
    </row>
    <row r="836" spans="1:27" s="118" customFormat="1" x14ac:dyDescent="0.2">
      <c r="A836" s="6"/>
      <c r="B836" s="6"/>
      <c r="C836" s="155"/>
      <c r="D836" s="2" t="s">
        <v>253</v>
      </c>
      <c r="E836" s="148"/>
      <c r="F836" s="253">
        <v>1</v>
      </c>
      <c r="G836" s="253"/>
      <c r="H836" s="253"/>
      <c r="I836" s="246"/>
      <c r="J836" s="253">
        <f t="shared" ref="J836:J840" si="92">ROUND(PRODUCT(F836:I836),2)</f>
        <v>1</v>
      </c>
      <c r="K836" s="137"/>
      <c r="L836" s="137"/>
      <c r="M836" s="137"/>
      <c r="N836" s="138"/>
      <c r="O836" s="167"/>
      <c r="P836" s="111"/>
      <c r="Q836" s="111"/>
      <c r="R836" s="111"/>
      <c r="S836" s="111"/>
      <c r="T836" s="111"/>
      <c r="U836" s="111"/>
      <c r="V836" s="111"/>
      <c r="W836" s="111"/>
      <c r="X836" s="111"/>
      <c r="Y836" s="111"/>
      <c r="Z836" s="111"/>
      <c r="AA836" s="111"/>
    </row>
    <row r="837" spans="1:27" s="118" customFormat="1" x14ac:dyDescent="0.2">
      <c r="A837" s="6"/>
      <c r="B837" s="6"/>
      <c r="C837" s="155"/>
      <c r="D837" s="2" t="s">
        <v>257</v>
      </c>
      <c r="E837" s="148"/>
      <c r="F837" s="253">
        <v>1</v>
      </c>
      <c r="G837" s="253"/>
      <c r="H837" s="253"/>
      <c r="I837" s="246"/>
      <c r="J837" s="253">
        <f t="shared" si="92"/>
        <v>1</v>
      </c>
      <c r="K837" s="137"/>
      <c r="L837" s="137"/>
      <c r="M837" s="137"/>
      <c r="N837" s="138"/>
      <c r="O837" s="167"/>
      <c r="P837" s="111"/>
      <c r="Q837" s="111"/>
      <c r="R837" s="111"/>
      <c r="S837" s="111"/>
      <c r="T837" s="111"/>
      <c r="U837" s="111"/>
      <c r="V837" s="111"/>
      <c r="W837" s="111"/>
      <c r="X837" s="111"/>
      <c r="Y837" s="111"/>
      <c r="Z837" s="111"/>
      <c r="AA837" s="111"/>
    </row>
    <row r="838" spans="1:27" s="118" customFormat="1" x14ac:dyDescent="0.2">
      <c r="A838" s="6"/>
      <c r="B838" s="6"/>
      <c r="C838" s="155"/>
      <c r="D838" s="2" t="s">
        <v>242</v>
      </c>
      <c r="E838" s="148"/>
      <c r="F838" s="253">
        <v>1</v>
      </c>
      <c r="G838" s="253"/>
      <c r="H838" s="253"/>
      <c r="I838" s="246"/>
      <c r="J838" s="253">
        <f t="shared" si="92"/>
        <v>1</v>
      </c>
      <c r="K838" s="137"/>
      <c r="L838" s="137"/>
      <c r="M838" s="137"/>
      <c r="N838" s="138"/>
      <c r="O838" s="167"/>
      <c r="P838" s="111"/>
      <c r="Q838" s="111"/>
      <c r="R838" s="111"/>
      <c r="S838" s="111"/>
      <c r="T838" s="111"/>
      <c r="U838" s="111"/>
      <c r="V838" s="111"/>
      <c r="W838" s="111"/>
      <c r="X838" s="111"/>
      <c r="Y838" s="111"/>
      <c r="Z838" s="111"/>
      <c r="AA838" s="111"/>
    </row>
    <row r="839" spans="1:27" s="118" customFormat="1" x14ac:dyDescent="0.2">
      <c r="A839" s="6"/>
      <c r="B839" s="6"/>
      <c r="C839" s="155"/>
      <c r="D839" s="2" t="s">
        <v>305</v>
      </c>
      <c r="E839" s="148"/>
      <c r="F839" s="253">
        <v>1</v>
      </c>
      <c r="G839" s="253"/>
      <c r="H839" s="253"/>
      <c r="I839" s="246"/>
      <c r="J839" s="253">
        <f t="shared" si="92"/>
        <v>1</v>
      </c>
      <c r="K839" s="137"/>
      <c r="L839" s="137"/>
      <c r="M839" s="137"/>
      <c r="N839" s="138"/>
      <c r="O839" s="167"/>
      <c r="P839" s="111"/>
      <c r="Q839" s="111"/>
      <c r="R839" s="111"/>
      <c r="S839" s="111"/>
      <c r="T839" s="111"/>
      <c r="U839" s="111"/>
      <c r="V839" s="111"/>
      <c r="W839" s="111"/>
      <c r="X839" s="111"/>
      <c r="Y839" s="111"/>
      <c r="Z839" s="111"/>
      <c r="AA839" s="111"/>
    </row>
    <row r="840" spans="1:27" s="118" customFormat="1" x14ac:dyDescent="0.2">
      <c r="A840" s="6"/>
      <c r="B840" s="6"/>
      <c r="C840" s="155"/>
      <c r="D840" s="2" t="s">
        <v>63</v>
      </c>
      <c r="E840" s="148"/>
      <c r="F840" s="253">
        <v>1</v>
      </c>
      <c r="G840" s="253"/>
      <c r="H840" s="253"/>
      <c r="I840" s="246"/>
      <c r="J840" s="253">
        <f t="shared" si="92"/>
        <v>1</v>
      </c>
      <c r="K840" s="137"/>
      <c r="L840" s="137"/>
      <c r="M840" s="137"/>
      <c r="N840" s="138"/>
      <c r="O840" s="167"/>
      <c r="P840" s="111"/>
      <c r="Q840" s="111"/>
      <c r="R840" s="111"/>
      <c r="S840" s="111"/>
      <c r="T840" s="111"/>
      <c r="U840" s="111"/>
      <c r="V840" s="111"/>
      <c r="W840" s="111"/>
      <c r="X840" s="111"/>
      <c r="Y840" s="111"/>
      <c r="Z840" s="111"/>
      <c r="AA840" s="111"/>
    </row>
    <row r="841" spans="1:27" s="118" customFormat="1" x14ac:dyDescent="0.2">
      <c r="A841" s="6"/>
      <c r="B841" s="6"/>
      <c r="C841" s="156"/>
      <c r="D841" s="108"/>
      <c r="E841" s="148"/>
      <c r="F841" s="253"/>
      <c r="G841" s="253"/>
      <c r="H841" s="253"/>
      <c r="I841" s="246" t="str">
        <f>"Total item "&amp;A834</f>
        <v>Total item 11.1.1</v>
      </c>
      <c r="J841" s="261">
        <f>SUM(J835:J840)</f>
        <v>6</v>
      </c>
      <c r="K841" s="137"/>
      <c r="L841" s="137"/>
      <c r="M841" s="137"/>
      <c r="N841" s="138"/>
      <c r="O841" s="167"/>
      <c r="P841" s="111"/>
      <c r="Q841" s="111"/>
      <c r="R841" s="111"/>
      <c r="S841" s="111"/>
      <c r="T841" s="111"/>
      <c r="U841" s="111"/>
      <c r="V841" s="111"/>
      <c r="W841" s="111"/>
      <c r="X841" s="111"/>
      <c r="Y841" s="111"/>
      <c r="Z841" s="111"/>
      <c r="AA841" s="111"/>
    </row>
    <row r="842" spans="1:27" s="154" customFormat="1" x14ac:dyDescent="0.2">
      <c r="A842" s="10"/>
      <c r="B842" s="10"/>
      <c r="C842" s="15"/>
      <c r="D842" s="117"/>
      <c r="E842" s="10"/>
      <c r="F842" s="263"/>
      <c r="G842" s="263"/>
      <c r="H842" s="263"/>
      <c r="I842" s="250"/>
      <c r="J842" s="263"/>
      <c r="K842" s="151"/>
      <c r="L842" s="151"/>
      <c r="M842" s="151"/>
      <c r="N842" s="152"/>
      <c r="O842" s="283"/>
      <c r="P842" s="153"/>
      <c r="Q842" s="153"/>
      <c r="R842" s="153"/>
      <c r="S842" s="153"/>
      <c r="T842" s="153"/>
      <c r="U842" s="153"/>
      <c r="V842" s="153"/>
      <c r="W842" s="153"/>
      <c r="X842" s="153"/>
      <c r="Y842" s="153"/>
      <c r="Z842" s="153"/>
      <c r="AA842" s="153"/>
    </row>
    <row r="843" spans="1:27" s="147" customFormat="1" ht="61.2" x14ac:dyDescent="0.2">
      <c r="A843" s="9" t="s">
        <v>806</v>
      </c>
      <c r="B843" s="9" t="s">
        <v>179</v>
      </c>
      <c r="C843" s="13" t="s">
        <v>417</v>
      </c>
      <c r="D843" s="113" t="s">
        <v>561</v>
      </c>
      <c r="E843" s="9" t="s">
        <v>31</v>
      </c>
      <c r="F843" s="261"/>
      <c r="G843" s="261"/>
      <c r="H843" s="261"/>
      <c r="I843" s="245"/>
      <c r="J843" s="261"/>
      <c r="K843" s="131">
        <f>J846</f>
        <v>6</v>
      </c>
      <c r="L843" s="131" t="e">
        <f>'COMPOSICOES - SINAPI COM DESON'!G36</f>
        <v>#VALUE!</v>
      </c>
      <c r="M843" s="131" t="e">
        <f>ROUND(L843*(1+$Q$7),2)</f>
        <v>#VALUE!</v>
      </c>
      <c r="N843" s="133" t="e">
        <f>TRUNC(K843*M843,2)</f>
        <v>#VALUE!</v>
      </c>
      <c r="O843" s="286"/>
      <c r="P843" s="146"/>
      <c r="Q843" s="146"/>
      <c r="R843" s="146"/>
      <c r="S843" s="146"/>
      <c r="T843" s="146"/>
      <c r="U843" s="146"/>
      <c r="V843" s="146"/>
      <c r="W843" s="146"/>
      <c r="X843" s="146"/>
      <c r="Y843" s="146"/>
      <c r="Z843" s="146"/>
      <c r="AA843" s="146"/>
    </row>
    <row r="844" spans="1:27" s="118" customFormat="1" x14ac:dyDescent="0.2">
      <c r="A844" s="6"/>
      <c r="B844" s="6"/>
      <c r="C844" s="155"/>
      <c r="D844" s="2" t="s">
        <v>242</v>
      </c>
      <c r="E844" s="148"/>
      <c r="F844" s="253">
        <v>3</v>
      </c>
      <c r="G844" s="253"/>
      <c r="H844" s="253"/>
      <c r="I844" s="246"/>
      <c r="J844" s="253">
        <f t="shared" ref="J844:J845" si="93">ROUND(PRODUCT(F844:I844),2)</f>
        <v>3</v>
      </c>
      <c r="K844" s="137"/>
      <c r="L844" s="137"/>
      <c r="M844" s="137"/>
      <c r="N844" s="138"/>
      <c r="O844" s="167"/>
      <c r="P844" s="111"/>
      <c r="Q844" s="111"/>
      <c r="R844" s="111"/>
      <c r="S844" s="111"/>
      <c r="T844" s="111"/>
      <c r="U844" s="111"/>
      <c r="V844" s="111"/>
      <c r="W844" s="111"/>
      <c r="X844" s="111"/>
      <c r="Y844" s="111"/>
      <c r="Z844" s="111"/>
      <c r="AA844" s="111"/>
    </row>
    <row r="845" spans="1:27" s="118" customFormat="1" x14ac:dyDescent="0.2">
      <c r="A845" s="6"/>
      <c r="B845" s="6"/>
      <c r="C845" s="155"/>
      <c r="D845" s="2" t="s">
        <v>305</v>
      </c>
      <c r="E845" s="148"/>
      <c r="F845" s="253">
        <v>3</v>
      </c>
      <c r="G845" s="253"/>
      <c r="H845" s="253"/>
      <c r="I845" s="246"/>
      <c r="J845" s="253">
        <f t="shared" si="93"/>
        <v>3</v>
      </c>
      <c r="K845" s="137"/>
      <c r="L845" s="137"/>
      <c r="M845" s="137"/>
      <c r="N845" s="138"/>
      <c r="O845" s="167"/>
      <c r="P845" s="111"/>
      <c r="Q845" s="111"/>
      <c r="R845" s="111"/>
      <c r="S845" s="111"/>
      <c r="T845" s="111"/>
      <c r="U845" s="111"/>
      <c r="V845" s="111"/>
      <c r="W845" s="111"/>
      <c r="X845" s="111"/>
      <c r="Y845" s="111"/>
      <c r="Z845" s="111"/>
      <c r="AA845" s="111"/>
    </row>
    <row r="846" spans="1:27" s="118" customFormat="1" x14ac:dyDescent="0.2">
      <c r="A846" s="6"/>
      <c r="B846" s="6"/>
      <c r="C846" s="156"/>
      <c r="D846" s="108"/>
      <c r="E846" s="148"/>
      <c r="F846" s="253"/>
      <c r="G846" s="253"/>
      <c r="H846" s="253"/>
      <c r="I846" s="246" t="str">
        <f>"Total item "&amp;A843</f>
        <v>Total item 11.1.2</v>
      </c>
      <c r="J846" s="261">
        <f>SUM(J844:J845)</f>
        <v>6</v>
      </c>
      <c r="K846" s="137"/>
      <c r="L846" s="137"/>
      <c r="M846" s="137"/>
      <c r="N846" s="138"/>
      <c r="O846" s="167"/>
      <c r="P846" s="111"/>
      <c r="Q846" s="111"/>
      <c r="R846" s="111"/>
      <c r="S846" s="111"/>
      <c r="T846" s="111"/>
      <c r="U846" s="111"/>
      <c r="V846" s="111"/>
      <c r="W846" s="111"/>
      <c r="X846" s="111"/>
      <c r="Y846" s="111"/>
      <c r="Z846" s="111"/>
      <c r="AA846" s="111"/>
    </row>
    <row r="847" spans="1:27" s="139" customFormat="1" x14ac:dyDescent="0.2">
      <c r="A847" s="6"/>
      <c r="B847" s="6"/>
      <c r="C847" s="7"/>
      <c r="D847" s="116"/>
      <c r="E847" s="6"/>
      <c r="F847" s="258"/>
      <c r="G847" s="258"/>
      <c r="H847" s="258"/>
      <c r="I847" s="246"/>
      <c r="J847" s="258"/>
      <c r="K847" s="137"/>
      <c r="L847" s="137"/>
      <c r="M847" s="137"/>
      <c r="N847" s="138"/>
      <c r="O847" s="283"/>
      <c r="P847" s="120"/>
      <c r="Q847" s="120"/>
      <c r="R847" s="120"/>
      <c r="S847" s="120"/>
      <c r="T847" s="120"/>
      <c r="U847" s="120"/>
      <c r="V847" s="120"/>
      <c r="W847" s="120"/>
      <c r="X847" s="120"/>
      <c r="Y847" s="120"/>
      <c r="Z847" s="120"/>
      <c r="AA847" s="120"/>
    </row>
    <row r="848" spans="1:27" s="147" customFormat="1" ht="51" x14ac:dyDescent="0.2">
      <c r="A848" s="9" t="s">
        <v>807</v>
      </c>
      <c r="B848" s="9" t="s">
        <v>163</v>
      </c>
      <c r="C848" s="13" t="s">
        <v>244</v>
      </c>
      <c r="D848" s="113" t="s">
        <v>245</v>
      </c>
      <c r="E848" s="9" t="s">
        <v>31</v>
      </c>
      <c r="F848" s="261"/>
      <c r="G848" s="261"/>
      <c r="H848" s="261"/>
      <c r="I848" s="245"/>
      <c r="J848" s="261"/>
      <c r="K848" s="131">
        <f>J851</f>
        <v>5</v>
      </c>
      <c r="L848" s="131">
        <v>116.08</v>
      </c>
      <c r="M848" s="131">
        <f>ROUND(L848*(1+$Q$7),2)</f>
        <v>146.88</v>
      </c>
      <c r="N848" s="133">
        <f>TRUNC(K848*M848,2)</f>
        <v>734.4</v>
      </c>
      <c r="O848" s="286"/>
      <c r="P848" s="146"/>
      <c r="Q848" s="146"/>
      <c r="R848" s="146"/>
      <c r="S848" s="146"/>
      <c r="T848" s="146"/>
      <c r="U848" s="146"/>
      <c r="V848" s="146"/>
      <c r="W848" s="146"/>
      <c r="X848" s="146"/>
      <c r="Y848" s="146"/>
      <c r="Z848" s="146"/>
      <c r="AA848" s="146"/>
    </row>
    <row r="849" spans="1:27" s="118" customFormat="1" x14ac:dyDescent="0.2">
      <c r="A849" s="6"/>
      <c r="B849" s="6"/>
      <c r="C849" s="155"/>
      <c r="D849" s="2" t="s">
        <v>253</v>
      </c>
      <c r="E849" s="148"/>
      <c r="F849" s="253">
        <v>2</v>
      </c>
      <c r="G849" s="253"/>
      <c r="H849" s="253"/>
      <c r="I849" s="246"/>
      <c r="J849" s="253">
        <f t="shared" ref="J849:J850" si="94">ROUND(PRODUCT(F849:I849),2)</f>
        <v>2</v>
      </c>
      <c r="K849" s="137"/>
      <c r="L849" s="137"/>
      <c r="M849" s="137"/>
      <c r="N849" s="138"/>
      <c r="O849" s="167"/>
      <c r="P849" s="111"/>
      <c r="Q849" s="111"/>
      <c r="R849" s="111"/>
      <c r="S849" s="111"/>
      <c r="T849" s="111"/>
      <c r="U849" s="111"/>
      <c r="V849" s="111"/>
      <c r="W849" s="111"/>
      <c r="X849" s="111"/>
      <c r="Y849" s="111"/>
      <c r="Z849" s="111"/>
      <c r="AA849" s="111"/>
    </row>
    <row r="850" spans="1:27" s="118" customFormat="1" x14ac:dyDescent="0.2">
      <c r="A850" s="6"/>
      <c r="B850" s="6"/>
      <c r="C850" s="155"/>
      <c r="D850" s="2" t="s">
        <v>257</v>
      </c>
      <c r="E850" s="148"/>
      <c r="F850" s="253">
        <v>3</v>
      </c>
      <c r="G850" s="253"/>
      <c r="H850" s="253"/>
      <c r="I850" s="246"/>
      <c r="J850" s="253">
        <f t="shared" si="94"/>
        <v>3</v>
      </c>
      <c r="K850" s="137"/>
      <c r="L850" s="137"/>
      <c r="M850" s="137"/>
      <c r="N850" s="138"/>
      <c r="O850" s="167"/>
      <c r="P850" s="111"/>
      <c r="Q850" s="111"/>
      <c r="R850" s="111"/>
      <c r="S850" s="111"/>
      <c r="T850" s="111"/>
      <c r="U850" s="111"/>
      <c r="V850" s="111"/>
      <c r="W850" s="111"/>
      <c r="X850" s="111"/>
      <c r="Y850" s="111"/>
      <c r="Z850" s="111"/>
      <c r="AA850" s="111"/>
    </row>
    <row r="851" spans="1:27" s="118" customFormat="1" x14ac:dyDescent="0.2">
      <c r="A851" s="6"/>
      <c r="B851" s="6"/>
      <c r="C851" s="156"/>
      <c r="D851" s="108"/>
      <c r="E851" s="148"/>
      <c r="F851" s="253"/>
      <c r="G851" s="253"/>
      <c r="H851" s="253"/>
      <c r="I851" s="246" t="str">
        <f>"Total item "&amp;A848</f>
        <v>Total item 11.1.3</v>
      </c>
      <c r="J851" s="261">
        <f>SUM(J849:J850)</f>
        <v>5</v>
      </c>
      <c r="K851" s="137"/>
      <c r="L851" s="137"/>
      <c r="M851" s="137"/>
      <c r="N851" s="138"/>
      <c r="O851" s="167"/>
      <c r="P851" s="111"/>
      <c r="Q851" s="111"/>
      <c r="R851" s="111"/>
      <c r="S851" s="111"/>
      <c r="T851" s="111"/>
      <c r="U851" s="111"/>
      <c r="V851" s="111"/>
      <c r="W851" s="111"/>
      <c r="X851" s="111"/>
      <c r="Y851" s="111"/>
      <c r="Z851" s="111"/>
      <c r="AA851" s="111"/>
    </row>
    <row r="852" spans="1:27" s="139" customFormat="1" x14ac:dyDescent="0.2">
      <c r="A852" s="6"/>
      <c r="B852" s="6"/>
      <c r="C852" s="7"/>
      <c r="D852" s="116"/>
      <c r="E852" s="6"/>
      <c r="F852" s="258"/>
      <c r="G852" s="258"/>
      <c r="H852" s="258"/>
      <c r="I852" s="246"/>
      <c r="J852" s="258"/>
      <c r="K852" s="137"/>
      <c r="L852" s="137"/>
      <c r="M852" s="137"/>
      <c r="N852" s="138"/>
      <c r="O852" s="283"/>
      <c r="P852" s="120"/>
      <c r="Q852" s="120"/>
      <c r="R852" s="120"/>
      <c r="S852" s="120"/>
      <c r="T852" s="120"/>
      <c r="U852" s="120"/>
      <c r="V852" s="120"/>
      <c r="W852" s="120"/>
      <c r="X852" s="120"/>
      <c r="Y852" s="120"/>
      <c r="Z852" s="120"/>
      <c r="AA852" s="120"/>
    </row>
    <row r="853" spans="1:27" s="147" customFormat="1" ht="40.799999999999997" x14ac:dyDescent="0.2">
      <c r="A853" s="9" t="s">
        <v>808</v>
      </c>
      <c r="B853" s="9" t="s">
        <v>89</v>
      </c>
      <c r="C853" s="13">
        <v>93144</v>
      </c>
      <c r="D853" s="113" t="s">
        <v>295</v>
      </c>
      <c r="E853" s="9" t="s">
        <v>33</v>
      </c>
      <c r="F853" s="261"/>
      <c r="G853" s="261"/>
      <c r="H853" s="261"/>
      <c r="I853" s="245"/>
      <c r="J853" s="261"/>
      <c r="K853" s="131">
        <f>J860</f>
        <v>5</v>
      </c>
      <c r="L853" s="131">
        <v>166.81</v>
      </c>
      <c r="M853" s="131">
        <f>ROUND(L853*(1+$Q$7),2)</f>
        <v>211.06</v>
      </c>
      <c r="N853" s="133">
        <f>TRUNC(K853*M853,2)</f>
        <v>1055.3</v>
      </c>
      <c r="O853" s="286"/>
      <c r="P853" s="146"/>
      <c r="Q853" s="146"/>
      <c r="R853" s="146"/>
      <c r="S853" s="146"/>
      <c r="T853" s="146"/>
      <c r="U853" s="146"/>
      <c r="V853" s="146"/>
      <c r="W853" s="146"/>
      <c r="X853" s="146"/>
      <c r="Y853" s="146"/>
      <c r="Z853" s="146"/>
      <c r="AA853" s="146"/>
    </row>
    <row r="854" spans="1:27" s="118" customFormat="1" x14ac:dyDescent="0.2">
      <c r="A854" s="6"/>
      <c r="B854" s="6"/>
      <c r="C854" s="155"/>
      <c r="D854" s="3" t="s">
        <v>296</v>
      </c>
      <c r="E854" s="148"/>
      <c r="F854" s="253"/>
      <c r="G854" s="253"/>
      <c r="H854" s="253"/>
      <c r="I854" s="246"/>
      <c r="J854" s="253"/>
      <c r="K854" s="137"/>
      <c r="L854" s="137"/>
      <c r="M854" s="137"/>
      <c r="N854" s="138"/>
      <c r="O854" s="167"/>
      <c r="P854" s="111"/>
      <c r="Q854" s="111"/>
      <c r="R854" s="111"/>
      <c r="S854" s="111"/>
      <c r="T854" s="111"/>
      <c r="U854" s="111"/>
      <c r="V854" s="111"/>
      <c r="W854" s="111"/>
      <c r="X854" s="111"/>
      <c r="Y854" s="111"/>
      <c r="Z854" s="111"/>
      <c r="AA854" s="111"/>
    </row>
    <row r="855" spans="1:27" s="118" customFormat="1" x14ac:dyDescent="0.2">
      <c r="A855" s="6"/>
      <c r="B855" s="6"/>
      <c r="C855" s="155"/>
      <c r="D855" s="2" t="s">
        <v>253</v>
      </c>
      <c r="E855" s="148"/>
      <c r="F855" s="253">
        <v>1</v>
      </c>
      <c r="G855" s="253"/>
      <c r="H855" s="253"/>
      <c r="I855" s="246"/>
      <c r="J855" s="253">
        <f t="shared" ref="J855:J859" si="95">ROUND(PRODUCT(F855:I855),2)</f>
        <v>1</v>
      </c>
      <c r="K855" s="137"/>
      <c r="L855" s="137"/>
      <c r="M855" s="137"/>
      <c r="N855" s="138"/>
      <c r="O855" s="167"/>
      <c r="P855" s="111"/>
      <c r="Q855" s="111"/>
      <c r="R855" s="111"/>
      <c r="S855" s="111"/>
      <c r="T855" s="111"/>
      <c r="U855" s="111"/>
      <c r="V855" s="111"/>
      <c r="W855" s="111"/>
      <c r="X855" s="111"/>
      <c r="Y855" s="111"/>
      <c r="Z855" s="111"/>
      <c r="AA855" s="111"/>
    </row>
    <row r="856" spans="1:27" s="118" customFormat="1" x14ac:dyDescent="0.2">
      <c r="A856" s="6"/>
      <c r="B856" s="6"/>
      <c r="C856" s="155"/>
      <c r="D856" s="2" t="s">
        <v>257</v>
      </c>
      <c r="E856" s="148"/>
      <c r="F856" s="253">
        <v>1</v>
      </c>
      <c r="G856" s="253"/>
      <c r="H856" s="253"/>
      <c r="I856" s="246"/>
      <c r="J856" s="253">
        <f t="shared" si="95"/>
        <v>1</v>
      </c>
      <c r="K856" s="137"/>
      <c r="L856" s="137"/>
      <c r="M856" s="137"/>
      <c r="N856" s="138"/>
      <c r="O856" s="167"/>
      <c r="P856" s="111"/>
      <c r="Q856" s="111"/>
      <c r="R856" s="111"/>
      <c r="S856" s="111"/>
      <c r="T856" s="111"/>
      <c r="U856" s="111"/>
      <c r="V856" s="111"/>
      <c r="W856" s="111"/>
      <c r="X856" s="111"/>
      <c r="Y856" s="111"/>
      <c r="Z856" s="111"/>
      <c r="AA856" s="111"/>
    </row>
    <row r="857" spans="1:27" s="118" customFormat="1" x14ac:dyDescent="0.2">
      <c r="A857" s="6"/>
      <c r="B857" s="6"/>
      <c r="C857" s="155"/>
      <c r="D857" s="2" t="s">
        <v>242</v>
      </c>
      <c r="E857" s="148"/>
      <c r="F857" s="253">
        <v>1</v>
      </c>
      <c r="G857" s="253"/>
      <c r="H857" s="253"/>
      <c r="I857" s="246"/>
      <c r="J857" s="253">
        <f t="shared" si="95"/>
        <v>1</v>
      </c>
      <c r="K857" s="137"/>
      <c r="L857" s="137"/>
      <c r="M857" s="137"/>
      <c r="N857" s="138"/>
      <c r="O857" s="167"/>
      <c r="P857" s="111"/>
      <c r="Q857" s="111"/>
      <c r="R857" s="111"/>
      <c r="S857" s="111"/>
      <c r="T857" s="111"/>
      <c r="U857" s="111"/>
      <c r="V857" s="111"/>
      <c r="W857" s="111"/>
      <c r="X857" s="111"/>
      <c r="Y857" s="111"/>
      <c r="Z857" s="111"/>
      <c r="AA857" s="111"/>
    </row>
    <row r="858" spans="1:27" s="118" customFormat="1" x14ac:dyDescent="0.2">
      <c r="A858" s="6"/>
      <c r="B858" s="6"/>
      <c r="C858" s="155"/>
      <c r="D858" s="2" t="s">
        <v>305</v>
      </c>
      <c r="E858" s="148"/>
      <c r="F858" s="253">
        <v>1</v>
      </c>
      <c r="G858" s="253"/>
      <c r="H858" s="253"/>
      <c r="I858" s="246"/>
      <c r="J858" s="253">
        <f t="shared" si="95"/>
        <v>1</v>
      </c>
      <c r="K858" s="137"/>
      <c r="L858" s="137"/>
      <c r="M858" s="137"/>
      <c r="N858" s="138"/>
      <c r="O858" s="167"/>
      <c r="P858" s="111"/>
      <c r="Q858" s="111"/>
      <c r="R858" s="111"/>
      <c r="S858" s="111"/>
      <c r="T858" s="111"/>
      <c r="U858" s="111"/>
      <c r="V858" s="111"/>
      <c r="W858" s="111"/>
      <c r="X858" s="111"/>
      <c r="Y858" s="111"/>
      <c r="Z858" s="111"/>
      <c r="AA858" s="111"/>
    </row>
    <row r="859" spans="1:27" s="118" customFormat="1" x14ac:dyDescent="0.2">
      <c r="A859" s="6"/>
      <c r="B859" s="6"/>
      <c r="C859" s="155"/>
      <c r="D859" s="2" t="s">
        <v>63</v>
      </c>
      <c r="E859" s="148"/>
      <c r="F859" s="253">
        <v>1</v>
      </c>
      <c r="G859" s="253"/>
      <c r="H859" s="253"/>
      <c r="I859" s="246"/>
      <c r="J859" s="253">
        <f t="shared" si="95"/>
        <v>1</v>
      </c>
      <c r="K859" s="137"/>
      <c r="L859" s="137"/>
      <c r="M859" s="137"/>
      <c r="N859" s="138"/>
      <c r="O859" s="167"/>
      <c r="P859" s="111"/>
      <c r="Q859" s="111"/>
      <c r="R859" s="111"/>
      <c r="S859" s="111"/>
      <c r="T859" s="111"/>
      <c r="U859" s="111"/>
      <c r="V859" s="111"/>
      <c r="W859" s="111"/>
      <c r="X859" s="111"/>
      <c r="Y859" s="111"/>
      <c r="Z859" s="111"/>
      <c r="AA859" s="111"/>
    </row>
    <row r="860" spans="1:27" s="118" customFormat="1" x14ac:dyDescent="0.2">
      <c r="A860" s="6"/>
      <c r="B860" s="6"/>
      <c r="C860" s="156"/>
      <c r="D860" s="108"/>
      <c r="E860" s="148"/>
      <c r="F860" s="253"/>
      <c r="G860" s="253"/>
      <c r="H860" s="253"/>
      <c r="I860" s="246" t="str">
        <f>"Total item "&amp;A853</f>
        <v>Total item 11.1.4</v>
      </c>
      <c r="J860" s="261">
        <f>SUM(J854:J859)</f>
        <v>5</v>
      </c>
      <c r="K860" s="137"/>
      <c r="L860" s="137"/>
      <c r="M860" s="137"/>
      <c r="N860" s="138"/>
      <c r="O860" s="167"/>
      <c r="P860" s="111"/>
      <c r="Q860" s="111"/>
      <c r="R860" s="111"/>
      <c r="S860" s="111"/>
      <c r="T860" s="111"/>
      <c r="U860" s="111"/>
      <c r="V860" s="111"/>
      <c r="W860" s="111"/>
      <c r="X860" s="111"/>
      <c r="Y860" s="111"/>
      <c r="Z860" s="111"/>
      <c r="AA860" s="111"/>
    </row>
    <row r="861" spans="1:27" s="161" customFormat="1" x14ac:dyDescent="0.2">
      <c r="A861" s="10"/>
      <c r="B861" s="10"/>
      <c r="C861" s="191"/>
      <c r="D861" s="110"/>
      <c r="E861" s="158"/>
      <c r="F861" s="267"/>
      <c r="G861" s="267"/>
      <c r="H861" s="267"/>
      <c r="I861" s="250"/>
      <c r="J861" s="263"/>
      <c r="K861" s="151"/>
      <c r="L861" s="151"/>
      <c r="M861" s="151"/>
      <c r="N861" s="152"/>
      <c r="O861" s="167"/>
      <c r="P861" s="114"/>
      <c r="Q861" s="114"/>
      <c r="R861" s="114"/>
      <c r="S861" s="114"/>
      <c r="T861" s="114"/>
      <c r="U861" s="114"/>
      <c r="V861" s="114"/>
      <c r="W861" s="114"/>
      <c r="X861" s="114"/>
      <c r="Y861" s="114"/>
      <c r="Z861" s="114"/>
      <c r="AA861" s="114"/>
    </row>
    <row r="862" spans="1:27" s="147" customFormat="1" ht="40.799999999999997" x14ac:dyDescent="0.2">
      <c r="A862" s="9" t="s">
        <v>809</v>
      </c>
      <c r="B862" s="9" t="s">
        <v>163</v>
      </c>
      <c r="C862" s="197" t="s">
        <v>192</v>
      </c>
      <c r="D862" s="113" t="s">
        <v>712</v>
      </c>
      <c r="E862" s="9" t="s">
        <v>31</v>
      </c>
      <c r="F862" s="261"/>
      <c r="G862" s="261"/>
      <c r="H862" s="261"/>
      <c r="I862" s="245"/>
      <c r="J862" s="261"/>
      <c r="K862" s="131">
        <f>J869</f>
        <v>5</v>
      </c>
      <c r="L862" s="131">
        <v>46.44</v>
      </c>
      <c r="M862" s="131">
        <f>ROUND(L862*(1+$Q$7),2)</f>
        <v>58.76</v>
      </c>
      <c r="N862" s="133">
        <f>TRUNC(K862*M862,2)</f>
        <v>293.8</v>
      </c>
      <c r="O862" s="286"/>
      <c r="P862" s="146"/>
      <c r="Q862" s="146"/>
      <c r="R862" s="146"/>
      <c r="S862" s="146"/>
      <c r="T862" s="146"/>
      <c r="U862" s="146"/>
      <c r="V862" s="146"/>
      <c r="W862" s="146"/>
      <c r="X862" s="146"/>
      <c r="Y862" s="146"/>
      <c r="Z862" s="146"/>
      <c r="AA862" s="146"/>
    </row>
    <row r="863" spans="1:27" s="118" customFormat="1" x14ac:dyDescent="0.2">
      <c r="A863" s="6"/>
      <c r="B863" s="6"/>
      <c r="C863" s="155"/>
      <c r="D863" s="3" t="s">
        <v>296</v>
      </c>
      <c r="E863" s="148"/>
      <c r="F863" s="253"/>
      <c r="G863" s="253"/>
      <c r="H863" s="253"/>
      <c r="I863" s="246"/>
      <c r="J863" s="253"/>
      <c r="K863" s="137"/>
      <c r="L863" s="137"/>
      <c r="M863" s="137"/>
      <c r="N863" s="138"/>
      <c r="O863" s="167"/>
      <c r="P863" s="111"/>
      <c r="Q863" s="111"/>
      <c r="R863" s="111"/>
      <c r="S863" s="111"/>
      <c r="T863" s="111"/>
      <c r="U863" s="111"/>
      <c r="V863" s="111"/>
      <c r="W863" s="111"/>
      <c r="X863" s="111"/>
      <c r="Y863" s="111"/>
      <c r="Z863" s="111"/>
      <c r="AA863" s="111"/>
    </row>
    <row r="864" spans="1:27" s="118" customFormat="1" x14ac:dyDescent="0.2">
      <c r="A864" s="6"/>
      <c r="B864" s="6"/>
      <c r="C864" s="155"/>
      <c r="D864" s="2" t="s">
        <v>253</v>
      </c>
      <c r="E864" s="148"/>
      <c r="F864" s="253">
        <v>1</v>
      </c>
      <c r="G864" s="253"/>
      <c r="H864" s="253"/>
      <c r="I864" s="246"/>
      <c r="J864" s="253">
        <f t="shared" ref="J864:J868" si="96">ROUND(PRODUCT(F864:I864),2)</f>
        <v>1</v>
      </c>
      <c r="K864" s="137"/>
      <c r="L864" s="137"/>
      <c r="M864" s="137"/>
      <c r="N864" s="138"/>
      <c r="O864" s="167"/>
      <c r="P864" s="111"/>
      <c r="Q864" s="111"/>
      <c r="R864" s="111"/>
      <c r="S864" s="111"/>
      <c r="T864" s="111"/>
      <c r="U864" s="111"/>
      <c r="V864" s="111"/>
      <c r="W864" s="111"/>
      <c r="X864" s="111"/>
      <c r="Y864" s="111"/>
      <c r="Z864" s="111"/>
      <c r="AA864" s="111"/>
    </row>
    <row r="865" spans="1:27" s="118" customFormat="1" x14ac:dyDescent="0.2">
      <c r="A865" s="6"/>
      <c r="B865" s="6"/>
      <c r="C865" s="155"/>
      <c r="D865" s="2" t="s">
        <v>257</v>
      </c>
      <c r="E865" s="148"/>
      <c r="F865" s="253">
        <v>1</v>
      </c>
      <c r="G865" s="253"/>
      <c r="H865" s="253"/>
      <c r="I865" s="246"/>
      <c r="J865" s="253">
        <f t="shared" si="96"/>
        <v>1</v>
      </c>
      <c r="K865" s="137"/>
      <c r="L865" s="137"/>
      <c r="M865" s="137"/>
      <c r="N865" s="138"/>
      <c r="O865" s="167"/>
      <c r="P865" s="111"/>
      <c r="Q865" s="111"/>
      <c r="R865" s="111"/>
      <c r="S865" s="111"/>
      <c r="T865" s="111"/>
      <c r="U865" s="111"/>
      <c r="V865" s="111"/>
      <c r="W865" s="111"/>
      <c r="X865" s="111"/>
      <c r="Y865" s="111"/>
      <c r="Z865" s="111"/>
      <c r="AA865" s="111"/>
    </row>
    <row r="866" spans="1:27" s="118" customFormat="1" x14ac:dyDescent="0.2">
      <c r="A866" s="6"/>
      <c r="B866" s="6"/>
      <c r="C866" s="155"/>
      <c r="D866" s="2" t="s">
        <v>242</v>
      </c>
      <c r="E866" s="148"/>
      <c r="F866" s="253">
        <v>1</v>
      </c>
      <c r="G866" s="253"/>
      <c r="H866" s="253"/>
      <c r="I866" s="246"/>
      <c r="J866" s="253">
        <f t="shared" si="96"/>
        <v>1</v>
      </c>
      <c r="K866" s="137"/>
      <c r="L866" s="137"/>
      <c r="M866" s="137"/>
      <c r="N866" s="138"/>
      <c r="O866" s="167"/>
      <c r="P866" s="111"/>
      <c r="Q866" s="111"/>
      <c r="R866" s="111"/>
      <c r="S866" s="111"/>
      <c r="T866" s="111"/>
      <c r="U866" s="111"/>
      <c r="V866" s="111"/>
      <c r="W866" s="111"/>
      <c r="X866" s="111"/>
      <c r="Y866" s="111"/>
      <c r="Z866" s="111"/>
      <c r="AA866" s="111"/>
    </row>
    <row r="867" spans="1:27" s="118" customFormat="1" x14ac:dyDescent="0.2">
      <c r="A867" s="6"/>
      <c r="B867" s="6"/>
      <c r="C867" s="155"/>
      <c r="D867" s="2" t="s">
        <v>305</v>
      </c>
      <c r="E867" s="148"/>
      <c r="F867" s="253">
        <v>1</v>
      </c>
      <c r="G867" s="253"/>
      <c r="H867" s="253"/>
      <c r="I867" s="246"/>
      <c r="J867" s="253">
        <f t="shared" si="96"/>
        <v>1</v>
      </c>
      <c r="K867" s="137"/>
      <c r="L867" s="137"/>
      <c r="M867" s="137"/>
      <c r="N867" s="138"/>
      <c r="O867" s="167"/>
      <c r="P867" s="111"/>
      <c r="Q867" s="111"/>
      <c r="R867" s="111"/>
      <c r="S867" s="111"/>
      <c r="T867" s="111"/>
      <c r="U867" s="111"/>
      <c r="V867" s="111"/>
      <c r="W867" s="111"/>
      <c r="X867" s="111"/>
      <c r="Y867" s="111"/>
      <c r="Z867" s="111"/>
      <c r="AA867" s="111"/>
    </row>
    <row r="868" spans="1:27" s="118" customFormat="1" x14ac:dyDescent="0.2">
      <c r="A868" s="6"/>
      <c r="B868" s="6"/>
      <c r="C868" s="155"/>
      <c r="D868" s="2" t="s">
        <v>63</v>
      </c>
      <c r="E868" s="148"/>
      <c r="F868" s="253">
        <v>1</v>
      </c>
      <c r="G868" s="253"/>
      <c r="H868" s="253"/>
      <c r="I868" s="246"/>
      <c r="J868" s="253">
        <f t="shared" si="96"/>
        <v>1</v>
      </c>
      <c r="K868" s="137"/>
      <c r="L868" s="137"/>
      <c r="M868" s="137"/>
      <c r="N868" s="138"/>
      <c r="O868" s="167"/>
      <c r="P868" s="111"/>
      <c r="Q868" s="111"/>
      <c r="R868" s="111"/>
      <c r="S868" s="111"/>
      <c r="T868" s="111"/>
      <c r="U868" s="111"/>
      <c r="V868" s="111"/>
      <c r="W868" s="111"/>
      <c r="X868" s="111"/>
      <c r="Y868" s="111"/>
      <c r="Z868" s="111"/>
      <c r="AA868" s="111"/>
    </row>
    <row r="869" spans="1:27" s="118" customFormat="1" x14ac:dyDescent="0.2">
      <c r="A869" s="6"/>
      <c r="B869" s="6"/>
      <c r="C869" s="156"/>
      <c r="D869" s="108"/>
      <c r="E869" s="148"/>
      <c r="F869" s="253"/>
      <c r="G869" s="253"/>
      <c r="H869" s="253"/>
      <c r="I869" s="246" t="str">
        <f>"Total item "&amp;A862</f>
        <v>Total item 11.1.5</v>
      </c>
      <c r="J869" s="261">
        <f>SUM(J864:J868)</f>
        <v>5</v>
      </c>
      <c r="K869" s="137"/>
      <c r="L869" s="137"/>
      <c r="M869" s="137"/>
      <c r="N869" s="138"/>
      <c r="O869" s="167"/>
      <c r="P869" s="111"/>
      <c r="Q869" s="111"/>
      <c r="R869" s="111"/>
      <c r="S869" s="111"/>
      <c r="T869" s="111"/>
      <c r="U869" s="111"/>
      <c r="V869" s="111"/>
      <c r="W869" s="111"/>
      <c r="X869" s="111"/>
      <c r="Y869" s="111"/>
      <c r="Z869" s="111"/>
      <c r="AA869" s="111"/>
    </row>
    <row r="870" spans="1:27" s="161" customFormat="1" x14ac:dyDescent="0.2">
      <c r="A870" s="10"/>
      <c r="B870" s="10"/>
      <c r="C870" s="191"/>
      <c r="D870" s="110"/>
      <c r="E870" s="158"/>
      <c r="F870" s="267"/>
      <c r="G870" s="267"/>
      <c r="H870" s="267"/>
      <c r="I870" s="250"/>
      <c r="J870" s="263"/>
      <c r="K870" s="151"/>
      <c r="L870" s="151"/>
      <c r="M870" s="151"/>
      <c r="N870" s="152"/>
      <c r="O870" s="167"/>
      <c r="P870" s="114"/>
      <c r="Q870" s="114"/>
      <c r="R870" s="114"/>
      <c r="S870" s="114"/>
      <c r="T870" s="114"/>
      <c r="U870" s="114"/>
      <c r="V870" s="114"/>
      <c r="W870" s="114"/>
      <c r="X870" s="114"/>
      <c r="Y870" s="114"/>
      <c r="Z870" s="114"/>
      <c r="AA870" s="114"/>
    </row>
    <row r="871" spans="1:27" s="147" customFormat="1" ht="30.6" x14ac:dyDescent="0.2">
      <c r="A871" s="9" t="s">
        <v>810</v>
      </c>
      <c r="B871" s="9" t="s">
        <v>179</v>
      </c>
      <c r="C871" s="13" t="s">
        <v>672</v>
      </c>
      <c r="D871" s="113" t="s">
        <v>567</v>
      </c>
      <c r="E871" s="9" t="s">
        <v>33</v>
      </c>
      <c r="F871" s="261"/>
      <c r="G871" s="261"/>
      <c r="H871" s="261"/>
      <c r="I871" s="245"/>
      <c r="J871" s="261"/>
      <c r="K871" s="131">
        <f>J877</f>
        <v>7</v>
      </c>
      <c r="L871" s="131">
        <f>'COMPOSICOES - SINAPI COM DESON'!G50</f>
        <v>104.48</v>
      </c>
      <c r="M871" s="131">
        <f>ROUND(L871*(1+$Q$7),2)</f>
        <v>132.19999999999999</v>
      </c>
      <c r="N871" s="133">
        <f>TRUNC(K871*M871,2)</f>
        <v>925.4</v>
      </c>
      <c r="O871" s="286"/>
      <c r="P871" s="146"/>
      <c r="Q871" s="146"/>
      <c r="R871" s="146"/>
      <c r="S871" s="146"/>
      <c r="T871" s="146"/>
      <c r="U871" s="146"/>
      <c r="V871" s="146"/>
      <c r="W871" s="146"/>
      <c r="X871" s="146"/>
      <c r="Y871" s="146"/>
      <c r="Z871" s="146"/>
      <c r="AA871" s="146"/>
    </row>
    <row r="872" spans="1:27" s="174" customFormat="1" x14ac:dyDescent="0.2">
      <c r="A872" s="170"/>
      <c r="B872" s="170"/>
      <c r="C872" s="171"/>
      <c r="D872" s="2" t="s">
        <v>253</v>
      </c>
      <c r="E872" s="170"/>
      <c r="F872" s="253">
        <v>1</v>
      </c>
      <c r="G872" s="253"/>
      <c r="H872" s="253"/>
      <c r="I872" s="249"/>
      <c r="J872" s="253">
        <f t="shared" ref="J872:J876" si="97">ROUND(PRODUCT(F872:I872),2)</f>
        <v>1</v>
      </c>
      <c r="K872" s="172"/>
      <c r="L872" s="172"/>
      <c r="M872" s="172"/>
      <c r="N872" s="173"/>
      <c r="O872" s="287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</row>
    <row r="873" spans="1:27" s="174" customFormat="1" x14ac:dyDescent="0.2">
      <c r="A873" s="170"/>
      <c r="B873" s="170"/>
      <c r="C873" s="171"/>
      <c r="D873" s="2" t="s">
        <v>257</v>
      </c>
      <c r="E873" s="170"/>
      <c r="F873" s="253">
        <v>1</v>
      </c>
      <c r="G873" s="253"/>
      <c r="H873" s="253"/>
      <c r="I873" s="249"/>
      <c r="J873" s="253">
        <f t="shared" si="97"/>
        <v>1</v>
      </c>
      <c r="K873" s="172"/>
      <c r="L873" s="172"/>
      <c r="M873" s="172"/>
      <c r="N873" s="173"/>
      <c r="O873" s="287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</row>
    <row r="874" spans="1:27" s="174" customFormat="1" x14ac:dyDescent="0.2">
      <c r="A874" s="170"/>
      <c r="B874" s="170"/>
      <c r="C874" s="171"/>
      <c r="D874" s="2" t="s">
        <v>305</v>
      </c>
      <c r="E874" s="170"/>
      <c r="F874" s="253">
        <v>2</v>
      </c>
      <c r="G874" s="253"/>
      <c r="H874" s="253"/>
      <c r="I874" s="249"/>
      <c r="J874" s="253">
        <f t="shared" si="97"/>
        <v>2</v>
      </c>
      <c r="K874" s="172"/>
      <c r="L874" s="172"/>
      <c r="M874" s="172"/>
      <c r="N874" s="173"/>
      <c r="O874" s="287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</row>
    <row r="875" spans="1:27" s="174" customFormat="1" x14ac:dyDescent="0.2">
      <c r="A875" s="170"/>
      <c r="B875" s="170"/>
      <c r="C875" s="171"/>
      <c r="D875" s="2" t="s">
        <v>164</v>
      </c>
      <c r="E875" s="170"/>
      <c r="F875" s="253">
        <v>1</v>
      </c>
      <c r="G875" s="253"/>
      <c r="H875" s="253"/>
      <c r="I875" s="249"/>
      <c r="J875" s="253">
        <f t="shared" si="97"/>
        <v>1</v>
      </c>
      <c r="K875" s="172"/>
      <c r="L875" s="172"/>
      <c r="M875" s="172"/>
      <c r="N875" s="173"/>
      <c r="O875" s="287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</row>
    <row r="876" spans="1:27" s="174" customFormat="1" x14ac:dyDescent="0.2">
      <c r="A876" s="170"/>
      <c r="B876" s="170"/>
      <c r="C876" s="171"/>
      <c r="D876" s="2" t="s">
        <v>468</v>
      </c>
      <c r="E876" s="170"/>
      <c r="F876" s="253">
        <v>2</v>
      </c>
      <c r="G876" s="253"/>
      <c r="H876" s="253"/>
      <c r="I876" s="249"/>
      <c r="J876" s="253">
        <f t="shared" si="97"/>
        <v>2</v>
      </c>
      <c r="K876" s="172"/>
      <c r="L876" s="172"/>
      <c r="M876" s="172"/>
      <c r="N876" s="173"/>
      <c r="O876" s="287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</row>
    <row r="877" spans="1:27" s="174" customFormat="1" x14ac:dyDescent="0.2">
      <c r="A877" s="170"/>
      <c r="B877" s="170"/>
      <c r="C877" s="171"/>
      <c r="D877" s="175"/>
      <c r="E877" s="176"/>
      <c r="F877" s="264"/>
      <c r="G877" s="264"/>
      <c r="H877" s="264"/>
      <c r="I877" s="251" t="str">
        <f>"Total item "&amp;A871</f>
        <v>Total item 11.1.6</v>
      </c>
      <c r="J877" s="261">
        <f>SUM(J872:J876)</f>
        <v>7</v>
      </c>
      <c r="K877" s="172"/>
      <c r="L877" s="172"/>
      <c r="M877" s="172"/>
      <c r="N877" s="173"/>
      <c r="O877" s="287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</row>
    <row r="878" spans="1:27" s="183" customFormat="1" x14ac:dyDescent="0.2">
      <c r="A878" s="177"/>
      <c r="B878" s="177"/>
      <c r="C878" s="178"/>
      <c r="D878" s="179"/>
      <c r="E878" s="180"/>
      <c r="F878" s="265"/>
      <c r="G878" s="265"/>
      <c r="H878" s="265"/>
      <c r="I878" s="252"/>
      <c r="J878" s="266"/>
      <c r="K878" s="181"/>
      <c r="L878" s="181"/>
      <c r="M878" s="181"/>
      <c r="N878" s="182"/>
      <c r="O878" s="287"/>
      <c r="P878" s="121"/>
      <c r="Q878" s="121"/>
      <c r="R878" s="121"/>
      <c r="S878" s="121"/>
      <c r="T878" s="121"/>
      <c r="U878" s="121"/>
      <c r="V878" s="121"/>
      <c r="W878" s="121"/>
      <c r="X878" s="121"/>
      <c r="Y878" s="121"/>
      <c r="Z878" s="121"/>
      <c r="AA878" s="121"/>
    </row>
    <row r="879" spans="1:27" s="147" customFormat="1" ht="40.799999999999997" x14ac:dyDescent="0.2">
      <c r="A879" s="9" t="s">
        <v>811</v>
      </c>
      <c r="B879" s="9" t="s">
        <v>163</v>
      </c>
      <c r="C879" s="13" t="s">
        <v>188</v>
      </c>
      <c r="D879" s="113" t="s">
        <v>719</v>
      </c>
      <c r="E879" s="9" t="s">
        <v>33</v>
      </c>
      <c r="F879" s="261"/>
      <c r="G879" s="261"/>
      <c r="H879" s="261"/>
      <c r="I879" s="245"/>
      <c r="J879" s="261"/>
      <c r="K879" s="131">
        <f>J881</f>
        <v>1</v>
      </c>
      <c r="L879" s="131">
        <v>65.69</v>
      </c>
      <c r="M879" s="131">
        <f>ROUND(L879*(1+$Q$7),2)</f>
        <v>83.12</v>
      </c>
      <c r="N879" s="133">
        <f>TRUNC(K879*M879,2)</f>
        <v>83.12</v>
      </c>
      <c r="O879" s="286"/>
      <c r="P879" s="146"/>
      <c r="Q879" s="146"/>
      <c r="R879" s="146"/>
      <c r="S879" s="146"/>
      <c r="T879" s="146"/>
      <c r="U879" s="146"/>
      <c r="V879" s="146"/>
      <c r="W879" s="146"/>
      <c r="X879" s="146"/>
      <c r="Y879" s="146"/>
      <c r="Z879" s="146"/>
      <c r="AA879" s="146"/>
    </row>
    <row r="880" spans="1:27" s="118" customFormat="1" x14ac:dyDescent="0.2">
      <c r="A880" s="10"/>
      <c r="B880" s="6"/>
      <c r="C880" s="6"/>
      <c r="D880" s="2"/>
      <c r="E880" s="148"/>
      <c r="F880" s="253">
        <v>1</v>
      </c>
      <c r="G880" s="253"/>
      <c r="H880" s="253"/>
      <c r="I880" s="246"/>
      <c r="J880" s="253">
        <f>ROUND(PRODUCT(F880:I880),2)</f>
        <v>1</v>
      </c>
      <c r="K880" s="137"/>
      <c r="L880" s="137"/>
      <c r="M880" s="137"/>
      <c r="N880" s="138"/>
      <c r="O880" s="167"/>
      <c r="P880" s="111"/>
      <c r="Q880" s="111"/>
      <c r="R880" s="111"/>
      <c r="S880" s="111"/>
      <c r="T880" s="111"/>
      <c r="U880" s="111"/>
      <c r="V880" s="111"/>
      <c r="W880" s="111"/>
      <c r="X880" s="111"/>
      <c r="Y880" s="111"/>
      <c r="Z880" s="111"/>
      <c r="AA880" s="111"/>
    </row>
    <row r="881" spans="1:27" s="118" customFormat="1" x14ac:dyDescent="0.2">
      <c r="A881" s="10"/>
      <c r="B881" s="6"/>
      <c r="C881" s="156"/>
      <c r="D881" s="108"/>
      <c r="E881" s="148"/>
      <c r="F881" s="253"/>
      <c r="G881" s="253"/>
      <c r="H881" s="253"/>
      <c r="I881" s="246" t="str">
        <f>"Total item "&amp;A879</f>
        <v>Total item 11.1.7</v>
      </c>
      <c r="J881" s="261">
        <f>SUM(J880:J880)</f>
        <v>1</v>
      </c>
      <c r="K881" s="137"/>
      <c r="L881" s="137"/>
      <c r="M881" s="137"/>
      <c r="N881" s="138"/>
      <c r="O881" s="167"/>
      <c r="P881" s="111"/>
      <c r="Q881" s="111"/>
      <c r="R881" s="111"/>
      <c r="S881" s="111"/>
      <c r="T881" s="111"/>
      <c r="U881" s="111"/>
      <c r="V881" s="111"/>
      <c r="W881" s="111"/>
      <c r="X881" s="111"/>
      <c r="Y881" s="111"/>
      <c r="Z881" s="111"/>
      <c r="AA881" s="111"/>
    </row>
    <row r="882" spans="1:27" s="118" customFormat="1" x14ac:dyDescent="0.2">
      <c r="A882" s="10"/>
      <c r="B882" s="6"/>
      <c r="C882" s="155"/>
      <c r="D882" s="108"/>
      <c r="E882" s="148"/>
      <c r="F882" s="253"/>
      <c r="G882" s="253"/>
      <c r="H882" s="253"/>
      <c r="I882" s="246"/>
      <c r="J882" s="258"/>
      <c r="K882" s="137"/>
      <c r="L882" s="137"/>
      <c r="M882" s="137"/>
      <c r="N882" s="138"/>
      <c r="O882" s="167"/>
      <c r="P882" s="111"/>
      <c r="Q882" s="111"/>
      <c r="R882" s="111"/>
      <c r="S882" s="111"/>
      <c r="T882" s="111"/>
      <c r="U882" s="111"/>
      <c r="V882" s="111"/>
      <c r="W882" s="111"/>
      <c r="X882" s="111"/>
      <c r="Y882" s="111"/>
      <c r="Z882" s="111"/>
      <c r="AA882" s="111"/>
    </row>
    <row r="883" spans="1:27" s="147" customFormat="1" ht="30.6" x14ac:dyDescent="0.2">
      <c r="A883" s="9" t="s">
        <v>812</v>
      </c>
      <c r="B883" s="9" t="s">
        <v>163</v>
      </c>
      <c r="C883" s="13" t="s">
        <v>190</v>
      </c>
      <c r="D883" s="113" t="s">
        <v>290</v>
      </c>
      <c r="E883" s="9" t="s">
        <v>33</v>
      </c>
      <c r="F883" s="261"/>
      <c r="G883" s="261"/>
      <c r="H883" s="261"/>
      <c r="I883" s="245"/>
      <c r="J883" s="261"/>
      <c r="K883" s="131">
        <f>J885</f>
        <v>6</v>
      </c>
      <c r="L883" s="131">
        <v>14.55</v>
      </c>
      <c r="M883" s="131">
        <f>ROUND(L883*(1+$Q$7),2)</f>
        <v>18.41</v>
      </c>
      <c r="N883" s="133">
        <f>TRUNC(K883*M883,2)</f>
        <v>110.46</v>
      </c>
      <c r="O883" s="286"/>
      <c r="P883" s="146"/>
      <c r="Q883" s="146"/>
      <c r="R883" s="146"/>
      <c r="S883" s="146"/>
      <c r="T883" s="146"/>
      <c r="U883" s="146"/>
      <c r="V883" s="146"/>
      <c r="W883" s="146"/>
      <c r="X883" s="146"/>
      <c r="Y883" s="146"/>
      <c r="Z883" s="146"/>
      <c r="AA883" s="146"/>
    </row>
    <row r="884" spans="1:27" s="118" customFormat="1" x14ac:dyDescent="0.2">
      <c r="A884" s="6"/>
      <c r="B884" s="6"/>
      <c r="C884" s="6"/>
      <c r="D884" s="2"/>
      <c r="E884" s="148"/>
      <c r="F884" s="253">
        <v>6</v>
      </c>
      <c r="G884" s="253"/>
      <c r="H884" s="253"/>
      <c r="I884" s="246"/>
      <c r="J884" s="253">
        <f>ROUND(PRODUCT(F884:I884),2)</f>
        <v>6</v>
      </c>
      <c r="K884" s="137"/>
      <c r="L884" s="137"/>
      <c r="M884" s="137"/>
      <c r="N884" s="138"/>
      <c r="O884" s="167"/>
      <c r="P884" s="111"/>
      <c r="Q884" s="111"/>
      <c r="R884" s="111"/>
      <c r="S884" s="111"/>
      <c r="T884" s="111"/>
      <c r="U884" s="111"/>
      <c r="V884" s="111"/>
      <c r="W884" s="111"/>
      <c r="X884" s="111"/>
      <c r="Y884" s="111"/>
      <c r="Z884" s="111"/>
      <c r="AA884" s="111"/>
    </row>
    <row r="885" spans="1:27" s="118" customFormat="1" x14ac:dyDescent="0.2">
      <c r="A885" s="6"/>
      <c r="B885" s="6"/>
      <c r="C885" s="156"/>
      <c r="D885" s="108"/>
      <c r="E885" s="148"/>
      <c r="F885" s="253"/>
      <c r="G885" s="253"/>
      <c r="H885" s="253"/>
      <c r="I885" s="246" t="str">
        <f>"Total item "&amp;A883</f>
        <v>Total item 11.1.8</v>
      </c>
      <c r="J885" s="261">
        <f>SUM(J884:J884)</f>
        <v>6</v>
      </c>
      <c r="K885" s="137"/>
      <c r="L885" s="137"/>
      <c r="M885" s="137"/>
      <c r="N885" s="138"/>
      <c r="O885" s="167"/>
      <c r="P885" s="111"/>
      <c r="Q885" s="111"/>
      <c r="R885" s="111"/>
      <c r="S885" s="111"/>
      <c r="T885" s="111"/>
      <c r="U885" s="111"/>
      <c r="V885" s="111"/>
      <c r="W885" s="111"/>
      <c r="X885" s="111"/>
      <c r="Y885" s="111"/>
      <c r="Z885" s="111"/>
      <c r="AA885" s="111"/>
    </row>
    <row r="886" spans="1:27" s="118" customFormat="1" x14ac:dyDescent="0.2">
      <c r="A886" s="6"/>
      <c r="B886" s="6"/>
      <c r="C886" s="155"/>
      <c r="D886" s="108"/>
      <c r="E886" s="148"/>
      <c r="F886" s="253"/>
      <c r="G886" s="253"/>
      <c r="H886" s="253"/>
      <c r="I886" s="246"/>
      <c r="J886" s="258"/>
      <c r="K886" s="137"/>
      <c r="L886" s="137"/>
      <c r="M886" s="137"/>
      <c r="N886" s="138"/>
      <c r="O886" s="167"/>
      <c r="P886" s="111"/>
      <c r="Q886" s="111"/>
      <c r="R886" s="111"/>
      <c r="S886" s="111"/>
      <c r="T886" s="111"/>
      <c r="U886" s="111"/>
      <c r="V886" s="111"/>
      <c r="W886" s="111"/>
      <c r="X886" s="111"/>
      <c r="Y886" s="111"/>
      <c r="Z886" s="111"/>
      <c r="AA886" s="111"/>
    </row>
    <row r="887" spans="1:27" s="145" customFormat="1" x14ac:dyDescent="0.2">
      <c r="A887" s="140" t="s">
        <v>794</v>
      </c>
      <c r="B887" s="140"/>
      <c r="C887" s="141"/>
      <c r="D887" s="112" t="s">
        <v>211</v>
      </c>
      <c r="E887" s="140"/>
      <c r="F887" s="260"/>
      <c r="G887" s="260"/>
      <c r="H887" s="260"/>
      <c r="I887" s="248"/>
      <c r="J887" s="260"/>
      <c r="K887" s="142"/>
      <c r="L887" s="142"/>
      <c r="M887" s="142"/>
      <c r="N887" s="143">
        <f>SUM(N889:N903)</f>
        <v>669.18999999999994</v>
      </c>
      <c r="O887" s="285"/>
      <c r="P887" s="144"/>
      <c r="Q887" s="144"/>
      <c r="R887" s="144"/>
      <c r="S887" s="144"/>
      <c r="T887" s="144"/>
      <c r="U887" s="144"/>
      <c r="V887" s="144"/>
      <c r="W887" s="144"/>
      <c r="X887" s="144"/>
      <c r="Y887" s="144"/>
      <c r="Z887" s="144"/>
      <c r="AA887" s="144"/>
    </row>
    <row r="888" spans="1:27" s="118" customFormat="1" x14ac:dyDescent="0.2">
      <c r="A888" s="6"/>
      <c r="B888" s="6"/>
      <c r="C888" s="14"/>
      <c r="D888" s="108"/>
      <c r="E888" s="148"/>
      <c r="F888" s="253"/>
      <c r="G888" s="253"/>
      <c r="H888" s="253"/>
      <c r="I888" s="246"/>
      <c r="J888" s="262"/>
      <c r="K888" s="137"/>
      <c r="L888" s="137"/>
      <c r="M888" s="137"/>
      <c r="N888" s="138"/>
      <c r="O888" s="167"/>
      <c r="P888" s="111"/>
      <c r="Q888" s="111"/>
      <c r="R888" s="111"/>
      <c r="S888" s="111"/>
      <c r="T888" s="111"/>
      <c r="U888" s="111"/>
      <c r="V888" s="111"/>
      <c r="W888" s="111"/>
      <c r="X888" s="111"/>
      <c r="Y888" s="111"/>
      <c r="Z888" s="111"/>
      <c r="AA888" s="111"/>
    </row>
    <row r="889" spans="1:27" s="147" customFormat="1" ht="20.399999999999999" x14ac:dyDescent="0.2">
      <c r="A889" s="9" t="s">
        <v>795</v>
      </c>
      <c r="B889" s="9" t="s">
        <v>89</v>
      </c>
      <c r="C889" s="13">
        <v>86883</v>
      </c>
      <c r="D889" s="113" t="s">
        <v>675</v>
      </c>
      <c r="E889" s="9" t="s">
        <v>31</v>
      </c>
      <c r="F889" s="261"/>
      <c r="G889" s="261"/>
      <c r="H889" s="261"/>
      <c r="I889" s="245"/>
      <c r="J889" s="261"/>
      <c r="K889" s="131">
        <f>J893</f>
        <v>3</v>
      </c>
      <c r="L889" s="131">
        <v>8.1199999999999992</v>
      </c>
      <c r="M889" s="131">
        <f>ROUND(L889*(1+$Q$7),2)</f>
        <v>10.27</v>
      </c>
      <c r="N889" s="133">
        <f>TRUNC(K889*M889,2)</f>
        <v>30.81</v>
      </c>
      <c r="O889" s="286"/>
      <c r="P889" s="146"/>
      <c r="Q889" s="146"/>
      <c r="R889" s="146"/>
      <c r="S889" s="146"/>
      <c r="T889" s="146"/>
      <c r="U889" s="146"/>
      <c r="V889" s="146"/>
      <c r="W889" s="146"/>
      <c r="X889" s="146"/>
      <c r="Y889" s="146"/>
      <c r="Z889" s="146"/>
      <c r="AA889" s="146"/>
    </row>
    <row r="890" spans="1:27" s="118" customFormat="1" x14ac:dyDescent="0.2">
      <c r="A890" s="6"/>
      <c r="B890" s="6"/>
      <c r="C890" s="155"/>
      <c r="D890" s="2" t="s">
        <v>79</v>
      </c>
      <c r="E890" s="148"/>
      <c r="F890" s="253">
        <v>1</v>
      </c>
      <c r="G890" s="253"/>
      <c r="H890" s="253"/>
      <c r="I890" s="246"/>
      <c r="J890" s="253">
        <f>ROUND(PRODUCT(F890:I890),2)</f>
        <v>1</v>
      </c>
      <c r="K890" s="137"/>
      <c r="L890" s="137"/>
      <c r="M890" s="137"/>
      <c r="N890" s="138"/>
      <c r="O890" s="167"/>
      <c r="P890" s="111"/>
      <c r="Q890" s="111"/>
      <c r="R890" s="111"/>
      <c r="S890" s="111"/>
      <c r="T890" s="111"/>
      <c r="U890" s="111"/>
      <c r="V890" s="111"/>
      <c r="W890" s="111"/>
      <c r="X890" s="111"/>
      <c r="Y890" s="111"/>
      <c r="Z890" s="111"/>
      <c r="AA890" s="111"/>
    </row>
    <row r="891" spans="1:27" s="118" customFormat="1" x14ac:dyDescent="0.2">
      <c r="A891" s="6"/>
      <c r="B891" s="6"/>
      <c r="C891" s="155"/>
      <c r="D891" s="2" t="s">
        <v>467</v>
      </c>
      <c r="E891" s="148"/>
      <c r="F891" s="253">
        <v>1</v>
      </c>
      <c r="G891" s="253"/>
      <c r="H891" s="253"/>
      <c r="I891" s="246"/>
      <c r="J891" s="253">
        <f>ROUND(PRODUCT(F891:I891),2)</f>
        <v>1</v>
      </c>
      <c r="K891" s="137"/>
      <c r="L891" s="137"/>
      <c r="M891" s="137"/>
      <c r="N891" s="138"/>
      <c r="O891" s="167"/>
      <c r="P891" s="111"/>
      <c r="Q891" s="111"/>
      <c r="R891" s="111"/>
      <c r="S891" s="111"/>
      <c r="T891" s="111"/>
      <c r="U891" s="111"/>
      <c r="V891" s="111"/>
      <c r="W891" s="111"/>
      <c r="X891" s="111"/>
      <c r="Y891" s="111"/>
      <c r="Z891" s="111"/>
      <c r="AA891" s="111"/>
    </row>
    <row r="892" spans="1:27" s="118" customFormat="1" x14ac:dyDescent="0.2">
      <c r="A892" s="6"/>
      <c r="B892" s="6"/>
      <c r="C892" s="155"/>
      <c r="D892" s="2" t="s">
        <v>345</v>
      </c>
      <c r="E892" s="148"/>
      <c r="F892" s="253">
        <v>1</v>
      </c>
      <c r="G892" s="253"/>
      <c r="H892" s="253"/>
      <c r="I892" s="246"/>
      <c r="J892" s="253">
        <f>ROUND(PRODUCT(F892:I892),2)</f>
        <v>1</v>
      </c>
      <c r="K892" s="137"/>
      <c r="L892" s="137"/>
      <c r="M892" s="137"/>
      <c r="N892" s="138"/>
      <c r="O892" s="167"/>
      <c r="P892" s="111"/>
      <c r="Q892" s="111"/>
      <c r="R892" s="111"/>
      <c r="S892" s="111"/>
      <c r="T892" s="111"/>
      <c r="U892" s="111"/>
      <c r="V892" s="111"/>
      <c r="W892" s="111"/>
      <c r="X892" s="111"/>
      <c r="Y892" s="111"/>
      <c r="Z892" s="111"/>
      <c r="AA892" s="111"/>
    </row>
    <row r="893" spans="1:27" s="118" customFormat="1" x14ac:dyDescent="0.2">
      <c r="A893" s="6"/>
      <c r="B893" s="6"/>
      <c r="C893" s="156"/>
      <c r="D893" s="108"/>
      <c r="E893" s="148"/>
      <c r="F893" s="253"/>
      <c r="G893" s="253"/>
      <c r="H893" s="253"/>
      <c r="I893" s="246" t="str">
        <f>"Total item "&amp;A889</f>
        <v>Total item 11.2.1</v>
      </c>
      <c r="J893" s="261">
        <f>SUM(J890:J892)</f>
        <v>3</v>
      </c>
      <c r="K893" s="137"/>
      <c r="L893" s="137"/>
      <c r="M893" s="137"/>
      <c r="N893" s="138"/>
      <c r="O893" s="167"/>
      <c r="P893" s="111"/>
      <c r="Q893" s="111"/>
      <c r="R893" s="111"/>
      <c r="S893" s="111"/>
      <c r="T893" s="111"/>
      <c r="U893" s="111"/>
      <c r="V893" s="111"/>
      <c r="W893" s="111"/>
      <c r="X893" s="111"/>
      <c r="Y893" s="111"/>
      <c r="Z893" s="111"/>
      <c r="AA893" s="111"/>
    </row>
    <row r="894" spans="1:27" s="139" customFormat="1" x14ac:dyDescent="0.2">
      <c r="A894" s="6"/>
      <c r="B894" s="6"/>
      <c r="C894" s="7"/>
      <c r="D894" s="116"/>
      <c r="E894" s="6"/>
      <c r="F894" s="258"/>
      <c r="G894" s="258"/>
      <c r="H894" s="258"/>
      <c r="I894" s="246"/>
      <c r="J894" s="258"/>
      <c r="K894" s="137"/>
      <c r="L894" s="137"/>
      <c r="M894" s="137"/>
      <c r="N894" s="138"/>
      <c r="O894" s="283"/>
      <c r="P894" s="120"/>
      <c r="Q894" s="120"/>
      <c r="R894" s="120"/>
      <c r="S894" s="120"/>
      <c r="T894" s="120"/>
      <c r="U894" s="120"/>
      <c r="V894" s="120"/>
      <c r="W894" s="120"/>
      <c r="X894" s="120"/>
      <c r="Y894" s="120"/>
      <c r="Z894" s="120"/>
      <c r="AA894" s="120"/>
    </row>
    <row r="895" spans="1:27" s="147" customFormat="1" ht="30.6" x14ac:dyDescent="0.2">
      <c r="A895" s="9" t="s">
        <v>796</v>
      </c>
      <c r="B895" s="9" t="s">
        <v>163</v>
      </c>
      <c r="C895" s="13" t="s">
        <v>249</v>
      </c>
      <c r="D895" s="113" t="s">
        <v>250</v>
      </c>
      <c r="E895" s="9" t="s">
        <v>32</v>
      </c>
      <c r="F895" s="261"/>
      <c r="G895" s="261"/>
      <c r="H895" s="261"/>
      <c r="I895" s="245"/>
      <c r="J895" s="261"/>
      <c r="K895" s="131">
        <f>J898</f>
        <v>4</v>
      </c>
      <c r="L895" s="131">
        <v>116.1</v>
      </c>
      <c r="M895" s="131">
        <f>ROUND(L895*(1+$Q$7),2)</f>
        <v>146.9</v>
      </c>
      <c r="N895" s="133">
        <f>TRUNC(K895*M895,2)</f>
        <v>587.6</v>
      </c>
      <c r="O895" s="286"/>
      <c r="P895" s="146"/>
      <c r="Q895" s="146"/>
      <c r="R895" s="146"/>
      <c r="S895" s="146"/>
      <c r="T895" s="146"/>
      <c r="U895" s="146"/>
      <c r="V895" s="146"/>
      <c r="W895" s="146"/>
      <c r="X895" s="146"/>
      <c r="Y895" s="146"/>
      <c r="Z895" s="146"/>
      <c r="AA895" s="146"/>
    </row>
    <row r="896" spans="1:27" s="118" customFormat="1" x14ac:dyDescent="0.2">
      <c r="A896" s="6"/>
      <c r="B896" s="6"/>
      <c r="C896" s="155"/>
      <c r="D896" s="2" t="s">
        <v>345</v>
      </c>
      <c r="E896" s="148"/>
      <c r="F896" s="253">
        <v>2</v>
      </c>
      <c r="G896" s="253"/>
      <c r="H896" s="253"/>
      <c r="I896" s="246"/>
      <c r="J896" s="253">
        <f>ROUND(PRODUCT(F896:I896),2)</f>
        <v>2</v>
      </c>
      <c r="K896" s="137"/>
      <c r="L896" s="137"/>
      <c r="M896" s="137"/>
      <c r="N896" s="138"/>
      <c r="O896" s="167"/>
      <c r="P896" s="111"/>
      <c r="Q896" s="111"/>
      <c r="R896" s="111"/>
      <c r="S896" s="111"/>
      <c r="T896" s="111"/>
      <c r="U896" s="111"/>
      <c r="V896" s="111"/>
      <c r="W896" s="111"/>
      <c r="X896" s="111"/>
      <c r="Y896" s="111"/>
      <c r="Z896" s="111"/>
      <c r="AA896" s="111"/>
    </row>
    <row r="897" spans="1:27" s="118" customFormat="1" x14ac:dyDescent="0.2">
      <c r="A897" s="6"/>
      <c r="B897" s="6"/>
      <c r="C897" s="155"/>
      <c r="D897" s="2" t="s">
        <v>467</v>
      </c>
      <c r="E897" s="148"/>
      <c r="F897" s="253">
        <v>2</v>
      </c>
      <c r="G897" s="253"/>
      <c r="H897" s="253"/>
      <c r="I897" s="246"/>
      <c r="J897" s="253">
        <f>ROUND(PRODUCT(F897:I897),2)</f>
        <v>2</v>
      </c>
      <c r="K897" s="137"/>
      <c r="L897" s="137"/>
      <c r="M897" s="137"/>
      <c r="N897" s="138"/>
      <c r="O897" s="167"/>
      <c r="P897" s="111"/>
      <c r="Q897" s="111"/>
      <c r="R897" s="111"/>
      <c r="S897" s="111"/>
      <c r="T897" s="111"/>
      <c r="U897" s="111"/>
      <c r="V897" s="111"/>
      <c r="W897" s="111"/>
      <c r="X897" s="111"/>
      <c r="Y897" s="111"/>
      <c r="Z897" s="111"/>
      <c r="AA897" s="111"/>
    </row>
    <row r="898" spans="1:27" s="118" customFormat="1" x14ac:dyDescent="0.2">
      <c r="A898" s="6"/>
      <c r="B898" s="6"/>
      <c r="C898" s="156"/>
      <c r="D898" s="108"/>
      <c r="E898" s="148"/>
      <c r="F898" s="253"/>
      <c r="G898" s="253"/>
      <c r="H898" s="253"/>
      <c r="I898" s="246" t="str">
        <f>"Total item "&amp;A895</f>
        <v>Total item 11.2.2</v>
      </c>
      <c r="J898" s="261">
        <f>SUM(J896:J897)</f>
        <v>4</v>
      </c>
      <c r="K898" s="137"/>
      <c r="L898" s="137"/>
      <c r="M898" s="137"/>
      <c r="N898" s="138"/>
      <c r="O898" s="167"/>
      <c r="P898" s="111"/>
      <c r="Q898" s="111"/>
      <c r="R898" s="111"/>
      <c r="S898" s="111"/>
      <c r="T898" s="111"/>
      <c r="U898" s="111"/>
      <c r="V898" s="111"/>
      <c r="W898" s="111"/>
      <c r="X898" s="111"/>
      <c r="Y898" s="111"/>
      <c r="Z898" s="111"/>
      <c r="AA898" s="111"/>
    </row>
    <row r="899" spans="1:27" s="139" customFormat="1" x14ac:dyDescent="0.2">
      <c r="A899" s="6"/>
      <c r="B899" s="6"/>
      <c r="C899" s="7"/>
      <c r="D899" s="116"/>
      <c r="E899" s="6"/>
      <c r="F899" s="258"/>
      <c r="G899" s="258"/>
      <c r="H899" s="258"/>
      <c r="I899" s="246"/>
      <c r="J899" s="258"/>
      <c r="K899" s="137"/>
      <c r="L899" s="137"/>
      <c r="M899" s="137"/>
      <c r="N899" s="138"/>
      <c r="O899" s="283"/>
      <c r="P899" s="120"/>
      <c r="Q899" s="120"/>
      <c r="R899" s="120"/>
      <c r="S899" s="120"/>
      <c r="T899" s="120"/>
      <c r="U899" s="120"/>
      <c r="V899" s="120"/>
      <c r="W899" s="120"/>
      <c r="X899" s="120"/>
      <c r="Y899" s="120"/>
      <c r="Z899" s="120"/>
      <c r="AA899" s="120"/>
    </row>
    <row r="900" spans="1:27" s="147" customFormat="1" ht="30.6" x14ac:dyDescent="0.2">
      <c r="A900" s="9" t="s">
        <v>627</v>
      </c>
      <c r="B900" s="9" t="s">
        <v>89</v>
      </c>
      <c r="C900" s="13">
        <v>86911</v>
      </c>
      <c r="D900" s="113" t="s">
        <v>469</v>
      </c>
      <c r="E900" s="9" t="s">
        <v>33</v>
      </c>
      <c r="F900" s="261"/>
      <c r="G900" s="261"/>
      <c r="H900" s="261"/>
      <c r="I900" s="245"/>
      <c r="J900" s="261"/>
      <c r="K900" s="131">
        <f>J902</f>
        <v>1</v>
      </c>
      <c r="L900" s="131">
        <v>40.130000000000003</v>
      </c>
      <c r="M900" s="131">
        <f>ROUND(L900*(1+$Q$7),2)</f>
        <v>50.78</v>
      </c>
      <c r="N900" s="133">
        <f>TRUNC(K900*M900,2)</f>
        <v>50.78</v>
      </c>
      <c r="O900" s="286"/>
      <c r="P900" s="146"/>
      <c r="Q900" s="146"/>
      <c r="R900" s="146"/>
      <c r="S900" s="146"/>
      <c r="T900" s="146"/>
      <c r="U900" s="146"/>
      <c r="V900" s="146"/>
      <c r="W900" s="146"/>
      <c r="X900" s="146"/>
      <c r="Y900" s="146"/>
      <c r="Z900" s="146"/>
      <c r="AA900" s="146"/>
    </row>
    <row r="901" spans="1:27" s="118" customFormat="1" x14ac:dyDescent="0.2">
      <c r="A901" s="6"/>
      <c r="B901" s="6"/>
      <c r="C901" s="155"/>
      <c r="D901" s="2" t="s">
        <v>79</v>
      </c>
      <c r="E901" s="148"/>
      <c r="F901" s="253">
        <v>1</v>
      </c>
      <c r="G901" s="253"/>
      <c r="H901" s="253"/>
      <c r="I901" s="246"/>
      <c r="J901" s="253">
        <f>ROUND(PRODUCT(F901:I901),2)</f>
        <v>1</v>
      </c>
      <c r="K901" s="137"/>
      <c r="L901" s="137"/>
      <c r="M901" s="137"/>
      <c r="N901" s="138"/>
      <c r="O901" s="167"/>
      <c r="P901" s="111"/>
      <c r="Q901" s="111"/>
      <c r="R901" s="111"/>
      <c r="S901" s="111"/>
      <c r="T901" s="111"/>
      <c r="U901" s="111"/>
      <c r="V901" s="111"/>
      <c r="W901" s="111"/>
      <c r="X901" s="111"/>
      <c r="Y901" s="111"/>
      <c r="Z901" s="111"/>
      <c r="AA901" s="111"/>
    </row>
    <row r="902" spans="1:27" s="118" customFormat="1" x14ac:dyDescent="0.2">
      <c r="A902" s="6"/>
      <c r="B902" s="6"/>
      <c r="C902" s="156"/>
      <c r="D902" s="108"/>
      <c r="E902" s="148"/>
      <c r="F902" s="253"/>
      <c r="G902" s="253"/>
      <c r="H902" s="253"/>
      <c r="I902" s="246" t="str">
        <f>"Total item "&amp;A900</f>
        <v>Total item 12.1.3</v>
      </c>
      <c r="J902" s="261">
        <f>SUM(J901:J901)</f>
        <v>1</v>
      </c>
      <c r="K902" s="137"/>
      <c r="L902" s="137"/>
      <c r="M902" s="137"/>
      <c r="N902" s="138"/>
      <c r="O902" s="167"/>
      <c r="P902" s="111"/>
      <c r="Q902" s="111"/>
      <c r="R902" s="111"/>
      <c r="S902" s="111"/>
      <c r="T902" s="111"/>
      <c r="U902" s="111"/>
      <c r="V902" s="111"/>
      <c r="W902" s="111"/>
      <c r="X902" s="111"/>
      <c r="Y902" s="111"/>
      <c r="Z902" s="111"/>
      <c r="AA902" s="111"/>
    </row>
    <row r="903" spans="1:27" s="139" customFormat="1" x14ac:dyDescent="0.2">
      <c r="A903" s="6"/>
      <c r="B903" s="6"/>
      <c r="C903" s="7"/>
      <c r="D903" s="116"/>
      <c r="E903" s="6"/>
      <c r="F903" s="258"/>
      <c r="G903" s="258"/>
      <c r="H903" s="258"/>
      <c r="I903" s="246"/>
      <c r="J903" s="258"/>
      <c r="K903" s="137"/>
      <c r="L903" s="137"/>
      <c r="M903" s="137"/>
      <c r="N903" s="138"/>
      <c r="O903" s="283"/>
      <c r="P903" s="120"/>
      <c r="Q903" s="120"/>
      <c r="R903" s="120"/>
      <c r="S903" s="120"/>
      <c r="T903" s="120"/>
      <c r="U903" s="120"/>
      <c r="V903" s="120"/>
      <c r="W903" s="120"/>
      <c r="X903" s="120"/>
      <c r="Y903" s="120"/>
      <c r="Z903" s="120"/>
      <c r="AA903" s="120"/>
    </row>
    <row r="904" spans="1:27" s="196" customFormat="1" x14ac:dyDescent="0.2">
      <c r="A904" s="140" t="s">
        <v>797</v>
      </c>
      <c r="B904" s="192"/>
      <c r="C904" s="193"/>
      <c r="D904" s="112" t="s">
        <v>80</v>
      </c>
      <c r="E904" s="192"/>
      <c r="F904" s="269"/>
      <c r="G904" s="269"/>
      <c r="H904" s="269"/>
      <c r="I904" s="254"/>
      <c r="J904" s="269"/>
      <c r="K904" s="194"/>
      <c r="L904" s="194"/>
      <c r="M904" s="194"/>
      <c r="N904" s="143">
        <f>SUM(N906:N915)</f>
        <v>6732.0599999999995</v>
      </c>
      <c r="O904" s="285"/>
      <c r="P904" s="195"/>
      <c r="Q904" s="195"/>
      <c r="R904" s="195"/>
      <c r="S904" s="195"/>
      <c r="T904" s="195"/>
      <c r="U904" s="195"/>
      <c r="V904" s="195"/>
      <c r="W904" s="195"/>
      <c r="X904" s="195"/>
      <c r="Y904" s="195"/>
      <c r="Z904" s="195"/>
      <c r="AA904" s="195"/>
    </row>
    <row r="905" spans="1:27" s="118" customFormat="1" x14ac:dyDescent="0.2">
      <c r="A905" s="6"/>
      <c r="B905" s="6"/>
      <c r="C905" s="14"/>
      <c r="D905" s="108"/>
      <c r="E905" s="148"/>
      <c r="F905" s="253"/>
      <c r="G905" s="253"/>
      <c r="H905" s="253"/>
      <c r="I905" s="246"/>
      <c r="J905" s="262"/>
      <c r="K905" s="137"/>
      <c r="L905" s="137"/>
      <c r="M905" s="137"/>
      <c r="N905" s="138"/>
      <c r="O905" s="167"/>
      <c r="P905" s="111"/>
      <c r="Q905" s="111"/>
      <c r="R905" s="111"/>
      <c r="S905" s="111"/>
      <c r="T905" s="111"/>
      <c r="U905" s="111"/>
      <c r="V905" s="111"/>
      <c r="W905" s="111"/>
      <c r="X905" s="111"/>
      <c r="Y905" s="111"/>
      <c r="Z905" s="111"/>
      <c r="AA905" s="111"/>
    </row>
    <row r="906" spans="1:27" s="147" customFormat="1" x14ac:dyDescent="0.2">
      <c r="A906" s="9" t="s">
        <v>798</v>
      </c>
      <c r="B906" s="9" t="s">
        <v>179</v>
      </c>
      <c r="C906" s="13" t="s">
        <v>316</v>
      </c>
      <c r="D906" s="109" t="s">
        <v>317</v>
      </c>
      <c r="E906" s="9" t="s">
        <v>9</v>
      </c>
      <c r="F906" s="261"/>
      <c r="G906" s="261"/>
      <c r="H906" s="261"/>
      <c r="I906" s="245"/>
      <c r="J906" s="261"/>
      <c r="K906" s="131">
        <f>J909</f>
        <v>217.07999999999998</v>
      </c>
      <c r="L906" s="131">
        <f>'COMPOSICOES - SINAPI COM DESON'!G18</f>
        <v>5.79</v>
      </c>
      <c r="M906" s="131">
        <f>ROUND(L906*(1+$Q$7),2)</f>
        <v>7.33</v>
      </c>
      <c r="N906" s="133">
        <f>TRUNC(K906*M906,2)</f>
        <v>1591.19</v>
      </c>
      <c r="O906" s="286"/>
      <c r="P906" s="146"/>
      <c r="Q906" s="146"/>
      <c r="R906" s="146"/>
      <c r="S906" s="146"/>
      <c r="T906" s="146"/>
      <c r="U906" s="146"/>
      <c r="V906" s="146"/>
      <c r="W906" s="146"/>
      <c r="X906" s="146"/>
      <c r="Y906" s="146"/>
      <c r="Z906" s="146"/>
      <c r="AA906" s="146"/>
    </row>
    <row r="907" spans="1:27" s="118" customFormat="1" x14ac:dyDescent="0.2">
      <c r="A907" s="6"/>
      <c r="B907" s="6"/>
      <c r="C907" s="155"/>
      <c r="D907" s="2"/>
      <c r="E907" s="148"/>
      <c r="F907" s="253"/>
      <c r="G907" s="253">
        <v>20</v>
      </c>
      <c r="H907" s="253">
        <v>7.5</v>
      </c>
      <c r="I907" s="246"/>
      <c r="J907" s="253">
        <f t="shared" ref="J907:J908" si="98">ROUND(PRODUCT(F907:I907),2)</f>
        <v>150</v>
      </c>
      <c r="K907" s="137"/>
      <c r="L907" s="137"/>
      <c r="M907" s="137"/>
      <c r="N907" s="138"/>
      <c r="O907" s="167"/>
      <c r="P907" s="111"/>
      <c r="Q907" s="111"/>
      <c r="R907" s="111"/>
      <c r="S907" s="111"/>
      <c r="T907" s="111"/>
      <c r="U907" s="111"/>
      <c r="V907" s="111"/>
      <c r="W907" s="111"/>
      <c r="X907" s="111"/>
      <c r="Y907" s="111"/>
      <c r="Z907" s="111"/>
      <c r="AA907" s="111"/>
    </row>
    <row r="908" spans="1:27" s="118" customFormat="1" x14ac:dyDescent="0.2">
      <c r="A908" s="6"/>
      <c r="B908" s="6"/>
      <c r="C908" s="155"/>
      <c r="D908" s="2"/>
      <c r="E908" s="148"/>
      <c r="F908" s="253"/>
      <c r="G908" s="253">
        <v>8.6</v>
      </c>
      <c r="H908" s="253">
        <v>7.8</v>
      </c>
      <c r="I908" s="246"/>
      <c r="J908" s="253">
        <f t="shared" si="98"/>
        <v>67.08</v>
      </c>
      <c r="K908" s="137"/>
      <c r="L908" s="137"/>
      <c r="M908" s="137"/>
      <c r="N908" s="138"/>
      <c r="O908" s="167"/>
      <c r="P908" s="111"/>
      <c r="Q908" s="111"/>
      <c r="R908" s="111"/>
      <c r="S908" s="111"/>
      <c r="T908" s="111"/>
      <c r="U908" s="111"/>
      <c r="V908" s="111"/>
      <c r="W908" s="111"/>
      <c r="X908" s="111"/>
      <c r="Y908" s="111"/>
      <c r="Z908" s="111"/>
      <c r="AA908" s="111"/>
    </row>
    <row r="909" spans="1:27" s="118" customFormat="1" x14ac:dyDescent="0.2">
      <c r="A909" s="6"/>
      <c r="B909" s="6"/>
      <c r="C909" s="156"/>
      <c r="D909" s="108"/>
      <c r="E909" s="148"/>
      <c r="F909" s="253"/>
      <c r="G909" s="253"/>
      <c r="H909" s="253"/>
      <c r="I909" s="246" t="str">
        <f>"Total item "&amp;A906</f>
        <v>Total item 11.3.1</v>
      </c>
      <c r="J909" s="261">
        <f>SUM(J907:J908)</f>
        <v>217.07999999999998</v>
      </c>
      <c r="K909" s="137"/>
      <c r="L909" s="137"/>
      <c r="M909" s="137"/>
      <c r="N909" s="138"/>
      <c r="O909" s="167"/>
      <c r="P909" s="111"/>
      <c r="Q909" s="111"/>
      <c r="R909" s="111"/>
      <c r="S909" s="111"/>
      <c r="T909" s="111"/>
      <c r="U909" s="111"/>
      <c r="V909" s="111"/>
      <c r="W909" s="111"/>
      <c r="X909" s="111"/>
      <c r="Y909" s="111"/>
      <c r="Z909" s="111"/>
      <c r="AA909" s="111"/>
    </row>
    <row r="910" spans="1:27" s="118" customFormat="1" x14ac:dyDescent="0.2">
      <c r="A910" s="6"/>
      <c r="B910" s="6"/>
      <c r="C910" s="14"/>
      <c r="D910" s="108"/>
      <c r="E910" s="148"/>
      <c r="F910" s="253"/>
      <c r="G910" s="253"/>
      <c r="H910" s="253"/>
      <c r="I910" s="246"/>
      <c r="J910" s="262"/>
      <c r="K910" s="137"/>
      <c r="L910" s="137"/>
      <c r="M910" s="137"/>
      <c r="N910" s="138"/>
      <c r="O910" s="167"/>
      <c r="P910" s="111"/>
      <c r="Q910" s="111"/>
      <c r="R910" s="111"/>
      <c r="S910" s="111"/>
      <c r="T910" s="111"/>
      <c r="U910" s="111"/>
      <c r="V910" s="111"/>
      <c r="W910" s="111"/>
      <c r="X910" s="111"/>
      <c r="Y910" s="111"/>
      <c r="Z910" s="111"/>
      <c r="AA910" s="111"/>
    </row>
    <row r="911" spans="1:27" s="147" customFormat="1" ht="30.6" x14ac:dyDescent="0.2">
      <c r="A911" s="9" t="s">
        <v>799</v>
      </c>
      <c r="B911" s="9" t="s">
        <v>89</v>
      </c>
      <c r="C911" s="197" t="s">
        <v>437</v>
      </c>
      <c r="D911" s="113" t="s">
        <v>714</v>
      </c>
      <c r="E911" s="9" t="s">
        <v>9</v>
      </c>
      <c r="F911" s="261"/>
      <c r="G911" s="261"/>
      <c r="H911" s="261"/>
      <c r="I911" s="245"/>
      <c r="J911" s="261"/>
      <c r="K911" s="131">
        <f>J915</f>
        <v>67.75</v>
      </c>
      <c r="L911" s="131">
        <v>59.97</v>
      </c>
      <c r="M911" s="131">
        <f>ROUND(L911*(1+$Q$7),2)</f>
        <v>75.88</v>
      </c>
      <c r="N911" s="133">
        <f>TRUNC(K911*M911,2)</f>
        <v>5140.87</v>
      </c>
      <c r="O911" s="286"/>
      <c r="P911" s="146"/>
      <c r="Q911" s="146"/>
      <c r="R911" s="146"/>
      <c r="S911" s="146"/>
      <c r="T911" s="146"/>
      <c r="U911" s="146"/>
      <c r="V911" s="146"/>
      <c r="W911" s="146"/>
      <c r="X911" s="146"/>
      <c r="Y911" s="146"/>
      <c r="Z911" s="146"/>
      <c r="AA911" s="146"/>
    </row>
    <row r="912" spans="1:27" s="118" customFormat="1" x14ac:dyDescent="0.2">
      <c r="A912" s="6"/>
      <c r="B912" s="6"/>
      <c r="C912" s="155"/>
      <c r="D912" s="2" t="s">
        <v>253</v>
      </c>
      <c r="E912" s="148"/>
      <c r="F912" s="253"/>
      <c r="G912" s="253">
        <v>7.15</v>
      </c>
      <c r="H912" s="253">
        <v>3.4</v>
      </c>
      <c r="I912" s="246"/>
      <c r="J912" s="253">
        <f t="shared" ref="J912:J914" si="99">ROUND(PRODUCT(F912:I912),2)</f>
        <v>24.31</v>
      </c>
      <c r="K912" s="137"/>
      <c r="L912" s="137"/>
      <c r="M912" s="137"/>
      <c r="N912" s="138"/>
      <c r="O912" s="167"/>
      <c r="P912" s="111"/>
      <c r="Q912" s="111"/>
      <c r="R912" s="111"/>
      <c r="S912" s="111"/>
      <c r="T912" s="111"/>
      <c r="U912" s="111"/>
      <c r="V912" s="111"/>
      <c r="W912" s="111"/>
      <c r="X912" s="111"/>
      <c r="Y912" s="111"/>
      <c r="Z912" s="111"/>
      <c r="AA912" s="111"/>
    </row>
    <row r="913" spans="1:27" s="118" customFormat="1" x14ac:dyDescent="0.2">
      <c r="A913" s="6"/>
      <c r="B913" s="6"/>
      <c r="C913" s="155"/>
      <c r="D913" s="2" t="s">
        <v>242</v>
      </c>
      <c r="E913" s="148"/>
      <c r="F913" s="253"/>
      <c r="G913" s="253">
        <v>3.65</v>
      </c>
      <c r="H913" s="253">
        <v>6</v>
      </c>
      <c r="I913" s="246"/>
      <c r="J913" s="253">
        <f t="shared" si="99"/>
        <v>21.9</v>
      </c>
      <c r="K913" s="137"/>
      <c r="L913" s="137"/>
      <c r="M913" s="137"/>
      <c r="N913" s="138"/>
      <c r="O913" s="167"/>
      <c r="P913" s="111"/>
      <c r="Q913" s="111"/>
      <c r="R913" s="111"/>
      <c r="S913" s="111"/>
      <c r="T913" s="111"/>
      <c r="U913" s="111"/>
      <c r="V913" s="111"/>
      <c r="W913" s="111"/>
      <c r="X913" s="111"/>
      <c r="Y913" s="111"/>
      <c r="Z913" s="111"/>
      <c r="AA913" s="111"/>
    </row>
    <row r="914" spans="1:27" s="118" customFormat="1" x14ac:dyDescent="0.2">
      <c r="A914" s="6"/>
      <c r="B914" s="6"/>
      <c r="C914" s="155"/>
      <c r="D914" s="2" t="s">
        <v>305</v>
      </c>
      <c r="E914" s="148"/>
      <c r="F914" s="253"/>
      <c r="G914" s="253">
        <v>3.65</v>
      </c>
      <c r="H914" s="253">
        <v>5.9</v>
      </c>
      <c r="I914" s="246"/>
      <c r="J914" s="253">
        <f t="shared" si="99"/>
        <v>21.54</v>
      </c>
      <c r="K914" s="137"/>
      <c r="L914" s="137"/>
      <c r="M914" s="137"/>
      <c r="N914" s="138"/>
      <c r="O914" s="167"/>
      <c r="P914" s="111"/>
      <c r="Q914" s="111"/>
      <c r="R914" s="111"/>
      <c r="S914" s="111"/>
      <c r="T914" s="111"/>
      <c r="U914" s="111"/>
      <c r="V914" s="111"/>
      <c r="W914" s="111"/>
      <c r="X914" s="111"/>
      <c r="Y914" s="111"/>
      <c r="Z914" s="111"/>
      <c r="AA914" s="111"/>
    </row>
    <row r="915" spans="1:27" s="118" customFormat="1" x14ac:dyDescent="0.2">
      <c r="A915" s="6"/>
      <c r="B915" s="6"/>
      <c r="C915" s="156"/>
      <c r="D915" s="108"/>
      <c r="E915" s="148"/>
      <c r="F915" s="253"/>
      <c r="G915" s="253"/>
      <c r="H915" s="253"/>
      <c r="I915" s="246" t="str">
        <f>"Total item "&amp;A911</f>
        <v>Total item 11.3.2</v>
      </c>
      <c r="J915" s="261">
        <f>SUM(J912:J914)</f>
        <v>67.75</v>
      </c>
      <c r="K915" s="137"/>
      <c r="L915" s="137"/>
      <c r="M915" s="137"/>
      <c r="N915" s="138"/>
      <c r="O915" s="167"/>
      <c r="P915" s="111"/>
      <c r="Q915" s="111"/>
      <c r="R915" s="111"/>
      <c r="S915" s="111"/>
      <c r="T915" s="111"/>
      <c r="U915" s="111"/>
      <c r="V915" s="111"/>
      <c r="W915" s="111"/>
      <c r="X915" s="111"/>
      <c r="Y915" s="111"/>
      <c r="Z915" s="111"/>
      <c r="AA915" s="111"/>
    </row>
    <row r="916" spans="1:27" s="139" customFormat="1" x14ac:dyDescent="0.2">
      <c r="A916" s="6"/>
      <c r="B916" s="6"/>
      <c r="C916" s="7"/>
      <c r="D916" s="116"/>
      <c r="E916" s="6"/>
      <c r="F916" s="258"/>
      <c r="G916" s="258"/>
      <c r="H916" s="258"/>
      <c r="I916" s="246"/>
      <c r="J916" s="258"/>
      <c r="K916" s="137"/>
      <c r="L916" s="137"/>
      <c r="M916" s="137"/>
      <c r="N916" s="138"/>
      <c r="O916" s="283"/>
      <c r="P916" s="120"/>
      <c r="Q916" s="120"/>
      <c r="R916" s="120"/>
      <c r="S916" s="120"/>
      <c r="T916" s="120"/>
      <c r="U916" s="120"/>
      <c r="V916" s="120"/>
      <c r="W916" s="120"/>
      <c r="X916" s="120"/>
      <c r="Y916" s="120"/>
      <c r="Z916" s="120"/>
      <c r="AA916" s="120"/>
    </row>
    <row r="917" spans="1:27" s="145" customFormat="1" x14ac:dyDescent="0.2">
      <c r="A917" s="140" t="s">
        <v>800</v>
      </c>
      <c r="B917" s="140"/>
      <c r="C917" s="141"/>
      <c r="D917" s="112" t="s">
        <v>28</v>
      </c>
      <c r="E917" s="140"/>
      <c r="F917" s="260"/>
      <c r="G917" s="260"/>
      <c r="H917" s="260"/>
      <c r="I917" s="248"/>
      <c r="J917" s="260"/>
      <c r="K917" s="142"/>
      <c r="L917" s="142"/>
      <c r="M917" s="142"/>
      <c r="N917" s="143">
        <f>SUM(N919:N943)</f>
        <v>4301.9099999999989</v>
      </c>
      <c r="O917" s="285"/>
      <c r="P917" s="144"/>
      <c r="Q917" s="144"/>
      <c r="R917" s="144"/>
      <c r="S917" s="144"/>
      <c r="T917" s="144"/>
      <c r="U917" s="144"/>
      <c r="V917" s="144"/>
      <c r="W917" s="144"/>
      <c r="X917" s="144"/>
      <c r="Y917" s="144"/>
      <c r="Z917" s="144"/>
      <c r="AA917" s="144"/>
    </row>
    <row r="918" spans="1:27" s="118" customFormat="1" x14ac:dyDescent="0.2">
      <c r="A918" s="6"/>
      <c r="B918" s="6"/>
      <c r="C918" s="14"/>
      <c r="D918" s="108"/>
      <c r="E918" s="148"/>
      <c r="F918" s="253"/>
      <c r="G918" s="253"/>
      <c r="H918" s="253"/>
      <c r="I918" s="246"/>
      <c r="J918" s="262"/>
      <c r="K918" s="137"/>
      <c r="L918" s="137"/>
      <c r="M918" s="137"/>
      <c r="N918" s="138"/>
      <c r="O918" s="167"/>
      <c r="P918" s="111"/>
      <c r="Q918" s="111"/>
      <c r="R918" s="111"/>
      <c r="S918" s="111"/>
      <c r="T918" s="111"/>
      <c r="U918" s="111"/>
      <c r="V918" s="111"/>
      <c r="W918" s="111"/>
      <c r="X918" s="111"/>
      <c r="Y918" s="111"/>
      <c r="Z918" s="111"/>
      <c r="AA918" s="111"/>
    </row>
    <row r="919" spans="1:27" s="147" customFormat="1" ht="30.6" x14ac:dyDescent="0.2">
      <c r="A919" s="9" t="s">
        <v>801</v>
      </c>
      <c r="B919" s="9" t="s">
        <v>163</v>
      </c>
      <c r="C919" s="13" t="s">
        <v>263</v>
      </c>
      <c r="D919" s="113" t="s">
        <v>264</v>
      </c>
      <c r="E919" s="9" t="s">
        <v>9</v>
      </c>
      <c r="F919" s="261"/>
      <c r="G919" s="261"/>
      <c r="H919" s="261"/>
      <c r="I919" s="245"/>
      <c r="J919" s="261"/>
      <c r="K919" s="131">
        <f>J925</f>
        <v>7.9799999999999995</v>
      </c>
      <c r="L919" s="131">
        <v>287.51</v>
      </c>
      <c r="M919" s="131">
        <f>ROUND(L919*(1+$Q$7),2)</f>
        <v>363.79</v>
      </c>
      <c r="N919" s="133">
        <f>TRUNC(K919*M919,2)</f>
        <v>2903.04</v>
      </c>
      <c r="O919" s="286"/>
      <c r="P919" s="146"/>
      <c r="Q919" s="146"/>
      <c r="R919" s="146"/>
      <c r="S919" s="146"/>
      <c r="T919" s="146"/>
      <c r="U919" s="146"/>
      <c r="V919" s="146"/>
      <c r="W919" s="146"/>
      <c r="X919" s="146"/>
      <c r="Y919" s="146"/>
      <c r="Z919" s="146"/>
      <c r="AA919" s="146"/>
    </row>
    <row r="920" spans="1:27" s="118" customFormat="1" x14ac:dyDescent="0.2">
      <c r="A920" s="6"/>
      <c r="B920" s="6"/>
      <c r="C920" s="155"/>
      <c r="D920" s="2" t="s">
        <v>253</v>
      </c>
      <c r="E920" s="148"/>
      <c r="F920" s="253"/>
      <c r="G920" s="253">
        <v>0.8</v>
      </c>
      <c r="H920" s="253"/>
      <c r="I920" s="249">
        <v>2.1</v>
      </c>
      <c r="J920" s="253">
        <f>ROUND(PRODUCT(F920:I920),2)</f>
        <v>1.68</v>
      </c>
      <c r="K920" s="137"/>
      <c r="L920" s="137"/>
      <c r="M920" s="137"/>
      <c r="N920" s="138"/>
      <c r="O920" s="167"/>
      <c r="P920" s="111"/>
      <c r="Q920" s="111"/>
      <c r="R920" s="111"/>
      <c r="S920" s="111"/>
      <c r="T920" s="111"/>
      <c r="U920" s="111"/>
      <c r="V920" s="111"/>
      <c r="W920" s="111"/>
      <c r="X920" s="111"/>
      <c r="Y920" s="111"/>
      <c r="Z920" s="111"/>
      <c r="AA920" s="111"/>
    </row>
    <row r="921" spans="1:27" s="118" customFormat="1" x14ac:dyDescent="0.2">
      <c r="A921" s="6"/>
      <c r="B921" s="6"/>
      <c r="C921" s="155"/>
      <c r="D921" s="2" t="s">
        <v>257</v>
      </c>
      <c r="E921" s="148"/>
      <c r="F921" s="253"/>
      <c r="G921" s="253">
        <v>0.8</v>
      </c>
      <c r="H921" s="253"/>
      <c r="I921" s="249">
        <v>2.1</v>
      </c>
      <c r="J921" s="253">
        <f t="shared" ref="J921:J924" si="100">ROUND(PRODUCT(F921:I921),2)</f>
        <v>1.68</v>
      </c>
      <c r="K921" s="137"/>
      <c r="L921" s="137"/>
      <c r="M921" s="137"/>
      <c r="N921" s="138"/>
      <c r="O921" s="167"/>
      <c r="P921" s="111"/>
      <c r="Q921" s="111"/>
      <c r="R921" s="111"/>
      <c r="S921" s="111"/>
      <c r="T921" s="111"/>
      <c r="U921" s="111"/>
      <c r="V921" s="111"/>
      <c r="W921" s="111"/>
      <c r="X921" s="111"/>
      <c r="Y921" s="111"/>
      <c r="Z921" s="111"/>
      <c r="AA921" s="111"/>
    </row>
    <row r="922" spans="1:27" s="118" customFormat="1" x14ac:dyDescent="0.2">
      <c r="A922" s="6"/>
      <c r="B922" s="6"/>
      <c r="C922" s="155"/>
      <c r="D922" s="2" t="s">
        <v>305</v>
      </c>
      <c r="E922" s="148"/>
      <c r="F922" s="253"/>
      <c r="G922" s="253">
        <v>0.8</v>
      </c>
      <c r="H922" s="253"/>
      <c r="I922" s="249">
        <v>2.1</v>
      </c>
      <c r="J922" s="253">
        <f t="shared" si="100"/>
        <v>1.68</v>
      </c>
      <c r="K922" s="137"/>
      <c r="L922" s="137"/>
      <c r="M922" s="137"/>
      <c r="N922" s="138"/>
      <c r="O922" s="167"/>
      <c r="P922" s="111"/>
      <c r="Q922" s="111"/>
      <c r="R922" s="111"/>
      <c r="S922" s="111"/>
      <c r="T922" s="111"/>
      <c r="U922" s="111"/>
      <c r="V922" s="111"/>
      <c r="W922" s="111"/>
      <c r="X922" s="111"/>
      <c r="Y922" s="111"/>
      <c r="Z922" s="111"/>
      <c r="AA922" s="111"/>
    </row>
    <row r="923" spans="1:27" s="118" customFormat="1" x14ac:dyDescent="0.2">
      <c r="A923" s="6"/>
      <c r="B923" s="6"/>
      <c r="C923" s="155"/>
      <c r="D923" s="2" t="s">
        <v>345</v>
      </c>
      <c r="E923" s="148"/>
      <c r="F923" s="253"/>
      <c r="G923" s="253">
        <v>0.7</v>
      </c>
      <c r="H923" s="253"/>
      <c r="I923" s="249">
        <v>2.1</v>
      </c>
      <c r="J923" s="253">
        <f t="shared" si="100"/>
        <v>1.47</v>
      </c>
      <c r="K923" s="137"/>
      <c r="L923" s="137"/>
      <c r="M923" s="137"/>
      <c r="N923" s="138"/>
      <c r="O923" s="167"/>
      <c r="P923" s="111"/>
      <c r="Q923" s="111"/>
      <c r="R923" s="111"/>
      <c r="S923" s="111"/>
      <c r="T923" s="111"/>
      <c r="U923" s="111"/>
      <c r="V923" s="111"/>
      <c r="W923" s="111"/>
      <c r="X923" s="111"/>
      <c r="Y923" s="111"/>
      <c r="Z923" s="111"/>
      <c r="AA923" s="111"/>
    </row>
    <row r="924" spans="1:27" s="118" customFormat="1" x14ac:dyDescent="0.2">
      <c r="A924" s="6"/>
      <c r="B924" s="6"/>
      <c r="C924" s="155"/>
      <c r="D924" s="2" t="s">
        <v>346</v>
      </c>
      <c r="E924" s="148"/>
      <c r="F924" s="253"/>
      <c r="G924" s="253">
        <v>0.7</v>
      </c>
      <c r="H924" s="253"/>
      <c r="I924" s="249">
        <v>2.1</v>
      </c>
      <c r="J924" s="253">
        <f t="shared" si="100"/>
        <v>1.47</v>
      </c>
      <c r="K924" s="137"/>
      <c r="L924" s="137"/>
      <c r="M924" s="137"/>
      <c r="N924" s="138"/>
      <c r="O924" s="167"/>
      <c r="P924" s="111"/>
      <c r="Q924" s="111"/>
      <c r="R924" s="111"/>
      <c r="S924" s="111"/>
      <c r="T924" s="111"/>
      <c r="U924" s="111"/>
      <c r="V924" s="111"/>
      <c r="W924" s="111"/>
      <c r="X924" s="111"/>
      <c r="Y924" s="111"/>
      <c r="Z924" s="111"/>
      <c r="AA924" s="111"/>
    </row>
    <row r="925" spans="1:27" s="118" customFormat="1" x14ac:dyDescent="0.2">
      <c r="A925" s="6"/>
      <c r="B925" s="6"/>
      <c r="C925" s="156"/>
      <c r="D925" s="108"/>
      <c r="E925" s="148"/>
      <c r="F925" s="253"/>
      <c r="G925" s="253"/>
      <c r="H925" s="253"/>
      <c r="I925" s="246" t="str">
        <f>"Total item "&amp;A919</f>
        <v>Total item 11.4.1</v>
      </c>
      <c r="J925" s="261">
        <f>SUM(J920:J924)</f>
        <v>7.9799999999999995</v>
      </c>
      <c r="K925" s="137"/>
      <c r="L925" s="137"/>
      <c r="M925" s="137"/>
      <c r="N925" s="138"/>
      <c r="O925" s="167"/>
      <c r="P925" s="111"/>
      <c r="Q925" s="111"/>
      <c r="R925" s="111"/>
      <c r="S925" s="111"/>
      <c r="T925" s="111"/>
      <c r="U925" s="111"/>
      <c r="V925" s="111"/>
      <c r="W925" s="111"/>
      <c r="X925" s="111"/>
      <c r="Y925" s="111"/>
      <c r="Z925" s="111"/>
      <c r="AA925" s="111"/>
    </row>
    <row r="926" spans="1:27" s="161" customFormat="1" x14ac:dyDescent="0.2">
      <c r="A926" s="10"/>
      <c r="B926" s="10"/>
      <c r="C926" s="190"/>
      <c r="D926" s="110"/>
      <c r="E926" s="158"/>
      <c r="F926" s="267"/>
      <c r="G926" s="267"/>
      <c r="H926" s="267"/>
      <c r="I926" s="250"/>
      <c r="J926" s="250"/>
      <c r="K926" s="151"/>
      <c r="L926" s="151"/>
      <c r="M926" s="151"/>
      <c r="N926" s="152"/>
      <c r="O926" s="167"/>
      <c r="P926" s="114"/>
      <c r="Q926" s="114"/>
      <c r="R926" s="114"/>
      <c r="S926" s="114"/>
      <c r="T926" s="114"/>
      <c r="U926" s="114"/>
      <c r="V926" s="114"/>
      <c r="W926" s="114"/>
      <c r="X926" s="114"/>
      <c r="Y926" s="114"/>
      <c r="Z926" s="114"/>
      <c r="AA926" s="114"/>
    </row>
    <row r="927" spans="1:27" s="147" customFormat="1" ht="30.6" x14ac:dyDescent="0.2">
      <c r="A927" s="9" t="s">
        <v>802</v>
      </c>
      <c r="B927" s="9" t="s">
        <v>89</v>
      </c>
      <c r="C927" s="13">
        <v>91307</v>
      </c>
      <c r="D927" s="113" t="s">
        <v>447</v>
      </c>
      <c r="E927" s="9" t="s">
        <v>33</v>
      </c>
      <c r="F927" s="261"/>
      <c r="G927" s="261"/>
      <c r="H927" s="261"/>
      <c r="I927" s="245"/>
      <c r="J927" s="261"/>
      <c r="K927" s="131">
        <f>J931</f>
        <v>3</v>
      </c>
      <c r="L927" s="131">
        <v>47.52</v>
      </c>
      <c r="M927" s="131">
        <f>ROUND(L927*(1+$Q$7),2)</f>
        <v>60.13</v>
      </c>
      <c r="N927" s="133">
        <f>TRUNC(K927*M927,2)</f>
        <v>180.39</v>
      </c>
      <c r="O927" s="286"/>
      <c r="P927" s="146"/>
      <c r="Q927" s="146"/>
      <c r="R927" s="146"/>
      <c r="S927" s="146"/>
      <c r="T927" s="146"/>
      <c r="U927" s="146"/>
      <c r="V927" s="146"/>
      <c r="W927" s="146"/>
      <c r="X927" s="146"/>
      <c r="Y927" s="146"/>
      <c r="Z927" s="146"/>
      <c r="AA927" s="146"/>
    </row>
    <row r="928" spans="1:27" s="118" customFormat="1" x14ac:dyDescent="0.2">
      <c r="A928" s="6"/>
      <c r="B928" s="6"/>
      <c r="C928" s="155"/>
      <c r="D928" s="2" t="s">
        <v>242</v>
      </c>
      <c r="E928" s="148"/>
      <c r="F928" s="253">
        <v>1</v>
      </c>
      <c r="G928" s="253"/>
      <c r="H928" s="253"/>
      <c r="I928" s="249"/>
      <c r="J928" s="253">
        <f>ROUND(PRODUCT(F928:I928),2)</f>
        <v>1</v>
      </c>
      <c r="K928" s="137"/>
      <c r="L928" s="137"/>
      <c r="M928" s="137"/>
      <c r="N928" s="138"/>
      <c r="O928" s="167"/>
      <c r="P928" s="111"/>
      <c r="Q928" s="111"/>
      <c r="R928" s="111"/>
      <c r="S928" s="111"/>
      <c r="T928" s="111"/>
      <c r="U928" s="111"/>
      <c r="V928" s="111"/>
      <c r="W928" s="111"/>
      <c r="X928" s="111"/>
      <c r="Y928" s="111"/>
      <c r="Z928" s="111"/>
      <c r="AA928" s="111"/>
    </row>
    <row r="929" spans="1:27" s="118" customFormat="1" x14ac:dyDescent="0.2">
      <c r="A929" s="6"/>
      <c r="B929" s="6"/>
      <c r="C929" s="155"/>
      <c r="D929" s="2" t="s">
        <v>63</v>
      </c>
      <c r="E929" s="148"/>
      <c r="F929" s="253">
        <v>1</v>
      </c>
      <c r="G929" s="253"/>
      <c r="H929" s="253"/>
      <c r="I929" s="249"/>
      <c r="J929" s="253">
        <f>ROUND(PRODUCT(F929:I929),2)</f>
        <v>1</v>
      </c>
      <c r="K929" s="137"/>
      <c r="L929" s="137"/>
      <c r="M929" s="137"/>
      <c r="N929" s="138"/>
      <c r="O929" s="167"/>
      <c r="P929" s="111"/>
      <c r="Q929" s="111"/>
      <c r="R929" s="111"/>
      <c r="S929" s="111"/>
      <c r="T929" s="111"/>
      <c r="U929" s="111"/>
      <c r="V929" s="111"/>
      <c r="W929" s="111"/>
      <c r="X929" s="111"/>
      <c r="Y929" s="111"/>
      <c r="Z929" s="111"/>
      <c r="AA929" s="111"/>
    </row>
    <row r="930" spans="1:27" s="118" customFormat="1" x14ac:dyDescent="0.2">
      <c r="A930" s="6"/>
      <c r="B930" s="6"/>
      <c r="C930" s="155"/>
      <c r="D930" s="2" t="s">
        <v>79</v>
      </c>
      <c r="E930" s="148"/>
      <c r="F930" s="253">
        <v>1</v>
      </c>
      <c r="G930" s="253"/>
      <c r="H930" s="253"/>
      <c r="I930" s="249"/>
      <c r="J930" s="253">
        <f>ROUND(PRODUCT(F930:I930),2)</f>
        <v>1</v>
      </c>
      <c r="K930" s="137"/>
      <c r="L930" s="137"/>
      <c r="M930" s="137"/>
      <c r="N930" s="138"/>
      <c r="O930" s="167"/>
      <c r="P930" s="111"/>
      <c r="Q930" s="111"/>
      <c r="R930" s="111"/>
      <c r="S930" s="111"/>
      <c r="T930" s="111"/>
      <c r="U930" s="111"/>
      <c r="V930" s="111"/>
      <c r="W930" s="111"/>
      <c r="X930" s="111"/>
      <c r="Y930" s="111"/>
      <c r="Z930" s="111"/>
      <c r="AA930" s="111"/>
    </row>
    <row r="931" spans="1:27" s="118" customFormat="1" x14ac:dyDescent="0.2">
      <c r="A931" s="6"/>
      <c r="B931" s="6"/>
      <c r="C931" s="156"/>
      <c r="D931" s="108"/>
      <c r="E931" s="148"/>
      <c r="F931" s="253"/>
      <c r="G931" s="253"/>
      <c r="H931" s="253"/>
      <c r="I931" s="246" t="str">
        <f>"Total item "&amp;A927</f>
        <v>Total item 11.4.2</v>
      </c>
      <c r="J931" s="261">
        <f>SUM(J928:J930)</f>
        <v>3</v>
      </c>
      <c r="K931" s="137"/>
      <c r="L931" s="137"/>
      <c r="M931" s="137"/>
      <c r="N931" s="138"/>
      <c r="O931" s="167"/>
      <c r="P931" s="111"/>
      <c r="Q931" s="111"/>
      <c r="R931" s="111"/>
      <c r="S931" s="111"/>
      <c r="T931" s="111"/>
      <c r="U931" s="111"/>
      <c r="V931" s="111"/>
      <c r="W931" s="111"/>
      <c r="X931" s="111"/>
      <c r="Y931" s="111"/>
      <c r="Z931" s="111"/>
      <c r="AA931" s="111"/>
    </row>
    <row r="932" spans="1:27" s="118" customFormat="1" x14ac:dyDescent="0.2">
      <c r="A932" s="6"/>
      <c r="B932" s="6"/>
      <c r="C932" s="156"/>
      <c r="D932" s="108"/>
      <c r="E932" s="148"/>
      <c r="F932" s="253"/>
      <c r="G932" s="253"/>
      <c r="H932" s="253"/>
      <c r="I932" s="246"/>
      <c r="J932" s="246"/>
      <c r="K932" s="137"/>
      <c r="L932" s="137"/>
      <c r="M932" s="137"/>
      <c r="N932" s="138"/>
      <c r="O932" s="167"/>
      <c r="P932" s="111"/>
      <c r="Q932" s="111"/>
      <c r="R932" s="111"/>
      <c r="S932" s="111"/>
      <c r="T932" s="111"/>
      <c r="U932" s="111"/>
      <c r="V932" s="111"/>
      <c r="W932" s="111"/>
      <c r="X932" s="111"/>
      <c r="Y932" s="111"/>
      <c r="Z932" s="111"/>
      <c r="AA932" s="111"/>
    </row>
    <row r="933" spans="1:27" s="147" customFormat="1" x14ac:dyDescent="0.2">
      <c r="A933" s="9" t="s">
        <v>803</v>
      </c>
      <c r="B933" s="9" t="s">
        <v>89</v>
      </c>
      <c r="C933" s="13">
        <v>68054</v>
      </c>
      <c r="D933" s="113" t="s">
        <v>470</v>
      </c>
      <c r="E933" s="9" t="s">
        <v>9</v>
      </c>
      <c r="F933" s="261"/>
      <c r="G933" s="261"/>
      <c r="H933" s="261"/>
      <c r="I933" s="245"/>
      <c r="J933" s="261"/>
      <c r="K933" s="131">
        <f>J936</f>
        <v>3.12</v>
      </c>
      <c r="L933" s="131">
        <v>199.18</v>
      </c>
      <c r="M933" s="131">
        <f>ROUND(L933*(1+$Q$7),2)</f>
        <v>252.02</v>
      </c>
      <c r="N933" s="133">
        <f>TRUNC(K933*M933,2)</f>
        <v>786.3</v>
      </c>
      <c r="O933" s="286"/>
      <c r="P933" s="146"/>
      <c r="Q933" s="146"/>
      <c r="R933" s="146"/>
      <c r="S933" s="146"/>
      <c r="T933" s="146"/>
      <c r="U933" s="146"/>
      <c r="V933" s="146"/>
      <c r="W933" s="146"/>
      <c r="X933" s="146"/>
      <c r="Y933" s="146"/>
      <c r="Z933" s="146"/>
      <c r="AA933" s="146"/>
    </row>
    <row r="934" spans="1:27" s="118" customFormat="1" x14ac:dyDescent="0.2">
      <c r="A934" s="6"/>
      <c r="B934" s="6"/>
      <c r="C934" s="155"/>
      <c r="D934" s="2" t="s">
        <v>471</v>
      </c>
      <c r="E934" s="148"/>
      <c r="F934" s="253"/>
      <c r="G934" s="253">
        <v>1.2</v>
      </c>
      <c r="H934" s="253"/>
      <c r="I934" s="249">
        <v>1.2</v>
      </c>
      <c r="J934" s="253">
        <f>ROUND(PRODUCT(F934:I934),2)</f>
        <v>1.44</v>
      </c>
      <c r="K934" s="137"/>
      <c r="L934" s="137"/>
      <c r="M934" s="137"/>
      <c r="N934" s="138"/>
      <c r="O934" s="167"/>
      <c r="P934" s="111"/>
      <c r="Q934" s="111"/>
      <c r="R934" s="111"/>
      <c r="S934" s="111"/>
      <c r="T934" s="111"/>
      <c r="U934" s="111"/>
      <c r="V934" s="111"/>
      <c r="W934" s="111"/>
      <c r="X934" s="111"/>
      <c r="Y934" s="111"/>
      <c r="Z934" s="111"/>
      <c r="AA934" s="111"/>
    </row>
    <row r="935" spans="1:27" s="118" customFormat="1" x14ac:dyDescent="0.2">
      <c r="A935" s="6"/>
      <c r="B935" s="6"/>
      <c r="C935" s="155"/>
      <c r="D935" s="2" t="s">
        <v>79</v>
      </c>
      <c r="E935" s="148"/>
      <c r="F935" s="253"/>
      <c r="G935" s="253">
        <v>0.8</v>
      </c>
      <c r="H935" s="253"/>
      <c r="I935" s="249">
        <v>2.1</v>
      </c>
      <c r="J935" s="253">
        <f>ROUND(PRODUCT(F935:I935),2)</f>
        <v>1.68</v>
      </c>
      <c r="K935" s="137"/>
      <c r="L935" s="137"/>
      <c r="M935" s="137"/>
      <c r="N935" s="138"/>
      <c r="O935" s="167"/>
      <c r="P935" s="111"/>
      <c r="Q935" s="111"/>
      <c r="R935" s="111"/>
      <c r="S935" s="111"/>
      <c r="T935" s="111"/>
      <c r="U935" s="111"/>
      <c r="V935" s="111"/>
      <c r="W935" s="111"/>
      <c r="X935" s="111"/>
      <c r="Y935" s="111"/>
      <c r="Z935" s="111"/>
      <c r="AA935" s="111"/>
    </row>
    <row r="936" spans="1:27" s="118" customFormat="1" x14ac:dyDescent="0.2">
      <c r="A936" s="6"/>
      <c r="B936" s="6"/>
      <c r="C936" s="156"/>
      <c r="D936" s="108"/>
      <c r="E936" s="148"/>
      <c r="F936" s="253"/>
      <c r="G936" s="253"/>
      <c r="H936" s="253"/>
      <c r="I936" s="246" t="str">
        <f>"Total item "&amp;A933</f>
        <v>Total item 11.4.3</v>
      </c>
      <c r="J936" s="261">
        <f>SUM(J934:J935)</f>
        <v>3.12</v>
      </c>
      <c r="K936" s="137"/>
      <c r="L936" s="137"/>
      <c r="M936" s="137"/>
      <c r="N936" s="138"/>
      <c r="O936" s="167"/>
      <c r="P936" s="111"/>
      <c r="Q936" s="111"/>
      <c r="R936" s="111"/>
      <c r="S936" s="111"/>
      <c r="T936" s="111"/>
      <c r="U936" s="111"/>
      <c r="V936" s="111"/>
      <c r="W936" s="111"/>
      <c r="X936" s="111"/>
      <c r="Y936" s="111"/>
      <c r="Z936" s="111"/>
      <c r="AA936" s="111"/>
    </row>
    <row r="937" spans="1:27" s="118" customFormat="1" x14ac:dyDescent="0.2">
      <c r="A937" s="6"/>
      <c r="B937" s="6"/>
      <c r="C937" s="156"/>
      <c r="D937" s="108"/>
      <c r="E937" s="148"/>
      <c r="F937" s="253"/>
      <c r="G937" s="253"/>
      <c r="H937" s="253"/>
      <c r="I937" s="246"/>
      <c r="J937" s="246"/>
      <c r="K937" s="137"/>
      <c r="L937" s="137"/>
      <c r="M937" s="137"/>
      <c r="N937" s="138"/>
      <c r="O937" s="167"/>
      <c r="P937" s="111"/>
      <c r="Q937" s="111"/>
      <c r="R937" s="111"/>
      <c r="S937" s="111"/>
      <c r="T937" s="111"/>
      <c r="U937" s="111"/>
      <c r="V937" s="111"/>
      <c r="W937" s="111"/>
      <c r="X937" s="111"/>
      <c r="Y937" s="111"/>
      <c r="Z937" s="111"/>
      <c r="AA937" s="111"/>
    </row>
    <row r="938" spans="1:27" s="147" customFormat="1" ht="30.6" x14ac:dyDescent="0.2">
      <c r="A938" s="9" t="s">
        <v>804</v>
      </c>
      <c r="B938" s="9" t="s">
        <v>163</v>
      </c>
      <c r="C938" s="13" t="s">
        <v>472</v>
      </c>
      <c r="D938" s="113" t="s">
        <v>473</v>
      </c>
      <c r="E938" s="9" t="s">
        <v>9</v>
      </c>
      <c r="F938" s="261"/>
      <c r="G938" s="261"/>
      <c r="H938" s="261"/>
      <c r="I938" s="245"/>
      <c r="J938" s="261"/>
      <c r="K938" s="131">
        <f>J940</f>
        <v>1</v>
      </c>
      <c r="L938" s="131">
        <v>236.56</v>
      </c>
      <c r="M938" s="131">
        <f>ROUND(L938*(1+$Q$7),2)</f>
        <v>299.32</v>
      </c>
      <c r="N938" s="133">
        <f>TRUNC(K938*M938,2)</f>
        <v>299.32</v>
      </c>
      <c r="O938" s="286"/>
      <c r="P938" s="146"/>
      <c r="Q938" s="146"/>
      <c r="R938" s="146"/>
      <c r="S938" s="146"/>
      <c r="T938" s="146"/>
      <c r="U938" s="146"/>
      <c r="V938" s="146"/>
      <c r="W938" s="146"/>
      <c r="X938" s="146"/>
      <c r="Y938" s="146"/>
      <c r="Z938" s="146"/>
      <c r="AA938" s="146"/>
    </row>
    <row r="939" spans="1:27" s="118" customFormat="1" x14ac:dyDescent="0.2">
      <c r="A939" s="6"/>
      <c r="B939" s="6"/>
      <c r="C939" s="155"/>
      <c r="D939" s="2" t="s">
        <v>63</v>
      </c>
      <c r="E939" s="148"/>
      <c r="F939" s="253"/>
      <c r="G939" s="253">
        <v>1</v>
      </c>
      <c r="H939" s="253"/>
      <c r="I939" s="249">
        <v>1</v>
      </c>
      <c r="J939" s="253">
        <f>ROUND(PRODUCT(F939:I939),2)</f>
        <v>1</v>
      </c>
      <c r="K939" s="137"/>
      <c r="L939" s="137"/>
      <c r="M939" s="137"/>
      <c r="N939" s="138"/>
      <c r="O939" s="167"/>
      <c r="P939" s="111"/>
      <c r="Q939" s="111"/>
      <c r="R939" s="111"/>
      <c r="S939" s="111"/>
      <c r="T939" s="111"/>
      <c r="U939" s="111"/>
      <c r="V939" s="111"/>
      <c r="W939" s="111"/>
      <c r="X939" s="111"/>
      <c r="Y939" s="111"/>
      <c r="Z939" s="111"/>
      <c r="AA939" s="111"/>
    </row>
    <row r="940" spans="1:27" s="118" customFormat="1" x14ac:dyDescent="0.2">
      <c r="A940" s="6"/>
      <c r="B940" s="6"/>
      <c r="C940" s="156"/>
      <c r="D940" s="108"/>
      <c r="E940" s="148"/>
      <c r="F940" s="253"/>
      <c r="G940" s="253"/>
      <c r="H940" s="253"/>
      <c r="I940" s="246" t="str">
        <f>"Total item "&amp;A938</f>
        <v>Total item 11.4.4</v>
      </c>
      <c r="J940" s="261">
        <f>SUM(J939:J939)</f>
        <v>1</v>
      </c>
      <c r="K940" s="137"/>
      <c r="L940" s="137"/>
      <c r="M940" s="137"/>
      <c r="N940" s="138"/>
      <c r="O940" s="167"/>
      <c r="P940" s="111"/>
      <c r="Q940" s="111"/>
      <c r="R940" s="111"/>
      <c r="S940" s="111"/>
      <c r="T940" s="111"/>
      <c r="U940" s="111"/>
      <c r="V940" s="111"/>
      <c r="W940" s="111"/>
      <c r="X940" s="111"/>
      <c r="Y940" s="111"/>
      <c r="Z940" s="111"/>
      <c r="AA940" s="111"/>
    </row>
    <row r="941" spans="1:27" s="118" customFormat="1" x14ac:dyDescent="0.2">
      <c r="A941" s="6"/>
      <c r="B941" s="6"/>
      <c r="C941" s="156"/>
      <c r="D941" s="108"/>
      <c r="E941" s="148"/>
      <c r="F941" s="253"/>
      <c r="G941" s="253"/>
      <c r="H941" s="253"/>
      <c r="I941" s="246"/>
      <c r="J941" s="246"/>
      <c r="K941" s="137"/>
      <c r="L941" s="137"/>
      <c r="M941" s="137"/>
      <c r="N941" s="138"/>
      <c r="O941" s="167"/>
      <c r="P941" s="111"/>
      <c r="Q941" s="111"/>
      <c r="R941" s="111"/>
      <c r="S941" s="111"/>
      <c r="T941" s="111"/>
      <c r="U941" s="111"/>
      <c r="V941" s="111"/>
      <c r="W941" s="111"/>
      <c r="X941" s="111"/>
      <c r="Y941" s="111"/>
      <c r="Z941" s="111"/>
      <c r="AA941" s="111"/>
    </row>
    <row r="942" spans="1:27" s="147" customFormat="1" ht="20.399999999999999" x14ac:dyDescent="0.2">
      <c r="A942" s="9" t="s">
        <v>805</v>
      </c>
      <c r="B942" s="9" t="s">
        <v>163</v>
      </c>
      <c r="C942" s="13" t="s">
        <v>474</v>
      </c>
      <c r="D942" s="113" t="s">
        <v>475</v>
      </c>
      <c r="E942" s="9" t="s">
        <v>9</v>
      </c>
      <c r="F942" s="261"/>
      <c r="G942" s="261"/>
      <c r="H942" s="261"/>
      <c r="I942" s="245"/>
      <c r="J942" s="261"/>
      <c r="K942" s="131">
        <f>J944</f>
        <v>1</v>
      </c>
      <c r="L942" s="131">
        <v>105</v>
      </c>
      <c r="M942" s="131">
        <f>ROUND(L942*(1+$Q$7),2)</f>
        <v>132.86000000000001</v>
      </c>
      <c r="N942" s="133">
        <f>TRUNC(K942*M942,2)</f>
        <v>132.86000000000001</v>
      </c>
      <c r="O942" s="286"/>
      <c r="P942" s="146"/>
      <c r="Q942" s="146"/>
      <c r="R942" s="146"/>
      <c r="S942" s="146"/>
      <c r="T942" s="146"/>
      <c r="U942" s="146"/>
      <c r="V942" s="146"/>
      <c r="W942" s="146"/>
      <c r="X942" s="146"/>
      <c r="Y942" s="146"/>
      <c r="Z942" s="146"/>
      <c r="AA942" s="146"/>
    </row>
    <row r="943" spans="1:27" s="118" customFormat="1" x14ac:dyDescent="0.2">
      <c r="A943" s="6"/>
      <c r="B943" s="6"/>
      <c r="C943" s="155"/>
      <c r="D943" s="2" t="s">
        <v>476</v>
      </c>
      <c r="E943" s="148"/>
      <c r="F943" s="253"/>
      <c r="G943" s="253">
        <v>1</v>
      </c>
      <c r="H943" s="253"/>
      <c r="I943" s="249">
        <v>1</v>
      </c>
      <c r="J943" s="253">
        <f>ROUND(PRODUCT(F943:I943),2)</f>
        <v>1</v>
      </c>
      <c r="K943" s="137"/>
      <c r="L943" s="137"/>
      <c r="M943" s="137"/>
      <c r="N943" s="138"/>
      <c r="O943" s="167"/>
      <c r="P943" s="111"/>
      <c r="Q943" s="111"/>
      <c r="R943" s="111"/>
      <c r="S943" s="111"/>
      <c r="T943" s="111"/>
      <c r="U943" s="111"/>
      <c r="V943" s="111"/>
      <c r="W943" s="111"/>
      <c r="X943" s="111"/>
      <c r="Y943" s="111"/>
      <c r="Z943" s="111"/>
      <c r="AA943" s="111"/>
    </row>
    <row r="944" spans="1:27" s="118" customFormat="1" x14ac:dyDescent="0.2">
      <c r="A944" s="6"/>
      <c r="B944" s="6"/>
      <c r="C944" s="156"/>
      <c r="D944" s="108"/>
      <c r="E944" s="148"/>
      <c r="F944" s="253"/>
      <c r="G944" s="253"/>
      <c r="H944" s="253"/>
      <c r="I944" s="246" t="str">
        <f>"Total item "&amp;A942</f>
        <v>Total item 11.4.5</v>
      </c>
      <c r="J944" s="261">
        <f>SUM(J943:J943)</f>
        <v>1</v>
      </c>
      <c r="K944" s="137"/>
      <c r="L944" s="137"/>
      <c r="M944" s="137"/>
      <c r="N944" s="138"/>
      <c r="O944" s="167"/>
      <c r="P944" s="111"/>
      <c r="Q944" s="111"/>
      <c r="R944" s="111"/>
      <c r="S944" s="111"/>
      <c r="T944" s="111"/>
      <c r="U944" s="111"/>
      <c r="V944" s="111"/>
      <c r="W944" s="111"/>
      <c r="X944" s="111"/>
      <c r="Y944" s="111"/>
      <c r="Z944" s="111"/>
      <c r="AA944" s="111"/>
    </row>
    <row r="945" spans="1:27" s="118" customFormat="1" x14ac:dyDescent="0.2">
      <c r="A945" s="6"/>
      <c r="B945" s="6"/>
      <c r="C945" s="156"/>
      <c r="D945" s="108"/>
      <c r="E945" s="148"/>
      <c r="F945" s="253"/>
      <c r="G945" s="253"/>
      <c r="H945" s="253"/>
      <c r="I945" s="246"/>
      <c r="J945" s="246"/>
      <c r="K945" s="137"/>
      <c r="L945" s="137"/>
      <c r="M945" s="137"/>
      <c r="N945" s="138"/>
      <c r="O945" s="167"/>
      <c r="P945" s="111"/>
      <c r="Q945" s="111"/>
      <c r="R945" s="111"/>
      <c r="S945" s="111"/>
      <c r="T945" s="111"/>
      <c r="U945" s="111"/>
      <c r="V945" s="111"/>
      <c r="W945" s="111"/>
      <c r="X945" s="111"/>
      <c r="Y945" s="111"/>
      <c r="Z945" s="111"/>
      <c r="AA945" s="111"/>
    </row>
    <row r="946" spans="1:27" s="145" customFormat="1" x14ac:dyDescent="0.2">
      <c r="A946" s="140" t="s">
        <v>790</v>
      </c>
      <c r="B946" s="140"/>
      <c r="C946" s="141"/>
      <c r="D946" s="112" t="s">
        <v>29</v>
      </c>
      <c r="E946" s="140"/>
      <c r="F946" s="260"/>
      <c r="G946" s="260"/>
      <c r="H946" s="260"/>
      <c r="I946" s="248"/>
      <c r="J946" s="260"/>
      <c r="K946" s="142"/>
      <c r="L946" s="142"/>
      <c r="M946" s="142"/>
      <c r="N946" s="143">
        <f>SUM(N948:N956)</f>
        <v>271</v>
      </c>
      <c r="O946" s="285"/>
      <c r="P946" s="144"/>
      <c r="Q946" s="144"/>
      <c r="R946" s="144"/>
      <c r="S946" s="144"/>
      <c r="T946" s="144"/>
      <c r="U946" s="144"/>
      <c r="V946" s="144"/>
      <c r="W946" s="144"/>
      <c r="X946" s="144"/>
      <c r="Y946" s="144"/>
      <c r="Z946" s="144"/>
      <c r="AA946" s="144"/>
    </row>
    <row r="947" spans="1:27" s="118" customFormat="1" x14ac:dyDescent="0.2">
      <c r="A947" s="6"/>
      <c r="B947" s="6"/>
      <c r="C947" s="14"/>
      <c r="D947" s="108"/>
      <c r="E947" s="148"/>
      <c r="F947" s="253"/>
      <c r="G947" s="253"/>
      <c r="H947" s="253"/>
      <c r="I947" s="246"/>
      <c r="J947" s="262"/>
      <c r="K947" s="137"/>
      <c r="L947" s="137"/>
      <c r="M947" s="137"/>
      <c r="N947" s="138"/>
      <c r="O947" s="167"/>
      <c r="P947" s="111"/>
      <c r="Q947" s="111"/>
      <c r="R947" s="111"/>
      <c r="S947" s="111"/>
      <c r="T947" s="111"/>
      <c r="U947" s="111"/>
      <c r="V947" s="111"/>
      <c r="W947" s="111"/>
      <c r="X947" s="111"/>
      <c r="Y947" s="111"/>
      <c r="Z947" s="111"/>
      <c r="AA947" s="111"/>
    </row>
    <row r="948" spans="1:27" s="147" customFormat="1" ht="40.799999999999997" x14ac:dyDescent="0.2">
      <c r="A948" s="9" t="s">
        <v>791</v>
      </c>
      <c r="B948" s="107" t="s">
        <v>163</v>
      </c>
      <c r="C948" s="107" t="s">
        <v>176</v>
      </c>
      <c r="D948" s="113" t="s">
        <v>269</v>
      </c>
      <c r="E948" s="1" t="s">
        <v>9</v>
      </c>
      <c r="F948" s="261"/>
      <c r="G948" s="261"/>
      <c r="H948" s="261"/>
      <c r="I948" s="245"/>
      <c r="J948" s="261"/>
      <c r="K948" s="131">
        <f>J955</f>
        <v>15.959999999999999</v>
      </c>
      <c r="L948" s="131">
        <v>13.42</v>
      </c>
      <c r="M948" s="131">
        <f>ROUND(L948*(1+$Q$7),2)</f>
        <v>16.98</v>
      </c>
      <c r="N948" s="133">
        <f>TRUNC(K948*M948,2)</f>
        <v>271</v>
      </c>
      <c r="O948" s="286"/>
      <c r="P948" s="146"/>
      <c r="Q948" s="146"/>
      <c r="R948" s="146"/>
      <c r="S948" s="146"/>
      <c r="T948" s="146"/>
      <c r="U948" s="146"/>
      <c r="V948" s="146"/>
      <c r="W948" s="146"/>
      <c r="X948" s="146"/>
      <c r="Y948" s="146"/>
      <c r="Z948" s="146"/>
      <c r="AA948" s="146"/>
    </row>
    <row r="949" spans="1:27" s="118" customFormat="1" x14ac:dyDescent="0.2">
      <c r="A949" s="6"/>
      <c r="B949" s="6"/>
      <c r="C949" s="155"/>
      <c r="D949" s="3" t="s">
        <v>270</v>
      </c>
      <c r="E949" s="148"/>
      <c r="F949" s="253"/>
      <c r="G949" s="253"/>
      <c r="H949" s="253"/>
      <c r="I949" s="249"/>
      <c r="J949" s="253"/>
      <c r="K949" s="137"/>
      <c r="L949" s="137"/>
      <c r="M949" s="137"/>
      <c r="N949" s="138"/>
      <c r="O949" s="167"/>
      <c r="P949" s="111"/>
      <c r="Q949" s="111"/>
      <c r="R949" s="111"/>
      <c r="S949" s="111"/>
      <c r="T949" s="111"/>
      <c r="U949" s="111"/>
      <c r="V949" s="111"/>
      <c r="W949" s="111"/>
      <c r="X949" s="111"/>
      <c r="Y949" s="111"/>
      <c r="Z949" s="111"/>
      <c r="AA949" s="111"/>
    </row>
    <row r="950" spans="1:27" s="118" customFormat="1" x14ac:dyDescent="0.2">
      <c r="A950" s="6"/>
      <c r="B950" s="6"/>
      <c r="C950" s="155"/>
      <c r="D950" s="2" t="s">
        <v>253</v>
      </c>
      <c r="E950" s="148"/>
      <c r="F950" s="253">
        <v>2</v>
      </c>
      <c r="G950" s="253">
        <v>0.8</v>
      </c>
      <c r="H950" s="253"/>
      <c r="I950" s="249">
        <v>2.1</v>
      </c>
      <c r="J950" s="253">
        <f>ROUND(PRODUCT(F950:I950),2)</f>
        <v>3.36</v>
      </c>
      <c r="K950" s="137"/>
      <c r="L950" s="137"/>
      <c r="M950" s="137"/>
      <c r="N950" s="138"/>
      <c r="O950" s="167"/>
      <c r="P950" s="111"/>
      <c r="Q950" s="111"/>
      <c r="R950" s="111"/>
      <c r="S950" s="111"/>
      <c r="T950" s="111"/>
      <c r="U950" s="111"/>
      <c r="V950" s="111"/>
      <c r="W950" s="111"/>
      <c r="X950" s="111"/>
      <c r="Y950" s="111"/>
      <c r="Z950" s="111"/>
      <c r="AA950" s="111"/>
    </row>
    <row r="951" spans="1:27" s="118" customFormat="1" x14ac:dyDescent="0.2">
      <c r="A951" s="6"/>
      <c r="B951" s="6"/>
      <c r="C951" s="155"/>
      <c r="D951" s="2" t="s">
        <v>257</v>
      </c>
      <c r="E951" s="148"/>
      <c r="F951" s="253">
        <v>2</v>
      </c>
      <c r="G951" s="253">
        <v>0.8</v>
      </c>
      <c r="H951" s="253"/>
      <c r="I951" s="249">
        <v>2.1</v>
      </c>
      <c r="J951" s="253">
        <f t="shared" ref="J951:J954" si="101">ROUND(PRODUCT(F951:I951),2)</f>
        <v>3.36</v>
      </c>
      <c r="K951" s="137"/>
      <c r="L951" s="137"/>
      <c r="M951" s="137"/>
      <c r="N951" s="138"/>
      <c r="O951" s="167"/>
      <c r="P951" s="111"/>
      <c r="Q951" s="111"/>
      <c r="R951" s="111"/>
      <c r="S951" s="111"/>
      <c r="T951" s="111"/>
      <c r="U951" s="111"/>
      <c r="V951" s="111"/>
      <c r="W951" s="111"/>
      <c r="X951" s="111"/>
      <c r="Y951" s="111"/>
      <c r="Z951" s="111"/>
      <c r="AA951" s="111"/>
    </row>
    <row r="952" spans="1:27" s="118" customFormat="1" x14ac:dyDescent="0.2">
      <c r="A952" s="6"/>
      <c r="B952" s="6"/>
      <c r="C952" s="155"/>
      <c r="D952" s="2" t="s">
        <v>305</v>
      </c>
      <c r="E952" s="148"/>
      <c r="F952" s="253">
        <v>2</v>
      </c>
      <c r="G952" s="253">
        <v>0.8</v>
      </c>
      <c r="H952" s="253"/>
      <c r="I952" s="249">
        <v>2.1</v>
      </c>
      <c r="J952" s="253">
        <f t="shared" si="101"/>
        <v>3.36</v>
      </c>
      <c r="K952" s="137"/>
      <c r="L952" s="137"/>
      <c r="M952" s="137"/>
      <c r="N952" s="138"/>
      <c r="O952" s="167"/>
      <c r="P952" s="111"/>
      <c r="Q952" s="111"/>
      <c r="R952" s="111"/>
      <c r="S952" s="111"/>
      <c r="T952" s="111"/>
      <c r="U952" s="111"/>
      <c r="V952" s="111"/>
      <c r="W952" s="111"/>
      <c r="X952" s="111"/>
      <c r="Y952" s="111"/>
      <c r="Z952" s="111"/>
      <c r="AA952" s="111"/>
    </row>
    <row r="953" spans="1:27" s="118" customFormat="1" x14ac:dyDescent="0.2">
      <c r="A953" s="6"/>
      <c r="B953" s="6"/>
      <c r="C953" s="155"/>
      <c r="D953" s="2" t="s">
        <v>345</v>
      </c>
      <c r="E953" s="148"/>
      <c r="F953" s="253">
        <v>2</v>
      </c>
      <c r="G953" s="253">
        <v>0.7</v>
      </c>
      <c r="H953" s="253"/>
      <c r="I953" s="249">
        <v>2.1</v>
      </c>
      <c r="J953" s="253">
        <f t="shared" si="101"/>
        <v>2.94</v>
      </c>
      <c r="K953" s="137"/>
      <c r="L953" s="137"/>
      <c r="M953" s="137"/>
      <c r="N953" s="138"/>
      <c r="O953" s="167"/>
      <c r="P953" s="111"/>
      <c r="Q953" s="111"/>
      <c r="R953" s="111"/>
      <c r="S953" s="111"/>
      <c r="T953" s="111"/>
      <c r="U953" s="111"/>
      <c r="V953" s="111"/>
      <c r="W953" s="111"/>
      <c r="X953" s="111"/>
      <c r="Y953" s="111"/>
      <c r="Z953" s="111"/>
      <c r="AA953" s="111"/>
    </row>
    <row r="954" spans="1:27" s="118" customFormat="1" x14ac:dyDescent="0.2">
      <c r="A954" s="6"/>
      <c r="B954" s="6"/>
      <c r="C954" s="155"/>
      <c r="D954" s="2" t="s">
        <v>346</v>
      </c>
      <c r="E954" s="148"/>
      <c r="F954" s="253">
        <v>2</v>
      </c>
      <c r="G954" s="253">
        <v>0.7</v>
      </c>
      <c r="H954" s="253"/>
      <c r="I954" s="249">
        <v>2.1</v>
      </c>
      <c r="J954" s="253">
        <f t="shared" si="101"/>
        <v>2.94</v>
      </c>
      <c r="K954" s="137"/>
      <c r="L954" s="137"/>
      <c r="M954" s="137"/>
      <c r="N954" s="138"/>
      <c r="O954" s="167"/>
      <c r="P954" s="111"/>
      <c r="Q954" s="111"/>
      <c r="R954" s="111"/>
      <c r="S954" s="111"/>
      <c r="T954" s="111"/>
      <c r="U954" s="111"/>
      <c r="V954" s="111"/>
      <c r="W954" s="111"/>
      <c r="X954" s="111"/>
      <c r="Y954" s="111"/>
      <c r="Z954" s="111"/>
      <c r="AA954" s="111"/>
    </row>
    <row r="955" spans="1:27" s="118" customFormat="1" x14ac:dyDescent="0.2">
      <c r="A955" s="6"/>
      <c r="B955" s="6"/>
      <c r="C955" s="156"/>
      <c r="D955" s="108"/>
      <c r="E955" s="148"/>
      <c r="F955" s="253"/>
      <c r="G955" s="253"/>
      <c r="H955" s="253"/>
      <c r="I955" s="246" t="str">
        <f>"Total item "&amp;A948</f>
        <v>Total item 11.5.1</v>
      </c>
      <c r="J955" s="261">
        <f>SUM(J950:J954)</f>
        <v>15.959999999999999</v>
      </c>
      <c r="K955" s="137"/>
      <c r="L955" s="137"/>
      <c r="M955" s="137"/>
      <c r="N955" s="138"/>
      <c r="O955" s="167"/>
      <c r="P955" s="111"/>
      <c r="Q955" s="111"/>
      <c r="R955" s="111"/>
      <c r="S955" s="111"/>
      <c r="T955" s="111"/>
      <c r="U955" s="111"/>
      <c r="V955" s="111"/>
      <c r="W955" s="111"/>
      <c r="X955" s="111"/>
      <c r="Y955" s="111"/>
      <c r="Z955" s="111"/>
      <c r="AA955" s="111"/>
    </row>
    <row r="956" spans="1:27" s="118" customFormat="1" x14ac:dyDescent="0.2">
      <c r="A956" s="6"/>
      <c r="B956" s="6"/>
      <c r="C956" s="156"/>
      <c r="D956" s="108"/>
      <c r="E956" s="148"/>
      <c r="F956" s="253"/>
      <c r="G956" s="253"/>
      <c r="H956" s="253"/>
      <c r="I956" s="246"/>
      <c r="J956" s="246"/>
      <c r="K956" s="137"/>
      <c r="L956" s="137"/>
      <c r="M956" s="137"/>
      <c r="N956" s="138"/>
      <c r="O956" s="167"/>
      <c r="P956" s="111"/>
      <c r="Q956" s="111"/>
      <c r="R956" s="111"/>
      <c r="S956" s="111"/>
      <c r="T956" s="111"/>
      <c r="U956" s="111"/>
      <c r="V956" s="111"/>
      <c r="W956" s="111"/>
      <c r="X956" s="111"/>
      <c r="Y956" s="111"/>
      <c r="Z956" s="111"/>
      <c r="AA956" s="111"/>
    </row>
    <row r="957" spans="1:27" s="241" customFormat="1" ht="26.4" x14ac:dyDescent="0.25">
      <c r="A957" s="236" t="s">
        <v>160</v>
      </c>
      <c r="B957" s="236"/>
      <c r="C957" s="237"/>
      <c r="D957" s="289" t="s">
        <v>221</v>
      </c>
      <c r="E957" s="236"/>
      <c r="F957" s="259"/>
      <c r="G957" s="259"/>
      <c r="H957" s="259"/>
      <c r="I957" s="247"/>
      <c r="J957" s="259"/>
      <c r="K957" s="238"/>
      <c r="L957" s="238"/>
      <c r="M957" s="238"/>
      <c r="N957" s="239" t="e">
        <f>N959+N994+N1010</f>
        <v>#VALUE!</v>
      </c>
      <c r="O957" s="284" t="e">
        <f>N957/$N$2057</f>
        <v>#VALUE!</v>
      </c>
      <c r="P957" s="240" t="s">
        <v>533</v>
      </c>
      <c r="Q957" s="240" t="s">
        <v>533</v>
      </c>
      <c r="R957" s="240"/>
      <c r="S957" s="240"/>
      <c r="T957" s="240"/>
      <c r="U957" s="240"/>
      <c r="V957" s="240"/>
      <c r="W957" s="240"/>
      <c r="X957" s="240"/>
      <c r="Y957" s="240"/>
      <c r="Z957" s="240"/>
      <c r="AA957" s="240"/>
    </row>
    <row r="958" spans="1:27" s="118" customFormat="1" x14ac:dyDescent="0.2">
      <c r="A958" s="6"/>
      <c r="B958" s="6"/>
      <c r="C958" s="14"/>
      <c r="D958" s="108"/>
      <c r="E958" s="148"/>
      <c r="F958" s="253"/>
      <c r="G958" s="253"/>
      <c r="H958" s="253"/>
      <c r="I958" s="246"/>
      <c r="J958" s="262"/>
      <c r="K958" s="137"/>
      <c r="L958" s="137"/>
      <c r="M958" s="137"/>
      <c r="N958" s="138"/>
      <c r="O958" s="167"/>
      <c r="P958" s="111"/>
      <c r="Q958" s="111"/>
      <c r="R958" s="111"/>
      <c r="S958" s="111"/>
      <c r="T958" s="111"/>
      <c r="U958" s="111"/>
      <c r="V958" s="111"/>
      <c r="W958" s="111"/>
      <c r="X958" s="111"/>
      <c r="Y958" s="111"/>
      <c r="Z958" s="111"/>
      <c r="AA958" s="111"/>
    </row>
    <row r="959" spans="1:27" s="145" customFormat="1" x14ac:dyDescent="0.2">
      <c r="A959" s="140" t="s">
        <v>195</v>
      </c>
      <c r="B959" s="140"/>
      <c r="C959" s="141"/>
      <c r="D959" s="112" t="s">
        <v>30</v>
      </c>
      <c r="E959" s="140"/>
      <c r="F959" s="260"/>
      <c r="G959" s="260"/>
      <c r="H959" s="260"/>
      <c r="I959" s="248"/>
      <c r="J959" s="260"/>
      <c r="K959" s="142"/>
      <c r="L959" s="142"/>
      <c r="M959" s="142"/>
      <c r="N959" s="143" t="e">
        <f>SUM(N961:N993)</f>
        <v>#VALUE!</v>
      </c>
      <c r="O959" s="285"/>
      <c r="P959" s="144"/>
      <c r="Q959" s="144"/>
      <c r="R959" s="144"/>
      <c r="S959" s="144"/>
      <c r="T959" s="144"/>
      <c r="U959" s="144"/>
      <c r="V959" s="144"/>
      <c r="W959" s="144"/>
      <c r="X959" s="144"/>
      <c r="Y959" s="144"/>
      <c r="Z959" s="144"/>
      <c r="AA959" s="144"/>
    </row>
    <row r="960" spans="1:27" s="118" customFormat="1" x14ac:dyDescent="0.2">
      <c r="A960" s="6"/>
      <c r="B960" s="6"/>
      <c r="C960" s="14"/>
      <c r="D960" s="108"/>
      <c r="E960" s="148"/>
      <c r="F960" s="253"/>
      <c r="G960" s="253"/>
      <c r="H960" s="253"/>
      <c r="I960" s="246"/>
      <c r="J960" s="262"/>
      <c r="K960" s="137"/>
      <c r="L960" s="137"/>
      <c r="M960" s="137"/>
      <c r="N960" s="138"/>
      <c r="O960" s="167"/>
      <c r="P960" s="111"/>
      <c r="Q960" s="111"/>
      <c r="R960" s="111"/>
      <c r="S960" s="111"/>
      <c r="T960" s="111"/>
      <c r="U960" s="111"/>
      <c r="V960" s="111"/>
      <c r="W960" s="111"/>
      <c r="X960" s="111"/>
      <c r="Y960" s="111"/>
      <c r="Z960" s="111"/>
      <c r="AA960" s="111"/>
    </row>
    <row r="961" spans="1:27" s="147" customFormat="1" ht="30.6" x14ac:dyDescent="0.2">
      <c r="A961" s="9" t="s">
        <v>196</v>
      </c>
      <c r="B961" s="9" t="s">
        <v>163</v>
      </c>
      <c r="C961" s="13" t="s">
        <v>240</v>
      </c>
      <c r="D961" s="113" t="s">
        <v>241</v>
      </c>
      <c r="E961" s="9" t="s">
        <v>31</v>
      </c>
      <c r="F961" s="261"/>
      <c r="G961" s="261"/>
      <c r="H961" s="261"/>
      <c r="I961" s="245"/>
      <c r="J961" s="261"/>
      <c r="K961" s="131">
        <f>J964</f>
        <v>2</v>
      </c>
      <c r="L961" s="131">
        <v>73.44</v>
      </c>
      <c r="M961" s="131">
        <f>ROUND(L961*(1+$Q$7),2)</f>
        <v>92.92</v>
      </c>
      <c r="N961" s="133">
        <f>TRUNC(K961*M961,2)</f>
        <v>185.84</v>
      </c>
      <c r="O961" s="286"/>
      <c r="P961" s="146"/>
      <c r="Q961" s="146"/>
      <c r="R961" s="146"/>
      <c r="S961" s="146"/>
      <c r="T961" s="146"/>
      <c r="U961" s="146"/>
      <c r="V961" s="146"/>
      <c r="W961" s="146"/>
      <c r="X961" s="146"/>
      <c r="Y961" s="146"/>
      <c r="Z961" s="146"/>
      <c r="AA961" s="146"/>
    </row>
    <row r="962" spans="1:27" s="118" customFormat="1" x14ac:dyDescent="0.2">
      <c r="A962" s="6"/>
      <c r="B962" s="6"/>
      <c r="C962" s="155"/>
      <c r="D962" s="2" t="s">
        <v>242</v>
      </c>
      <c r="E962" s="148"/>
      <c r="F962" s="253">
        <v>1</v>
      </c>
      <c r="G962" s="253"/>
      <c r="H962" s="253"/>
      <c r="I962" s="246"/>
      <c r="J962" s="253">
        <f>ROUND(PRODUCT(F962:I962),2)</f>
        <v>1</v>
      </c>
      <c r="K962" s="137"/>
      <c r="L962" s="137"/>
      <c r="M962" s="137"/>
      <c r="N962" s="138"/>
      <c r="O962" s="167"/>
      <c r="P962" s="111"/>
      <c r="Q962" s="111"/>
      <c r="R962" s="111"/>
      <c r="S962" s="111"/>
      <c r="T962" s="111"/>
      <c r="U962" s="111"/>
      <c r="V962" s="111"/>
      <c r="W962" s="111"/>
      <c r="X962" s="111"/>
      <c r="Y962" s="111"/>
      <c r="Z962" s="111"/>
      <c r="AA962" s="111"/>
    </row>
    <row r="963" spans="1:27" s="118" customFormat="1" x14ac:dyDescent="0.2">
      <c r="A963" s="6"/>
      <c r="B963" s="6"/>
      <c r="C963" s="155"/>
      <c r="D963" s="2" t="s">
        <v>243</v>
      </c>
      <c r="E963" s="148"/>
      <c r="F963" s="253">
        <v>1</v>
      </c>
      <c r="G963" s="253"/>
      <c r="H963" s="253"/>
      <c r="I963" s="246"/>
      <c r="J963" s="253">
        <f>ROUND(PRODUCT(F963:I963),2)</f>
        <v>1</v>
      </c>
      <c r="K963" s="137"/>
      <c r="L963" s="137"/>
      <c r="M963" s="137"/>
      <c r="N963" s="138"/>
      <c r="O963" s="167"/>
      <c r="P963" s="111"/>
      <c r="Q963" s="111"/>
      <c r="R963" s="111"/>
      <c r="S963" s="111"/>
      <c r="T963" s="111"/>
      <c r="U963" s="111"/>
      <c r="V963" s="111"/>
      <c r="W963" s="111"/>
      <c r="X963" s="111"/>
      <c r="Y963" s="111"/>
      <c r="Z963" s="111"/>
      <c r="AA963" s="111"/>
    </row>
    <row r="964" spans="1:27" s="118" customFormat="1" x14ac:dyDescent="0.2">
      <c r="A964" s="6"/>
      <c r="B964" s="6"/>
      <c r="C964" s="156"/>
      <c r="D964" s="108"/>
      <c r="E964" s="148"/>
      <c r="F964" s="253"/>
      <c r="G964" s="253"/>
      <c r="H964" s="253"/>
      <c r="I964" s="246" t="str">
        <f>"Total item "&amp;A961</f>
        <v>Total item 12.1.1</v>
      </c>
      <c r="J964" s="261">
        <f>SUM(J962:J963)</f>
        <v>2</v>
      </c>
      <c r="K964" s="137"/>
      <c r="L964" s="137"/>
      <c r="M964" s="137"/>
      <c r="N964" s="138"/>
      <c r="O964" s="167"/>
      <c r="P964" s="111"/>
      <c r="Q964" s="111"/>
      <c r="R964" s="111"/>
      <c r="S964" s="111"/>
      <c r="T964" s="111"/>
      <c r="U964" s="111"/>
      <c r="V964" s="111"/>
      <c r="W964" s="111"/>
      <c r="X964" s="111"/>
      <c r="Y964" s="111"/>
      <c r="Z964" s="111"/>
      <c r="AA964" s="111"/>
    </row>
    <row r="965" spans="1:27" s="139" customFormat="1" x14ac:dyDescent="0.2">
      <c r="A965" s="6"/>
      <c r="B965" s="6"/>
      <c r="C965" s="7"/>
      <c r="D965" s="116"/>
      <c r="E965" s="6"/>
      <c r="F965" s="258"/>
      <c r="G965" s="258"/>
      <c r="H965" s="258"/>
      <c r="I965" s="246"/>
      <c r="J965" s="258"/>
      <c r="K965" s="137"/>
      <c r="L965" s="137"/>
      <c r="M965" s="137"/>
      <c r="N965" s="138"/>
      <c r="O965" s="283"/>
      <c r="P965" s="120"/>
      <c r="Q965" s="120"/>
      <c r="R965" s="120"/>
      <c r="S965" s="120"/>
      <c r="T965" s="120"/>
      <c r="U965" s="120"/>
      <c r="V965" s="120"/>
      <c r="W965" s="120"/>
      <c r="X965" s="120"/>
      <c r="Y965" s="120"/>
      <c r="Z965" s="120"/>
      <c r="AA965" s="120"/>
    </row>
    <row r="966" spans="1:27" s="147" customFormat="1" ht="61.2" x14ac:dyDescent="0.2">
      <c r="A966" s="9" t="s">
        <v>197</v>
      </c>
      <c r="B966" s="9" t="s">
        <v>179</v>
      </c>
      <c r="C966" s="13" t="s">
        <v>417</v>
      </c>
      <c r="D966" s="113" t="s">
        <v>561</v>
      </c>
      <c r="E966" s="9" t="s">
        <v>31</v>
      </c>
      <c r="F966" s="261"/>
      <c r="G966" s="261"/>
      <c r="H966" s="261"/>
      <c r="I966" s="245"/>
      <c r="J966" s="261"/>
      <c r="K966" s="131">
        <f>J970</f>
        <v>5</v>
      </c>
      <c r="L966" s="131" t="e">
        <f>'COMPOSICOES - SINAPI COM DESON'!G36</f>
        <v>#VALUE!</v>
      </c>
      <c r="M966" s="131" t="e">
        <f>ROUND(L966*(1+$Q$7),2)</f>
        <v>#VALUE!</v>
      </c>
      <c r="N966" s="133" t="e">
        <f>TRUNC(K966*M966,2)</f>
        <v>#VALUE!</v>
      </c>
      <c r="O966" s="286"/>
      <c r="P966" s="146"/>
      <c r="Q966" s="146"/>
      <c r="R966" s="146"/>
      <c r="S966" s="146"/>
      <c r="T966" s="146"/>
      <c r="U966" s="146"/>
      <c r="V966" s="146"/>
      <c r="W966" s="146"/>
      <c r="X966" s="146"/>
      <c r="Y966" s="146"/>
      <c r="Z966" s="146"/>
      <c r="AA966" s="146"/>
    </row>
    <row r="967" spans="1:27" s="118" customFormat="1" x14ac:dyDescent="0.2">
      <c r="A967" s="6"/>
      <c r="B967" s="6"/>
      <c r="C967" s="155"/>
      <c r="D967" s="2" t="s">
        <v>253</v>
      </c>
      <c r="E967" s="148"/>
      <c r="F967" s="253">
        <v>2</v>
      </c>
      <c r="G967" s="253"/>
      <c r="H967" s="253"/>
      <c r="I967" s="246"/>
      <c r="J967" s="253">
        <f>ROUND(PRODUCT(F967:I967),2)</f>
        <v>2</v>
      </c>
      <c r="K967" s="137"/>
      <c r="L967" s="137"/>
      <c r="M967" s="137"/>
      <c r="N967" s="138"/>
      <c r="O967" s="167"/>
      <c r="P967" s="111"/>
      <c r="Q967" s="111"/>
      <c r="R967" s="111"/>
      <c r="S967" s="111"/>
      <c r="T967" s="111"/>
      <c r="U967" s="111"/>
      <c r="V967" s="111"/>
      <c r="W967" s="111"/>
      <c r="X967" s="111"/>
      <c r="Y967" s="111"/>
      <c r="Z967" s="111"/>
      <c r="AA967" s="111"/>
    </row>
    <row r="968" spans="1:27" s="118" customFormat="1" x14ac:dyDescent="0.2">
      <c r="A968" s="6"/>
      <c r="B968" s="6"/>
      <c r="C968" s="155"/>
      <c r="D968" s="2" t="s">
        <v>384</v>
      </c>
      <c r="E968" s="148"/>
      <c r="F968" s="253">
        <v>2</v>
      </c>
      <c r="G968" s="253"/>
      <c r="H968" s="253"/>
      <c r="I968" s="246"/>
      <c r="J968" s="253">
        <f>ROUND(PRODUCT(F968:I968),2)</f>
        <v>2</v>
      </c>
      <c r="K968" s="137"/>
      <c r="L968" s="137"/>
      <c r="M968" s="137"/>
      <c r="N968" s="138"/>
      <c r="O968" s="167"/>
      <c r="P968" s="111"/>
      <c r="Q968" s="111"/>
      <c r="R968" s="111"/>
      <c r="S968" s="111"/>
      <c r="T968" s="111"/>
      <c r="U968" s="111"/>
      <c r="V968" s="111"/>
      <c r="W968" s="111"/>
      <c r="X968" s="111"/>
      <c r="Y968" s="111"/>
      <c r="Z968" s="111"/>
      <c r="AA968" s="111"/>
    </row>
    <row r="969" spans="1:27" s="118" customFormat="1" x14ac:dyDescent="0.2">
      <c r="A969" s="6"/>
      <c r="B969" s="6"/>
      <c r="C969" s="155"/>
      <c r="D969" s="2" t="s">
        <v>305</v>
      </c>
      <c r="E969" s="148"/>
      <c r="F969" s="253">
        <v>1</v>
      </c>
      <c r="G969" s="253"/>
      <c r="H969" s="253"/>
      <c r="I969" s="246"/>
      <c r="J969" s="253">
        <f>ROUND(PRODUCT(F969:I969),2)</f>
        <v>1</v>
      </c>
      <c r="K969" s="137"/>
      <c r="L969" s="137"/>
      <c r="M969" s="137"/>
      <c r="N969" s="138"/>
      <c r="O969" s="167"/>
      <c r="P969" s="111"/>
      <c r="Q969" s="111"/>
      <c r="R969" s="111"/>
      <c r="S969" s="111"/>
      <c r="T969" s="111"/>
      <c r="U969" s="111"/>
      <c r="V969" s="111"/>
      <c r="W969" s="111"/>
      <c r="X969" s="111"/>
      <c r="Y969" s="111"/>
      <c r="Z969" s="111"/>
      <c r="AA969" s="111"/>
    </row>
    <row r="970" spans="1:27" s="118" customFormat="1" x14ac:dyDescent="0.2">
      <c r="A970" s="6"/>
      <c r="B970" s="6"/>
      <c r="C970" s="156"/>
      <c r="D970" s="108"/>
      <c r="E970" s="148"/>
      <c r="F970" s="253"/>
      <c r="G970" s="253"/>
      <c r="H970" s="253"/>
      <c r="I970" s="246" t="str">
        <f>"Total item "&amp;A966</f>
        <v>Total item 12.1.2</v>
      </c>
      <c r="J970" s="261">
        <f>SUM(J967:J969)</f>
        <v>5</v>
      </c>
      <c r="K970" s="137"/>
      <c r="L970" s="137"/>
      <c r="M970" s="137"/>
      <c r="N970" s="138"/>
      <c r="O970" s="167"/>
      <c r="P970" s="111"/>
      <c r="Q970" s="111"/>
      <c r="R970" s="111"/>
      <c r="S970" s="111"/>
      <c r="T970" s="111"/>
      <c r="U970" s="111"/>
      <c r="V970" s="111"/>
      <c r="W970" s="111"/>
      <c r="X970" s="111"/>
      <c r="Y970" s="111"/>
      <c r="Z970" s="111"/>
      <c r="AA970" s="111"/>
    </row>
    <row r="971" spans="1:27" s="139" customFormat="1" x14ac:dyDescent="0.2">
      <c r="A971" s="6"/>
      <c r="B971" s="6"/>
      <c r="C971" s="7"/>
      <c r="D971" s="116"/>
      <c r="E971" s="6"/>
      <c r="F971" s="258"/>
      <c r="G971" s="258"/>
      <c r="H971" s="258"/>
      <c r="I971" s="246"/>
      <c r="J971" s="258"/>
      <c r="K971" s="137"/>
      <c r="L971" s="137"/>
      <c r="M971" s="137"/>
      <c r="N971" s="138"/>
      <c r="O971" s="283"/>
      <c r="P971" s="120"/>
      <c r="Q971" s="120"/>
      <c r="R971" s="120"/>
      <c r="S971" s="120"/>
      <c r="T971" s="120"/>
      <c r="U971" s="120"/>
      <c r="V971" s="120"/>
      <c r="W971" s="120"/>
      <c r="X971" s="120"/>
      <c r="Y971" s="120"/>
      <c r="Z971" s="120"/>
      <c r="AA971" s="120"/>
    </row>
    <row r="972" spans="1:27" s="147" customFormat="1" ht="51" x14ac:dyDescent="0.2">
      <c r="A972" s="9" t="s">
        <v>627</v>
      </c>
      <c r="B972" s="9" t="s">
        <v>163</v>
      </c>
      <c r="C972" s="13" t="s">
        <v>244</v>
      </c>
      <c r="D972" s="113" t="s">
        <v>245</v>
      </c>
      <c r="E972" s="9" t="s">
        <v>31</v>
      </c>
      <c r="F972" s="261"/>
      <c r="G972" s="261"/>
      <c r="H972" s="261"/>
      <c r="I972" s="245"/>
      <c r="J972" s="261"/>
      <c r="K972" s="131">
        <f>J975</f>
        <v>4</v>
      </c>
      <c r="L972" s="131">
        <v>116.08</v>
      </c>
      <c r="M972" s="131">
        <f>ROUND(L972*(1+$Q$7),2)</f>
        <v>146.88</v>
      </c>
      <c r="N972" s="133">
        <f>TRUNC(K972*M972,2)</f>
        <v>587.52</v>
      </c>
      <c r="O972" s="286"/>
      <c r="P972" s="146"/>
      <c r="Q972" s="146"/>
      <c r="R972" s="146"/>
      <c r="S972" s="146"/>
      <c r="T972" s="146"/>
      <c r="U972" s="146"/>
      <c r="V972" s="146"/>
      <c r="W972" s="146"/>
      <c r="X972" s="146"/>
      <c r="Y972" s="146"/>
      <c r="Z972" s="146"/>
      <c r="AA972" s="146"/>
    </row>
    <row r="973" spans="1:27" s="118" customFormat="1" x14ac:dyDescent="0.2">
      <c r="A973" s="6"/>
      <c r="B973" s="6"/>
      <c r="C973" s="155"/>
      <c r="D973" s="2" t="s">
        <v>246</v>
      </c>
      <c r="E973" s="148"/>
      <c r="F973" s="253">
        <v>2</v>
      </c>
      <c r="G973" s="253"/>
      <c r="H973" s="253"/>
      <c r="I973" s="246"/>
      <c r="J973" s="253">
        <f t="shared" ref="J973:J974" si="102">ROUND(PRODUCT(F973:I973),2)</f>
        <v>2</v>
      </c>
      <c r="K973" s="137"/>
      <c r="L973" s="137"/>
      <c r="M973" s="137"/>
      <c r="N973" s="138"/>
      <c r="O973" s="167"/>
      <c r="P973" s="111"/>
      <c r="Q973" s="111"/>
      <c r="R973" s="111"/>
      <c r="S973" s="111"/>
      <c r="T973" s="111"/>
      <c r="U973" s="111"/>
      <c r="V973" s="111"/>
      <c r="W973" s="111"/>
      <c r="X973" s="111"/>
      <c r="Y973" s="111"/>
      <c r="Z973" s="111"/>
      <c r="AA973" s="111"/>
    </row>
    <row r="974" spans="1:27" s="118" customFormat="1" x14ac:dyDescent="0.2">
      <c r="A974" s="6"/>
      <c r="B974" s="6"/>
      <c r="C974" s="155"/>
      <c r="D974" s="2" t="s">
        <v>242</v>
      </c>
      <c r="E974" s="148"/>
      <c r="F974" s="253">
        <v>2</v>
      </c>
      <c r="G974" s="253"/>
      <c r="H974" s="253"/>
      <c r="I974" s="246"/>
      <c r="J974" s="253">
        <f t="shared" si="102"/>
        <v>2</v>
      </c>
      <c r="K974" s="137"/>
      <c r="L974" s="137"/>
      <c r="M974" s="137"/>
      <c r="N974" s="138"/>
      <c r="O974" s="167"/>
      <c r="P974" s="111"/>
      <c r="Q974" s="111"/>
      <c r="R974" s="111"/>
      <c r="S974" s="111"/>
      <c r="T974" s="111"/>
      <c r="U974" s="111"/>
      <c r="V974" s="111"/>
      <c r="W974" s="111"/>
      <c r="X974" s="111"/>
      <c r="Y974" s="111"/>
      <c r="Z974" s="111"/>
      <c r="AA974" s="111"/>
    </row>
    <row r="975" spans="1:27" s="118" customFormat="1" x14ac:dyDescent="0.2">
      <c r="A975" s="6"/>
      <c r="B975" s="6"/>
      <c r="C975" s="156"/>
      <c r="D975" s="108"/>
      <c r="E975" s="148"/>
      <c r="F975" s="253"/>
      <c r="G975" s="253"/>
      <c r="H975" s="253"/>
      <c r="I975" s="246" t="str">
        <f>"Total item "&amp;A972</f>
        <v>Total item 12.1.3</v>
      </c>
      <c r="J975" s="261">
        <f>SUM(J973:J974)</f>
        <v>4</v>
      </c>
      <c r="K975" s="137"/>
      <c r="L975" s="137"/>
      <c r="M975" s="137"/>
      <c r="N975" s="138"/>
      <c r="O975" s="167"/>
      <c r="P975" s="111"/>
      <c r="Q975" s="111"/>
      <c r="R975" s="111"/>
      <c r="S975" s="111"/>
      <c r="T975" s="111"/>
      <c r="U975" s="111"/>
      <c r="V975" s="111"/>
      <c r="W975" s="111"/>
      <c r="X975" s="111"/>
      <c r="Y975" s="111"/>
      <c r="Z975" s="111"/>
      <c r="AA975" s="111"/>
    </row>
    <row r="976" spans="1:27" s="139" customFormat="1" x14ac:dyDescent="0.2">
      <c r="A976" s="6"/>
      <c r="B976" s="6"/>
      <c r="C976" s="7"/>
      <c r="D976" s="116"/>
      <c r="E976" s="6"/>
      <c r="F976" s="258"/>
      <c r="G976" s="258"/>
      <c r="H976" s="258"/>
      <c r="I976" s="246"/>
      <c r="J976" s="258"/>
      <c r="K976" s="137"/>
      <c r="L976" s="137"/>
      <c r="M976" s="137"/>
      <c r="N976" s="138"/>
      <c r="O976" s="283"/>
      <c r="P976" s="120"/>
      <c r="Q976" s="120"/>
      <c r="R976" s="120"/>
      <c r="S976" s="120"/>
      <c r="T976" s="120"/>
      <c r="U976" s="120"/>
      <c r="V976" s="120"/>
      <c r="W976" s="120"/>
      <c r="X976" s="120"/>
      <c r="Y976" s="120"/>
      <c r="Z976" s="120"/>
      <c r="AA976" s="120"/>
    </row>
    <row r="977" spans="1:27" s="147" customFormat="1" ht="30.6" x14ac:dyDescent="0.2">
      <c r="A977" s="9" t="s">
        <v>628</v>
      </c>
      <c r="B977" s="9" t="s">
        <v>179</v>
      </c>
      <c r="C977" s="13" t="s">
        <v>672</v>
      </c>
      <c r="D977" s="113" t="s">
        <v>567</v>
      </c>
      <c r="E977" s="9" t="s">
        <v>33</v>
      </c>
      <c r="F977" s="261"/>
      <c r="G977" s="261"/>
      <c r="H977" s="261"/>
      <c r="I977" s="245"/>
      <c r="J977" s="261"/>
      <c r="K977" s="131">
        <f>J979</f>
        <v>1</v>
      </c>
      <c r="L977" s="131">
        <f>'COMPOSICOES - SINAPI COM DESON'!G50</f>
        <v>104.48</v>
      </c>
      <c r="M977" s="131">
        <f>ROUND(L977*(1+$Q$7),2)</f>
        <v>132.19999999999999</v>
      </c>
      <c r="N977" s="133">
        <f>TRUNC(K977*M977,2)</f>
        <v>132.19999999999999</v>
      </c>
      <c r="O977" s="286"/>
      <c r="P977" s="146"/>
      <c r="Q977" s="146"/>
      <c r="R977" s="146"/>
      <c r="S977" s="146"/>
      <c r="T977" s="146"/>
      <c r="U977" s="146"/>
      <c r="V977" s="146"/>
      <c r="W977" s="146"/>
      <c r="X977" s="146"/>
      <c r="Y977" s="146"/>
      <c r="Z977" s="146"/>
      <c r="AA977" s="146"/>
    </row>
    <row r="978" spans="1:27" s="174" customFormat="1" x14ac:dyDescent="0.2">
      <c r="A978" s="170"/>
      <c r="B978" s="170"/>
      <c r="C978" s="171"/>
      <c r="D978" s="2" t="s">
        <v>253</v>
      </c>
      <c r="E978" s="170"/>
      <c r="F978" s="253">
        <v>1</v>
      </c>
      <c r="G978" s="253"/>
      <c r="H978" s="253"/>
      <c r="I978" s="249"/>
      <c r="J978" s="253">
        <f t="shared" ref="J978" si="103">ROUND(PRODUCT(F978:I978),2)</f>
        <v>1</v>
      </c>
      <c r="K978" s="172"/>
      <c r="L978" s="172"/>
      <c r="M978" s="172"/>
      <c r="N978" s="173"/>
      <c r="O978" s="287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</row>
    <row r="979" spans="1:27" s="174" customFormat="1" x14ac:dyDescent="0.2">
      <c r="A979" s="170"/>
      <c r="B979" s="170"/>
      <c r="C979" s="171"/>
      <c r="D979" s="175"/>
      <c r="E979" s="176"/>
      <c r="F979" s="264"/>
      <c r="G979" s="264"/>
      <c r="H979" s="264"/>
      <c r="I979" s="251" t="str">
        <f>"Total item "&amp;A977</f>
        <v>Total item 12.1.4</v>
      </c>
      <c r="J979" s="261">
        <f>SUM(J978:J978)</f>
        <v>1</v>
      </c>
      <c r="K979" s="172"/>
      <c r="L979" s="172"/>
      <c r="M979" s="172"/>
      <c r="N979" s="173"/>
      <c r="O979" s="287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</row>
    <row r="980" spans="1:27" s="183" customFormat="1" x14ac:dyDescent="0.2">
      <c r="A980" s="177"/>
      <c r="B980" s="170"/>
      <c r="C980" s="171"/>
      <c r="D980" s="179"/>
      <c r="E980" s="180"/>
      <c r="F980" s="265"/>
      <c r="G980" s="265"/>
      <c r="H980" s="265"/>
      <c r="I980" s="252"/>
      <c r="J980" s="266"/>
      <c r="K980" s="181"/>
      <c r="L980" s="181"/>
      <c r="M980" s="181"/>
      <c r="N980" s="182"/>
      <c r="O980" s="287"/>
      <c r="P980" s="121"/>
      <c r="Q980" s="121"/>
      <c r="R980" s="121"/>
      <c r="S980" s="121"/>
      <c r="T980" s="121"/>
      <c r="U980" s="121"/>
      <c r="V980" s="121"/>
      <c r="W980" s="121"/>
      <c r="X980" s="121"/>
      <c r="Y980" s="121"/>
      <c r="Z980" s="121"/>
      <c r="AA980" s="121"/>
    </row>
    <row r="981" spans="1:27" s="147" customFormat="1" ht="20.399999999999999" x14ac:dyDescent="0.2">
      <c r="A981" s="9" t="s">
        <v>813</v>
      </c>
      <c r="B981" s="9" t="s">
        <v>89</v>
      </c>
      <c r="C981" s="13">
        <v>83469</v>
      </c>
      <c r="D981" s="113" t="s">
        <v>308</v>
      </c>
      <c r="E981" s="9" t="s">
        <v>33</v>
      </c>
      <c r="F981" s="261"/>
      <c r="G981" s="261"/>
      <c r="H981" s="261"/>
      <c r="I981" s="245"/>
      <c r="J981" s="261"/>
      <c r="K981" s="131">
        <f>J984</f>
        <v>2</v>
      </c>
      <c r="L981" s="131">
        <v>8.1300000000000008</v>
      </c>
      <c r="M981" s="131">
        <f>ROUND(L981*(1+$Q$7),2)</f>
        <v>10.29</v>
      </c>
      <c r="N981" s="133">
        <f>TRUNC(K981*M981,2)</f>
        <v>20.58</v>
      </c>
      <c r="O981" s="286"/>
      <c r="P981" s="146"/>
      <c r="Q981" s="146"/>
      <c r="R981" s="146"/>
      <c r="S981" s="146"/>
      <c r="T981" s="146"/>
      <c r="U981" s="146"/>
      <c r="V981" s="146"/>
      <c r="W981" s="146"/>
      <c r="X981" s="146"/>
      <c r="Y981" s="146"/>
      <c r="Z981" s="146"/>
      <c r="AA981" s="146"/>
    </row>
    <row r="982" spans="1:27" s="118" customFormat="1" x14ac:dyDescent="0.2">
      <c r="A982" s="6"/>
      <c r="B982" s="6"/>
      <c r="C982" s="155"/>
      <c r="D982" s="2" t="s">
        <v>410</v>
      </c>
      <c r="E982" s="148"/>
      <c r="F982" s="253">
        <v>1</v>
      </c>
      <c r="G982" s="253"/>
      <c r="H982" s="253"/>
      <c r="I982" s="246"/>
      <c r="J982" s="253">
        <f t="shared" ref="J982:J983" si="104">ROUND(PRODUCT(F982:I982),2)</f>
        <v>1</v>
      </c>
      <c r="K982" s="137"/>
      <c r="L982" s="137"/>
      <c r="M982" s="137"/>
      <c r="N982" s="138"/>
      <c r="O982" s="167"/>
      <c r="P982" s="111"/>
      <c r="Q982" s="111"/>
      <c r="R982" s="111"/>
      <c r="S982" s="111"/>
      <c r="T982" s="111"/>
      <c r="U982" s="111"/>
      <c r="V982" s="111"/>
      <c r="W982" s="111"/>
      <c r="X982" s="111"/>
      <c r="Y982" s="111"/>
      <c r="Z982" s="111"/>
      <c r="AA982" s="111"/>
    </row>
    <row r="983" spans="1:27" s="118" customFormat="1" x14ac:dyDescent="0.2">
      <c r="A983" s="6"/>
      <c r="B983" s="6"/>
      <c r="C983" s="155"/>
      <c r="D983" s="2" t="s">
        <v>411</v>
      </c>
      <c r="E983" s="148"/>
      <c r="F983" s="253">
        <v>1</v>
      </c>
      <c r="G983" s="253"/>
      <c r="H983" s="253"/>
      <c r="I983" s="246"/>
      <c r="J983" s="253">
        <f t="shared" si="104"/>
        <v>1</v>
      </c>
      <c r="K983" s="137"/>
      <c r="L983" s="137"/>
      <c r="M983" s="137"/>
      <c r="N983" s="138"/>
      <c r="O983" s="167"/>
      <c r="P983" s="111"/>
      <c r="Q983" s="111"/>
      <c r="R983" s="111"/>
      <c r="S983" s="111"/>
      <c r="T983" s="111"/>
      <c r="U983" s="111"/>
      <c r="V983" s="111"/>
      <c r="W983" s="111"/>
      <c r="X983" s="111"/>
      <c r="Y983" s="111"/>
      <c r="Z983" s="111"/>
      <c r="AA983" s="111"/>
    </row>
    <row r="984" spans="1:27" s="118" customFormat="1" x14ac:dyDescent="0.2">
      <c r="A984" s="6"/>
      <c r="B984" s="6"/>
      <c r="C984" s="156"/>
      <c r="D984" s="108"/>
      <c r="E984" s="148"/>
      <c r="F984" s="253"/>
      <c r="G984" s="253"/>
      <c r="H984" s="253"/>
      <c r="I984" s="246" t="str">
        <f>"Total item "&amp;A981</f>
        <v>Total item 12.1.5</v>
      </c>
      <c r="J984" s="261">
        <f>SUM(J982:J983)</f>
        <v>2</v>
      </c>
      <c r="K984" s="137"/>
      <c r="L984" s="137"/>
      <c r="M984" s="137"/>
      <c r="N984" s="138"/>
      <c r="O984" s="167"/>
      <c r="P984" s="111"/>
      <c r="Q984" s="111"/>
      <c r="R984" s="111"/>
      <c r="S984" s="111"/>
      <c r="T984" s="111"/>
      <c r="U984" s="111"/>
      <c r="V984" s="111"/>
      <c r="W984" s="111"/>
      <c r="X984" s="111"/>
      <c r="Y984" s="111"/>
      <c r="Z984" s="111"/>
      <c r="AA984" s="111"/>
    </row>
    <row r="985" spans="1:27" s="139" customFormat="1" x14ac:dyDescent="0.2">
      <c r="A985" s="6"/>
      <c r="B985" s="6"/>
      <c r="C985" s="7"/>
      <c r="D985" s="116"/>
      <c r="E985" s="6"/>
      <c r="F985" s="258"/>
      <c r="G985" s="258"/>
      <c r="H985" s="258"/>
      <c r="I985" s="246"/>
      <c r="J985" s="258"/>
      <c r="K985" s="137"/>
      <c r="L985" s="137"/>
      <c r="M985" s="137"/>
      <c r="N985" s="138"/>
      <c r="O985" s="283"/>
      <c r="P985" s="120"/>
      <c r="Q985" s="120"/>
      <c r="R985" s="120"/>
      <c r="S985" s="120"/>
      <c r="T985" s="120"/>
      <c r="U985" s="120"/>
      <c r="V985" s="120"/>
      <c r="W985" s="120"/>
      <c r="X985" s="120"/>
      <c r="Y985" s="120"/>
      <c r="Z985" s="120"/>
      <c r="AA985" s="120"/>
    </row>
    <row r="986" spans="1:27" s="147" customFormat="1" ht="40.799999999999997" x14ac:dyDescent="0.2">
      <c r="A986" s="9" t="s">
        <v>814</v>
      </c>
      <c r="B986" s="9" t="s">
        <v>163</v>
      </c>
      <c r="C986" s="13" t="s">
        <v>188</v>
      </c>
      <c r="D986" s="113" t="s">
        <v>719</v>
      </c>
      <c r="E986" s="9" t="s">
        <v>33</v>
      </c>
      <c r="F986" s="261"/>
      <c r="G986" s="261"/>
      <c r="H986" s="261"/>
      <c r="I986" s="245"/>
      <c r="J986" s="261"/>
      <c r="K986" s="131">
        <f>J988</f>
        <v>1</v>
      </c>
      <c r="L986" s="131">
        <v>65.69</v>
      </c>
      <c r="M986" s="131">
        <f>ROUND(L986*(1+$Q$7),2)</f>
        <v>83.12</v>
      </c>
      <c r="N986" s="133">
        <f>TRUNC(K986*M986,2)</f>
        <v>83.12</v>
      </c>
      <c r="O986" s="286"/>
      <c r="P986" s="146"/>
      <c r="Q986" s="146"/>
      <c r="R986" s="146"/>
      <c r="S986" s="146"/>
      <c r="T986" s="146"/>
      <c r="U986" s="146"/>
      <c r="V986" s="146"/>
      <c r="W986" s="146"/>
      <c r="X986" s="146"/>
      <c r="Y986" s="146"/>
      <c r="Z986" s="146"/>
      <c r="AA986" s="146"/>
    </row>
    <row r="987" spans="1:27" s="118" customFormat="1" x14ac:dyDescent="0.2">
      <c r="A987" s="10"/>
      <c r="B987" s="6"/>
      <c r="C987" s="6"/>
      <c r="D987" s="2"/>
      <c r="E987" s="148"/>
      <c r="F987" s="253">
        <v>1</v>
      </c>
      <c r="G987" s="253"/>
      <c r="H987" s="253"/>
      <c r="I987" s="246"/>
      <c r="J987" s="253">
        <f>ROUND(PRODUCT(F987:I987),2)</f>
        <v>1</v>
      </c>
      <c r="K987" s="137"/>
      <c r="L987" s="137"/>
      <c r="M987" s="137"/>
      <c r="N987" s="138"/>
      <c r="O987" s="167"/>
      <c r="P987" s="111"/>
      <c r="Q987" s="111"/>
      <c r="R987" s="111"/>
      <c r="S987" s="111"/>
      <c r="T987" s="111"/>
      <c r="U987" s="111"/>
      <c r="V987" s="111"/>
      <c r="W987" s="111"/>
      <c r="X987" s="111"/>
      <c r="Y987" s="111"/>
      <c r="Z987" s="111"/>
      <c r="AA987" s="111"/>
    </row>
    <row r="988" spans="1:27" s="118" customFormat="1" x14ac:dyDescent="0.2">
      <c r="A988" s="10"/>
      <c r="B988" s="6"/>
      <c r="C988" s="156"/>
      <c r="D988" s="108"/>
      <c r="E988" s="148"/>
      <c r="F988" s="253"/>
      <c r="G988" s="253"/>
      <c r="H988" s="253"/>
      <c r="I988" s="246" t="str">
        <f>"Total item "&amp;A986</f>
        <v>Total item 12.1.6</v>
      </c>
      <c r="J988" s="261">
        <f>SUM(J987:J987)</f>
        <v>1</v>
      </c>
      <c r="K988" s="137"/>
      <c r="L988" s="137"/>
      <c r="M988" s="137"/>
      <c r="N988" s="138"/>
      <c r="O988" s="167"/>
      <c r="P988" s="111"/>
      <c r="Q988" s="111"/>
      <c r="R988" s="111"/>
      <c r="S988" s="111"/>
      <c r="T988" s="111"/>
      <c r="U988" s="111"/>
      <c r="V988" s="111"/>
      <c r="W988" s="111"/>
      <c r="X988" s="111"/>
      <c r="Y988" s="111"/>
      <c r="Z988" s="111"/>
      <c r="AA988" s="111"/>
    </row>
    <row r="989" spans="1:27" s="118" customFormat="1" x14ac:dyDescent="0.2">
      <c r="A989" s="10"/>
      <c r="B989" s="6"/>
      <c r="C989" s="155"/>
      <c r="D989" s="108"/>
      <c r="E989" s="148"/>
      <c r="F989" s="253"/>
      <c r="G989" s="253"/>
      <c r="H989" s="253"/>
      <c r="I989" s="246"/>
      <c r="J989" s="258"/>
      <c r="K989" s="137"/>
      <c r="L989" s="137"/>
      <c r="M989" s="137"/>
      <c r="N989" s="138"/>
      <c r="O989" s="167"/>
      <c r="P989" s="111"/>
      <c r="Q989" s="111"/>
      <c r="R989" s="111"/>
      <c r="S989" s="111"/>
      <c r="T989" s="111"/>
      <c r="U989" s="111"/>
      <c r="V989" s="111"/>
      <c r="W989" s="111"/>
      <c r="X989" s="111"/>
      <c r="Y989" s="111"/>
      <c r="Z989" s="111"/>
      <c r="AA989" s="111"/>
    </row>
    <row r="990" spans="1:27" s="147" customFormat="1" ht="30.6" x14ac:dyDescent="0.2">
      <c r="A990" s="9" t="s">
        <v>815</v>
      </c>
      <c r="B990" s="9" t="s">
        <v>163</v>
      </c>
      <c r="C990" s="13" t="s">
        <v>190</v>
      </c>
      <c r="D990" s="113" t="s">
        <v>290</v>
      </c>
      <c r="E990" s="9" t="s">
        <v>33</v>
      </c>
      <c r="F990" s="261"/>
      <c r="G990" s="261"/>
      <c r="H990" s="261"/>
      <c r="I990" s="245"/>
      <c r="J990" s="261"/>
      <c r="K990" s="131">
        <f>J992</f>
        <v>6</v>
      </c>
      <c r="L990" s="131">
        <v>14.55</v>
      </c>
      <c r="M990" s="131">
        <f>ROUND(L990*(1+$Q$7),2)</f>
        <v>18.41</v>
      </c>
      <c r="N990" s="133">
        <f>TRUNC(K990*M990,2)</f>
        <v>110.46</v>
      </c>
      <c r="O990" s="286"/>
      <c r="P990" s="146"/>
      <c r="Q990" s="146"/>
      <c r="R990" s="146"/>
      <c r="S990" s="146"/>
      <c r="T990" s="146"/>
      <c r="U990" s="146"/>
      <c r="V990" s="146"/>
      <c r="W990" s="146"/>
      <c r="X990" s="146"/>
      <c r="Y990" s="146"/>
      <c r="Z990" s="146"/>
      <c r="AA990" s="146"/>
    </row>
    <row r="991" spans="1:27" s="118" customFormat="1" x14ac:dyDescent="0.2">
      <c r="A991" s="6"/>
      <c r="B991" s="6"/>
      <c r="C991" s="6"/>
      <c r="D991" s="2"/>
      <c r="E991" s="148"/>
      <c r="F991" s="253">
        <v>6</v>
      </c>
      <c r="G991" s="253"/>
      <c r="H991" s="253"/>
      <c r="I991" s="246"/>
      <c r="J991" s="253">
        <f>ROUND(PRODUCT(F991:I991),2)</f>
        <v>6</v>
      </c>
      <c r="K991" s="137"/>
      <c r="L991" s="137"/>
      <c r="M991" s="137"/>
      <c r="N991" s="138"/>
      <c r="O991" s="167"/>
      <c r="P991" s="111"/>
      <c r="Q991" s="111"/>
      <c r="R991" s="111"/>
      <c r="S991" s="111"/>
      <c r="T991" s="111"/>
      <c r="U991" s="111"/>
      <c r="V991" s="111"/>
      <c r="W991" s="111"/>
      <c r="X991" s="111"/>
      <c r="Y991" s="111"/>
      <c r="Z991" s="111"/>
      <c r="AA991" s="111"/>
    </row>
    <row r="992" spans="1:27" s="118" customFormat="1" x14ac:dyDescent="0.2">
      <c r="A992" s="6"/>
      <c r="B992" s="6"/>
      <c r="C992" s="156"/>
      <c r="D992" s="108"/>
      <c r="E992" s="148"/>
      <c r="F992" s="253"/>
      <c r="G992" s="253"/>
      <c r="H992" s="253"/>
      <c r="I992" s="246" t="str">
        <f>"Total item "&amp;A990</f>
        <v>Total item 12.1.7</v>
      </c>
      <c r="J992" s="261">
        <f>SUM(J991:J991)</f>
        <v>6</v>
      </c>
      <c r="K992" s="137"/>
      <c r="L992" s="137"/>
      <c r="M992" s="137"/>
      <c r="N992" s="138"/>
      <c r="O992" s="167"/>
      <c r="P992" s="111"/>
      <c r="Q992" s="111"/>
      <c r="R992" s="111"/>
      <c r="S992" s="111"/>
      <c r="T992" s="111"/>
      <c r="U992" s="111"/>
      <c r="V992" s="111"/>
      <c r="W992" s="111"/>
      <c r="X992" s="111"/>
      <c r="Y992" s="111"/>
      <c r="Z992" s="111"/>
      <c r="AA992" s="111"/>
    </row>
    <row r="993" spans="1:27" s="118" customFormat="1" x14ac:dyDescent="0.2">
      <c r="A993" s="6"/>
      <c r="B993" s="6"/>
      <c r="C993" s="155"/>
      <c r="D993" s="108"/>
      <c r="E993" s="148"/>
      <c r="F993" s="253"/>
      <c r="G993" s="253"/>
      <c r="H993" s="253"/>
      <c r="I993" s="246"/>
      <c r="J993" s="258"/>
      <c r="K993" s="137"/>
      <c r="L993" s="137"/>
      <c r="M993" s="137"/>
      <c r="N993" s="138"/>
      <c r="O993" s="167"/>
      <c r="P993" s="111"/>
      <c r="Q993" s="111"/>
      <c r="R993" s="111"/>
      <c r="S993" s="111"/>
      <c r="T993" s="111"/>
      <c r="U993" s="111"/>
      <c r="V993" s="111"/>
      <c r="W993" s="111"/>
      <c r="X993" s="111"/>
      <c r="Y993" s="111"/>
      <c r="Z993" s="111"/>
      <c r="AA993" s="111"/>
    </row>
    <row r="994" spans="1:27" s="145" customFormat="1" x14ac:dyDescent="0.2">
      <c r="A994" s="140" t="s">
        <v>198</v>
      </c>
      <c r="B994" s="140"/>
      <c r="C994" s="141"/>
      <c r="D994" s="112" t="s">
        <v>211</v>
      </c>
      <c r="E994" s="140"/>
      <c r="F994" s="260"/>
      <c r="G994" s="260"/>
      <c r="H994" s="260"/>
      <c r="I994" s="248"/>
      <c r="J994" s="260"/>
      <c r="K994" s="142"/>
      <c r="L994" s="142"/>
      <c r="M994" s="142"/>
      <c r="N994" s="143">
        <f>SUM(N996:N1009)</f>
        <v>542.29999999999995</v>
      </c>
      <c r="O994" s="285"/>
      <c r="P994" s="144"/>
      <c r="Q994" s="144"/>
      <c r="R994" s="144"/>
      <c r="S994" s="144"/>
      <c r="T994" s="144"/>
      <c r="U994" s="144"/>
      <c r="V994" s="144"/>
      <c r="W994" s="144"/>
      <c r="X994" s="144"/>
      <c r="Y994" s="144"/>
      <c r="Z994" s="144"/>
      <c r="AA994" s="144"/>
    </row>
    <row r="995" spans="1:27" s="118" customFormat="1" x14ac:dyDescent="0.2">
      <c r="A995" s="6"/>
      <c r="B995" s="6"/>
      <c r="C995" s="155"/>
      <c r="D995" s="108"/>
      <c r="E995" s="148"/>
      <c r="F995" s="253"/>
      <c r="G995" s="253"/>
      <c r="H995" s="253"/>
      <c r="I995" s="246"/>
      <c r="J995" s="258"/>
      <c r="K995" s="137"/>
      <c r="L995" s="137"/>
      <c r="M995" s="137"/>
      <c r="N995" s="138"/>
      <c r="O995" s="167"/>
      <c r="P995" s="111"/>
      <c r="Q995" s="111"/>
      <c r="R995" s="111"/>
      <c r="S995" s="111"/>
      <c r="T995" s="111"/>
      <c r="U995" s="111"/>
      <c r="V995" s="111"/>
      <c r="W995" s="111"/>
      <c r="X995" s="111"/>
      <c r="Y995" s="111"/>
      <c r="Z995" s="111"/>
      <c r="AA995" s="111"/>
    </row>
    <row r="996" spans="1:27" s="147" customFormat="1" ht="20.399999999999999" x14ac:dyDescent="0.2">
      <c r="A996" s="9" t="s">
        <v>199</v>
      </c>
      <c r="B996" s="9" t="s">
        <v>89</v>
      </c>
      <c r="C996" s="13">
        <v>86883</v>
      </c>
      <c r="D996" s="113" t="s">
        <v>629</v>
      </c>
      <c r="E996" s="9" t="s">
        <v>31</v>
      </c>
      <c r="F996" s="261"/>
      <c r="G996" s="261"/>
      <c r="H996" s="261"/>
      <c r="I996" s="245"/>
      <c r="J996" s="261"/>
      <c r="K996" s="131">
        <f>J999</f>
        <v>2</v>
      </c>
      <c r="L996" s="131">
        <v>8.1199999999999992</v>
      </c>
      <c r="M996" s="131">
        <f>ROUND(L996*(1+$Q$7),2)</f>
        <v>10.27</v>
      </c>
      <c r="N996" s="133">
        <f>TRUNC(K996*M996,2)</f>
        <v>20.54</v>
      </c>
      <c r="O996" s="286"/>
      <c r="P996" s="146"/>
      <c r="Q996" s="146"/>
      <c r="R996" s="146"/>
      <c r="S996" s="146"/>
      <c r="T996" s="146"/>
      <c r="U996" s="146"/>
      <c r="V996" s="146"/>
      <c r="W996" s="146"/>
      <c r="X996" s="146"/>
      <c r="Y996" s="146"/>
      <c r="Z996" s="146"/>
      <c r="AA996" s="146"/>
    </row>
    <row r="997" spans="1:27" s="118" customFormat="1" x14ac:dyDescent="0.2">
      <c r="A997" s="6"/>
      <c r="B997" s="6"/>
      <c r="C997" s="155"/>
      <c r="D997" s="2" t="s">
        <v>79</v>
      </c>
      <c r="E997" s="148"/>
      <c r="F997" s="253">
        <v>1</v>
      </c>
      <c r="G997" s="253"/>
      <c r="H997" s="253"/>
      <c r="I997" s="246"/>
      <c r="J997" s="253">
        <f>ROUND(PRODUCT(F997:I997),2)</f>
        <v>1</v>
      </c>
      <c r="K997" s="137"/>
      <c r="L997" s="137"/>
      <c r="M997" s="137"/>
      <c r="N997" s="138"/>
      <c r="O997" s="167"/>
      <c r="P997" s="111"/>
      <c r="Q997" s="111"/>
      <c r="R997" s="111"/>
      <c r="S997" s="111"/>
      <c r="T997" s="111"/>
      <c r="U997" s="111"/>
      <c r="V997" s="111"/>
      <c r="W997" s="111"/>
      <c r="X997" s="111"/>
      <c r="Y997" s="111"/>
      <c r="Z997" s="111"/>
      <c r="AA997" s="111"/>
    </row>
    <row r="998" spans="1:27" s="118" customFormat="1" x14ac:dyDescent="0.2">
      <c r="A998" s="6"/>
      <c r="B998" s="6"/>
      <c r="C998" s="155"/>
      <c r="D998" s="2" t="s">
        <v>248</v>
      </c>
      <c r="E998" s="148"/>
      <c r="F998" s="253">
        <v>1</v>
      </c>
      <c r="G998" s="253"/>
      <c r="H998" s="253"/>
      <c r="I998" s="246"/>
      <c r="J998" s="253">
        <f>ROUND(PRODUCT(F998:I998),2)</f>
        <v>1</v>
      </c>
      <c r="K998" s="137"/>
      <c r="L998" s="137"/>
      <c r="M998" s="137"/>
      <c r="N998" s="138"/>
      <c r="O998" s="167"/>
      <c r="P998" s="111"/>
      <c r="Q998" s="111"/>
      <c r="R998" s="111"/>
      <c r="S998" s="111"/>
      <c r="T998" s="111"/>
      <c r="U998" s="111"/>
      <c r="V998" s="111"/>
      <c r="W998" s="111"/>
      <c r="X998" s="111"/>
      <c r="Y998" s="111"/>
      <c r="Z998" s="111"/>
      <c r="AA998" s="111"/>
    </row>
    <row r="999" spans="1:27" s="118" customFormat="1" x14ac:dyDescent="0.2">
      <c r="A999" s="6"/>
      <c r="B999" s="6"/>
      <c r="C999" s="156"/>
      <c r="D999" s="108"/>
      <c r="E999" s="148"/>
      <c r="F999" s="253"/>
      <c r="G999" s="253"/>
      <c r="H999" s="253"/>
      <c r="I999" s="246" t="str">
        <f>"Total item "&amp;A996</f>
        <v>Total item 12.2.1</v>
      </c>
      <c r="J999" s="261">
        <f>SUM(J997:J998)</f>
        <v>2</v>
      </c>
      <c r="K999" s="137"/>
      <c r="L999" s="137"/>
      <c r="M999" s="137"/>
      <c r="N999" s="138"/>
      <c r="O999" s="167"/>
      <c r="P999" s="111"/>
      <c r="Q999" s="111"/>
      <c r="R999" s="111"/>
      <c r="S999" s="111"/>
      <c r="T999" s="111"/>
      <c r="U999" s="111"/>
      <c r="V999" s="111"/>
      <c r="W999" s="111"/>
      <c r="X999" s="111"/>
      <c r="Y999" s="111"/>
      <c r="Z999" s="111"/>
      <c r="AA999" s="111"/>
    </row>
    <row r="1000" spans="1:27" s="139" customFormat="1" x14ac:dyDescent="0.2">
      <c r="A1000" s="6"/>
      <c r="B1000" s="6"/>
      <c r="C1000" s="7"/>
      <c r="D1000" s="116"/>
      <c r="E1000" s="6"/>
      <c r="F1000" s="258"/>
      <c r="G1000" s="258"/>
      <c r="H1000" s="258"/>
      <c r="I1000" s="246"/>
      <c r="J1000" s="258"/>
      <c r="K1000" s="137"/>
      <c r="L1000" s="137"/>
      <c r="M1000" s="137"/>
      <c r="N1000" s="138"/>
      <c r="O1000" s="283"/>
      <c r="P1000" s="120"/>
      <c r="Q1000" s="120"/>
      <c r="R1000" s="120"/>
      <c r="S1000" s="120"/>
      <c r="T1000" s="120"/>
      <c r="U1000" s="120"/>
      <c r="V1000" s="120"/>
      <c r="W1000" s="120"/>
      <c r="X1000" s="120"/>
      <c r="Y1000" s="120"/>
      <c r="Z1000" s="120"/>
      <c r="AA1000" s="120"/>
    </row>
    <row r="1001" spans="1:27" s="147" customFormat="1" ht="30.6" x14ac:dyDescent="0.2">
      <c r="A1001" s="9" t="s">
        <v>200</v>
      </c>
      <c r="B1001" s="9" t="s">
        <v>163</v>
      </c>
      <c r="C1001" s="13" t="s">
        <v>249</v>
      </c>
      <c r="D1001" s="113" t="s">
        <v>250</v>
      </c>
      <c r="E1001" s="9" t="s">
        <v>32</v>
      </c>
      <c r="F1001" s="261"/>
      <c r="G1001" s="261"/>
      <c r="H1001" s="261"/>
      <c r="I1001" s="245"/>
      <c r="J1001" s="261"/>
      <c r="K1001" s="131">
        <f>J1004</f>
        <v>3</v>
      </c>
      <c r="L1001" s="131">
        <v>116.1</v>
      </c>
      <c r="M1001" s="131">
        <f>ROUND(L1001*(1+$Q$7),2)</f>
        <v>146.9</v>
      </c>
      <c r="N1001" s="133">
        <f>TRUNC(K1001*M1001,2)</f>
        <v>440.7</v>
      </c>
      <c r="O1001" s="286"/>
      <c r="P1001" s="146"/>
      <c r="Q1001" s="146"/>
      <c r="R1001" s="146"/>
      <c r="S1001" s="146"/>
      <c r="T1001" s="146"/>
      <c r="U1001" s="146"/>
      <c r="V1001" s="146"/>
      <c r="W1001" s="146"/>
      <c r="X1001" s="146"/>
      <c r="Y1001" s="146"/>
      <c r="Z1001" s="146"/>
      <c r="AA1001" s="146"/>
    </row>
    <row r="1002" spans="1:27" s="118" customFormat="1" x14ac:dyDescent="0.2">
      <c r="A1002" s="6"/>
      <c r="B1002" s="6"/>
      <c r="C1002" s="155"/>
      <c r="D1002" s="2" t="s">
        <v>248</v>
      </c>
      <c r="E1002" s="148"/>
      <c r="F1002" s="253">
        <v>2</v>
      </c>
      <c r="G1002" s="253"/>
      <c r="H1002" s="253"/>
      <c r="I1002" s="246"/>
      <c r="J1002" s="253">
        <f>ROUND(PRODUCT(F1002:I1002),2)</f>
        <v>2</v>
      </c>
      <c r="K1002" s="137"/>
      <c r="L1002" s="137"/>
      <c r="M1002" s="137"/>
      <c r="N1002" s="138"/>
      <c r="O1002" s="167"/>
      <c r="P1002" s="111"/>
      <c r="Q1002" s="111"/>
      <c r="R1002" s="111"/>
      <c r="S1002" s="111"/>
      <c r="T1002" s="111"/>
      <c r="U1002" s="111"/>
      <c r="V1002" s="111"/>
      <c r="W1002" s="111"/>
      <c r="X1002" s="111"/>
      <c r="Y1002" s="111"/>
      <c r="Z1002" s="111"/>
      <c r="AA1002" s="111"/>
    </row>
    <row r="1003" spans="1:27" s="118" customFormat="1" x14ac:dyDescent="0.2">
      <c r="A1003" s="6"/>
      <c r="B1003" s="6"/>
      <c r="C1003" s="155"/>
      <c r="D1003" s="2" t="s">
        <v>251</v>
      </c>
      <c r="E1003" s="148"/>
      <c r="F1003" s="253">
        <v>1</v>
      </c>
      <c r="G1003" s="253"/>
      <c r="H1003" s="253"/>
      <c r="I1003" s="246"/>
      <c r="J1003" s="253">
        <f>ROUND(PRODUCT(F1003:I1003),2)</f>
        <v>1</v>
      </c>
      <c r="K1003" s="137"/>
      <c r="L1003" s="137"/>
      <c r="M1003" s="137"/>
      <c r="N1003" s="138"/>
      <c r="O1003" s="167"/>
      <c r="P1003" s="111"/>
      <c r="Q1003" s="111"/>
      <c r="R1003" s="111"/>
      <c r="S1003" s="111"/>
      <c r="T1003" s="111"/>
      <c r="U1003" s="111"/>
      <c r="V1003" s="111"/>
      <c r="W1003" s="111"/>
      <c r="X1003" s="111"/>
      <c r="Y1003" s="111"/>
      <c r="Z1003" s="111"/>
      <c r="AA1003" s="111"/>
    </row>
    <row r="1004" spans="1:27" s="118" customFormat="1" x14ac:dyDescent="0.2">
      <c r="A1004" s="6"/>
      <c r="B1004" s="6"/>
      <c r="C1004" s="156"/>
      <c r="D1004" s="108"/>
      <c r="E1004" s="148"/>
      <c r="F1004" s="253"/>
      <c r="G1004" s="253"/>
      <c r="H1004" s="253"/>
      <c r="I1004" s="246" t="str">
        <f>"Total item "&amp;A1001</f>
        <v>Total item 12.2.2</v>
      </c>
      <c r="J1004" s="261">
        <f>SUM(J1002:J1003)</f>
        <v>3</v>
      </c>
      <c r="K1004" s="137"/>
      <c r="L1004" s="137"/>
      <c r="M1004" s="137"/>
      <c r="N1004" s="138"/>
      <c r="O1004" s="167"/>
      <c r="P1004" s="111"/>
      <c r="Q1004" s="111"/>
      <c r="R1004" s="111"/>
      <c r="S1004" s="111"/>
      <c r="T1004" s="111"/>
      <c r="U1004" s="111"/>
      <c r="V1004" s="111"/>
      <c r="W1004" s="111"/>
      <c r="X1004" s="111"/>
      <c r="Y1004" s="111"/>
      <c r="Z1004" s="111"/>
      <c r="AA1004" s="111"/>
    </row>
    <row r="1005" spans="1:27" s="139" customFormat="1" x14ac:dyDescent="0.2">
      <c r="A1005" s="6"/>
      <c r="B1005" s="6"/>
      <c r="C1005" s="7"/>
      <c r="D1005" s="116"/>
      <c r="E1005" s="6"/>
      <c r="F1005" s="258"/>
      <c r="G1005" s="258"/>
      <c r="H1005" s="258"/>
      <c r="I1005" s="246"/>
      <c r="J1005" s="258"/>
      <c r="K1005" s="137"/>
      <c r="L1005" s="137"/>
      <c r="M1005" s="137"/>
      <c r="N1005" s="138"/>
      <c r="O1005" s="283"/>
      <c r="P1005" s="120"/>
      <c r="Q1005" s="120"/>
      <c r="R1005" s="120"/>
      <c r="S1005" s="120"/>
      <c r="T1005" s="120"/>
      <c r="U1005" s="120"/>
      <c r="V1005" s="120"/>
      <c r="W1005" s="120"/>
      <c r="X1005" s="120"/>
      <c r="Y1005" s="120"/>
      <c r="Z1005" s="120"/>
      <c r="AA1005" s="120"/>
    </row>
    <row r="1006" spans="1:27" s="147" customFormat="1" ht="30.6" x14ac:dyDescent="0.2">
      <c r="A1006" s="9" t="s">
        <v>202</v>
      </c>
      <c r="B1006" s="9" t="s">
        <v>163</v>
      </c>
      <c r="C1006" s="13" t="s">
        <v>194</v>
      </c>
      <c r="D1006" s="113" t="s">
        <v>252</v>
      </c>
      <c r="E1006" s="9" t="s">
        <v>31</v>
      </c>
      <c r="F1006" s="261"/>
      <c r="G1006" s="261"/>
      <c r="H1006" s="261"/>
      <c r="I1006" s="245"/>
      <c r="J1006" s="261"/>
      <c r="K1006" s="131">
        <f>J1008</f>
        <v>1</v>
      </c>
      <c r="L1006" s="131">
        <v>64.06</v>
      </c>
      <c r="M1006" s="131">
        <f>ROUND(L1006*(1+$Q$7),2)</f>
        <v>81.06</v>
      </c>
      <c r="N1006" s="133">
        <f>TRUNC(K1006*M1006,2)</f>
        <v>81.06</v>
      </c>
      <c r="O1006" s="286"/>
      <c r="P1006" s="146"/>
      <c r="Q1006" s="146"/>
      <c r="R1006" s="146"/>
      <c r="S1006" s="146"/>
      <c r="T1006" s="146"/>
      <c r="U1006" s="146"/>
      <c r="V1006" s="146"/>
      <c r="W1006" s="146"/>
      <c r="X1006" s="146"/>
      <c r="Y1006" s="146"/>
      <c r="Z1006" s="146"/>
      <c r="AA1006" s="146"/>
    </row>
    <row r="1007" spans="1:27" s="118" customFormat="1" x14ac:dyDescent="0.2">
      <c r="A1007" s="6"/>
      <c r="B1007" s="6"/>
      <c r="C1007" s="155"/>
      <c r="D1007" s="2" t="s">
        <v>251</v>
      </c>
      <c r="E1007" s="148"/>
      <c r="F1007" s="253">
        <v>1</v>
      </c>
      <c r="G1007" s="253"/>
      <c r="H1007" s="253"/>
      <c r="I1007" s="246"/>
      <c r="J1007" s="253">
        <f>ROUND(PRODUCT(F1007:I1007),2)</f>
        <v>1</v>
      </c>
      <c r="K1007" s="137"/>
      <c r="L1007" s="137"/>
      <c r="M1007" s="137"/>
      <c r="N1007" s="138"/>
      <c r="O1007" s="167"/>
      <c r="P1007" s="111"/>
      <c r="Q1007" s="111"/>
      <c r="R1007" s="111"/>
      <c r="S1007" s="111"/>
      <c r="T1007" s="111"/>
      <c r="U1007" s="111"/>
      <c r="V1007" s="111"/>
      <c r="W1007" s="111"/>
      <c r="X1007" s="111"/>
      <c r="Y1007" s="111"/>
      <c r="Z1007" s="111"/>
      <c r="AA1007" s="111"/>
    </row>
    <row r="1008" spans="1:27" s="118" customFormat="1" x14ac:dyDescent="0.2">
      <c r="A1008" s="6"/>
      <c r="B1008" s="6"/>
      <c r="C1008" s="156"/>
      <c r="D1008" s="108"/>
      <c r="E1008" s="148"/>
      <c r="F1008" s="253"/>
      <c r="G1008" s="253"/>
      <c r="H1008" s="253"/>
      <c r="I1008" s="246" t="str">
        <f>"Total item "&amp;A1006</f>
        <v>Total item 12.2.3</v>
      </c>
      <c r="J1008" s="261">
        <f>SUM(J1007:J1007)</f>
        <v>1</v>
      </c>
      <c r="K1008" s="137"/>
      <c r="L1008" s="137"/>
      <c r="M1008" s="137"/>
      <c r="N1008" s="138"/>
      <c r="O1008" s="167"/>
      <c r="P1008" s="111"/>
      <c r="Q1008" s="111"/>
      <c r="R1008" s="111"/>
      <c r="S1008" s="111"/>
      <c r="T1008" s="111"/>
      <c r="U1008" s="111"/>
      <c r="V1008" s="111"/>
      <c r="W1008" s="111"/>
      <c r="X1008" s="111"/>
      <c r="Y1008" s="111"/>
      <c r="Z1008" s="111"/>
      <c r="AA1008" s="111"/>
    </row>
    <row r="1009" spans="1:27" s="139" customFormat="1" x14ac:dyDescent="0.2">
      <c r="A1009" s="6"/>
      <c r="B1009" s="6"/>
      <c r="C1009" s="7"/>
      <c r="D1009" s="116"/>
      <c r="E1009" s="6"/>
      <c r="F1009" s="258"/>
      <c r="G1009" s="258"/>
      <c r="H1009" s="258"/>
      <c r="I1009" s="246"/>
      <c r="J1009" s="258"/>
      <c r="K1009" s="137"/>
      <c r="L1009" s="137"/>
      <c r="M1009" s="137"/>
      <c r="N1009" s="138"/>
      <c r="O1009" s="283"/>
      <c r="P1009" s="120"/>
      <c r="Q1009" s="120"/>
      <c r="R1009" s="120"/>
      <c r="S1009" s="120"/>
      <c r="T1009" s="120"/>
      <c r="U1009" s="120"/>
      <c r="V1009" s="120"/>
      <c r="W1009" s="120"/>
      <c r="X1009" s="120"/>
      <c r="Y1009" s="120"/>
      <c r="Z1009" s="120"/>
      <c r="AA1009" s="120"/>
    </row>
    <row r="1010" spans="1:27" s="145" customFormat="1" x14ac:dyDescent="0.2">
      <c r="A1010" s="140" t="s">
        <v>203</v>
      </c>
      <c r="B1010" s="140"/>
      <c r="C1010" s="141"/>
      <c r="D1010" s="112" t="s">
        <v>80</v>
      </c>
      <c r="E1010" s="140"/>
      <c r="F1010" s="260"/>
      <c r="G1010" s="260"/>
      <c r="H1010" s="260"/>
      <c r="I1010" s="248"/>
      <c r="J1010" s="260"/>
      <c r="K1010" s="142"/>
      <c r="L1010" s="142"/>
      <c r="M1010" s="142"/>
      <c r="N1010" s="143">
        <f>SUM(N1012:N1023)</f>
        <v>15855.92</v>
      </c>
      <c r="O1010" s="285"/>
      <c r="P1010" s="144"/>
      <c r="Q1010" s="144"/>
      <c r="R1010" s="144"/>
      <c r="S1010" s="144"/>
      <c r="T1010" s="144"/>
      <c r="U1010" s="144"/>
      <c r="V1010" s="144"/>
      <c r="W1010" s="144"/>
      <c r="X1010" s="144"/>
      <c r="Y1010" s="144"/>
      <c r="Z1010" s="144"/>
      <c r="AA1010" s="144"/>
    </row>
    <row r="1011" spans="1:27" s="139" customFormat="1" x14ac:dyDescent="0.2">
      <c r="A1011" s="6"/>
      <c r="B1011" s="6"/>
      <c r="C1011" s="7"/>
      <c r="D1011" s="116"/>
      <c r="E1011" s="6"/>
      <c r="F1011" s="258"/>
      <c r="G1011" s="258"/>
      <c r="H1011" s="258"/>
      <c r="I1011" s="246"/>
      <c r="J1011" s="258"/>
      <c r="K1011" s="137"/>
      <c r="L1011" s="137"/>
      <c r="M1011" s="137"/>
      <c r="N1011" s="138"/>
      <c r="O1011" s="283"/>
      <c r="P1011" s="120"/>
      <c r="Q1011" s="120"/>
      <c r="R1011" s="120"/>
      <c r="S1011" s="120"/>
      <c r="T1011" s="120"/>
      <c r="U1011" s="120"/>
      <c r="V1011" s="120"/>
      <c r="W1011" s="120"/>
      <c r="X1011" s="120"/>
      <c r="Y1011" s="120"/>
      <c r="Z1011" s="120"/>
      <c r="AA1011" s="120"/>
    </row>
    <row r="1012" spans="1:27" s="147" customFormat="1" x14ac:dyDescent="0.2">
      <c r="A1012" s="9" t="s">
        <v>205</v>
      </c>
      <c r="B1012" s="9" t="s">
        <v>179</v>
      </c>
      <c r="C1012" s="13" t="s">
        <v>316</v>
      </c>
      <c r="D1012" s="109" t="s">
        <v>317</v>
      </c>
      <c r="E1012" s="9" t="s">
        <v>9</v>
      </c>
      <c r="F1012" s="261"/>
      <c r="G1012" s="261"/>
      <c r="H1012" s="261"/>
      <c r="I1012" s="245"/>
      <c r="J1012" s="261"/>
      <c r="K1012" s="131">
        <f>J1014</f>
        <v>451.56</v>
      </c>
      <c r="L1012" s="131">
        <f>'COMPOSICOES - SINAPI COM DESON'!G18</f>
        <v>5.79</v>
      </c>
      <c r="M1012" s="131">
        <f>ROUND(L1012*(1+$Q$7),2)</f>
        <v>7.33</v>
      </c>
      <c r="N1012" s="133">
        <f>TRUNC(K1012*M1012,2)</f>
        <v>3309.93</v>
      </c>
      <c r="O1012" s="286"/>
      <c r="P1012" s="146"/>
      <c r="Q1012" s="146"/>
      <c r="R1012" s="146"/>
      <c r="S1012" s="146"/>
      <c r="T1012" s="146"/>
      <c r="U1012" s="146"/>
      <c r="V1012" s="146"/>
      <c r="W1012" s="146"/>
      <c r="X1012" s="146"/>
      <c r="Y1012" s="146"/>
      <c r="Z1012" s="146"/>
      <c r="AA1012" s="146"/>
    </row>
    <row r="1013" spans="1:27" s="118" customFormat="1" x14ac:dyDescent="0.2">
      <c r="A1013" s="6"/>
      <c r="B1013" s="6"/>
      <c r="C1013" s="155"/>
      <c r="D1013" s="2"/>
      <c r="E1013" s="148"/>
      <c r="F1013" s="253"/>
      <c r="G1013" s="253">
        <v>28.4</v>
      </c>
      <c r="H1013" s="253">
        <v>15.9</v>
      </c>
      <c r="I1013" s="246"/>
      <c r="J1013" s="253">
        <f t="shared" ref="J1013" si="105">ROUND(PRODUCT(F1013:I1013),2)</f>
        <v>451.56</v>
      </c>
      <c r="K1013" s="137"/>
      <c r="L1013" s="137"/>
      <c r="M1013" s="137"/>
      <c r="N1013" s="138"/>
      <c r="O1013" s="167"/>
      <c r="P1013" s="111"/>
      <c r="Q1013" s="111"/>
      <c r="R1013" s="111"/>
      <c r="S1013" s="111"/>
      <c r="T1013" s="111"/>
      <c r="U1013" s="111"/>
      <c r="V1013" s="111"/>
      <c r="W1013" s="111"/>
      <c r="X1013" s="111"/>
      <c r="Y1013" s="111"/>
      <c r="Z1013" s="111"/>
      <c r="AA1013" s="111"/>
    </row>
    <row r="1014" spans="1:27" s="118" customFormat="1" x14ac:dyDescent="0.2">
      <c r="A1014" s="6"/>
      <c r="B1014" s="6"/>
      <c r="C1014" s="156"/>
      <c r="D1014" s="108"/>
      <c r="E1014" s="148"/>
      <c r="F1014" s="253"/>
      <c r="G1014" s="253"/>
      <c r="H1014" s="253"/>
      <c r="I1014" s="246" t="str">
        <f>"Total item "&amp;A1012</f>
        <v>Total item 12.3.1</v>
      </c>
      <c r="J1014" s="261">
        <f>SUM(J1013:J1013)</f>
        <v>451.56</v>
      </c>
      <c r="K1014" s="137"/>
      <c r="L1014" s="137"/>
      <c r="M1014" s="137"/>
      <c r="N1014" s="138"/>
      <c r="O1014" s="167"/>
      <c r="P1014" s="111"/>
      <c r="Q1014" s="111"/>
      <c r="R1014" s="111"/>
      <c r="S1014" s="111"/>
      <c r="T1014" s="111"/>
      <c r="U1014" s="111"/>
      <c r="V1014" s="111"/>
      <c r="W1014" s="111"/>
      <c r="X1014" s="111"/>
      <c r="Y1014" s="111"/>
      <c r="Z1014" s="111"/>
      <c r="AA1014" s="111"/>
    </row>
    <row r="1015" spans="1:27" s="118" customFormat="1" x14ac:dyDescent="0.2">
      <c r="A1015" s="6"/>
      <c r="B1015" s="6"/>
      <c r="C1015" s="14"/>
      <c r="D1015" s="108"/>
      <c r="E1015" s="148"/>
      <c r="F1015" s="253"/>
      <c r="G1015" s="253"/>
      <c r="H1015" s="253"/>
      <c r="I1015" s="246"/>
      <c r="J1015" s="262"/>
      <c r="K1015" s="137"/>
      <c r="L1015" s="137"/>
      <c r="M1015" s="137"/>
      <c r="N1015" s="138"/>
      <c r="O1015" s="167"/>
      <c r="P1015" s="111"/>
      <c r="Q1015" s="111"/>
      <c r="R1015" s="111"/>
      <c r="S1015" s="111"/>
      <c r="T1015" s="111"/>
      <c r="U1015" s="111"/>
      <c r="V1015" s="111"/>
      <c r="W1015" s="111"/>
      <c r="X1015" s="111"/>
      <c r="Y1015" s="111"/>
      <c r="Z1015" s="111"/>
      <c r="AA1015" s="111"/>
    </row>
    <row r="1016" spans="1:27" s="147" customFormat="1" ht="30.6" x14ac:dyDescent="0.2">
      <c r="A1016" s="9" t="s">
        <v>206</v>
      </c>
      <c r="B1016" s="9" t="s">
        <v>89</v>
      </c>
      <c r="C1016" s="197" t="s">
        <v>437</v>
      </c>
      <c r="D1016" s="113" t="s">
        <v>714</v>
      </c>
      <c r="E1016" s="9" t="s">
        <v>9</v>
      </c>
      <c r="F1016" s="261"/>
      <c r="G1016" s="261"/>
      <c r="H1016" s="261"/>
      <c r="I1016" s="245"/>
      <c r="J1016" s="261"/>
      <c r="K1016" s="131">
        <f>J1023</f>
        <v>165.33999999999997</v>
      </c>
      <c r="L1016" s="131">
        <v>59.97</v>
      </c>
      <c r="M1016" s="131">
        <f>ROUND(L1016*(1+$Q$7),2)</f>
        <v>75.88</v>
      </c>
      <c r="N1016" s="133">
        <f>TRUNC(K1016*M1016,2)</f>
        <v>12545.99</v>
      </c>
      <c r="O1016" s="286"/>
      <c r="P1016" s="146"/>
      <c r="Q1016" s="146"/>
      <c r="R1016" s="146"/>
      <c r="S1016" s="146"/>
      <c r="T1016" s="146"/>
      <c r="U1016" s="146"/>
      <c r="V1016" s="146"/>
      <c r="W1016" s="146"/>
      <c r="X1016" s="146"/>
      <c r="Y1016" s="146"/>
      <c r="Z1016" s="146"/>
      <c r="AA1016" s="146"/>
    </row>
    <row r="1017" spans="1:27" s="118" customFormat="1" x14ac:dyDescent="0.2">
      <c r="A1017" s="6"/>
      <c r="B1017" s="6"/>
      <c r="C1017" s="155"/>
      <c r="D1017" s="2" t="s">
        <v>253</v>
      </c>
      <c r="E1017" s="148"/>
      <c r="F1017" s="253"/>
      <c r="G1017" s="253">
        <v>3.82</v>
      </c>
      <c r="H1017" s="253">
        <v>7.8</v>
      </c>
      <c r="I1017" s="246"/>
      <c r="J1017" s="253">
        <f t="shared" ref="J1017:J1022" si="106">ROUND(PRODUCT(F1017:I1017),2)</f>
        <v>29.8</v>
      </c>
      <c r="K1017" s="137"/>
      <c r="L1017" s="137"/>
      <c r="M1017" s="137"/>
      <c r="N1017" s="138"/>
      <c r="O1017" s="167"/>
      <c r="P1017" s="111"/>
      <c r="Q1017" s="111"/>
      <c r="R1017" s="111"/>
      <c r="S1017" s="111"/>
      <c r="T1017" s="111"/>
      <c r="U1017" s="111"/>
      <c r="V1017" s="111"/>
      <c r="W1017" s="111"/>
      <c r="X1017" s="111"/>
      <c r="Y1017" s="111"/>
      <c r="Z1017" s="111"/>
      <c r="AA1017" s="111"/>
    </row>
    <row r="1018" spans="1:27" s="118" customFormat="1" x14ac:dyDescent="0.2">
      <c r="A1018" s="6"/>
      <c r="B1018" s="6"/>
      <c r="C1018" s="155"/>
      <c r="D1018" s="2" t="s">
        <v>257</v>
      </c>
      <c r="E1018" s="148"/>
      <c r="F1018" s="253"/>
      <c r="G1018" s="253">
        <v>5.85</v>
      </c>
      <c r="H1018" s="253">
        <v>4.05</v>
      </c>
      <c r="I1018" s="246"/>
      <c r="J1018" s="253">
        <f t="shared" si="106"/>
        <v>23.69</v>
      </c>
      <c r="K1018" s="137"/>
      <c r="L1018" s="137"/>
      <c r="M1018" s="137"/>
      <c r="N1018" s="138"/>
      <c r="O1018" s="167"/>
      <c r="P1018" s="111"/>
      <c r="Q1018" s="111"/>
      <c r="R1018" s="111"/>
      <c r="S1018" s="111"/>
      <c r="T1018" s="111"/>
      <c r="U1018" s="111"/>
      <c r="V1018" s="111"/>
      <c r="W1018" s="111"/>
      <c r="X1018" s="111"/>
      <c r="Y1018" s="111"/>
      <c r="Z1018" s="111"/>
      <c r="AA1018" s="111"/>
    </row>
    <row r="1019" spans="1:27" s="118" customFormat="1" x14ac:dyDescent="0.2">
      <c r="A1019" s="6"/>
      <c r="B1019" s="6"/>
      <c r="C1019" s="155"/>
      <c r="D1019" s="2" t="s">
        <v>384</v>
      </c>
      <c r="E1019" s="148"/>
      <c r="F1019" s="253"/>
      <c r="G1019" s="253">
        <v>3.8</v>
      </c>
      <c r="H1019" s="253">
        <v>5.85</v>
      </c>
      <c r="I1019" s="246"/>
      <c r="J1019" s="253">
        <f t="shared" si="106"/>
        <v>22.23</v>
      </c>
      <c r="K1019" s="137"/>
      <c r="L1019" s="137"/>
      <c r="M1019" s="137"/>
      <c r="N1019" s="138"/>
      <c r="O1019" s="167"/>
      <c r="P1019" s="111"/>
      <c r="Q1019" s="111"/>
      <c r="R1019" s="111"/>
      <c r="S1019" s="111"/>
      <c r="T1019" s="111"/>
      <c r="U1019" s="111"/>
      <c r="V1019" s="111"/>
      <c r="W1019" s="111"/>
      <c r="X1019" s="111"/>
      <c r="Y1019" s="111"/>
      <c r="Z1019" s="111"/>
      <c r="AA1019" s="111"/>
    </row>
    <row r="1020" spans="1:27" s="118" customFormat="1" x14ac:dyDescent="0.2">
      <c r="A1020" s="6"/>
      <c r="B1020" s="6"/>
      <c r="C1020" s="155"/>
      <c r="D1020" s="2" t="s">
        <v>305</v>
      </c>
      <c r="E1020" s="148"/>
      <c r="F1020" s="253"/>
      <c r="G1020" s="253">
        <v>3.9</v>
      </c>
      <c r="H1020" s="253">
        <v>5.85</v>
      </c>
      <c r="I1020" s="246"/>
      <c r="J1020" s="253">
        <f t="shared" si="106"/>
        <v>22.82</v>
      </c>
      <c r="K1020" s="137"/>
      <c r="L1020" s="137"/>
      <c r="M1020" s="137"/>
      <c r="N1020" s="138"/>
      <c r="O1020" s="167"/>
      <c r="P1020" s="111"/>
      <c r="Q1020" s="111"/>
      <c r="R1020" s="111"/>
      <c r="S1020" s="111"/>
      <c r="T1020" s="111"/>
      <c r="U1020" s="111"/>
      <c r="V1020" s="111"/>
      <c r="W1020" s="111"/>
      <c r="X1020" s="111"/>
      <c r="Y1020" s="111"/>
      <c r="Z1020" s="111"/>
      <c r="AA1020" s="111"/>
    </row>
    <row r="1021" spans="1:27" s="118" customFormat="1" x14ac:dyDescent="0.2">
      <c r="A1021" s="6"/>
      <c r="B1021" s="6"/>
      <c r="C1021" s="155"/>
      <c r="D1021" s="2" t="s">
        <v>246</v>
      </c>
      <c r="E1021" s="148"/>
      <c r="F1021" s="253"/>
      <c r="G1021" s="253">
        <v>6.8</v>
      </c>
      <c r="H1021" s="253">
        <v>5.35</v>
      </c>
      <c r="I1021" s="246"/>
      <c r="J1021" s="253">
        <f t="shared" si="106"/>
        <v>36.380000000000003</v>
      </c>
      <c r="K1021" s="137"/>
      <c r="L1021" s="137"/>
      <c r="M1021" s="137"/>
      <c r="N1021" s="138"/>
      <c r="O1021" s="167"/>
      <c r="P1021" s="111"/>
      <c r="Q1021" s="111"/>
      <c r="R1021" s="111"/>
      <c r="S1021" s="111"/>
      <c r="T1021" s="111"/>
      <c r="U1021" s="111"/>
      <c r="V1021" s="111"/>
      <c r="W1021" s="111"/>
      <c r="X1021" s="111"/>
      <c r="Y1021" s="111"/>
      <c r="Z1021" s="111"/>
      <c r="AA1021" s="111"/>
    </row>
    <row r="1022" spans="1:27" s="118" customFormat="1" x14ac:dyDescent="0.2">
      <c r="A1022" s="6"/>
      <c r="B1022" s="6"/>
      <c r="C1022" s="155"/>
      <c r="D1022" s="2" t="s">
        <v>242</v>
      </c>
      <c r="E1022" s="148"/>
      <c r="F1022" s="253"/>
      <c r="G1022" s="253">
        <v>3.9</v>
      </c>
      <c r="H1022" s="253">
        <v>7.8</v>
      </c>
      <c r="I1022" s="246"/>
      <c r="J1022" s="253">
        <f t="shared" si="106"/>
        <v>30.42</v>
      </c>
      <c r="K1022" s="137"/>
      <c r="L1022" s="137"/>
      <c r="M1022" s="137"/>
      <c r="N1022" s="138"/>
      <c r="O1022" s="167"/>
      <c r="P1022" s="111"/>
      <c r="Q1022" s="111"/>
      <c r="R1022" s="111"/>
      <c r="S1022" s="111"/>
      <c r="T1022" s="111"/>
      <c r="U1022" s="111"/>
      <c r="V1022" s="111"/>
      <c r="W1022" s="111"/>
      <c r="X1022" s="111"/>
      <c r="Y1022" s="111"/>
      <c r="Z1022" s="111"/>
      <c r="AA1022" s="111"/>
    </row>
    <row r="1023" spans="1:27" s="118" customFormat="1" x14ac:dyDescent="0.2">
      <c r="A1023" s="6"/>
      <c r="B1023" s="6"/>
      <c r="C1023" s="156"/>
      <c r="D1023" s="108"/>
      <c r="E1023" s="148"/>
      <c r="F1023" s="253"/>
      <c r="G1023" s="253"/>
      <c r="H1023" s="253"/>
      <c r="I1023" s="246" t="str">
        <f>"Total item "&amp;A1016</f>
        <v>Total item 12.3.2</v>
      </c>
      <c r="J1023" s="261">
        <f>SUM(J1017:J1022)</f>
        <v>165.33999999999997</v>
      </c>
      <c r="K1023" s="137"/>
      <c r="L1023" s="137"/>
      <c r="M1023" s="137"/>
      <c r="N1023" s="138"/>
      <c r="O1023" s="167"/>
      <c r="P1023" s="111"/>
      <c r="Q1023" s="111"/>
      <c r="R1023" s="111"/>
      <c r="S1023" s="111"/>
      <c r="T1023" s="111"/>
      <c r="U1023" s="111"/>
      <c r="V1023" s="111"/>
      <c r="W1023" s="111"/>
      <c r="X1023" s="111"/>
      <c r="Y1023" s="111"/>
      <c r="Z1023" s="111"/>
      <c r="AA1023" s="111"/>
    </row>
    <row r="1024" spans="1:27" s="139" customFormat="1" x14ac:dyDescent="0.2">
      <c r="A1024" s="6"/>
      <c r="B1024" s="6"/>
      <c r="C1024" s="7"/>
      <c r="D1024" s="116"/>
      <c r="E1024" s="6"/>
      <c r="F1024" s="258"/>
      <c r="G1024" s="258"/>
      <c r="H1024" s="258"/>
      <c r="I1024" s="246"/>
      <c r="J1024" s="258"/>
      <c r="K1024" s="137"/>
      <c r="L1024" s="137"/>
      <c r="M1024" s="137"/>
      <c r="N1024" s="138"/>
      <c r="O1024" s="283"/>
      <c r="P1024" s="120"/>
      <c r="Q1024" s="120"/>
      <c r="R1024" s="120"/>
      <c r="S1024" s="120"/>
      <c r="T1024" s="120"/>
      <c r="U1024" s="120"/>
      <c r="V1024" s="120"/>
      <c r="W1024" s="120"/>
      <c r="X1024" s="120"/>
      <c r="Y1024" s="120"/>
      <c r="Z1024" s="120"/>
      <c r="AA1024" s="120"/>
    </row>
    <row r="1025" spans="1:27" s="241" customFormat="1" ht="13.2" x14ac:dyDescent="0.25">
      <c r="A1025" s="236" t="s">
        <v>161</v>
      </c>
      <c r="B1025" s="236"/>
      <c r="C1025" s="237"/>
      <c r="D1025" s="289" t="s">
        <v>222</v>
      </c>
      <c r="E1025" s="236"/>
      <c r="F1025" s="259"/>
      <c r="G1025" s="259"/>
      <c r="H1025" s="259"/>
      <c r="I1025" s="247"/>
      <c r="J1025" s="259"/>
      <c r="K1025" s="238"/>
      <c r="L1025" s="238"/>
      <c r="M1025" s="238"/>
      <c r="N1025" s="239" t="e">
        <f>N1027+N1082+N1096+N1110+N1117</f>
        <v>#VALUE!</v>
      </c>
      <c r="O1025" s="284" t="e">
        <f>N1025/$N$2057</f>
        <v>#VALUE!</v>
      </c>
      <c r="P1025" s="240" t="s">
        <v>533</v>
      </c>
      <c r="Q1025" s="240" t="s">
        <v>533</v>
      </c>
      <c r="R1025" s="240"/>
      <c r="S1025" s="240"/>
      <c r="T1025" s="240"/>
      <c r="U1025" s="240"/>
      <c r="V1025" s="240"/>
      <c r="W1025" s="240"/>
      <c r="X1025" s="240"/>
      <c r="Y1025" s="240"/>
      <c r="Z1025" s="240"/>
      <c r="AA1025" s="240"/>
    </row>
    <row r="1026" spans="1:27" s="139" customFormat="1" x14ac:dyDescent="0.2">
      <c r="A1026" s="6"/>
      <c r="B1026" s="6"/>
      <c r="C1026" s="7"/>
      <c r="D1026" s="116"/>
      <c r="E1026" s="6"/>
      <c r="F1026" s="258"/>
      <c r="G1026" s="258"/>
      <c r="H1026" s="258"/>
      <c r="I1026" s="246"/>
      <c r="J1026" s="258"/>
      <c r="K1026" s="137"/>
      <c r="L1026" s="137"/>
      <c r="M1026" s="137"/>
      <c r="N1026" s="138"/>
      <c r="O1026" s="283"/>
      <c r="P1026" s="120"/>
      <c r="Q1026" s="120"/>
      <c r="R1026" s="120"/>
      <c r="S1026" s="120"/>
      <c r="T1026" s="120"/>
      <c r="U1026" s="120"/>
      <c r="V1026" s="120"/>
      <c r="W1026" s="120"/>
      <c r="X1026" s="120"/>
      <c r="Y1026" s="120"/>
      <c r="Z1026" s="120"/>
      <c r="AA1026" s="120"/>
    </row>
    <row r="1027" spans="1:27" s="145" customFormat="1" x14ac:dyDescent="0.2">
      <c r="A1027" s="140" t="s">
        <v>207</v>
      </c>
      <c r="B1027" s="140"/>
      <c r="C1027" s="141"/>
      <c r="D1027" s="112" t="s">
        <v>30</v>
      </c>
      <c r="E1027" s="140"/>
      <c r="F1027" s="260"/>
      <c r="G1027" s="260"/>
      <c r="H1027" s="260"/>
      <c r="I1027" s="248"/>
      <c r="J1027" s="260"/>
      <c r="K1027" s="142"/>
      <c r="L1027" s="142"/>
      <c r="M1027" s="142"/>
      <c r="N1027" s="143" t="e">
        <f>SUM(N1029:N1080)</f>
        <v>#VALUE!</v>
      </c>
      <c r="O1027" s="285"/>
      <c r="P1027" s="144"/>
      <c r="Q1027" s="144"/>
      <c r="R1027" s="144"/>
      <c r="S1027" s="144"/>
      <c r="T1027" s="144"/>
      <c r="U1027" s="144"/>
      <c r="V1027" s="144"/>
      <c r="W1027" s="144"/>
      <c r="X1027" s="144"/>
      <c r="Y1027" s="144"/>
      <c r="Z1027" s="144"/>
      <c r="AA1027" s="144"/>
    </row>
    <row r="1028" spans="1:27" s="139" customFormat="1" x14ac:dyDescent="0.2">
      <c r="A1028" s="6"/>
      <c r="B1028" s="6"/>
      <c r="C1028" s="7"/>
      <c r="D1028" s="116"/>
      <c r="E1028" s="6"/>
      <c r="F1028" s="258"/>
      <c r="G1028" s="258"/>
      <c r="H1028" s="258"/>
      <c r="I1028" s="246"/>
      <c r="J1028" s="258"/>
      <c r="K1028" s="137"/>
      <c r="L1028" s="137"/>
      <c r="M1028" s="137"/>
      <c r="N1028" s="138"/>
      <c r="O1028" s="283"/>
      <c r="P1028" s="120"/>
      <c r="Q1028" s="120"/>
      <c r="R1028" s="120"/>
      <c r="S1028" s="120"/>
      <c r="T1028" s="120"/>
      <c r="U1028" s="120"/>
      <c r="V1028" s="120"/>
      <c r="W1028" s="120"/>
      <c r="X1028" s="120"/>
      <c r="Y1028" s="120"/>
      <c r="Z1028" s="120"/>
      <c r="AA1028" s="120"/>
    </row>
    <row r="1029" spans="1:27" s="147" customFormat="1" ht="30.6" x14ac:dyDescent="0.2">
      <c r="A1029" s="9" t="s">
        <v>630</v>
      </c>
      <c r="B1029" s="9" t="s">
        <v>163</v>
      </c>
      <c r="C1029" s="13" t="s">
        <v>240</v>
      </c>
      <c r="D1029" s="113" t="s">
        <v>241</v>
      </c>
      <c r="E1029" s="9" t="s">
        <v>31</v>
      </c>
      <c r="F1029" s="261"/>
      <c r="G1029" s="261"/>
      <c r="H1029" s="261"/>
      <c r="I1029" s="245"/>
      <c r="J1029" s="261"/>
      <c r="K1029" s="131">
        <f>J1033</f>
        <v>3</v>
      </c>
      <c r="L1029" s="131">
        <v>73.44</v>
      </c>
      <c r="M1029" s="131">
        <f>ROUND(L1029*(1+$Q$7),2)</f>
        <v>92.92</v>
      </c>
      <c r="N1029" s="133">
        <f>TRUNC(K1029*M1029,2)</f>
        <v>278.76</v>
      </c>
      <c r="O1029" s="286"/>
      <c r="P1029" s="146"/>
      <c r="Q1029" s="146"/>
      <c r="R1029" s="146"/>
      <c r="S1029" s="146"/>
      <c r="T1029" s="146"/>
      <c r="U1029" s="146"/>
      <c r="V1029" s="146"/>
      <c r="W1029" s="146"/>
      <c r="X1029" s="146"/>
      <c r="Y1029" s="146"/>
      <c r="Z1029" s="146"/>
      <c r="AA1029" s="146"/>
    </row>
    <row r="1030" spans="1:27" s="118" customFormat="1" x14ac:dyDescent="0.2">
      <c r="A1030" s="6"/>
      <c r="B1030" s="6"/>
      <c r="C1030" s="155"/>
      <c r="D1030" s="2" t="s">
        <v>345</v>
      </c>
      <c r="E1030" s="148"/>
      <c r="F1030" s="253">
        <v>1</v>
      </c>
      <c r="G1030" s="253"/>
      <c r="H1030" s="253"/>
      <c r="I1030" s="246"/>
      <c r="J1030" s="253">
        <f>ROUND(PRODUCT(F1030:I1030),2)</f>
        <v>1</v>
      </c>
      <c r="K1030" s="137"/>
      <c r="L1030" s="137"/>
      <c r="M1030" s="137"/>
      <c r="N1030" s="138"/>
      <c r="O1030" s="167"/>
      <c r="P1030" s="111"/>
      <c r="Q1030" s="111"/>
      <c r="R1030" s="111"/>
      <c r="S1030" s="111"/>
      <c r="T1030" s="111"/>
      <c r="U1030" s="111"/>
      <c r="V1030" s="111"/>
      <c r="W1030" s="111"/>
      <c r="X1030" s="111"/>
      <c r="Y1030" s="111"/>
      <c r="Z1030" s="111"/>
      <c r="AA1030" s="111"/>
    </row>
    <row r="1031" spans="1:27" s="118" customFormat="1" x14ac:dyDescent="0.2">
      <c r="A1031" s="6"/>
      <c r="B1031" s="6"/>
      <c r="C1031" s="155"/>
      <c r="D1031" s="2" t="s">
        <v>346</v>
      </c>
      <c r="E1031" s="148"/>
      <c r="F1031" s="253">
        <v>1</v>
      </c>
      <c r="G1031" s="253"/>
      <c r="H1031" s="253"/>
      <c r="I1031" s="246"/>
      <c r="J1031" s="253">
        <f t="shared" ref="J1031:J1032" si="107">ROUND(PRODUCT(F1031:I1031),2)</f>
        <v>1</v>
      </c>
      <c r="K1031" s="137"/>
      <c r="L1031" s="137"/>
      <c r="M1031" s="137"/>
      <c r="N1031" s="138"/>
      <c r="O1031" s="167"/>
      <c r="P1031" s="111"/>
      <c r="Q1031" s="111"/>
      <c r="R1031" s="111"/>
      <c r="S1031" s="111"/>
      <c r="T1031" s="111"/>
      <c r="U1031" s="111"/>
      <c r="V1031" s="111"/>
      <c r="W1031" s="111"/>
      <c r="X1031" s="111"/>
      <c r="Y1031" s="111"/>
      <c r="Z1031" s="111"/>
      <c r="AA1031" s="111"/>
    </row>
    <row r="1032" spans="1:27" s="118" customFormat="1" x14ac:dyDescent="0.2">
      <c r="A1032" s="6"/>
      <c r="B1032" s="6"/>
      <c r="C1032" s="155"/>
      <c r="D1032" s="2" t="s">
        <v>164</v>
      </c>
      <c r="E1032" s="148"/>
      <c r="F1032" s="253">
        <v>1</v>
      </c>
      <c r="G1032" s="253"/>
      <c r="H1032" s="253"/>
      <c r="I1032" s="246"/>
      <c r="J1032" s="253">
        <f t="shared" si="107"/>
        <v>1</v>
      </c>
      <c r="K1032" s="137"/>
      <c r="L1032" s="137"/>
      <c r="M1032" s="137"/>
      <c r="N1032" s="138"/>
      <c r="O1032" s="167"/>
      <c r="P1032" s="111"/>
      <c r="Q1032" s="111"/>
      <c r="R1032" s="111"/>
      <c r="S1032" s="111"/>
      <c r="T1032" s="111"/>
      <c r="U1032" s="111"/>
      <c r="V1032" s="111"/>
      <c r="W1032" s="111"/>
      <c r="X1032" s="111"/>
      <c r="Y1032" s="111"/>
      <c r="Z1032" s="111"/>
      <c r="AA1032" s="111"/>
    </row>
    <row r="1033" spans="1:27" s="118" customFormat="1" x14ac:dyDescent="0.2">
      <c r="A1033" s="6"/>
      <c r="B1033" s="6"/>
      <c r="C1033" s="156"/>
      <c r="D1033" s="108"/>
      <c r="E1033" s="148"/>
      <c r="F1033" s="253"/>
      <c r="G1033" s="253"/>
      <c r="H1033" s="253"/>
      <c r="I1033" s="246" t="str">
        <f>"Total item "&amp;A1029</f>
        <v>Total item 13.1.1</v>
      </c>
      <c r="J1033" s="261">
        <f>SUM(J1030:J1032)</f>
        <v>3</v>
      </c>
      <c r="K1033" s="137"/>
      <c r="L1033" s="137"/>
      <c r="M1033" s="137"/>
      <c r="N1033" s="138"/>
      <c r="O1033" s="167"/>
      <c r="P1033" s="111"/>
      <c r="Q1033" s="111"/>
      <c r="R1033" s="111"/>
      <c r="S1033" s="111"/>
      <c r="T1033" s="111"/>
      <c r="U1033" s="111"/>
      <c r="V1033" s="111"/>
      <c r="W1033" s="111"/>
      <c r="X1033" s="111"/>
      <c r="Y1033" s="111"/>
      <c r="Z1033" s="111"/>
      <c r="AA1033" s="111"/>
    </row>
    <row r="1034" spans="1:27" s="154" customFormat="1" x14ac:dyDescent="0.2">
      <c r="A1034" s="10"/>
      <c r="B1034" s="10"/>
      <c r="C1034" s="15"/>
      <c r="D1034" s="117"/>
      <c r="E1034" s="10"/>
      <c r="F1034" s="263"/>
      <c r="G1034" s="263"/>
      <c r="H1034" s="263"/>
      <c r="I1034" s="250"/>
      <c r="J1034" s="263"/>
      <c r="K1034" s="151"/>
      <c r="L1034" s="151"/>
      <c r="M1034" s="151"/>
      <c r="N1034" s="152"/>
      <c r="O1034" s="283"/>
      <c r="P1034" s="153"/>
      <c r="Q1034" s="153"/>
      <c r="R1034" s="153"/>
      <c r="S1034" s="153"/>
      <c r="T1034" s="153"/>
      <c r="U1034" s="153"/>
      <c r="V1034" s="153"/>
      <c r="W1034" s="153"/>
      <c r="X1034" s="153"/>
      <c r="Y1034" s="153"/>
      <c r="Z1034" s="153"/>
      <c r="AA1034" s="153"/>
    </row>
    <row r="1035" spans="1:27" s="147" customFormat="1" ht="61.2" x14ac:dyDescent="0.2">
      <c r="A1035" s="9" t="s">
        <v>631</v>
      </c>
      <c r="B1035" s="9" t="s">
        <v>179</v>
      </c>
      <c r="C1035" s="13" t="s">
        <v>417</v>
      </c>
      <c r="D1035" s="113" t="s">
        <v>561</v>
      </c>
      <c r="E1035" s="9" t="s">
        <v>31</v>
      </c>
      <c r="F1035" s="261"/>
      <c r="G1035" s="261"/>
      <c r="H1035" s="261"/>
      <c r="I1035" s="245"/>
      <c r="J1035" s="261"/>
      <c r="K1035" s="131">
        <f>J1041</f>
        <v>6</v>
      </c>
      <c r="L1035" s="131" t="e">
        <f>'COMPOSICOES - SINAPI COM DESON'!G36</f>
        <v>#VALUE!</v>
      </c>
      <c r="M1035" s="131" t="e">
        <f>ROUND(L1035*(1+$Q$7),2)</f>
        <v>#VALUE!</v>
      </c>
      <c r="N1035" s="133" t="e">
        <f>TRUNC(K1035*M1035,2)</f>
        <v>#VALUE!</v>
      </c>
      <c r="O1035" s="286"/>
      <c r="P1035" s="146"/>
      <c r="Q1035" s="146"/>
      <c r="R1035" s="146"/>
      <c r="S1035" s="146"/>
      <c r="T1035" s="146"/>
      <c r="U1035" s="146"/>
      <c r="V1035" s="146"/>
      <c r="W1035" s="146"/>
      <c r="X1035" s="146"/>
      <c r="Y1035" s="146"/>
      <c r="Z1035" s="146"/>
      <c r="AA1035" s="146"/>
    </row>
    <row r="1036" spans="1:27" s="118" customFormat="1" x14ac:dyDescent="0.2">
      <c r="A1036" s="6"/>
      <c r="B1036" s="6"/>
      <c r="C1036" s="155"/>
      <c r="D1036" s="2" t="s">
        <v>348</v>
      </c>
      <c r="E1036" s="148"/>
      <c r="F1036" s="253">
        <v>1</v>
      </c>
      <c r="G1036" s="253"/>
      <c r="H1036" s="253"/>
      <c r="I1036" s="246"/>
      <c r="J1036" s="253">
        <f>ROUND(PRODUCT(F1036:I1036),2)</f>
        <v>1</v>
      </c>
      <c r="K1036" s="137"/>
      <c r="L1036" s="137"/>
      <c r="M1036" s="137"/>
      <c r="N1036" s="138"/>
      <c r="O1036" s="167"/>
      <c r="P1036" s="111"/>
      <c r="Q1036" s="111"/>
      <c r="R1036" s="111"/>
      <c r="S1036" s="111"/>
      <c r="T1036" s="111"/>
      <c r="U1036" s="111"/>
      <c r="V1036" s="111"/>
      <c r="W1036" s="111"/>
      <c r="X1036" s="111"/>
      <c r="Y1036" s="111"/>
      <c r="Z1036" s="111"/>
      <c r="AA1036" s="111"/>
    </row>
    <row r="1037" spans="1:27" s="118" customFormat="1" x14ac:dyDescent="0.2">
      <c r="A1037" s="6"/>
      <c r="B1037" s="6"/>
      <c r="C1037" s="155"/>
      <c r="D1037" s="2" t="s">
        <v>253</v>
      </c>
      <c r="E1037" s="148"/>
      <c r="F1037" s="253">
        <v>1</v>
      </c>
      <c r="G1037" s="253"/>
      <c r="H1037" s="253"/>
      <c r="I1037" s="246"/>
      <c r="J1037" s="253">
        <f t="shared" ref="J1037:J1040" si="108">ROUND(PRODUCT(F1037:I1037),2)</f>
        <v>1</v>
      </c>
      <c r="K1037" s="137"/>
      <c r="L1037" s="137"/>
      <c r="M1037" s="137"/>
      <c r="N1037" s="138"/>
      <c r="O1037" s="167"/>
      <c r="P1037" s="111"/>
      <c r="Q1037" s="111"/>
      <c r="R1037" s="111"/>
      <c r="S1037" s="111"/>
      <c r="T1037" s="111"/>
      <c r="U1037" s="111"/>
      <c r="V1037" s="111"/>
      <c r="W1037" s="111"/>
      <c r="X1037" s="111"/>
      <c r="Y1037" s="111"/>
      <c r="Z1037" s="111"/>
      <c r="AA1037" s="111"/>
    </row>
    <row r="1038" spans="1:27" s="118" customFormat="1" x14ac:dyDescent="0.2">
      <c r="A1038" s="6"/>
      <c r="B1038" s="6"/>
      <c r="C1038" s="155"/>
      <c r="D1038" s="2" t="s">
        <v>257</v>
      </c>
      <c r="E1038" s="148"/>
      <c r="F1038" s="253">
        <v>1</v>
      </c>
      <c r="G1038" s="253"/>
      <c r="H1038" s="253"/>
      <c r="I1038" s="246"/>
      <c r="J1038" s="253">
        <f t="shared" si="108"/>
        <v>1</v>
      </c>
      <c r="K1038" s="137"/>
      <c r="L1038" s="137"/>
      <c r="M1038" s="137"/>
      <c r="N1038" s="138"/>
      <c r="O1038" s="167"/>
      <c r="P1038" s="111"/>
      <c r="Q1038" s="111"/>
      <c r="R1038" s="111"/>
      <c r="S1038" s="111"/>
      <c r="T1038" s="111"/>
      <c r="U1038" s="111"/>
      <c r="V1038" s="111"/>
      <c r="W1038" s="111"/>
      <c r="X1038" s="111"/>
      <c r="Y1038" s="111"/>
      <c r="Z1038" s="111"/>
      <c r="AA1038" s="111"/>
    </row>
    <row r="1039" spans="1:27" s="118" customFormat="1" x14ac:dyDescent="0.2">
      <c r="A1039" s="6"/>
      <c r="B1039" s="6"/>
      <c r="C1039" s="155"/>
      <c r="D1039" s="2" t="s">
        <v>242</v>
      </c>
      <c r="E1039" s="148"/>
      <c r="F1039" s="253">
        <v>2</v>
      </c>
      <c r="G1039" s="253"/>
      <c r="H1039" s="253"/>
      <c r="I1039" s="246"/>
      <c r="J1039" s="253">
        <f t="shared" si="108"/>
        <v>2</v>
      </c>
      <c r="K1039" s="137"/>
      <c r="L1039" s="137"/>
      <c r="M1039" s="137"/>
      <c r="N1039" s="138"/>
      <c r="O1039" s="167"/>
      <c r="P1039" s="111"/>
      <c r="Q1039" s="111"/>
      <c r="R1039" s="111"/>
      <c r="S1039" s="111"/>
      <c r="T1039" s="111"/>
      <c r="U1039" s="111"/>
      <c r="V1039" s="111"/>
      <c r="W1039" s="111"/>
      <c r="X1039" s="111"/>
      <c r="Y1039" s="111"/>
      <c r="Z1039" s="111"/>
      <c r="AA1039" s="111"/>
    </row>
    <row r="1040" spans="1:27" s="118" customFormat="1" x14ac:dyDescent="0.2">
      <c r="A1040" s="6"/>
      <c r="B1040" s="6"/>
      <c r="C1040" s="155"/>
      <c r="D1040" s="2" t="s">
        <v>165</v>
      </c>
      <c r="E1040" s="148"/>
      <c r="F1040" s="253">
        <v>1</v>
      </c>
      <c r="G1040" s="253"/>
      <c r="H1040" s="253"/>
      <c r="I1040" s="246"/>
      <c r="J1040" s="253">
        <f t="shared" si="108"/>
        <v>1</v>
      </c>
      <c r="K1040" s="137"/>
      <c r="L1040" s="137"/>
      <c r="M1040" s="137"/>
      <c r="N1040" s="138"/>
      <c r="O1040" s="167"/>
      <c r="P1040" s="111"/>
      <c r="Q1040" s="111"/>
      <c r="R1040" s="111"/>
      <c r="S1040" s="111"/>
      <c r="T1040" s="111"/>
      <c r="U1040" s="111"/>
      <c r="V1040" s="111"/>
      <c r="W1040" s="111"/>
      <c r="X1040" s="111"/>
      <c r="Y1040" s="111"/>
      <c r="Z1040" s="111"/>
      <c r="AA1040" s="111"/>
    </row>
    <row r="1041" spans="1:27" s="118" customFormat="1" x14ac:dyDescent="0.2">
      <c r="A1041" s="6"/>
      <c r="B1041" s="6"/>
      <c r="C1041" s="156"/>
      <c r="D1041" s="108"/>
      <c r="E1041" s="148"/>
      <c r="F1041" s="253"/>
      <c r="G1041" s="253"/>
      <c r="H1041" s="253"/>
      <c r="I1041" s="246" t="str">
        <f>"Total item "&amp;A1035</f>
        <v>Total item 13.1.2</v>
      </c>
      <c r="J1041" s="261">
        <f>SUM(J1036:J1040)</f>
        <v>6</v>
      </c>
      <c r="K1041" s="137"/>
      <c r="L1041" s="137"/>
      <c r="M1041" s="137"/>
      <c r="N1041" s="138"/>
      <c r="O1041" s="167"/>
      <c r="P1041" s="111"/>
      <c r="Q1041" s="111"/>
      <c r="R1041" s="111"/>
      <c r="S1041" s="111"/>
      <c r="T1041" s="111"/>
      <c r="U1041" s="111"/>
      <c r="V1041" s="111"/>
      <c r="W1041" s="111"/>
      <c r="X1041" s="111"/>
      <c r="Y1041" s="111"/>
      <c r="Z1041" s="111"/>
      <c r="AA1041" s="111"/>
    </row>
    <row r="1042" spans="1:27" s="139" customFormat="1" x14ac:dyDescent="0.2">
      <c r="A1042" s="6"/>
      <c r="B1042" s="6"/>
      <c r="C1042" s="7"/>
      <c r="D1042" s="116"/>
      <c r="E1042" s="6"/>
      <c r="F1042" s="258"/>
      <c r="G1042" s="258"/>
      <c r="H1042" s="258"/>
      <c r="I1042" s="246"/>
      <c r="J1042" s="258"/>
      <c r="K1042" s="137"/>
      <c r="L1042" s="137"/>
      <c r="M1042" s="137"/>
      <c r="N1042" s="138"/>
      <c r="O1042" s="283"/>
      <c r="P1042" s="120"/>
      <c r="Q1042" s="120"/>
      <c r="R1042" s="120"/>
      <c r="S1042" s="120"/>
      <c r="T1042" s="120"/>
      <c r="U1042" s="120"/>
      <c r="V1042" s="120"/>
      <c r="W1042" s="120"/>
      <c r="X1042" s="120"/>
      <c r="Y1042" s="120"/>
      <c r="Z1042" s="120"/>
      <c r="AA1042" s="120"/>
    </row>
    <row r="1043" spans="1:27" s="147" customFormat="1" ht="51" x14ac:dyDescent="0.2">
      <c r="A1043" s="9" t="s">
        <v>632</v>
      </c>
      <c r="B1043" s="9" t="s">
        <v>163</v>
      </c>
      <c r="C1043" s="13" t="s">
        <v>244</v>
      </c>
      <c r="D1043" s="113" t="s">
        <v>245</v>
      </c>
      <c r="E1043" s="9" t="s">
        <v>31</v>
      </c>
      <c r="F1043" s="261"/>
      <c r="G1043" s="261"/>
      <c r="H1043" s="261"/>
      <c r="I1043" s="245"/>
      <c r="J1043" s="261"/>
      <c r="K1043" s="131">
        <f>J1049</f>
        <v>6</v>
      </c>
      <c r="L1043" s="131">
        <v>116.08</v>
      </c>
      <c r="M1043" s="131">
        <f>ROUND(L1043*(1+$Q$7),2)</f>
        <v>146.88</v>
      </c>
      <c r="N1043" s="133">
        <f>TRUNC(K1043*M1043,2)</f>
        <v>881.28</v>
      </c>
      <c r="O1043" s="286"/>
      <c r="P1043" s="146"/>
      <c r="Q1043" s="146"/>
      <c r="R1043" s="146"/>
      <c r="S1043" s="146"/>
      <c r="T1043" s="146"/>
      <c r="U1043" s="146"/>
      <c r="V1043" s="146"/>
      <c r="W1043" s="146"/>
      <c r="X1043" s="146"/>
      <c r="Y1043" s="146"/>
      <c r="Z1043" s="146"/>
      <c r="AA1043" s="146"/>
    </row>
    <row r="1044" spans="1:27" s="118" customFormat="1" x14ac:dyDescent="0.2">
      <c r="A1044" s="6"/>
      <c r="B1044" s="6"/>
      <c r="C1044" s="155"/>
      <c r="D1044" s="2" t="s">
        <v>348</v>
      </c>
      <c r="E1044" s="148"/>
      <c r="F1044" s="253">
        <v>1</v>
      </c>
      <c r="G1044" s="253"/>
      <c r="H1044" s="253"/>
      <c r="I1044" s="246"/>
      <c r="J1044" s="253">
        <f>ROUND(PRODUCT(F1044:I1044),2)</f>
        <v>1</v>
      </c>
      <c r="K1044" s="137"/>
      <c r="L1044" s="137"/>
      <c r="M1044" s="137"/>
      <c r="N1044" s="138"/>
      <c r="O1044" s="167"/>
      <c r="P1044" s="111"/>
      <c r="Q1044" s="111"/>
      <c r="R1044" s="111"/>
      <c r="S1044" s="111"/>
      <c r="T1044" s="111"/>
      <c r="U1044" s="111"/>
      <c r="V1044" s="111"/>
      <c r="W1044" s="111"/>
      <c r="X1044" s="111"/>
      <c r="Y1044" s="111"/>
      <c r="Z1044" s="111"/>
      <c r="AA1044" s="111"/>
    </row>
    <row r="1045" spans="1:27" s="118" customFormat="1" x14ac:dyDescent="0.2">
      <c r="A1045" s="6"/>
      <c r="B1045" s="6"/>
      <c r="C1045" s="155"/>
      <c r="D1045" s="2" t="s">
        <v>253</v>
      </c>
      <c r="E1045" s="148"/>
      <c r="F1045" s="253">
        <v>1</v>
      </c>
      <c r="G1045" s="253"/>
      <c r="H1045" s="253"/>
      <c r="I1045" s="246"/>
      <c r="J1045" s="253">
        <f t="shared" ref="J1045:J1048" si="109">ROUND(PRODUCT(F1045:I1045),2)</f>
        <v>1</v>
      </c>
      <c r="K1045" s="137"/>
      <c r="L1045" s="137"/>
      <c r="M1045" s="137"/>
      <c r="N1045" s="138"/>
      <c r="O1045" s="167"/>
      <c r="P1045" s="111"/>
      <c r="Q1045" s="111"/>
      <c r="R1045" s="111"/>
      <c r="S1045" s="111"/>
      <c r="T1045" s="111"/>
      <c r="U1045" s="111"/>
      <c r="V1045" s="111"/>
      <c r="W1045" s="111"/>
      <c r="X1045" s="111"/>
      <c r="Y1045" s="111"/>
      <c r="Z1045" s="111"/>
      <c r="AA1045" s="111"/>
    </row>
    <row r="1046" spans="1:27" s="118" customFormat="1" x14ac:dyDescent="0.2">
      <c r="A1046" s="6"/>
      <c r="B1046" s="6"/>
      <c r="C1046" s="155"/>
      <c r="D1046" s="2" t="s">
        <v>257</v>
      </c>
      <c r="E1046" s="148"/>
      <c r="F1046" s="253">
        <v>1</v>
      </c>
      <c r="G1046" s="253"/>
      <c r="H1046" s="253"/>
      <c r="I1046" s="246"/>
      <c r="J1046" s="253">
        <f t="shared" si="109"/>
        <v>1</v>
      </c>
      <c r="K1046" s="137"/>
      <c r="L1046" s="137"/>
      <c r="M1046" s="137"/>
      <c r="N1046" s="138"/>
      <c r="O1046" s="167"/>
      <c r="P1046" s="111"/>
      <c r="Q1046" s="111"/>
      <c r="R1046" s="111"/>
      <c r="S1046" s="111"/>
      <c r="T1046" s="111"/>
      <c r="U1046" s="111"/>
      <c r="V1046" s="111"/>
      <c r="W1046" s="111"/>
      <c r="X1046" s="111"/>
      <c r="Y1046" s="111"/>
      <c r="Z1046" s="111"/>
      <c r="AA1046" s="111"/>
    </row>
    <row r="1047" spans="1:27" s="118" customFormat="1" x14ac:dyDescent="0.2">
      <c r="A1047" s="6"/>
      <c r="B1047" s="6"/>
      <c r="C1047" s="155"/>
      <c r="D1047" s="2" t="s">
        <v>242</v>
      </c>
      <c r="E1047" s="148"/>
      <c r="F1047" s="253">
        <v>2</v>
      </c>
      <c r="G1047" s="253"/>
      <c r="H1047" s="253"/>
      <c r="I1047" s="246"/>
      <c r="J1047" s="253">
        <f t="shared" si="109"/>
        <v>2</v>
      </c>
      <c r="K1047" s="137"/>
      <c r="L1047" s="137"/>
      <c r="M1047" s="137"/>
      <c r="N1047" s="138"/>
      <c r="O1047" s="167"/>
      <c r="P1047" s="111"/>
      <c r="Q1047" s="111"/>
      <c r="R1047" s="111"/>
      <c r="S1047" s="111"/>
      <c r="T1047" s="111"/>
      <c r="U1047" s="111"/>
      <c r="V1047" s="111"/>
      <c r="W1047" s="111"/>
      <c r="X1047" s="111"/>
      <c r="Y1047" s="111"/>
      <c r="Z1047" s="111"/>
      <c r="AA1047" s="111"/>
    </row>
    <row r="1048" spans="1:27" s="118" customFormat="1" x14ac:dyDescent="0.2">
      <c r="A1048" s="6"/>
      <c r="B1048" s="6"/>
      <c r="C1048" s="155"/>
      <c r="D1048" s="2" t="s">
        <v>165</v>
      </c>
      <c r="E1048" s="148"/>
      <c r="F1048" s="253">
        <v>1</v>
      </c>
      <c r="G1048" s="253"/>
      <c r="H1048" s="253"/>
      <c r="I1048" s="246"/>
      <c r="J1048" s="253">
        <f t="shared" si="109"/>
        <v>1</v>
      </c>
      <c r="K1048" s="137"/>
      <c r="L1048" s="137"/>
      <c r="M1048" s="137"/>
      <c r="N1048" s="138"/>
      <c r="O1048" s="167"/>
      <c r="P1048" s="111"/>
      <c r="Q1048" s="111"/>
      <c r="R1048" s="111"/>
      <c r="S1048" s="111"/>
      <c r="T1048" s="111"/>
      <c r="U1048" s="111"/>
      <c r="V1048" s="111"/>
      <c r="W1048" s="111"/>
      <c r="X1048" s="111"/>
      <c r="Y1048" s="111"/>
      <c r="Z1048" s="111"/>
      <c r="AA1048" s="111"/>
    </row>
    <row r="1049" spans="1:27" s="118" customFormat="1" x14ac:dyDescent="0.2">
      <c r="A1049" s="6"/>
      <c r="B1049" s="6"/>
      <c r="C1049" s="156"/>
      <c r="D1049" s="108"/>
      <c r="E1049" s="148"/>
      <c r="F1049" s="253"/>
      <c r="G1049" s="253"/>
      <c r="H1049" s="253"/>
      <c r="I1049" s="246" t="str">
        <f>"Total item "&amp;A1043</f>
        <v>Total item 13.1.3</v>
      </c>
      <c r="J1049" s="261">
        <f>SUM(J1044:J1048)</f>
        <v>6</v>
      </c>
      <c r="K1049" s="137"/>
      <c r="L1049" s="137"/>
      <c r="M1049" s="137"/>
      <c r="N1049" s="138"/>
      <c r="O1049" s="167"/>
      <c r="P1049" s="111"/>
      <c r="Q1049" s="111"/>
      <c r="R1049" s="111"/>
      <c r="S1049" s="111"/>
      <c r="T1049" s="111"/>
      <c r="U1049" s="111"/>
      <c r="V1049" s="111"/>
      <c r="W1049" s="111"/>
      <c r="X1049" s="111"/>
      <c r="Y1049" s="111"/>
      <c r="Z1049" s="111"/>
      <c r="AA1049" s="111"/>
    </row>
    <row r="1050" spans="1:27" s="139" customFormat="1" x14ac:dyDescent="0.2">
      <c r="A1050" s="6"/>
      <c r="B1050" s="6"/>
      <c r="C1050" s="7"/>
      <c r="D1050" s="116"/>
      <c r="E1050" s="6"/>
      <c r="F1050" s="258"/>
      <c r="G1050" s="258"/>
      <c r="H1050" s="258"/>
      <c r="I1050" s="246"/>
      <c r="J1050" s="258"/>
      <c r="K1050" s="137"/>
      <c r="L1050" s="137"/>
      <c r="M1050" s="137"/>
      <c r="N1050" s="138"/>
      <c r="O1050" s="283"/>
      <c r="P1050" s="120"/>
      <c r="Q1050" s="120"/>
      <c r="R1050" s="120"/>
      <c r="S1050" s="120"/>
      <c r="T1050" s="120"/>
      <c r="U1050" s="120"/>
      <c r="V1050" s="120"/>
      <c r="W1050" s="120"/>
      <c r="X1050" s="120"/>
      <c r="Y1050" s="120"/>
      <c r="Z1050" s="120"/>
      <c r="AA1050" s="120"/>
    </row>
    <row r="1051" spans="1:27" s="147" customFormat="1" ht="30.6" x14ac:dyDescent="0.2">
      <c r="A1051" s="9" t="s">
        <v>633</v>
      </c>
      <c r="B1051" s="9" t="s">
        <v>179</v>
      </c>
      <c r="C1051" s="13" t="s">
        <v>672</v>
      </c>
      <c r="D1051" s="113" t="s">
        <v>567</v>
      </c>
      <c r="E1051" s="9" t="s">
        <v>33</v>
      </c>
      <c r="F1051" s="261"/>
      <c r="G1051" s="261"/>
      <c r="H1051" s="261"/>
      <c r="I1051" s="245"/>
      <c r="J1051" s="261"/>
      <c r="K1051" s="131">
        <f>J1054</f>
        <v>2</v>
      </c>
      <c r="L1051" s="131">
        <f>'COMPOSICOES - SINAPI COM DESON'!G50</f>
        <v>104.48</v>
      </c>
      <c r="M1051" s="131">
        <f>ROUND(L1051*(1+$Q$7),2)</f>
        <v>132.19999999999999</v>
      </c>
      <c r="N1051" s="133">
        <f>TRUNC(K1051*M1051,2)</f>
        <v>264.39999999999998</v>
      </c>
      <c r="O1051" s="286"/>
      <c r="P1051" s="146"/>
      <c r="Q1051" s="146"/>
      <c r="R1051" s="146"/>
      <c r="S1051" s="146"/>
      <c r="T1051" s="146"/>
      <c r="U1051" s="146"/>
      <c r="V1051" s="146"/>
      <c r="W1051" s="146"/>
      <c r="X1051" s="146"/>
      <c r="Y1051" s="146"/>
      <c r="Z1051" s="146"/>
      <c r="AA1051" s="146"/>
    </row>
    <row r="1052" spans="1:27" s="174" customFormat="1" x14ac:dyDescent="0.2">
      <c r="A1052" s="170"/>
      <c r="B1052" s="170"/>
      <c r="C1052" s="171"/>
      <c r="D1052" s="2" t="s">
        <v>164</v>
      </c>
      <c r="E1052" s="170"/>
      <c r="F1052" s="253">
        <v>1</v>
      </c>
      <c r="G1052" s="253"/>
      <c r="H1052" s="253"/>
      <c r="I1052" s="249"/>
      <c r="J1052" s="253">
        <f t="shared" ref="J1052:J1053" si="110">ROUND(PRODUCT(F1052:I1052),2)</f>
        <v>1</v>
      </c>
      <c r="K1052" s="172"/>
      <c r="L1052" s="172"/>
      <c r="M1052" s="172"/>
      <c r="N1052" s="173"/>
      <c r="O1052" s="287"/>
      <c r="P1052" s="23"/>
      <c r="Q1052" s="23"/>
      <c r="R1052" s="23"/>
      <c r="S1052" s="23"/>
      <c r="T1052" s="23"/>
      <c r="U1052" s="23"/>
      <c r="V1052" s="23"/>
      <c r="W1052" s="23"/>
      <c r="X1052" s="23"/>
      <c r="Y1052" s="23"/>
      <c r="Z1052" s="23"/>
      <c r="AA1052" s="23"/>
    </row>
    <row r="1053" spans="1:27" s="174" customFormat="1" x14ac:dyDescent="0.2">
      <c r="A1053" s="170"/>
      <c r="B1053" s="170"/>
      <c r="C1053" s="171"/>
      <c r="D1053" s="2" t="s">
        <v>253</v>
      </c>
      <c r="E1053" s="170"/>
      <c r="F1053" s="253">
        <v>1</v>
      </c>
      <c r="G1053" s="253"/>
      <c r="H1053" s="253"/>
      <c r="I1053" s="249"/>
      <c r="J1053" s="253">
        <f t="shared" si="110"/>
        <v>1</v>
      </c>
      <c r="K1053" s="172"/>
      <c r="L1053" s="172"/>
      <c r="M1053" s="172"/>
      <c r="N1053" s="173"/>
      <c r="O1053" s="287"/>
      <c r="P1053" s="23"/>
      <c r="Q1053" s="23"/>
      <c r="R1053" s="23"/>
      <c r="S1053" s="23"/>
      <c r="T1053" s="23"/>
      <c r="U1053" s="23"/>
      <c r="V1053" s="23"/>
      <c r="W1053" s="23"/>
      <c r="X1053" s="23"/>
      <c r="Y1053" s="23"/>
      <c r="Z1053" s="23"/>
      <c r="AA1053" s="23"/>
    </row>
    <row r="1054" spans="1:27" s="174" customFormat="1" x14ac:dyDescent="0.2">
      <c r="A1054" s="170"/>
      <c r="B1054" s="170"/>
      <c r="C1054" s="171"/>
      <c r="D1054" s="175"/>
      <c r="E1054" s="176"/>
      <c r="F1054" s="264"/>
      <c r="G1054" s="264"/>
      <c r="H1054" s="264"/>
      <c r="I1054" s="251" t="str">
        <f>"Total item "&amp;A1051</f>
        <v>Total item 13.1.4</v>
      </c>
      <c r="J1054" s="261">
        <f>SUM(J1052:J1053)</f>
        <v>2</v>
      </c>
      <c r="K1054" s="172"/>
      <c r="L1054" s="172"/>
      <c r="M1054" s="172"/>
      <c r="N1054" s="173"/>
      <c r="O1054" s="287"/>
      <c r="P1054" s="23"/>
      <c r="Q1054" s="23"/>
      <c r="R1054" s="23"/>
      <c r="S1054" s="23"/>
      <c r="T1054" s="23"/>
      <c r="U1054" s="23"/>
      <c r="V1054" s="23"/>
      <c r="W1054" s="23"/>
      <c r="X1054" s="23"/>
      <c r="Y1054" s="23"/>
      <c r="Z1054" s="23"/>
      <c r="AA1054" s="23"/>
    </row>
    <row r="1055" spans="1:27" s="174" customFormat="1" x14ac:dyDescent="0.2">
      <c r="A1055" s="170"/>
      <c r="B1055" s="170"/>
      <c r="C1055" s="171"/>
      <c r="D1055" s="175"/>
      <c r="E1055" s="176"/>
      <c r="F1055" s="264"/>
      <c r="G1055" s="264"/>
      <c r="H1055" s="264"/>
      <c r="I1055" s="251"/>
      <c r="J1055" s="262"/>
      <c r="K1055" s="172"/>
      <c r="L1055" s="172"/>
      <c r="M1055" s="172"/>
      <c r="N1055" s="173"/>
      <c r="O1055" s="287"/>
      <c r="P1055" s="23"/>
      <c r="Q1055" s="23"/>
      <c r="R1055" s="23"/>
      <c r="S1055" s="23"/>
      <c r="T1055" s="23"/>
      <c r="U1055" s="23"/>
      <c r="V1055" s="23"/>
      <c r="W1055" s="23"/>
      <c r="X1055" s="23"/>
      <c r="Y1055" s="23"/>
      <c r="Z1055" s="23"/>
      <c r="AA1055" s="23"/>
    </row>
    <row r="1056" spans="1:27" s="147" customFormat="1" ht="40.799999999999997" x14ac:dyDescent="0.2">
      <c r="A1056" s="9" t="s">
        <v>816</v>
      </c>
      <c r="B1056" s="9" t="s">
        <v>89</v>
      </c>
      <c r="C1056" s="13">
        <v>93144</v>
      </c>
      <c r="D1056" s="113" t="s">
        <v>295</v>
      </c>
      <c r="E1056" s="9" t="s">
        <v>33</v>
      </c>
      <c r="F1056" s="261"/>
      <c r="G1056" s="261"/>
      <c r="H1056" s="261"/>
      <c r="I1056" s="245"/>
      <c r="J1056" s="261"/>
      <c r="K1056" s="131">
        <f>J1063</f>
        <v>5</v>
      </c>
      <c r="L1056" s="131">
        <v>166.81</v>
      </c>
      <c r="M1056" s="131">
        <f>ROUND(L1056*(1+$Q$7),2)</f>
        <v>211.06</v>
      </c>
      <c r="N1056" s="133">
        <f>TRUNC(K1056*M1056,2)</f>
        <v>1055.3</v>
      </c>
      <c r="O1056" s="286"/>
      <c r="P1056" s="146"/>
      <c r="Q1056" s="146"/>
      <c r="R1056" s="146"/>
      <c r="S1056" s="146"/>
      <c r="T1056" s="146"/>
      <c r="U1056" s="146"/>
      <c r="V1056" s="146"/>
      <c r="W1056" s="146"/>
      <c r="X1056" s="146"/>
      <c r="Y1056" s="146"/>
      <c r="Z1056" s="146"/>
      <c r="AA1056" s="146"/>
    </row>
    <row r="1057" spans="1:27" s="118" customFormat="1" x14ac:dyDescent="0.2">
      <c r="A1057" s="6"/>
      <c r="B1057" s="6"/>
      <c r="C1057" s="155"/>
      <c r="D1057" s="3" t="s">
        <v>296</v>
      </c>
      <c r="E1057" s="148"/>
      <c r="F1057" s="253"/>
      <c r="G1057" s="253"/>
      <c r="H1057" s="253"/>
      <c r="I1057" s="246"/>
      <c r="J1057" s="253"/>
      <c r="K1057" s="137"/>
      <c r="L1057" s="137"/>
      <c r="M1057" s="137"/>
      <c r="N1057" s="138"/>
      <c r="O1057" s="167"/>
      <c r="P1057" s="111"/>
      <c r="Q1057" s="111"/>
      <c r="R1057" s="111"/>
      <c r="S1057" s="111"/>
      <c r="T1057" s="111"/>
      <c r="U1057" s="111"/>
      <c r="V1057" s="111"/>
      <c r="W1057" s="111"/>
      <c r="X1057" s="111"/>
      <c r="Y1057" s="111"/>
      <c r="Z1057" s="111"/>
      <c r="AA1057" s="111"/>
    </row>
    <row r="1058" spans="1:27" s="118" customFormat="1" x14ac:dyDescent="0.2">
      <c r="A1058" s="6"/>
      <c r="B1058" s="6"/>
      <c r="C1058" s="155"/>
      <c r="D1058" s="2" t="s">
        <v>348</v>
      </c>
      <c r="E1058" s="148"/>
      <c r="F1058" s="253">
        <v>1</v>
      </c>
      <c r="G1058" s="253"/>
      <c r="H1058" s="253"/>
      <c r="I1058" s="246"/>
      <c r="J1058" s="253">
        <f t="shared" ref="J1058:J1062" si="111">ROUND(PRODUCT(F1058:I1058),2)</f>
        <v>1</v>
      </c>
      <c r="K1058" s="137"/>
      <c r="L1058" s="137"/>
      <c r="M1058" s="137"/>
      <c r="N1058" s="138"/>
      <c r="O1058" s="167"/>
      <c r="P1058" s="111"/>
      <c r="Q1058" s="111"/>
      <c r="R1058" s="111"/>
      <c r="S1058" s="111"/>
      <c r="T1058" s="111"/>
      <c r="U1058" s="111"/>
      <c r="V1058" s="111"/>
      <c r="W1058" s="111"/>
      <c r="X1058" s="111"/>
      <c r="Y1058" s="111"/>
      <c r="Z1058" s="111"/>
      <c r="AA1058" s="111"/>
    </row>
    <row r="1059" spans="1:27" s="118" customFormat="1" x14ac:dyDescent="0.2">
      <c r="A1059" s="6"/>
      <c r="B1059" s="6"/>
      <c r="C1059" s="155"/>
      <c r="D1059" s="2" t="s">
        <v>253</v>
      </c>
      <c r="E1059" s="148"/>
      <c r="F1059" s="253">
        <v>1</v>
      </c>
      <c r="G1059" s="253"/>
      <c r="H1059" s="253"/>
      <c r="I1059" s="246"/>
      <c r="J1059" s="253">
        <f t="shared" si="111"/>
        <v>1</v>
      </c>
      <c r="K1059" s="137"/>
      <c r="L1059" s="137"/>
      <c r="M1059" s="137"/>
      <c r="N1059" s="138"/>
      <c r="O1059" s="167"/>
      <c r="P1059" s="111"/>
      <c r="Q1059" s="111"/>
      <c r="R1059" s="111"/>
      <c r="S1059" s="111"/>
      <c r="T1059" s="111"/>
      <c r="U1059" s="111"/>
      <c r="V1059" s="111"/>
      <c r="W1059" s="111"/>
      <c r="X1059" s="111"/>
      <c r="Y1059" s="111"/>
      <c r="Z1059" s="111"/>
      <c r="AA1059" s="111"/>
    </row>
    <row r="1060" spans="1:27" s="118" customFormat="1" x14ac:dyDescent="0.2">
      <c r="A1060" s="6"/>
      <c r="B1060" s="6"/>
      <c r="C1060" s="155"/>
      <c r="D1060" s="2" t="s">
        <v>257</v>
      </c>
      <c r="E1060" s="148"/>
      <c r="F1060" s="253">
        <v>1</v>
      </c>
      <c r="G1060" s="253"/>
      <c r="H1060" s="253"/>
      <c r="I1060" s="246"/>
      <c r="J1060" s="253">
        <f t="shared" si="111"/>
        <v>1</v>
      </c>
      <c r="K1060" s="137"/>
      <c r="L1060" s="137"/>
      <c r="M1060" s="137"/>
      <c r="N1060" s="138"/>
      <c r="O1060" s="167"/>
      <c r="P1060" s="111"/>
      <c r="Q1060" s="111"/>
      <c r="R1060" s="111"/>
      <c r="S1060" s="111"/>
      <c r="T1060" s="111"/>
      <c r="U1060" s="111"/>
      <c r="V1060" s="111"/>
      <c r="W1060" s="111"/>
      <c r="X1060" s="111"/>
      <c r="Y1060" s="111"/>
      <c r="Z1060" s="111"/>
      <c r="AA1060" s="111"/>
    </row>
    <row r="1061" spans="1:27" s="118" customFormat="1" x14ac:dyDescent="0.2">
      <c r="A1061" s="6"/>
      <c r="B1061" s="6"/>
      <c r="C1061" s="155"/>
      <c r="D1061" s="2" t="s">
        <v>242</v>
      </c>
      <c r="E1061" s="148"/>
      <c r="F1061" s="253">
        <v>1</v>
      </c>
      <c r="G1061" s="253"/>
      <c r="H1061" s="253"/>
      <c r="I1061" s="246"/>
      <c r="J1061" s="253">
        <f t="shared" si="111"/>
        <v>1</v>
      </c>
      <c r="K1061" s="137"/>
      <c r="L1061" s="137"/>
      <c r="M1061" s="137"/>
      <c r="N1061" s="138"/>
      <c r="O1061" s="167"/>
      <c r="P1061" s="111"/>
      <c r="Q1061" s="111"/>
      <c r="R1061" s="111"/>
      <c r="S1061" s="111"/>
      <c r="T1061" s="111"/>
      <c r="U1061" s="111"/>
      <c r="V1061" s="111"/>
      <c r="W1061" s="111"/>
      <c r="X1061" s="111"/>
      <c r="Y1061" s="111"/>
      <c r="Z1061" s="111"/>
      <c r="AA1061" s="111"/>
    </row>
    <row r="1062" spans="1:27" s="118" customFormat="1" x14ac:dyDescent="0.2">
      <c r="A1062" s="6"/>
      <c r="B1062" s="6"/>
      <c r="C1062" s="155"/>
      <c r="D1062" s="2" t="s">
        <v>305</v>
      </c>
      <c r="E1062" s="148"/>
      <c r="F1062" s="253">
        <v>1</v>
      </c>
      <c r="G1062" s="253"/>
      <c r="H1062" s="253"/>
      <c r="I1062" s="246"/>
      <c r="J1062" s="253">
        <f t="shared" si="111"/>
        <v>1</v>
      </c>
      <c r="K1062" s="137"/>
      <c r="L1062" s="137"/>
      <c r="M1062" s="137"/>
      <c r="N1062" s="138"/>
      <c r="O1062" s="167"/>
      <c r="P1062" s="111"/>
      <c r="Q1062" s="111"/>
      <c r="R1062" s="111"/>
      <c r="S1062" s="111"/>
      <c r="T1062" s="111"/>
      <c r="U1062" s="111"/>
      <c r="V1062" s="111"/>
      <c r="W1062" s="111"/>
      <c r="X1062" s="111"/>
      <c r="Y1062" s="111"/>
      <c r="Z1062" s="111"/>
      <c r="AA1062" s="111"/>
    </row>
    <row r="1063" spans="1:27" s="118" customFormat="1" x14ac:dyDescent="0.2">
      <c r="A1063" s="6"/>
      <c r="B1063" s="6"/>
      <c r="C1063" s="156"/>
      <c r="D1063" s="108"/>
      <c r="E1063" s="148"/>
      <c r="F1063" s="253"/>
      <c r="G1063" s="253"/>
      <c r="H1063" s="253"/>
      <c r="I1063" s="246" t="str">
        <f>"Total item "&amp;A1056</f>
        <v>Total item 13.1.5</v>
      </c>
      <c r="J1063" s="261">
        <f>SUM(J1057:J1062)</f>
        <v>5</v>
      </c>
      <c r="K1063" s="137"/>
      <c r="L1063" s="137"/>
      <c r="M1063" s="137"/>
      <c r="N1063" s="138"/>
      <c r="O1063" s="167"/>
      <c r="P1063" s="111"/>
      <c r="Q1063" s="111"/>
      <c r="R1063" s="111"/>
      <c r="S1063" s="111"/>
      <c r="T1063" s="111"/>
      <c r="U1063" s="111"/>
      <c r="V1063" s="111"/>
      <c r="W1063" s="111"/>
      <c r="X1063" s="111"/>
      <c r="Y1063" s="111"/>
      <c r="Z1063" s="111"/>
      <c r="AA1063" s="111"/>
    </row>
    <row r="1064" spans="1:27" s="161" customFormat="1" x14ac:dyDescent="0.2">
      <c r="A1064" s="10"/>
      <c r="B1064" s="10"/>
      <c r="C1064" s="191"/>
      <c r="D1064" s="110"/>
      <c r="E1064" s="158"/>
      <c r="F1064" s="267"/>
      <c r="G1064" s="267"/>
      <c r="H1064" s="267"/>
      <c r="I1064" s="250"/>
      <c r="J1064" s="263"/>
      <c r="K1064" s="151"/>
      <c r="L1064" s="151"/>
      <c r="M1064" s="151"/>
      <c r="N1064" s="152"/>
      <c r="O1064" s="167"/>
      <c r="P1064" s="114"/>
      <c r="Q1064" s="114"/>
      <c r="R1064" s="114"/>
      <c r="S1064" s="114"/>
      <c r="T1064" s="114"/>
      <c r="U1064" s="114"/>
      <c r="V1064" s="114"/>
      <c r="W1064" s="114"/>
      <c r="X1064" s="114"/>
      <c r="Y1064" s="114"/>
      <c r="Z1064" s="114"/>
      <c r="AA1064" s="114"/>
    </row>
    <row r="1065" spans="1:27" s="147" customFormat="1" ht="40.799999999999997" x14ac:dyDescent="0.2">
      <c r="A1065" s="9" t="s">
        <v>817</v>
      </c>
      <c r="B1065" s="9" t="s">
        <v>163</v>
      </c>
      <c r="C1065" s="197" t="s">
        <v>192</v>
      </c>
      <c r="D1065" s="113" t="s">
        <v>712</v>
      </c>
      <c r="E1065" s="9" t="s">
        <v>31</v>
      </c>
      <c r="F1065" s="261"/>
      <c r="G1065" s="261"/>
      <c r="H1065" s="261"/>
      <c r="I1065" s="245"/>
      <c r="J1065" s="261"/>
      <c r="K1065" s="131">
        <f>J1072</f>
        <v>5</v>
      </c>
      <c r="L1065" s="131">
        <v>46.44</v>
      </c>
      <c r="M1065" s="131">
        <f>ROUND(L1065*(1+$Q$7),2)</f>
        <v>58.76</v>
      </c>
      <c r="N1065" s="133">
        <f>TRUNC(K1065*M1065,2)</f>
        <v>293.8</v>
      </c>
      <c r="O1065" s="286"/>
      <c r="P1065" s="146"/>
      <c r="Q1065" s="146"/>
      <c r="R1065" s="146"/>
      <c r="S1065" s="146"/>
      <c r="T1065" s="146"/>
      <c r="U1065" s="146"/>
      <c r="V1065" s="146"/>
      <c r="W1065" s="146"/>
      <c r="X1065" s="146"/>
      <c r="Y1065" s="146"/>
      <c r="Z1065" s="146"/>
      <c r="AA1065" s="146"/>
    </row>
    <row r="1066" spans="1:27" s="118" customFormat="1" x14ac:dyDescent="0.2">
      <c r="A1066" s="6"/>
      <c r="B1066" s="6"/>
      <c r="C1066" s="155"/>
      <c r="D1066" s="3" t="s">
        <v>296</v>
      </c>
      <c r="E1066" s="148"/>
      <c r="F1066" s="253"/>
      <c r="G1066" s="253"/>
      <c r="H1066" s="253"/>
      <c r="I1066" s="246"/>
      <c r="J1066" s="253"/>
      <c r="K1066" s="137"/>
      <c r="L1066" s="137"/>
      <c r="M1066" s="137"/>
      <c r="N1066" s="138"/>
      <c r="O1066" s="167"/>
      <c r="P1066" s="111"/>
      <c r="Q1066" s="111"/>
      <c r="R1066" s="111"/>
      <c r="S1066" s="111"/>
      <c r="T1066" s="111"/>
      <c r="U1066" s="111"/>
      <c r="V1066" s="111"/>
      <c r="W1066" s="111"/>
      <c r="X1066" s="111"/>
      <c r="Y1066" s="111"/>
      <c r="Z1066" s="111"/>
      <c r="AA1066" s="111"/>
    </row>
    <row r="1067" spans="1:27" s="118" customFormat="1" x14ac:dyDescent="0.2">
      <c r="A1067" s="6"/>
      <c r="B1067" s="6"/>
      <c r="C1067" s="155"/>
      <c r="D1067" s="2" t="s">
        <v>348</v>
      </c>
      <c r="E1067" s="148"/>
      <c r="F1067" s="253">
        <v>1</v>
      </c>
      <c r="G1067" s="253"/>
      <c r="H1067" s="253"/>
      <c r="I1067" s="246"/>
      <c r="J1067" s="253">
        <f t="shared" ref="J1067:J1071" si="112">ROUND(PRODUCT(F1067:I1067),2)</f>
        <v>1</v>
      </c>
      <c r="K1067" s="137"/>
      <c r="L1067" s="137"/>
      <c r="M1067" s="137"/>
      <c r="N1067" s="138"/>
      <c r="O1067" s="167"/>
      <c r="P1067" s="111"/>
      <c r="Q1067" s="111"/>
      <c r="R1067" s="111"/>
      <c r="S1067" s="111"/>
      <c r="T1067" s="111"/>
      <c r="U1067" s="111"/>
      <c r="V1067" s="111"/>
      <c r="W1067" s="111"/>
      <c r="X1067" s="111"/>
      <c r="Y1067" s="111"/>
      <c r="Z1067" s="111"/>
      <c r="AA1067" s="111"/>
    </row>
    <row r="1068" spans="1:27" s="118" customFormat="1" x14ac:dyDescent="0.2">
      <c r="A1068" s="6"/>
      <c r="B1068" s="6"/>
      <c r="C1068" s="155"/>
      <c r="D1068" s="2" t="s">
        <v>253</v>
      </c>
      <c r="E1068" s="148"/>
      <c r="F1068" s="253">
        <v>1</v>
      </c>
      <c r="G1068" s="253"/>
      <c r="H1068" s="253"/>
      <c r="I1068" s="246"/>
      <c r="J1068" s="253">
        <f t="shared" si="112"/>
        <v>1</v>
      </c>
      <c r="K1068" s="137"/>
      <c r="L1068" s="137"/>
      <c r="M1068" s="137"/>
      <c r="N1068" s="138"/>
      <c r="O1068" s="167"/>
      <c r="P1068" s="111"/>
      <c r="Q1068" s="111"/>
      <c r="R1068" s="111"/>
      <c r="S1068" s="111"/>
      <c r="T1068" s="111"/>
      <c r="U1068" s="111"/>
      <c r="V1068" s="111"/>
      <c r="W1068" s="111"/>
      <c r="X1068" s="111"/>
      <c r="Y1068" s="111"/>
      <c r="Z1068" s="111"/>
      <c r="AA1068" s="111"/>
    </row>
    <row r="1069" spans="1:27" s="118" customFormat="1" x14ac:dyDescent="0.2">
      <c r="A1069" s="6"/>
      <c r="B1069" s="6"/>
      <c r="C1069" s="155"/>
      <c r="D1069" s="2" t="s">
        <v>257</v>
      </c>
      <c r="E1069" s="148"/>
      <c r="F1069" s="253">
        <v>1</v>
      </c>
      <c r="G1069" s="253"/>
      <c r="H1069" s="253"/>
      <c r="I1069" s="246"/>
      <c r="J1069" s="253">
        <f t="shared" si="112"/>
        <v>1</v>
      </c>
      <c r="K1069" s="137"/>
      <c r="L1069" s="137"/>
      <c r="M1069" s="137"/>
      <c r="N1069" s="138"/>
      <c r="O1069" s="167"/>
      <c r="P1069" s="111"/>
      <c r="Q1069" s="111"/>
      <c r="R1069" s="111"/>
      <c r="S1069" s="111"/>
      <c r="T1069" s="111"/>
      <c r="U1069" s="111"/>
      <c r="V1069" s="111"/>
      <c r="W1069" s="111"/>
      <c r="X1069" s="111"/>
      <c r="Y1069" s="111"/>
      <c r="Z1069" s="111"/>
      <c r="AA1069" s="111"/>
    </row>
    <row r="1070" spans="1:27" s="118" customFormat="1" x14ac:dyDescent="0.2">
      <c r="A1070" s="6"/>
      <c r="B1070" s="6"/>
      <c r="C1070" s="155"/>
      <c r="D1070" s="2" t="s">
        <v>242</v>
      </c>
      <c r="E1070" s="148"/>
      <c r="F1070" s="253">
        <v>1</v>
      </c>
      <c r="G1070" s="253"/>
      <c r="H1070" s="253"/>
      <c r="I1070" s="246"/>
      <c r="J1070" s="253">
        <f t="shared" si="112"/>
        <v>1</v>
      </c>
      <c r="K1070" s="137"/>
      <c r="L1070" s="137"/>
      <c r="M1070" s="137"/>
      <c r="N1070" s="138"/>
      <c r="O1070" s="167"/>
      <c r="P1070" s="111"/>
      <c r="Q1070" s="111"/>
      <c r="R1070" s="111"/>
      <c r="S1070" s="111"/>
      <c r="T1070" s="111"/>
      <c r="U1070" s="111"/>
      <c r="V1070" s="111"/>
      <c r="W1070" s="111"/>
      <c r="X1070" s="111"/>
      <c r="Y1070" s="111"/>
      <c r="Z1070" s="111"/>
      <c r="AA1070" s="111"/>
    </row>
    <row r="1071" spans="1:27" s="118" customFormat="1" x14ac:dyDescent="0.2">
      <c r="A1071" s="6"/>
      <c r="B1071" s="6"/>
      <c r="C1071" s="155"/>
      <c r="D1071" s="2" t="s">
        <v>305</v>
      </c>
      <c r="E1071" s="148"/>
      <c r="F1071" s="253">
        <v>1</v>
      </c>
      <c r="G1071" s="253"/>
      <c r="H1071" s="253"/>
      <c r="I1071" s="246"/>
      <c r="J1071" s="253">
        <f t="shared" si="112"/>
        <v>1</v>
      </c>
      <c r="K1071" s="137"/>
      <c r="L1071" s="137"/>
      <c r="M1071" s="137"/>
      <c r="N1071" s="138"/>
      <c r="O1071" s="167"/>
      <c r="P1071" s="111"/>
      <c r="Q1071" s="111"/>
      <c r="R1071" s="111"/>
      <c r="S1071" s="111"/>
      <c r="T1071" s="111"/>
      <c r="U1071" s="111"/>
      <c r="V1071" s="111"/>
      <c r="W1071" s="111"/>
      <c r="X1071" s="111"/>
      <c r="Y1071" s="111"/>
      <c r="Z1071" s="111"/>
      <c r="AA1071" s="111"/>
    </row>
    <row r="1072" spans="1:27" s="118" customFormat="1" x14ac:dyDescent="0.2">
      <c r="A1072" s="6"/>
      <c r="B1072" s="6"/>
      <c r="C1072" s="156"/>
      <c r="D1072" s="108"/>
      <c r="E1072" s="148"/>
      <c r="F1072" s="253"/>
      <c r="G1072" s="253"/>
      <c r="H1072" s="253"/>
      <c r="I1072" s="246" t="str">
        <f>"Total item "&amp;A1065</f>
        <v>Total item 13.1.6</v>
      </c>
      <c r="J1072" s="261">
        <f>SUM(J1067:J1071)</f>
        <v>5</v>
      </c>
      <c r="K1072" s="137"/>
      <c r="L1072" s="137"/>
      <c r="M1072" s="137"/>
      <c r="N1072" s="138"/>
      <c r="O1072" s="167"/>
      <c r="P1072" s="111"/>
      <c r="Q1072" s="111"/>
      <c r="R1072" s="111"/>
      <c r="S1072" s="111"/>
      <c r="T1072" s="111"/>
      <c r="U1072" s="111"/>
      <c r="V1072" s="111"/>
      <c r="W1072" s="111"/>
      <c r="X1072" s="111"/>
      <c r="Y1072" s="111"/>
      <c r="Z1072" s="111"/>
      <c r="AA1072" s="111"/>
    </row>
    <row r="1073" spans="1:27" s="161" customFormat="1" x14ac:dyDescent="0.2">
      <c r="A1073" s="10"/>
      <c r="B1073" s="10"/>
      <c r="C1073" s="191"/>
      <c r="D1073" s="110"/>
      <c r="E1073" s="158"/>
      <c r="F1073" s="267"/>
      <c r="G1073" s="267"/>
      <c r="H1073" s="267"/>
      <c r="I1073" s="250"/>
      <c r="J1073" s="263"/>
      <c r="K1073" s="151"/>
      <c r="L1073" s="151"/>
      <c r="M1073" s="151"/>
      <c r="N1073" s="152"/>
      <c r="O1073" s="167"/>
      <c r="P1073" s="114"/>
      <c r="Q1073" s="114"/>
      <c r="R1073" s="114"/>
      <c r="S1073" s="114"/>
      <c r="T1073" s="114"/>
      <c r="U1073" s="114"/>
      <c r="V1073" s="114"/>
      <c r="W1073" s="114"/>
      <c r="X1073" s="114"/>
      <c r="Y1073" s="114"/>
      <c r="Z1073" s="114"/>
      <c r="AA1073" s="114"/>
    </row>
    <row r="1074" spans="1:27" s="147" customFormat="1" ht="40.799999999999997" x14ac:dyDescent="0.2">
      <c r="A1074" s="9" t="s">
        <v>818</v>
      </c>
      <c r="B1074" s="9" t="s">
        <v>163</v>
      </c>
      <c r="C1074" s="13" t="s">
        <v>288</v>
      </c>
      <c r="D1074" s="113" t="s">
        <v>289</v>
      </c>
      <c r="E1074" s="9" t="s">
        <v>33</v>
      </c>
      <c r="F1074" s="261"/>
      <c r="G1074" s="261"/>
      <c r="H1074" s="261"/>
      <c r="I1074" s="245"/>
      <c r="J1074" s="261"/>
      <c r="K1074" s="131">
        <f>J1076</f>
        <v>1</v>
      </c>
      <c r="L1074" s="131">
        <v>54</v>
      </c>
      <c r="M1074" s="131">
        <f>ROUND(L1074*(1+$Q$7),2)</f>
        <v>68.33</v>
      </c>
      <c r="N1074" s="133">
        <f>TRUNC(K1074*M1074,2)</f>
        <v>68.33</v>
      </c>
      <c r="O1074" s="286"/>
      <c r="P1074" s="146"/>
      <c r="Q1074" s="146"/>
      <c r="R1074" s="146"/>
      <c r="S1074" s="146"/>
      <c r="T1074" s="146"/>
      <c r="U1074" s="146"/>
      <c r="V1074" s="146"/>
      <c r="W1074" s="146"/>
      <c r="X1074" s="146"/>
      <c r="Y1074" s="146"/>
      <c r="Z1074" s="146"/>
      <c r="AA1074" s="146"/>
    </row>
    <row r="1075" spans="1:27" s="118" customFormat="1" x14ac:dyDescent="0.2">
      <c r="A1075" s="6"/>
      <c r="B1075" s="6"/>
      <c r="C1075" s="155"/>
      <c r="D1075" s="2"/>
      <c r="E1075" s="148"/>
      <c r="F1075" s="253">
        <v>1</v>
      </c>
      <c r="G1075" s="253"/>
      <c r="H1075" s="253"/>
      <c r="I1075" s="246"/>
      <c r="J1075" s="253">
        <f>ROUND(PRODUCT(F1075:I1075),2)</f>
        <v>1</v>
      </c>
      <c r="K1075" s="137"/>
      <c r="L1075" s="137"/>
      <c r="M1075" s="137"/>
      <c r="N1075" s="138"/>
      <c r="O1075" s="167"/>
      <c r="P1075" s="111"/>
      <c r="Q1075" s="111"/>
      <c r="R1075" s="111"/>
      <c r="S1075" s="111"/>
      <c r="T1075" s="111"/>
      <c r="U1075" s="111"/>
      <c r="V1075" s="111"/>
      <c r="W1075" s="111"/>
      <c r="X1075" s="111"/>
      <c r="Y1075" s="111"/>
      <c r="Z1075" s="111"/>
      <c r="AA1075" s="111"/>
    </row>
    <row r="1076" spans="1:27" s="118" customFormat="1" x14ac:dyDescent="0.2">
      <c r="A1076" s="6"/>
      <c r="B1076" s="6"/>
      <c r="C1076" s="156"/>
      <c r="D1076" s="108"/>
      <c r="E1076" s="148"/>
      <c r="F1076" s="253"/>
      <c r="G1076" s="253"/>
      <c r="H1076" s="253"/>
      <c r="I1076" s="246" t="str">
        <f>"Total item "&amp;A1074</f>
        <v>Total item 13.1.7</v>
      </c>
      <c r="J1076" s="261">
        <f>SUM(J1075:J1075)</f>
        <v>1</v>
      </c>
      <c r="K1076" s="137"/>
      <c r="L1076" s="137"/>
      <c r="M1076" s="137"/>
      <c r="N1076" s="138"/>
      <c r="O1076" s="167"/>
      <c r="P1076" s="111"/>
      <c r="Q1076" s="111"/>
      <c r="R1076" s="111"/>
      <c r="S1076" s="111"/>
      <c r="T1076" s="111"/>
      <c r="U1076" s="111"/>
      <c r="V1076" s="111"/>
      <c r="W1076" s="111"/>
      <c r="X1076" s="111"/>
      <c r="Y1076" s="111"/>
      <c r="Z1076" s="111"/>
      <c r="AA1076" s="111"/>
    </row>
    <row r="1077" spans="1:27" s="118" customFormat="1" x14ac:dyDescent="0.2">
      <c r="A1077" s="6"/>
      <c r="B1077" s="6"/>
      <c r="C1077" s="155"/>
      <c r="D1077" s="108"/>
      <c r="E1077" s="148"/>
      <c r="F1077" s="253"/>
      <c r="G1077" s="253"/>
      <c r="H1077" s="253"/>
      <c r="I1077" s="246"/>
      <c r="J1077" s="258"/>
      <c r="K1077" s="137"/>
      <c r="L1077" s="137"/>
      <c r="M1077" s="137"/>
      <c r="N1077" s="138"/>
      <c r="O1077" s="167"/>
      <c r="P1077" s="111"/>
      <c r="Q1077" s="111"/>
      <c r="R1077" s="111"/>
      <c r="S1077" s="111"/>
      <c r="T1077" s="111"/>
      <c r="U1077" s="111"/>
      <c r="V1077" s="111"/>
      <c r="W1077" s="111"/>
      <c r="X1077" s="111"/>
      <c r="Y1077" s="111"/>
      <c r="Z1077" s="111"/>
      <c r="AA1077" s="111"/>
    </row>
    <row r="1078" spans="1:27" s="147" customFormat="1" ht="30.6" x14ac:dyDescent="0.2">
      <c r="A1078" s="9" t="s">
        <v>819</v>
      </c>
      <c r="B1078" s="9" t="s">
        <v>163</v>
      </c>
      <c r="C1078" s="13" t="s">
        <v>190</v>
      </c>
      <c r="D1078" s="113" t="s">
        <v>290</v>
      </c>
      <c r="E1078" s="9" t="s">
        <v>33</v>
      </c>
      <c r="F1078" s="261"/>
      <c r="G1078" s="261"/>
      <c r="H1078" s="261"/>
      <c r="I1078" s="245"/>
      <c r="J1078" s="261"/>
      <c r="K1078" s="131">
        <f>J1080</f>
        <v>3</v>
      </c>
      <c r="L1078" s="131">
        <v>14.55</v>
      </c>
      <c r="M1078" s="131">
        <f>ROUND(L1078*(1+$Q$7),2)</f>
        <v>18.41</v>
      </c>
      <c r="N1078" s="133">
        <f>TRUNC(K1078*M1078,2)</f>
        <v>55.23</v>
      </c>
      <c r="O1078" s="286"/>
      <c r="P1078" s="146"/>
      <c r="Q1078" s="146"/>
      <c r="R1078" s="146"/>
      <c r="S1078" s="146"/>
      <c r="T1078" s="146"/>
      <c r="U1078" s="146"/>
      <c r="V1078" s="146"/>
      <c r="W1078" s="146"/>
      <c r="X1078" s="146"/>
      <c r="Y1078" s="146"/>
      <c r="Z1078" s="146"/>
      <c r="AA1078" s="146"/>
    </row>
    <row r="1079" spans="1:27" s="118" customFormat="1" x14ac:dyDescent="0.2">
      <c r="A1079" s="6"/>
      <c r="B1079" s="6"/>
      <c r="C1079" s="155"/>
      <c r="D1079" s="2"/>
      <c r="E1079" s="148"/>
      <c r="F1079" s="253">
        <v>3</v>
      </c>
      <c r="G1079" s="253"/>
      <c r="H1079" s="253"/>
      <c r="I1079" s="246"/>
      <c r="J1079" s="253">
        <f>ROUND(PRODUCT(F1079:I1079),2)</f>
        <v>3</v>
      </c>
      <c r="K1079" s="137"/>
      <c r="L1079" s="137"/>
      <c r="M1079" s="137"/>
      <c r="N1079" s="138"/>
      <c r="O1079" s="167"/>
      <c r="P1079" s="111"/>
      <c r="Q1079" s="111"/>
      <c r="R1079" s="111"/>
      <c r="S1079" s="111"/>
      <c r="T1079" s="111"/>
      <c r="U1079" s="111"/>
      <c r="V1079" s="111"/>
      <c r="W1079" s="111"/>
      <c r="X1079" s="111"/>
      <c r="Y1079" s="111"/>
      <c r="Z1079" s="111"/>
      <c r="AA1079" s="111"/>
    </row>
    <row r="1080" spans="1:27" s="118" customFormat="1" x14ac:dyDescent="0.2">
      <c r="A1080" s="6"/>
      <c r="B1080" s="6"/>
      <c r="C1080" s="156"/>
      <c r="D1080" s="108"/>
      <c r="E1080" s="148"/>
      <c r="F1080" s="253"/>
      <c r="G1080" s="253"/>
      <c r="H1080" s="253"/>
      <c r="I1080" s="246" t="str">
        <f>"Total item "&amp;A1078</f>
        <v>Total item 13.1.8</v>
      </c>
      <c r="J1080" s="261">
        <f>SUM(J1079:J1079)</f>
        <v>3</v>
      </c>
      <c r="K1080" s="137"/>
      <c r="L1080" s="137"/>
      <c r="M1080" s="137"/>
      <c r="N1080" s="138"/>
      <c r="O1080" s="167"/>
      <c r="P1080" s="111"/>
      <c r="Q1080" s="111"/>
      <c r="R1080" s="111"/>
      <c r="S1080" s="111"/>
      <c r="T1080" s="111"/>
      <c r="U1080" s="111"/>
      <c r="V1080" s="111"/>
      <c r="W1080" s="111"/>
      <c r="X1080" s="111"/>
      <c r="Y1080" s="111"/>
      <c r="Z1080" s="111"/>
      <c r="AA1080" s="111"/>
    </row>
    <row r="1081" spans="1:27" s="118" customFormat="1" x14ac:dyDescent="0.2">
      <c r="A1081" s="6"/>
      <c r="B1081" s="6"/>
      <c r="C1081" s="155"/>
      <c r="D1081" s="108"/>
      <c r="E1081" s="148"/>
      <c r="F1081" s="253"/>
      <c r="G1081" s="253"/>
      <c r="H1081" s="253"/>
      <c r="I1081" s="246"/>
      <c r="J1081" s="258"/>
      <c r="K1081" s="137"/>
      <c r="L1081" s="137"/>
      <c r="M1081" s="137"/>
      <c r="N1081" s="138"/>
      <c r="O1081" s="167"/>
      <c r="P1081" s="111"/>
      <c r="Q1081" s="111"/>
      <c r="R1081" s="111"/>
      <c r="S1081" s="111"/>
      <c r="T1081" s="111"/>
      <c r="U1081" s="111"/>
      <c r="V1081" s="111"/>
      <c r="W1081" s="111"/>
      <c r="X1081" s="111"/>
      <c r="Y1081" s="111"/>
      <c r="Z1081" s="111"/>
      <c r="AA1081" s="111"/>
    </row>
    <row r="1082" spans="1:27" s="145" customFormat="1" x14ac:dyDescent="0.2">
      <c r="A1082" s="140" t="s">
        <v>208</v>
      </c>
      <c r="B1082" s="140"/>
      <c r="C1082" s="141"/>
      <c r="D1082" s="112" t="s">
        <v>211</v>
      </c>
      <c r="E1082" s="140"/>
      <c r="F1082" s="260"/>
      <c r="G1082" s="260"/>
      <c r="H1082" s="260"/>
      <c r="I1082" s="248"/>
      <c r="J1082" s="260"/>
      <c r="K1082" s="142"/>
      <c r="L1082" s="142"/>
      <c r="M1082" s="142"/>
      <c r="N1082" s="143">
        <f>SUM(N1084:N1094)</f>
        <v>355.33</v>
      </c>
      <c r="O1082" s="285"/>
      <c r="P1082" s="144"/>
      <c r="Q1082" s="144"/>
      <c r="R1082" s="144"/>
      <c r="S1082" s="144"/>
      <c r="T1082" s="144"/>
      <c r="U1082" s="144"/>
      <c r="V1082" s="144"/>
      <c r="W1082" s="144"/>
      <c r="X1082" s="144"/>
      <c r="Y1082" s="144"/>
      <c r="Z1082" s="144"/>
      <c r="AA1082" s="144"/>
    </row>
    <row r="1083" spans="1:27" s="139" customFormat="1" x14ac:dyDescent="0.2">
      <c r="A1083" s="6"/>
      <c r="B1083" s="6"/>
      <c r="C1083" s="7"/>
      <c r="D1083" s="116"/>
      <c r="E1083" s="6"/>
      <c r="F1083" s="258"/>
      <c r="G1083" s="258"/>
      <c r="H1083" s="258"/>
      <c r="I1083" s="246"/>
      <c r="J1083" s="258"/>
      <c r="K1083" s="137"/>
      <c r="L1083" s="137"/>
      <c r="M1083" s="137"/>
      <c r="N1083" s="138"/>
      <c r="O1083" s="283"/>
      <c r="P1083" s="120"/>
      <c r="Q1083" s="120"/>
      <c r="R1083" s="120"/>
      <c r="S1083" s="120"/>
      <c r="T1083" s="120"/>
      <c r="U1083" s="120"/>
      <c r="V1083" s="120"/>
      <c r="W1083" s="120"/>
      <c r="X1083" s="120"/>
      <c r="Y1083" s="120"/>
      <c r="Z1083" s="120"/>
      <c r="AA1083" s="120"/>
    </row>
    <row r="1084" spans="1:27" s="147" customFormat="1" ht="20.399999999999999" x14ac:dyDescent="0.2">
      <c r="A1084" s="9" t="s">
        <v>634</v>
      </c>
      <c r="B1084" s="9" t="s">
        <v>89</v>
      </c>
      <c r="C1084" s="13">
        <v>95469</v>
      </c>
      <c r="D1084" s="113" t="s">
        <v>441</v>
      </c>
      <c r="E1084" s="9" t="s">
        <v>33</v>
      </c>
      <c r="F1084" s="261"/>
      <c r="G1084" s="261"/>
      <c r="H1084" s="261"/>
      <c r="I1084" s="245"/>
      <c r="J1084" s="261"/>
      <c r="K1084" s="131">
        <f>J1086</f>
        <v>1</v>
      </c>
      <c r="L1084" s="131">
        <v>154.4</v>
      </c>
      <c r="M1084" s="131">
        <f>ROUND(L1084*(1+$Q$7),2)</f>
        <v>195.36</v>
      </c>
      <c r="N1084" s="133">
        <f>TRUNC(K1084*M1084,2)</f>
        <v>195.36</v>
      </c>
      <c r="O1084" s="286"/>
      <c r="P1084" s="146"/>
      <c r="Q1084" s="146"/>
      <c r="R1084" s="146"/>
      <c r="S1084" s="146"/>
      <c r="T1084" s="146"/>
      <c r="U1084" s="146"/>
      <c r="V1084" s="146"/>
      <c r="W1084" s="146"/>
      <c r="X1084" s="146"/>
      <c r="Y1084" s="146"/>
      <c r="Z1084" s="146"/>
      <c r="AA1084" s="146"/>
    </row>
    <row r="1085" spans="1:27" s="118" customFormat="1" x14ac:dyDescent="0.2">
      <c r="A1085" s="6"/>
      <c r="B1085" s="6"/>
      <c r="C1085" s="155"/>
      <c r="D1085" s="2" t="s">
        <v>345</v>
      </c>
      <c r="E1085" s="148"/>
      <c r="F1085" s="253">
        <v>1</v>
      </c>
      <c r="G1085" s="253"/>
      <c r="H1085" s="253"/>
      <c r="I1085" s="246"/>
      <c r="J1085" s="253">
        <f>ROUND(PRODUCT(F1085:I1085),2)</f>
        <v>1</v>
      </c>
      <c r="K1085" s="137"/>
      <c r="L1085" s="137"/>
      <c r="M1085" s="137"/>
      <c r="N1085" s="138"/>
      <c r="O1085" s="167"/>
      <c r="P1085" s="111"/>
      <c r="Q1085" s="111"/>
      <c r="R1085" s="111"/>
      <c r="S1085" s="111"/>
      <c r="T1085" s="111"/>
      <c r="U1085" s="111"/>
      <c r="V1085" s="111"/>
      <c r="W1085" s="111"/>
      <c r="X1085" s="111"/>
      <c r="Y1085" s="111"/>
      <c r="Z1085" s="111"/>
      <c r="AA1085" s="111"/>
    </row>
    <row r="1086" spans="1:27" s="118" customFormat="1" x14ac:dyDescent="0.2">
      <c r="A1086" s="6"/>
      <c r="B1086" s="6"/>
      <c r="C1086" s="156"/>
      <c r="D1086" s="108"/>
      <c r="E1086" s="148"/>
      <c r="F1086" s="253"/>
      <c r="G1086" s="253"/>
      <c r="H1086" s="253"/>
      <c r="I1086" s="246" t="str">
        <f>"Total item "&amp;A1084</f>
        <v>Total item 13.2.1</v>
      </c>
      <c r="J1086" s="261">
        <f>SUM(J1085:J1085)</f>
        <v>1</v>
      </c>
      <c r="K1086" s="137"/>
      <c r="L1086" s="137"/>
      <c r="M1086" s="137"/>
      <c r="N1086" s="138"/>
      <c r="O1086" s="167"/>
      <c r="P1086" s="111"/>
      <c r="Q1086" s="111"/>
      <c r="R1086" s="111"/>
      <c r="S1086" s="111"/>
      <c r="T1086" s="111"/>
      <c r="U1086" s="111"/>
      <c r="V1086" s="111"/>
      <c r="W1086" s="111"/>
      <c r="X1086" s="111"/>
      <c r="Y1086" s="111"/>
      <c r="Z1086" s="111"/>
      <c r="AA1086" s="111"/>
    </row>
    <row r="1087" spans="1:27" s="139" customFormat="1" x14ac:dyDescent="0.2">
      <c r="A1087" s="6"/>
      <c r="B1087" s="6"/>
      <c r="C1087" s="7"/>
      <c r="D1087" s="116"/>
      <c r="E1087" s="6"/>
      <c r="F1087" s="258"/>
      <c r="G1087" s="258"/>
      <c r="H1087" s="258"/>
      <c r="I1087" s="246"/>
      <c r="J1087" s="258"/>
      <c r="K1087" s="137"/>
      <c r="L1087" s="137"/>
      <c r="M1087" s="137"/>
      <c r="N1087" s="138"/>
      <c r="O1087" s="283"/>
      <c r="P1087" s="120"/>
      <c r="Q1087" s="120"/>
      <c r="R1087" s="120"/>
      <c r="S1087" s="120"/>
      <c r="T1087" s="120"/>
      <c r="U1087" s="120"/>
      <c r="V1087" s="120"/>
      <c r="W1087" s="120"/>
      <c r="X1087" s="120"/>
      <c r="Y1087" s="120"/>
      <c r="Z1087" s="120"/>
      <c r="AA1087" s="120"/>
    </row>
    <row r="1088" spans="1:27" s="147" customFormat="1" ht="30.6" x14ac:dyDescent="0.2">
      <c r="A1088" s="9" t="s">
        <v>635</v>
      </c>
      <c r="B1088" s="9" t="s">
        <v>163</v>
      </c>
      <c r="C1088" s="13" t="s">
        <v>249</v>
      </c>
      <c r="D1088" s="113" t="s">
        <v>250</v>
      </c>
      <c r="E1088" s="9" t="s">
        <v>33</v>
      </c>
      <c r="F1088" s="261"/>
      <c r="G1088" s="261"/>
      <c r="H1088" s="261"/>
      <c r="I1088" s="245"/>
      <c r="J1088" s="261"/>
      <c r="K1088" s="131">
        <f>J1090</f>
        <v>1</v>
      </c>
      <c r="L1088" s="131">
        <v>116.1</v>
      </c>
      <c r="M1088" s="131">
        <f>ROUND(L1088*(1+$Q$7),2)</f>
        <v>146.9</v>
      </c>
      <c r="N1088" s="133">
        <f>TRUNC(K1088*M1088,2)</f>
        <v>146.9</v>
      </c>
      <c r="O1088" s="286"/>
      <c r="P1088" s="146"/>
      <c r="Q1088" s="146"/>
      <c r="R1088" s="146"/>
      <c r="S1088" s="146"/>
      <c r="T1088" s="146"/>
      <c r="U1088" s="146"/>
      <c r="V1088" s="146"/>
      <c r="W1088" s="146"/>
      <c r="X1088" s="146"/>
      <c r="Y1088" s="146"/>
      <c r="Z1088" s="146"/>
      <c r="AA1088" s="146"/>
    </row>
    <row r="1089" spans="1:27" s="118" customFormat="1" x14ac:dyDescent="0.2">
      <c r="A1089" s="6"/>
      <c r="B1089" s="6"/>
      <c r="C1089" s="155"/>
      <c r="D1089" s="2" t="s">
        <v>346</v>
      </c>
      <c r="E1089" s="148"/>
      <c r="F1089" s="253">
        <v>1</v>
      </c>
      <c r="G1089" s="253"/>
      <c r="H1089" s="253"/>
      <c r="I1089" s="246"/>
      <c r="J1089" s="253">
        <f>ROUND(PRODUCT(F1089:I1089),2)</f>
        <v>1</v>
      </c>
      <c r="K1089" s="137"/>
      <c r="L1089" s="137"/>
      <c r="M1089" s="137"/>
      <c r="N1089" s="138"/>
      <c r="O1089" s="167"/>
      <c r="P1089" s="111"/>
      <c r="Q1089" s="111"/>
      <c r="R1089" s="111"/>
      <c r="S1089" s="111"/>
      <c r="T1089" s="111"/>
      <c r="U1089" s="111"/>
      <c r="V1089" s="111"/>
      <c r="W1089" s="111"/>
      <c r="X1089" s="111"/>
      <c r="Y1089" s="111"/>
      <c r="Z1089" s="111"/>
      <c r="AA1089" s="111"/>
    </row>
    <row r="1090" spans="1:27" s="118" customFormat="1" x14ac:dyDescent="0.2">
      <c r="A1090" s="6"/>
      <c r="B1090" s="6"/>
      <c r="C1090" s="156"/>
      <c r="D1090" s="108"/>
      <c r="E1090" s="148"/>
      <c r="F1090" s="253"/>
      <c r="G1090" s="253"/>
      <c r="H1090" s="253"/>
      <c r="I1090" s="246" t="str">
        <f>"Total item "&amp;A1088</f>
        <v>Total item 13.2.2</v>
      </c>
      <c r="J1090" s="261">
        <f>SUM(J1089:J1089)</f>
        <v>1</v>
      </c>
      <c r="K1090" s="137"/>
      <c r="L1090" s="137"/>
      <c r="M1090" s="137"/>
      <c r="N1090" s="138"/>
      <c r="O1090" s="167"/>
      <c r="P1090" s="111"/>
      <c r="Q1090" s="111"/>
      <c r="R1090" s="111"/>
      <c r="S1090" s="111"/>
      <c r="T1090" s="111"/>
      <c r="U1090" s="111"/>
      <c r="V1090" s="111"/>
      <c r="W1090" s="111"/>
      <c r="X1090" s="111"/>
      <c r="Y1090" s="111"/>
      <c r="Z1090" s="111"/>
      <c r="AA1090" s="111"/>
    </row>
    <row r="1091" spans="1:27" s="139" customFormat="1" x14ac:dyDescent="0.2">
      <c r="A1091" s="6"/>
      <c r="B1091" s="6"/>
      <c r="C1091" s="7"/>
      <c r="D1091" s="116"/>
      <c r="E1091" s="6"/>
      <c r="F1091" s="258"/>
      <c r="G1091" s="258"/>
      <c r="H1091" s="258"/>
      <c r="I1091" s="246"/>
      <c r="J1091" s="258"/>
      <c r="K1091" s="137"/>
      <c r="L1091" s="137"/>
      <c r="M1091" s="137"/>
      <c r="N1091" s="138"/>
      <c r="O1091" s="283"/>
      <c r="P1091" s="120"/>
      <c r="Q1091" s="120"/>
      <c r="R1091" s="120"/>
      <c r="S1091" s="120"/>
      <c r="T1091" s="120"/>
      <c r="U1091" s="120"/>
      <c r="V1091" s="120"/>
      <c r="W1091" s="120"/>
      <c r="X1091" s="120"/>
      <c r="Y1091" s="120"/>
      <c r="Z1091" s="120"/>
      <c r="AA1091" s="120"/>
    </row>
    <row r="1092" spans="1:27" s="147" customFormat="1" x14ac:dyDescent="0.2">
      <c r="A1092" s="9" t="s">
        <v>636</v>
      </c>
      <c r="B1092" s="9" t="s">
        <v>89</v>
      </c>
      <c r="C1092" s="197" t="s">
        <v>442</v>
      </c>
      <c r="D1092" s="113" t="s">
        <v>443</v>
      </c>
      <c r="E1092" s="9" t="s">
        <v>33</v>
      </c>
      <c r="F1092" s="261"/>
      <c r="G1092" s="261"/>
      <c r="H1092" s="261"/>
      <c r="I1092" s="245"/>
      <c r="J1092" s="261"/>
      <c r="K1092" s="131">
        <f>J1094</f>
        <v>1</v>
      </c>
      <c r="L1092" s="131">
        <v>10.33</v>
      </c>
      <c r="M1092" s="131">
        <f>ROUND(L1092*(1+$Q$7),2)</f>
        <v>13.07</v>
      </c>
      <c r="N1092" s="133">
        <f>TRUNC(K1092*M1092,2)</f>
        <v>13.07</v>
      </c>
      <c r="O1092" s="286"/>
      <c r="P1092" s="146"/>
      <c r="Q1092" s="146"/>
      <c r="R1092" s="146"/>
      <c r="S1092" s="146"/>
      <c r="T1092" s="146"/>
      <c r="U1092" s="146"/>
      <c r="V1092" s="146"/>
      <c r="W1092" s="146"/>
      <c r="X1092" s="146"/>
      <c r="Y1092" s="146"/>
      <c r="Z1092" s="146"/>
      <c r="AA1092" s="146"/>
    </row>
    <row r="1093" spans="1:27" s="118" customFormat="1" x14ac:dyDescent="0.2">
      <c r="A1093" s="6"/>
      <c r="B1093" s="6"/>
      <c r="C1093" s="155"/>
      <c r="D1093" s="2" t="s">
        <v>164</v>
      </c>
      <c r="E1093" s="148"/>
      <c r="F1093" s="253">
        <v>1</v>
      </c>
      <c r="G1093" s="253"/>
      <c r="H1093" s="253"/>
      <c r="I1093" s="246"/>
      <c r="J1093" s="253">
        <f>ROUND(PRODUCT(F1093:I1093),2)</f>
        <v>1</v>
      </c>
      <c r="K1093" s="137"/>
      <c r="L1093" s="137"/>
      <c r="M1093" s="137"/>
      <c r="N1093" s="138"/>
      <c r="O1093" s="167"/>
      <c r="P1093" s="111"/>
      <c r="Q1093" s="111"/>
      <c r="R1093" s="111"/>
      <c r="S1093" s="111"/>
      <c r="T1093" s="111"/>
      <c r="U1093" s="111"/>
      <c r="V1093" s="111"/>
      <c r="W1093" s="111"/>
      <c r="X1093" s="111"/>
      <c r="Y1093" s="111"/>
      <c r="Z1093" s="111"/>
      <c r="AA1093" s="111"/>
    </row>
    <row r="1094" spans="1:27" s="118" customFormat="1" x14ac:dyDescent="0.2">
      <c r="A1094" s="6"/>
      <c r="B1094" s="6"/>
      <c r="C1094" s="156"/>
      <c r="D1094" s="108"/>
      <c r="E1094" s="148"/>
      <c r="F1094" s="253"/>
      <c r="G1094" s="253"/>
      <c r="H1094" s="253"/>
      <c r="I1094" s="246" t="str">
        <f>"Total item "&amp;A1092</f>
        <v>Total item 13.2.3</v>
      </c>
      <c r="J1094" s="261">
        <f>SUM(J1093:J1093)</f>
        <v>1</v>
      </c>
      <c r="K1094" s="137"/>
      <c r="L1094" s="137"/>
      <c r="M1094" s="137"/>
      <c r="N1094" s="138"/>
      <c r="O1094" s="167"/>
      <c r="P1094" s="111"/>
      <c r="Q1094" s="111"/>
      <c r="R1094" s="111"/>
      <c r="S1094" s="111"/>
      <c r="T1094" s="111"/>
      <c r="U1094" s="111"/>
      <c r="V1094" s="111"/>
      <c r="W1094" s="111"/>
      <c r="X1094" s="111"/>
      <c r="Y1094" s="111"/>
      <c r="Z1094" s="111"/>
      <c r="AA1094" s="111"/>
    </row>
    <row r="1095" spans="1:27" s="118" customFormat="1" x14ac:dyDescent="0.2">
      <c r="A1095" s="6"/>
      <c r="B1095" s="6"/>
      <c r="C1095" s="155"/>
      <c r="D1095" s="108"/>
      <c r="E1095" s="148"/>
      <c r="F1095" s="253"/>
      <c r="G1095" s="253"/>
      <c r="H1095" s="253"/>
      <c r="I1095" s="246"/>
      <c r="J1095" s="258"/>
      <c r="K1095" s="137"/>
      <c r="L1095" s="137"/>
      <c r="M1095" s="137"/>
      <c r="N1095" s="138"/>
      <c r="O1095" s="167"/>
      <c r="P1095" s="111"/>
      <c r="Q1095" s="111"/>
      <c r="R1095" s="111"/>
      <c r="S1095" s="111"/>
      <c r="T1095" s="111"/>
      <c r="U1095" s="111"/>
      <c r="V1095" s="111"/>
      <c r="W1095" s="111"/>
      <c r="X1095" s="111"/>
      <c r="Y1095" s="111"/>
      <c r="Z1095" s="111"/>
      <c r="AA1095" s="111"/>
    </row>
    <row r="1096" spans="1:27" s="145" customFormat="1" x14ac:dyDescent="0.2">
      <c r="A1096" s="140" t="s">
        <v>209</v>
      </c>
      <c r="B1096" s="140"/>
      <c r="C1096" s="141"/>
      <c r="D1096" s="112" t="s">
        <v>28</v>
      </c>
      <c r="E1096" s="140"/>
      <c r="F1096" s="260"/>
      <c r="G1096" s="260"/>
      <c r="H1096" s="260"/>
      <c r="I1096" s="248"/>
      <c r="J1096" s="260"/>
      <c r="K1096" s="142"/>
      <c r="L1096" s="142"/>
      <c r="M1096" s="142"/>
      <c r="N1096" s="143">
        <f>SUM(N1098:N1107)</f>
        <v>734.08999999999992</v>
      </c>
      <c r="O1096" s="285"/>
      <c r="P1096" s="144"/>
      <c r="Q1096" s="144"/>
      <c r="R1096" s="144"/>
      <c r="S1096" s="144"/>
      <c r="T1096" s="144"/>
      <c r="U1096" s="144"/>
      <c r="V1096" s="144"/>
      <c r="W1096" s="144"/>
      <c r="X1096" s="144"/>
      <c r="Y1096" s="144"/>
      <c r="Z1096" s="144"/>
      <c r="AA1096" s="144"/>
    </row>
    <row r="1097" spans="1:27" s="118" customFormat="1" x14ac:dyDescent="0.2">
      <c r="A1097" s="6"/>
      <c r="B1097" s="6"/>
      <c r="C1097" s="155"/>
      <c r="D1097" s="108"/>
      <c r="E1097" s="148"/>
      <c r="F1097" s="253"/>
      <c r="G1097" s="253"/>
      <c r="H1097" s="253"/>
      <c r="I1097" s="246"/>
      <c r="J1097" s="258"/>
      <c r="K1097" s="137"/>
      <c r="L1097" s="137"/>
      <c r="M1097" s="137"/>
      <c r="N1097" s="138"/>
      <c r="O1097" s="167"/>
      <c r="P1097" s="111"/>
      <c r="Q1097" s="111"/>
      <c r="R1097" s="111"/>
      <c r="S1097" s="111"/>
      <c r="T1097" s="111"/>
      <c r="U1097" s="111"/>
      <c r="V1097" s="111"/>
      <c r="W1097" s="111"/>
      <c r="X1097" s="111"/>
      <c r="Y1097" s="111"/>
      <c r="Z1097" s="111"/>
      <c r="AA1097" s="111"/>
    </row>
    <row r="1098" spans="1:27" s="147" customFormat="1" ht="30.6" x14ac:dyDescent="0.2">
      <c r="A1098" s="9" t="s">
        <v>820</v>
      </c>
      <c r="B1098" s="9" t="s">
        <v>163</v>
      </c>
      <c r="C1098" s="13" t="s">
        <v>263</v>
      </c>
      <c r="D1098" s="113" t="s">
        <v>264</v>
      </c>
      <c r="E1098" s="9" t="s">
        <v>9</v>
      </c>
      <c r="F1098" s="261"/>
      <c r="G1098" s="261"/>
      <c r="H1098" s="261"/>
      <c r="I1098" s="245"/>
      <c r="J1098" s="261"/>
      <c r="K1098" s="131">
        <f>J1100</f>
        <v>1.68</v>
      </c>
      <c r="L1098" s="131">
        <v>287.51</v>
      </c>
      <c r="M1098" s="131">
        <f>ROUND(L1098*(1+$Q$7),2)</f>
        <v>363.79</v>
      </c>
      <c r="N1098" s="133">
        <f>TRUNC(K1098*M1098,2)</f>
        <v>611.16</v>
      </c>
      <c r="O1098" s="286"/>
      <c r="P1098" s="146"/>
      <c r="Q1098" s="146"/>
      <c r="R1098" s="146"/>
      <c r="S1098" s="146"/>
      <c r="T1098" s="146"/>
      <c r="U1098" s="146"/>
      <c r="V1098" s="146"/>
      <c r="W1098" s="146"/>
      <c r="X1098" s="146"/>
      <c r="Y1098" s="146"/>
      <c r="Z1098" s="146"/>
      <c r="AA1098" s="146"/>
    </row>
    <row r="1099" spans="1:27" s="118" customFormat="1" x14ac:dyDescent="0.2">
      <c r="A1099" s="6"/>
      <c r="B1099" s="6"/>
      <c r="C1099" s="155"/>
      <c r="D1099" s="2" t="s">
        <v>348</v>
      </c>
      <c r="E1099" s="148"/>
      <c r="F1099" s="253"/>
      <c r="G1099" s="253">
        <v>0.8</v>
      </c>
      <c r="H1099" s="253"/>
      <c r="I1099" s="249">
        <v>2.1</v>
      </c>
      <c r="J1099" s="253">
        <f>ROUND(PRODUCT(F1099:I1099),2)</f>
        <v>1.68</v>
      </c>
      <c r="K1099" s="137"/>
      <c r="L1099" s="137"/>
      <c r="M1099" s="137"/>
      <c r="N1099" s="138"/>
      <c r="O1099" s="167"/>
      <c r="P1099" s="111"/>
      <c r="Q1099" s="111"/>
      <c r="R1099" s="111"/>
      <c r="S1099" s="111"/>
      <c r="T1099" s="111"/>
      <c r="U1099" s="111"/>
      <c r="V1099" s="111"/>
      <c r="W1099" s="111"/>
      <c r="X1099" s="111"/>
      <c r="Y1099" s="111"/>
      <c r="Z1099" s="111"/>
      <c r="AA1099" s="111"/>
    </row>
    <row r="1100" spans="1:27" s="118" customFormat="1" x14ac:dyDescent="0.2">
      <c r="A1100" s="6"/>
      <c r="B1100" s="6"/>
      <c r="C1100" s="156"/>
      <c r="D1100" s="108"/>
      <c r="E1100" s="148"/>
      <c r="F1100" s="253"/>
      <c r="G1100" s="253"/>
      <c r="H1100" s="253"/>
      <c r="I1100" s="246" t="str">
        <f>"Total item "&amp;A1098</f>
        <v>Total item 13.3.1</v>
      </c>
      <c r="J1100" s="261">
        <f>SUM(J1099:J1099)</f>
        <v>1.68</v>
      </c>
      <c r="K1100" s="137"/>
      <c r="L1100" s="137"/>
      <c r="M1100" s="137"/>
      <c r="N1100" s="138"/>
      <c r="O1100" s="167"/>
      <c r="P1100" s="111"/>
      <c r="Q1100" s="111"/>
      <c r="R1100" s="111"/>
      <c r="S1100" s="111"/>
      <c r="T1100" s="111"/>
      <c r="U1100" s="111"/>
      <c r="V1100" s="111"/>
      <c r="W1100" s="111"/>
      <c r="X1100" s="111"/>
      <c r="Y1100" s="111"/>
      <c r="Z1100" s="111"/>
      <c r="AA1100" s="111"/>
    </row>
    <row r="1101" spans="1:27" s="118" customFormat="1" x14ac:dyDescent="0.2">
      <c r="A1101" s="6"/>
      <c r="B1101" s="6"/>
      <c r="C1101" s="156"/>
      <c r="D1101" s="108"/>
      <c r="E1101" s="148"/>
      <c r="F1101" s="253"/>
      <c r="G1101" s="253"/>
      <c r="H1101" s="253"/>
      <c r="I1101" s="246"/>
      <c r="J1101" s="246"/>
      <c r="K1101" s="137"/>
      <c r="L1101" s="137"/>
      <c r="M1101" s="137"/>
      <c r="N1101" s="138"/>
      <c r="O1101" s="167"/>
      <c r="P1101" s="111"/>
      <c r="Q1101" s="111"/>
      <c r="R1101" s="111"/>
      <c r="S1101" s="111"/>
      <c r="T1101" s="111"/>
      <c r="U1101" s="111"/>
      <c r="V1101" s="111"/>
      <c r="W1101" s="111"/>
      <c r="X1101" s="111"/>
      <c r="Y1101" s="111"/>
      <c r="Z1101" s="111"/>
      <c r="AA1101" s="111"/>
    </row>
    <row r="1102" spans="1:27" s="147" customFormat="1" ht="30.6" x14ac:dyDescent="0.2">
      <c r="A1102" s="9" t="s">
        <v>821</v>
      </c>
      <c r="B1102" s="9" t="s">
        <v>89</v>
      </c>
      <c r="C1102" s="13" t="s">
        <v>444</v>
      </c>
      <c r="D1102" s="113" t="s">
        <v>445</v>
      </c>
      <c r="E1102" s="9" t="s">
        <v>33</v>
      </c>
      <c r="F1102" s="261"/>
      <c r="G1102" s="261"/>
      <c r="H1102" s="261"/>
      <c r="I1102" s="245"/>
      <c r="J1102" s="261"/>
      <c r="K1102" s="131">
        <f>J1104</f>
        <v>2</v>
      </c>
      <c r="L1102" s="131">
        <v>24.82</v>
      </c>
      <c r="M1102" s="131">
        <f>ROUND(L1102*(1+$Q$7),2)</f>
        <v>31.4</v>
      </c>
      <c r="N1102" s="133">
        <f>TRUNC(K1102*M1102,2)</f>
        <v>62.8</v>
      </c>
      <c r="O1102" s="286"/>
      <c r="P1102" s="146"/>
      <c r="Q1102" s="146"/>
      <c r="R1102" s="146"/>
      <c r="S1102" s="146"/>
      <c r="T1102" s="146"/>
      <c r="U1102" s="146"/>
      <c r="V1102" s="146"/>
      <c r="W1102" s="146"/>
      <c r="X1102" s="146"/>
      <c r="Y1102" s="146"/>
      <c r="Z1102" s="146"/>
      <c r="AA1102" s="146"/>
    </row>
    <row r="1103" spans="1:27" s="118" customFormat="1" x14ac:dyDescent="0.2">
      <c r="A1103" s="6"/>
      <c r="B1103" s="6"/>
      <c r="C1103" s="155"/>
      <c r="D1103" s="2" t="s">
        <v>446</v>
      </c>
      <c r="E1103" s="148"/>
      <c r="F1103" s="253">
        <v>2</v>
      </c>
      <c r="G1103" s="253"/>
      <c r="H1103" s="253"/>
      <c r="I1103" s="249"/>
      <c r="J1103" s="253">
        <f>ROUND(PRODUCT(F1103:I1103),2)</f>
        <v>2</v>
      </c>
      <c r="K1103" s="137"/>
      <c r="L1103" s="137"/>
      <c r="M1103" s="137"/>
      <c r="N1103" s="138"/>
      <c r="O1103" s="167"/>
      <c r="P1103" s="111"/>
      <c r="Q1103" s="111"/>
      <c r="R1103" s="111"/>
      <c r="S1103" s="111"/>
      <c r="T1103" s="111"/>
      <c r="U1103" s="111"/>
      <c r="V1103" s="111"/>
      <c r="W1103" s="111"/>
      <c r="X1103" s="111"/>
      <c r="Y1103" s="111"/>
      <c r="Z1103" s="111"/>
      <c r="AA1103" s="111"/>
    </row>
    <row r="1104" spans="1:27" s="118" customFormat="1" x14ac:dyDescent="0.2">
      <c r="A1104" s="6"/>
      <c r="B1104" s="6"/>
      <c r="C1104" s="156"/>
      <c r="D1104" s="108"/>
      <c r="E1104" s="148"/>
      <c r="F1104" s="253"/>
      <c r="G1104" s="253"/>
      <c r="H1104" s="253"/>
      <c r="I1104" s="246" t="str">
        <f>"Total item "&amp;A1102</f>
        <v>Total item 13.3.2</v>
      </c>
      <c r="J1104" s="261">
        <f>SUM(J1103:J1103)</f>
        <v>2</v>
      </c>
      <c r="K1104" s="137"/>
      <c r="L1104" s="137"/>
      <c r="M1104" s="137"/>
      <c r="N1104" s="138"/>
      <c r="O1104" s="167"/>
      <c r="P1104" s="111"/>
      <c r="Q1104" s="111"/>
      <c r="R1104" s="111"/>
      <c r="S1104" s="111"/>
      <c r="T1104" s="111"/>
      <c r="U1104" s="111"/>
      <c r="V1104" s="111"/>
      <c r="W1104" s="111"/>
      <c r="X1104" s="111"/>
      <c r="Y1104" s="111"/>
      <c r="Z1104" s="111"/>
      <c r="AA1104" s="111"/>
    </row>
    <row r="1105" spans="1:27" s="118" customFormat="1" x14ac:dyDescent="0.2">
      <c r="A1105" s="6"/>
      <c r="B1105" s="6"/>
      <c r="C1105" s="156"/>
      <c r="D1105" s="108"/>
      <c r="E1105" s="148"/>
      <c r="F1105" s="253"/>
      <c r="G1105" s="253"/>
      <c r="H1105" s="253"/>
      <c r="I1105" s="246"/>
      <c r="J1105" s="246"/>
      <c r="K1105" s="137"/>
      <c r="L1105" s="137"/>
      <c r="M1105" s="137"/>
      <c r="N1105" s="138"/>
      <c r="O1105" s="167"/>
      <c r="P1105" s="111"/>
      <c r="Q1105" s="111"/>
      <c r="R1105" s="111"/>
      <c r="S1105" s="111"/>
      <c r="T1105" s="111"/>
      <c r="U1105" s="111"/>
      <c r="V1105" s="111"/>
      <c r="W1105" s="111"/>
      <c r="X1105" s="111"/>
      <c r="Y1105" s="111"/>
      <c r="Z1105" s="111"/>
      <c r="AA1105" s="111"/>
    </row>
    <row r="1106" spans="1:27" s="147" customFormat="1" ht="30.6" x14ac:dyDescent="0.2">
      <c r="A1106" s="9" t="s">
        <v>822</v>
      </c>
      <c r="B1106" s="9" t="s">
        <v>89</v>
      </c>
      <c r="C1106" s="13">
        <v>91307</v>
      </c>
      <c r="D1106" s="113" t="s">
        <v>447</v>
      </c>
      <c r="E1106" s="9" t="s">
        <v>33</v>
      </c>
      <c r="F1106" s="261"/>
      <c r="G1106" s="261"/>
      <c r="H1106" s="261"/>
      <c r="I1106" s="245"/>
      <c r="J1106" s="261"/>
      <c r="K1106" s="131">
        <f>J1108</f>
        <v>1</v>
      </c>
      <c r="L1106" s="131">
        <v>47.52</v>
      </c>
      <c r="M1106" s="131">
        <f>ROUND(L1106*(1+$Q$7),2)</f>
        <v>60.13</v>
      </c>
      <c r="N1106" s="133">
        <f>TRUNC(K1106*M1106,2)</f>
        <v>60.13</v>
      </c>
      <c r="O1106" s="286"/>
      <c r="P1106" s="146"/>
      <c r="Q1106" s="146"/>
      <c r="R1106" s="146"/>
      <c r="S1106" s="146"/>
      <c r="T1106" s="146"/>
      <c r="U1106" s="146"/>
      <c r="V1106" s="146"/>
      <c r="W1106" s="146"/>
      <c r="X1106" s="146"/>
      <c r="Y1106" s="146"/>
      <c r="Z1106" s="146"/>
      <c r="AA1106" s="146"/>
    </row>
    <row r="1107" spans="1:27" s="118" customFormat="1" x14ac:dyDescent="0.2">
      <c r="A1107" s="6"/>
      <c r="B1107" s="6"/>
      <c r="C1107" s="155"/>
      <c r="D1107" s="2" t="s">
        <v>253</v>
      </c>
      <c r="E1107" s="148"/>
      <c r="F1107" s="253">
        <v>1</v>
      </c>
      <c r="G1107" s="253"/>
      <c r="H1107" s="253"/>
      <c r="I1107" s="249"/>
      <c r="J1107" s="253">
        <f>ROUND(PRODUCT(F1107:I1107),2)</f>
        <v>1</v>
      </c>
      <c r="K1107" s="137"/>
      <c r="L1107" s="137"/>
      <c r="M1107" s="137"/>
      <c r="N1107" s="138"/>
      <c r="O1107" s="167"/>
      <c r="P1107" s="111"/>
      <c r="Q1107" s="111"/>
      <c r="R1107" s="111"/>
      <c r="S1107" s="111"/>
      <c r="T1107" s="111"/>
      <c r="U1107" s="111"/>
      <c r="V1107" s="111"/>
      <c r="W1107" s="111"/>
      <c r="X1107" s="111"/>
      <c r="Y1107" s="111"/>
      <c r="Z1107" s="111"/>
      <c r="AA1107" s="111"/>
    </row>
    <row r="1108" spans="1:27" s="118" customFormat="1" x14ac:dyDescent="0.2">
      <c r="A1108" s="6"/>
      <c r="B1108" s="6"/>
      <c r="C1108" s="156"/>
      <c r="D1108" s="108"/>
      <c r="E1108" s="148"/>
      <c r="F1108" s="253"/>
      <c r="G1108" s="253"/>
      <c r="H1108" s="253"/>
      <c r="I1108" s="246" t="str">
        <f>"Total item "&amp;A1106</f>
        <v>Total item 13.3.3</v>
      </c>
      <c r="J1108" s="261">
        <f>SUM(J1107:J1107)</f>
        <v>1</v>
      </c>
      <c r="K1108" s="137"/>
      <c r="L1108" s="137"/>
      <c r="M1108" s="137"/>
      <c r="N1108" s="138"/>
      <c r="O1108" s="167"/>
      <c r="P1108" s="111"/>
      <c r="Q1108" s="111"/>
      <c r="R1108" s="111"/>
      <c r="S1108" s="111"/>
      <c r="T1108" s="111"/>
      <c r="U1108" s="111"/>
      <c r="V1108" s="111"/>
      <c r="W1108" s="111"/>
      <c r="X1108" s="111"/>
      <c r="Y1108" s="111"/>
      <c r="Z1108" s="111"/>
      <c r="AA1108" s="111"/>
    </row>
    <row r="1109" spans="1:27" s="118" customFormat="1" ht="10.5" customHeight="1" x14ac:dyDescent="0.2">
      <c r="A1109" s="6"/>
      <c r="B1109" s="6"/>
      <c r="C1109" s="156"/>
      <c r="D1109" s="108"/>
      <c r="E1109" s="148"/>
      <c r="F1109" s="253"/>
      <c r="G1109" s="253"/>
      <c r="H1109" s="253"/>
      <c r="I1109" s="246"/>
      <c r="J1109" s="246"/>
      <c r="K1109" s="137"/>
      <c r="L1109" s="137"/>
      <c r="M1109" s="137"/>
      <c r="N1109" s="138"/>
      <c r="O1109" s="167"/>
      <c r="P1109" s="111"/>
      <c r="Q1109" s="111"/>
      <c r="R1109" s="111"/>
      <c r="S1109" s="111"/>
      <c r="T1109" s="111"/>
      <c r="U1109" s="111"/>
      <c r="V1109" s="111"/>
      <c r="W1109" s="111"/>
      <c r="X1109" s="111"/>
      <c r="Y1109" s="111"/>
      <c r="Z1109" s="111"/>
      <c r="AA1109" s="111"/>
    </row>
    <row r="1110" spans="1:27" s="145" customFormat="1" x14ac:dyDescent="0.2">
      <c r="A1110" s="140" t="s">
        <v>823</v>
      </c>
      <c r="B1110" s="140"/>
      <c r="C1110" s="141"/>
      <c r="D1110" s="112" t="s">
        <v>29</v>
      </c>
      <c r="E1110" s="140"/>
      <c r="F1110" s="260"/>
      <c r="G1110" s="260"/>
      <c r="H1110" s="260"/>
      <c r="I1110" s="248"/>
      <c r="J1110" s="260"/>
      <c r="K1110" s="142"/>
      <c r="L1110" s="142"/>
      <c r="M1110" s="142"/>
      <c r="N1110" s="143">
        <f>SUM(N1112:N1116)</f>
        <v>57.05</v>
      </c>
      <c r="O1110" s="285"/>
      <c r="P1110" s="144"/>
      <c r="Q1110" s="144"/>
      <c r="R1110" s="144"/>
      <c r="S1110" s="144"/>
      <c r="T1110" s="144"/>
      <c r="U1110" s="144"/>
      <c r="V1110" s="144"/>
      <c r="W1110" s="144"/>
      <c r="X1110" s="144"/>
      <c r="Y1110" s="144"/>
      <c r="Z1110" s="144"/>
      <c r="AA1110" s="144"/>
    </row>
    <row r="1111" spans="1:27" s="118" customFormat="1" x14ac:dyDescent="0.2">
      <c r="A1111" s="6"/>
      <c r="B1111" s="6"/>
      <c r="C1111" s="156"/>
      <c r="D1111" s="108"/>
      <c r="E1111" s="148"/>
      <c r="F1111" s="253"/>
      <c r="G1111" s="253"/>
      <c r="H1111" s="253"/>
      <c r="I1111" s="246"/>
      <c r="J1111" s="246"/>
      <c r="K1111" s="137"/>
      <c r="L1111" s="137"/>
      <c r="M1111" s="137"/>
      <c r="N1111" s="138"/>
      <c r="O1111" s="167"/>
      <c r="P1111" s="111"/>
      <c r="Q1111" s="111"/>
      <c r="R1111" s="111"/>
      <c r="S1111" s="111"/>
      <c r="T1111" s="111"/>
      <c r="U1111" s="111"/>
      <c r="V1111" s="111"/>
      <c r="W1111" s="111"/>
      <c r="X1111" s="111"/>
      <c r="Y1111" s="111"/>
      <c r="Z1111" s="111"/>
      <c r="AA1111" s="111"/>
    </row>
    <row r="1112" spans="1:27" s="147" customFormat="1" ht="40.799999999999997" x14ac:dyDescent="0.2">
      <c r="A1112" s="9" t="s">
        <v>824</v>
      </c>
      <c r="B1112" s="107" t="s">
        <v>163</v>
      </c>
      <c r="C1112" s="107" t="s">
        <v>176</v>
      </c>
      <c r="D1112" s="113" t="s">
        <v>269</v>
      </c>
      <c r="E1112" s="1" t="s">
        <v>9</v>
      </c>
      <c r="F1112" s="261"/>
      <c r="G1112" s="261"/>
      <c r="H1112" s="261"/>
      <c r="I1112" s="245"/>
      <c r="J1112" s="261"/>
      <c r="K1112" s="131">
        <f>J1115</f>
        <v>3.36</v>
      </c>
      <c r="L1112" s="131">
        <v>13.42</v>
      </c>
      <c r="M1112" s="131">
        <f>ROUND(L1112*(1+$Q$7),2)</f>
        <v>16.98</v>
      </c>
      <c r="N1112" s="133">
        <f>TRUNC(K1112*M1112,2)</f>
        <v>57.05</v>
      </c>
      <c r="O1112" s="286"/>
      <c r="P1112" s="146"/>
      <c r="Q1112" s="146"/>
      <c r="R1112" s="146"/>
      <c r="S1112" s="146"/>
      <c r="T1112" s="146"/>
      <c r="U1112" s="146"/>
      <c r="V1112" s="146"/>
      <c r="W1112" s="146"/>
      <c r="X1112" s="146"/>
      <c r="Y1112" s="146"/>
      <c r="Z1112" s="146"/>
      <c r="AA1112" s="146"/>
    </row>
    <row r="1113" spans="1:27" s="118" customFormat="1" x14ac:dyDescent="0.2">
      <c r="A1113" s="6"/>
      <c r="B1113" s="6"/>
      <c r="C1113" s="155"/>
      <c r="D1113" s="3" t="s">
        <v>270</v>
      </c>
      <c r="E1113" s="148"/>
      <c r="F1113" s="253"/>
      <c r="G1113" s="253"/>
      <c r="H1113" s="253"/>
      <c r="I1113" s="249"/>
      <c r="J1113" s="253"/>
      <c r="K1113" s="137"/>
      <c r="L1113" s="137"/>
      <c r="M1113" s="137"/>
      <c r="N1113" s="138"/>
      <c r="O1113" s="167"/>
      <c r="P1113" s="111"/>
      <c r="Q1113" s="111"/>
      <c r="R1113" s="111"/>
      <c r="S1113" s="111"/>
      <c r="T1113" s="111"/>
      <c r="U1113" s="111"/>
      <c r="V1113" s="111"/>
      <c r="W1113" s="111"/>
      <c r="X1113" s="111"/>
      <c r="Y1113" s="111"/>
      <c r="Z1113" s="111"/>
      <c r="AA1113" s="111"/>
    </row>
    <row r="1114" spans="1:27" s="118" customFormat="1" x14ac:dyDescent="0.2">
      <c r="A1114" s="6"/>
      <c r="B1114" s="6"/>
      <c r="C1114" s="155"/>
      <c r="D1114" s="2" t="s">
        <v>348</v>
      </c>
      <c r="E1114" s="148"/>
      <c r="F1114" s="253">
        <v>2</v>
      </c>
      <c r="G1114" s="253">
        <v>0.8</v>
      </c>
      <c r="H1114" s="253"/>
      <c r="I1114" s="249">
        <v>2.1</v>
      </c>
      <c r="J1114" s="253">
        <f>ROUND(PRODUCT(F1114:I1114),2)</f>
        <v>3.36</v>
      </c>
      <c r="K1114" s="137"/>
      <c r="L1114" s="137"/>
      <c r="M1114" s="137"/>
      <c r="N1114" s="138"/>
      <c r="O1114" s="167"/>
      <c r="P1114" s="111"/>
      <c r="Q1114" s="111"/>
      <c r="R1114" s="111"/>
      <c r="S1114" s="111"/>
      <c r="T1114" s="111"/>
      <c r="U1114" s="111"/>
      <c r="V1114" s="111"/>
      <c r="W1114" s="111"/>
      <c r="X1114" s="111"/>
      <c r="Y1114" s="111"/>
      <c r="Z1114" s="111"/>
      <c r="AA1114" s="111"/>
    </row>
    <row r="1115" spans="1:27" s="118" customFormat="1" x14ac:dyDescent="0.2">
      <c r="A1115" s="6"/>
      <c r="B1115" s="6"/>
      <c r="C1115" s="156"/>
      <c r="D1115" s="108"/>
      <c r="E1115" s="148"/>
      <c r="F1115" s="253"/>
      <c r="G1115" s="253"/>
      <c r="H1115" s="253"/>
      <c r="I1115" s="246" t="str">
        <f>"Total item "&amp;A1112</f>
        <v>Total item 13.4.1</v>
      </c>
      <c r="J1115" s="261">
        <f>SUM(J1114:J1114)</f>
        <v>3.36</v>
      </c>
      <c r="K1115" s="137"/>
      <c r="L1115" s="137"/>
      <c r="M1115" s="137"/>
      <c r="N1115" s="138"/>
      <c r="O1115" s="167"/>
      <c r="P1115" s="111"/>
      <c r="Q1115" s="111"/>
      <c r="R1115" s="111"/>
      <c r="S1115" s="111"/>
      <c r="T1115" s="111"/>
      <c r="U1115" s="111"/>
      <c r="V1115" s="111"/>
      <c r="W1115" s="111"/>
      <c r="X1115" s="111"/>
      <c r="Y1115" s="111"/>
      <c r="Z1115" s="111"/>
      <c r="AA1115" s="111"/>
    </row>
    <row r="1116" spans="1:27" s="118" customFormat="1" x14ac:dyDescent="0.2">
      <c r="A1116" s="6"/>
      <c r="B1116" s="6"/>
      <c r="C1116" s="156"/>
      <c r="D1116" s="108"/>
      <c r="E1116" s="148"/>
      <c r="F1116" s="253"/>
      <c r="G1116" s="253"/>
      <c r="H1116" s="253"/>
      <c r="I1116" s="246"/>
      <c r="J1116" s="246"/>
      <c r="K1116" s="137"/>
      <c r="L1116" s="137"/>
      <c r="M1116" s="137"/>
      <c r="N1116" s="138"/>
      <c r="O1116" s="167"/>
      <c r="P1116" s="111"/>
      <c r="Q1116" s="111"/>
      <c r="R1116" s="111"/>
      <c r="S1116" s="111"/>
      <c r="T1116" s="111"/>
      <c r="U1116" s="111"/>
      <c r="V1116" s="111"/>
      <c r="W1116" s="111"/>
      <c r="X1116" s="111"/>
      <c r="Y1116" s="111"/>
      <c r="Z1116" s="111"/>
      <c r="AA1116" s="111"/>
    </row>
    <row r="1117" spans="1:27" s="145" customFormat="1" x14ac:dyDescent="0.2">
      <c r="A1117" s="140" t="s">
        <v>825</v>
      </c>
      <c r="B1117" s="140"/>
      <c r="C1117" s="141"/>
      <c r="D1117" s="112" t="s">
        <v>80</v>
      </c>
      <c r="E1117" s="140"/>
      <c r="F1117" s="260"/>
      <c r="G1117" s="260"/>
      <c r="H1117" s="260"/>
      <c r="I1117" s="248"/>
      <c r="J1117" s="260"/>
      <c r="K1117" s="142"/>
      <c r="L1117" s="142"/>
      <c r="M1117" s="142"/>
      <c r="N1117" s="143">
        <f>SUM(N1119:N1129)</f>
        <v>9609.51</v>
      </c>
      <c r="O1117" s="285"/>
      <c r="P1117" s="144"/>
      <c r="Q1117" s="144"/>
      <c r="R1117" s="144"/>
      <c r="S1117" s="144"/>
      <c r="T1117" s="144"/>
      <c r="U1117" s="144"/>
      <c r="V1117" s="144"/>
      <c r="W1117" s="144"/>
      <c r="X1117" s="144"/>
      <c r="Y1117" s="144"/>
      <c r="Z1117" s="144"/>
      <c r="AA1117" s="144"/>
    </row>
    <row r="1118" spans="1:27" s="118" customFormat="1" x14ac:dyDescent="0.2">
      <c r="A1118" s="6"/>
      <c r="B1118" s="6"/>
      <c r="C1118" s="156"/>
      <c r="D1118" s="108"/>
      <c r="E1118" s="148"/>
      <c r="F1118" s="253"/>
      <c r="G1118" s="253"/>
      <c r="H1118" s="253"/>
      <c r="I1118" s="246"/>
      <c r="J1118" s="246"/>
      <c r="K1118" s="137"/>
      <c r="L1118" s="137"/>
      <c r="M1118" s="137"/>
      <c r="N1118" s="138"/>
      <c r="O1118" s="167"/>
      <c r="P1118" s="111"/>
      <c r="Q1118" s="111"/>
      <c r="R1118" s="111"/>
      <c r="S1118" s="111"/>
      <c r="T1118" s="111"/>
      <c r="U1118" s="111"/>
      <c r="V1118" s="111"/>
      <c r="W1118" s="111"/>
      <c r="X1118" s="111"/>
      <c r="Y1118" s="111"/>
      <c r="Z1118" s="111"/>
      <c r="AA1118" s="111"/>
    </row>
    <row r="1119" spans="1:27" s="147" customFormat="1" x14ac:dyDescent="0.2">
      <c r="A1119" s="9" t="s">
        <v>826</v>
      </c>
      <c r="B1119" s="9" t="s">
        <v>179</v>
      </c>
      <c r="C1119" s="13" t="s">
        <v>180</v>
      </c>
      <c r="D1119" s="113" t="s">
        <v>77</v>
      </c>
      <c r="E1119" s="9" t="s">
        <v>9</v>
      </c>
      <c r="F1119" s="261"/>
      <c r="G1119" s="261"/>
      <c r="H1119" s="261"/>
      <c r="I1119" s="245"/>
      <c r="J1119" s="261"/>
      <c r="K1119" s="131">
        <f>J1122</f>
        <v>194.88</v>
      </c>
      <c r="L1119" s="131">
        <v>5.8</v>
      </c>
      <c r="M1119" s="131">
        <f>ROUND(L1119*(1+$Q$7),2)</f>
        <v>7.34</v>
      </c>
      <c r="N1119" s="133">
        <f>TRUNC(K1119*M1119,2)</f>
        <v>1430.41</v>
      </c>
      <c r="O1119" s="286"/>
      <c r="P1119" s="146"/>
      <c r="Q1119" s="146"/>
      <c r="R1119" s="146"/>
      <c r="S1119" s="146"/>
      <c r="T1119" s="146"/>
      <c r="U1119" s="146"/>
      <c r="V1119" s="146"/>
      <c r="W1119" s="146"/>
      <c r="X1119" s="146"/>
      <c r="Y1119" s="146"/>
      <c r="Z1119" s="146"/>
      <c r="AA1119" s="146"/>
    </row>
    <row r="1120" spans="1:27" s="118" customFormat="1" x14ac:dyDescent="0.2">
      <c r="A1120" s="6"/>
      <c r="B1120" s="6"/>
      <c r="C1120" s="155"/>
      <c r="D1120" s="2"/>
      <c r="E1120" s="148"/>
      <c r="F1120" s="253"/>
      <c r="G1120" s="253">
        <v>7</v>
      </c>
      <c r="H1120" s="253">
        <v>6.8</v>
      </c>
      <c r="I1120" s="249"/>
      <c r="J1120" s="253">
        <f>ROUND(PRODUCT(F1120:I1120),2)</f>
        <v>47.6</v>
      </c>
      <c r="K1120" s="137"/>
      <c r="L1120" s="137"/>
      <c r="M1120" s="137"/>
      <c r="N1120" s="138"/>
      <c r="O1120" s="167"/>
      <c r="P1120" s="111"/>
      <c r="Q1120" s="111"/>
      <c r="R1120" s="111"/>
      <c r="S1120" s="111"/>
      <c r="T1120" s="111"/>
      <c r="U1120" s="111"/>
      <c r="V1120" s="111"/>
      <c r="W1120" s="111"/>
      <c r="X1120" s="111"/>
      <c r="Y1120" s="111"/>
      <c r="Z1120" s="111"/>
      <c r="AA1120" s="111"/>
    </row>
    <row r="1121" spans="1:27" s="118" customFormat="1" x14ac:dyDescent="0.2">
      <c r="A1121" s="6"/>
      <c r="B1121" s="6"/>
      <c r="C1121" s="155"/>
      <c r="D1121" s="2"/>
      <c r="E1121" s="148"/>
      <c r="F1121" s="253"/>
      <c r="G1121" s="253">
        <v>11.2</v>
      </c>
      <c r="H1121" s="253">
        <v>13.15</v>
      </c>
      <c r="I1121" s="249"/>
      <c r="J1121" s="253">
        <f t="shared" ref="J1121" si="113">ROUND(PRODUCT(F1121:I1121),2)</f>
        <v>147.28</v>
      </c>
      <c r="K1121" s="137"/>
      <c r="L1121" s="137"/>
      <c r="M1121" s="137"/>
      <c r="N1121" s="138"/>
      <c r="O1121" s="167"/>
      <c r="P1121" s="111"/>
      <c r="Q1121" s="111"/>
      <c r="R1121" s="111"/>
      <c r="S1121" s="111"/>
      <c r="T1121" s="111"/>
      <c r="U1121" s="111"/>
      <c r="V1121" s="111"/>
      <c r="W1121" s="111"/>
      <c r="X1121" s="111"/>
      <c r="Y1121" s="111"/>
      <c r="Z1121" s="111"/>
      <c r="AA1121" s="111"/>
    </row>
    <row r="1122" spans="1:27" s="118" customFormat="1" x14ac:dyDescent="0.2">
      <c r="A1122" s="6"/>
      <c r="B1122" s="6"/>
      <c r="C1122" s="156"/>
      <c r="D1122" s="108"/>
      <c r="E1122" s="148"/>
      <c r="F1122" s="253"/>
      <c r="G1122" s="253"/>
      <c r="H1122" s="253"/>
      <c r="I1122" s="246" t="str">
        <f>"Total item "&amp;A1119</f>
        <v>Total item 13.5.1</v>
      </c>
      <c r="J1122" s="261">
        <f>SUM(J1120:J1121)</f>
        <v>194.88</v>
      </c>
      <c r="K1122" s="137"/>
      <c r="L1122" s="137"/>
      <c r="M1122" s="137"/>
      <c r="N1122" s="138"/>
      <c r="O1122" s="167"/>
      <c r="P1122" s="111"/>
      <c r="Q1122" s="111"/>
      <c r="R1122" s="111"/>
      <c r="S1122" s="111"/>
      <c r="T1122" s="111"/>
      <c r="U1122" s="111"/>
      <c r="V1122" s="111"/>
      <c r="W1122" s="111"/>
      <c r="X1122" s="111"/>
      <c r="Y1122" s="111"/>
      <c r="Z1122" s="111"/>
      <c r="AA1122" s="111"/>
    </row>
    <row r="1123" spans="1:27" s="118" customFormat="1" x14ac:dyDescent="0.2">
      <c r="A1123" s="6"/>
      <c r="B1123" s="6"/>
      <c r="C1123" s="155"/>
      <c r="D1123" s="108"/>
      <c r="E1123" s="148"/>
      <c r="F1123" s="253"/>
      <c r="G1123" s="253"/>
      <c r="H1123" s="253"/>
      <c r="I1123" s="246"/>
      <c r="J1123" s="258"/>
      <c r="K1123" s="137"/>
      <c r="L1123" s="137"/>
      <c r="M1123" s="137"/>
      <c r="N1123" s="138"/>
      <c r="O1123" s="167"/>
      <c r="P1123" s="111"/>
      <c r="Q1123" s="111"/>
      <c r="R1123" s="111"/>
      <c r="S1123" s="111"/>
      <c r="T1123" s="111"/>
      <c r="U1123" s="111"/>
      <c r="V1123" s="111"/>
      <c r="W1123" s="111"/>
      <c r="X1123" s="111"/>
      <c r="Y1123" s="111"/>
      <c r="Z1123" s="111"/>
      <c r="AA1123" s="111"/>
    </row>
    <row r="1124" spans="1:27" s="147" customFormat="1" ht="30.6" x14ac:dyDescent="0.2">
      <c r="A1124" s="9" t="s">
        <v>827</v>
      </c>
      <c r="B1124" s="9" t="s">
        <v>89</v>
      </c>
      <c r="C1124" s="197" t="s">
        <v>437</v>
      </c>
      <c r="D1124" s="113" t="s">
        <v>714</v>
      </c>
      <c r="E1124" s="9" t="s">
        <v>9</v>
      </c>
      <c r="F1124" s="261"/>
      <c r="G1124" s="261"/>
      <c r="H1124" s="261"/>
      <c r="I1124" s="245"/>
      <c r="J1124" s="261"/>
      <c r="K1124" s="131">
        <f>J1130</f>
        <v>107.79000000000002</v>
      </c>
      <c r="L1124" s="131">
        <v>59.97</v>
      </c>
      <c r="M1124" s="131">
        <f>ROUND(L1124*(1+$Q$7),2)</f>
        <v>75.88</v>
      </c>
      <c r="N1124" s="133">
        <f>TRUNC(K1124*M1124,2)</f>
        <v>8179.1</v>
      </c>
      <c r="O1124" s="286"/>
      <c r="P1124" s="146"/>
      <c r="Q1124" s="146"/>
      <c r="R1124" s="146"/>
      <c r="S1124" s="146"/>
      <c r="T1124" s="146"/>
      <c r="U1124" s="146"/>
      <c r="V1124" s="146"/>
      <c r="W1124" s="146"/>
      <c r="X1124" s="146"/>
      <c r="Y1124" s="146"/>
      <c r="Z1124" s="146"/>
      <c r="AA1124" s="146"/>
    </row>
    <row r="1125" spans="1:27" s="118" customFormat="1" x14ac:dyDescent="0.2">
      <c r="A1125" s="6"/>
      <c r="B1125" s="6"/>
      <c r="C1125" s="155"/>
      <c r="D1125" s="2" t="s">
        <v>348</v>
      </c>
      <c r="E1125" s="148"/>
      <c r="F1125" s="253"/>
      <c r="G1125" s="253">
        <v>5.9</v>
      </c>
      <c r="H1125" s="253">
        <v>3</v>
      </c>
      <c r="I1125" s="249"/>
      <c r="J1125" s="253">
        <f>ROUND(PRODUCT(F1125:I1125),2)</f>
        <v>17.7</v>
      </c>
      <c r="K1125" s="137"/>
      <c r="L1125" s="137"/>
      <c r="M1125" s="137"/>
      <c r="N1125" s="138"/>
      <c r="O1125" s="167"/>
      <c r="P1125" s="111"/>
      <c r="Q1125" s="111"/>
      <c r="R1125" s="111"/>
      <c r="S1125" s="111"/>
      <c r="T1125" s="111"/>
      <c r="U1125" s="111"/>
      <c r="V1125" s="111"/>
      <c r="W1125" s="111"/>
      <c r="X1125" s="111"/>
      <c r="Y1125" s="111"/>
      <c r="Z1125" s="111"/>
      <c r="AA1125" s="111"/>
    </row>
    <row r="1126" spans="1:27" s="118" customFormat="1" x14ac:dyDescent="0.2">
      <c r="A1126" s="6"/>
      <c r="B1126" s="6"/>
      <c r="C1126" s="155"/>
      <c r="D1126" s="2" t="s">
        <v>253</v>
      </c>
      <c r="E1126" s="148"/>
      <c r="F1126" s="253"/>
      <c r="G1126" s="253">
        <v>5.9</v>
      </c>
      <c r="H1126" s="253">
        <v>3.8</v>
      </c>
      <c r="I1126" s="249"/>
      <c r="J1126" s="253">
        <f t="shared" ref="J1126:J1129" si="114">ROUND(PRODUCT(F1126:I1126),2)</f>
        <v>22.42</v>
      </c>
      <c r="K1126" s="137"/>
      <c r="L1126" s="137"/>
      <c r="M1126" s="137"/>
      <c r="N1126" s="138"/>
      <c r="O1126" s="167"/>
      <c r="P1126" s="111"/>
      <c r="Q1126" s="111"/>
      <c r="R1126" s="111"/>
      <c r="S1126" s="111"/>
      <c r="T1126" s="111"/>
      <c r="U1126" s="111"/>
      <c r="V1126" s="111"/>
      <c r="W1126" s="111"/>
      <c r="X1126" s="111"/>
      <c r="Y1126" s="111"/>
      <c r="Z1126" s="111"/>
      <c r="AA1126" s="111"/>
    </row>
    <row r="1127" spans="1:27" s="118" customFormat="1" x14ac:dyDescent="0.2">
      <c r="A1127" s="6"/>
      <c r="B1127" s="6"/>
      <c r="C1127" s="155"/>
      <c r="D1127" s="2" t="s">
        <v>257</v>
      </c>
      <c r="E1127" s="148"/>
      <c r="F1127" s="253"/>
      <c r="G1127" s="253">
        <v>5.9</v>
      </c>
      <c r="H1127" s="253">
        <v>3.8</v>
      </c>
      <c r="I1127" s="249"/>
      <c r="J1127" s="253">
        <f t="shared" si="114"/>
        <v>22.42</v>
      </c>
      <c r="K1127" s="137"/>
      <c r="L1127" s="137"/>
      <c r="M1127" s="137"/>
      <c r="N1127" s="138"/>
      <c r="O1127" s="167"/>
      <c r="P1127" s="111"/>
      <c r="Q1127" s="111"/>
      <c r="R1127" s="111"/>
      <c r="S1127" s="111"/>
      <c r="T1127" s="111"/>
      <c r="U1127" s="111"/>
      <c r="V1127" s="111"/>
      <c r="W1127" s="111"/>
      <c r="X1127" s="111"/>
      <c r="Y1127" s="111"/>
      <c r="Z1127" s="111"/>
      <c r="AA1127" s="111"/>
    </row>
    <row r="1128" spans="1:27" s="118" customFormat="1" x14ac:dyDescent="0.2">
      <c r="A1128" s="6"/>
      <c r="B1128" s="6"/>
      <c r="C1128" s="155"/>
      <c r="D1128" s="2" t="s">
        <v>242</v>
      </c>
      <c r="E1128" s="148"/>
      <c r="F1128" s="253"/>
      <c r="G1128" s="253">
        <v>6.7</v>
      </c>
      <c r="H1128" s="253">
        <v>4.38</v>
      </c>
      <c r="I1128" s="249"/>
      <c r="J1128" s="253">
        <f t="shared" si="114"/>
        <v>29.35</v>
      </c>
      <c r="K1128" s="137"/>
      <c r="L1128" s="137"/>
      <c r="M1128" s="137"/>
      <c r="N1128" s="138"/>
      <c r="O1128" s="167"/>
      <c r="P1128" s="111"/>
      <c r="Q1128" s="111"/>
      <c r="R1128" s="111"/>
      <c r="S1128" s="111"/>
      <c r="T1128" s="111"/>
      <c r="U1128" s="111"/>
      <c r="V1128" s="111"/>
      <c r="W1128" s="111"/>
      <c r="X1128" s="111"/>
      <c r="Y1128" s="111"/>
      <c r="Z1128" s="111"/>
      <c r="AA1128" s="111"/>
    </row>
    <row r="1129" spans="1:27" s="118" customFormat="1" x14ac:dyDescent="0.2">
      <c r="A1129" s="6"/>
      <c r="B1129" s="6"/>
      <c r="C1129" s="155"/>
      <c r="D1129" s="2" t="s">
        <v>165</v>
      </c>
      <c r="E1129" s="148"/>
      <c r="F1129" s="253"/>
      <c r="G1129" s="253">
        <v>5.3</v>
      </c>
      <c r="H1129" s="253">
        <v>3</v>
      </c>
      <c r="I1129" s="249"/>
      <c r="J1129" s="253">
        <f t="shared" si="114"/>
        <v>15.9</v>
      </c>
      <c r="K1129" s="137"/>
      <c r="L1129" s="137"/>
      <c r="M1129" s="137"/>
      <c r="N1129" s="138"/>
      <c r="O1129" s="167"/>
      <c r="P1129" s="111"/>
      <c r="Q1129" s="111"/>
      <c r="R1129" s="111"/>
      <c r="S1129" s="111"/>
      <c r="T1129" s="111"/>
      <c r="U1129" s="111"/>
      <c r="V1129" s="111"/>
      <c r="W1129" s="111"/>
      <c r="X1129" s="111"/>
      <c r="Y1129" s="111"/>
      <c r="Z1129" s="111"/>
      <c r="AA1129" s="111"/>
    </row>
    <row r="1130" spans="1:27" s="118" customFormat="1" x14ac:dyDescent="0.2">
      <c r="A1130" s="6"/>
      <c r="B1130" s="6"/>
      <c r="C1130" s="156"/>
      <c r="D1130" s="108"/>
      <c r="E1130" s="148"/>
      <c r="F1130" s="253"/>
      <c r="G1130" s="253"/>
      <c r="H1130" s="253"/>
      <c r="I1130" s="246" t="str">
        <f>"Total item "&amp;A1124</f>
        <v>Total item 13.5.2</v>
      </c>
      <c r="J1130" s="261">
        <f>SUM(J1125:J1129)</f>
        <v>107.79000000000002</v>
      </c>
      <c r="K1130" s="137"/>
      <c r="L1130" s="137"/>
      <c r="M1130" s="137"/>
      <c r="N1130" s="138"/>
      <c r="O1130" s="167"/>
      <c r="P1130" s="111"/>
      <c r="Q1130" s="111"/>
      <c r="R1130" s="111"/>
      <c r="S1130" s="111"/>
      <c r="T1130" s="111"/>
      <c r="U1130" s="111"/>
      <c r="V1130" s="111"/>
      <c r="W1130" s="111"/>
      <c r="X1130" s="111"/>
      <c r="Y1130" s="111"/>
      <c r="Z1130" s="111"/>
      <c r="AA1130" s="111"/>
    </row>
    <row r="1131" spans="1:27" s="118" customFormat="1" x14ac:dyDescent="0.2">
      <c r="A1131" s="6"/>
      <c r="B1131" s="6"/>
      <c r="C1131" s="155"/>
      <c r="D1131" s="108"/>
      <c r="E1131" s="148"/>
      <c r="F1131" s="253"/>
      <c r="G1131" s="253"/>
      <c r="H1131" s="253"/>
      <c r="I1131" s="246"/>
      <c r="J1131" s="258"/>
      <c r="K1131" s="137"/>
      <c r="L1131" s="137"/>
      <c r="M1131" s="137"/>
      <c r="N1131" s="138"/>
      <c r="O1131" s="167"/>
      <c r="P1131" s="111"/>
      <c r="Q1131" s="111"/>
      <c r="R1131" s="111"/>
      <c r="S1131" s="111"/>
      <c r="T1131" s="111"/>
      <c r="U1131" s="111"/>
      <c r="V1131" s="111"/>
      <c r="W1131" s="111"/>
      <c r="X1131" s="111"/>
      <c r="Y1131" s="111"/>
      <c r="Z1131" s="111"/>
      <c r="AA1131" s="111"/>
    </row>
    <row r="1132" spans="1:27" s="241" customFormat="1" ht="13.2" x14ac:dyDescent="0.25">
      <c r="A1132" s="236" t="s">
        <v>230</v>
      </c>
      <c r="B1132" s="236"/>
      <c r="C1132" s="237"/>
      <c r="D1132" s="289" t="s">
        <v>223</v>
      </c>
      <c r="E1132" s="236"/>
      <c r="F1132" s="259"/>
      <c r="G1132" s="259"/>
      <c r="H1132" s="259"/>
      <c r="I1132" s="247"/>
      <c r="J1132" s="259"/>
      <c r="K1132" s="238"/>
      <c r="L1132" s="238"/>
      <c r="M1132" s="238"/>
      <c r="N1132" s="239" t="e">
        <f>N1134+N1164+N1176+N1191+N1183</f>
        <v>#VALUE!</v>
      </c>
      <c r="O1132" s="284" t="e">
        <f>N1132/$N$2057</f>
        <v>#VALUE!</v>
      </c>
      <c r="P1132" s="240" t="s">
        <v>533</v>
      </c>
      <c r="Q1132" s="240" t="s">
        <v>533</v>
      </c>
      <c r="R1132" s="240"/>
      <c r="S1132" s="240"/>
      <c r="T1132" s="240"/>
      <c r="U1132" s="240"/>
      <c r="V1132" s="240"/>
      <c r="W1132" s="240"/>
      <c r="X1132" s="240"/>
      <c r="Y1132" s="240"/>
      <c r="Z1132" s="240"/>
      <c r="AA1132" s="240"/>
    </row>
    <row r="1133" spans="1:27" s="118" customFormat="1" x14ac:dyDescent="0.2">
      <c r="A1133" s="6"/>
      <c r="B1133" s="6"/>
      <c r="C1133" s="155"/>
      <c r="D1133" s="108"/>
      <c r="E1133" s="148"/>
      <c r="F1133" s="253"/>
      <c r="G1133" s="253"/>
      <c r="H1133" s="253"/>
      <c r="I1133" s="246"/>
      <c r="J1133" s="258"/>
      <c r="K1133" s="137"/>
      <c r="L1133" s="137"/>
      <c r="M1133" s="137"/>
      <c r="N1133" s="138"/>
      <c r="O1133" s="167"/>
      <c r="P1133" s="111"/>
      <c r="Q1133" s="111"/>
      <c r="R1133" s="111"/>
      <c r="S1133" s="111"/>
      <c r="T1133" s="111"/>
      <c r="U1133" s="111"/>
      <c r="V1133" s="111"/>
      <c r="W1133" s="111"/>
      <c r="X1133" s="111"/>
      <c r="Y1133" s="111"/>
      <c r="Z1133" s="111"/>
      <c r="AA1133" s="111"/>
    </row>
    <row r="1134" spans="1:27" s="145" customFormat="1" x14ac:dyDescent="0.2">
      <c r="A1134" s="140" t="s">
        <v>438</v>
      </c>
      <c r="B1134" s="140"/>
      <c r="C1134" s="141"/>
      <c r="D1134" s="112" t="s">
        <v>30</v>
      </c>
      <c r="E1134" s="140"/>
      <c r="F1134" s="260"/>
      <c r="G1134" s="260"/>
      <c r="H1134" s="260"/>
      <c r="I1134" s="248"/>
      <c r="J1134" s="260"/>
      <c r="K1134" s="142"/>
      <c r="L1134" s="142"/>
      <c r="M1134" s="142"/>
      <c r="N1134" s="143" t="e">
        <f>SUM(N1136:N1163)</f>
        <v>#VALUE!</v>
      </c>
      <c r="O1134" s="285"/>
      <c r="P1134" s="144"/>
      <c r="Q1134" s="144"/>
      <c r="R1134" s="144"/>
      <c r="S1134" s="144"/>
      <c r="T1134" s="144"/>
      <c r="U1134" s="144"/>
      <c r="V1134" s="144"/>
      <c r="W1134" s="144"/>
      <c r="X1134" s="144"/>
      <c r="Y1134" s="144"/>
      <c r="Z1134" s="144"/>
      <c r="AA1134" s="144"/>
    </row>
    <row r="1135" spans="1:27" s="118" customFormat="1" x14ac:dyDescent="0.2">
      <c r="A1135" s="6"/>
      <c r="B1135" s="6"/>
      <c r="C1135" s="155"/>
      <c r="D1135" s="108"/>
      <c r="E1135" s="148"/>
      <c r="F1135" s="253"/>
      <c r="G1135" s="253"/>
      <c r="H1135" s="253"/>
      <c r="I1135" s="246"/>
      <c r="J1135" s="258"/>
      <c r="K1135" s="137"/>
      <c r="L1135" s="137"/>
      <c r="M1135" s="137"/>
      <c r="N1135" s="138"/>
      <c r="O1135" s="167"/>
      <c r="P1135" s="111"/>
      <c r="Q1135" s="111"/>
      <c r="R1135" s="111"/>
      <c r="S1135" s="111"/>
      <c r="T1135" s="111"/>
      <c r="U1135" s="111"/>
      <c r="V1135" s="111"/>
      <c r="W1135" s="111"/>
      <c r="X1135" s="111"/>
      <c r="Y1135" s="111"/>
      <c r="Z1135" s="111"/>
      <c r="AA1135" s="111"/>
    </row>
    <row r="1136" spans="1:27" s="147" customFormat="1" ht="30.6" x14ac:dyDescent="0.2">
      <c r="A1136" s="9" t="s">
        <v>440</v>
      </c>
      <c r="B1136" s="9" t="s">
        <v>163</v>
      </c>
      <c r="C1136" s="13" t="s">
        <v>240</v>
      </c>
      <c r="D1136" s="113" t="s">
        <v>241</v>
      </c>
      <c r="E1136" s="9" t="s">
        <v>31</v>
      </c>
      <c r="F1136" s="261"/>
      <c r="G1136" s="261"/>
      <c r="H1136" s="261"/>
      <c r="I1136" s="245"/>
      <c r="J1136" s="261"/>
      <c r="K1136" s="131">
        <f>J1141</f>
        <v>4</v>
      </c>
      <c r="L1136" s="131">
        <v>73.44</v>
      </c>
      <c r="M1136" s="131">
        <f>ROUND(L1136*(1+$Q$7),2)</f>
        <v>92.92</v>
      </c>
      <c r="N1136" s="133">
        <f>TRUNC(K1136*M1136,2)</f>
        <v>371.68</v>
      </c>
      <c r="O1136" s="286"/>
      <c r="P1136" s="146"/>
      <c r="Q1136" s="146"/>
      <c r="R1136" s="146"/>
      <c r="S1136" s="146"/>
      <c r="T1136" s="146"/>
      <c r="U1136" s="146"/>
      <c r="V1136" s="146"/>
      <c r="W1136" s="146"/>
      <c r="X1136" s="146"/>
      <c r="Y1136" s="146"/>
      <c r="Z1136" s="146"/>
      <c r="AA1136" s="146"/>
    </row>
    <row r="1137" spans="1:27" s="118" customFormat="1" x14ac:dyDescent="0.2">
      <c r="A1137" s="6"/>
      <c r="B1137" s="6"/>
      <c r="C1137" s="155"/>
      <c r="D1137" s="2" t="s">
        <v>332</v>
      </c>
      <c r="E1137" s="148"/>
      <c r="F1137" s="253">
        <v>1</v>
      </c>
      <c r="G1137" s="253"/>
      <c r="H1137" s="253"/>
      <c r="I1137" s="246"/>
      <c r="J1137" s="253">
        <f>ROUND(PRODUCT(F1137:I1137),2)</f>
        <v>1</v>
      </c>
      <c r="K1137" s="137"/>
      <c r="L1137" s="137"/>
      <c r="M1137" s="137"/>
      <c r="N1137" s="138"/>
      <c r="O1137" s="167"/>
      <c r="P1137" s="111"/>
      <c r="Q1137" s="111"/>
      <c r="R1137" s="111"/>
      <c r="S1137" s="111"/>
      <c r="T1137" s="111"/>
      <c r="U1137" s="111"/>
      <c r="V1137" s="111"/>
      <c r="W1137" s="111"/>
      <c r="X1137" s="111"/>
      <c r="Y1137" s="111"/>
      <c r="Z1137" s="111"/>
      <c r="AA1137" s="111"/>
    </row>
    <row r="1138" spans="1:27" s="118" customFormat="1" x14ac:dyDescent="0.2">
      <c r="A1138" s="6"/>
      <c r="B1138" s="6"/>
      <c r="C1138" s="155"/>
      <c r="D1138" s="2" t="s">
        <v>333</v>
      </c>
      <c r="E1138" s="148"/>
      <c r="F1138" s="253">
        <v>1</v>
      </c>
      <c r="G1138" s="253"/>
      <c r="H1138" s="253"/>
      <c r="I1138" s="246"/>
      <c r="J1138" s="253">
        <f t="shared" ref="J1138:J1140" si="115">ROUND(PRODUCT(F1138:I1138),2)</f>
        <v>1</v>
      </c>
      <c r="K1138" s="137"/>
      <c r="L1138" s="137"/>
      <c r="M1138" s="137"/>
      <c r="N1138" s="138"/>
      <c r="O1138" s="167"/>
      <c r="P1138" s="111"/>
      <c r="Q1138" s="111"/>
      <c r="R1138" s="111"/>
      <c r="S1138" s="111"/>
      <c r="T1138" s="111"/>
      <c r="U1138" s="111"/>
      <c r="V1138" s="111"/>
      <c r="W1138" s="111"/>
      <c r="X1138" s="111"/>
      <c r="Y1138" s="111"/>
      <c r="Z1138" s="111"/>
      <c r="AA1138" s="111"/>
    </row>
    <row r="1139" spans="1:27" s="118" customFormat="1" x14ac:dyDescent="0.2">
      <c r="A1139" s="6"/>
      <c r="B1139" s="6"/>
      <c r="C1139" s="155"/>
      <c r="D1139" s="2" t="s">
        <v>253</v>
      </c>
      <c r="E1139" s="148"/>
      <c r="F1139" s="253">
        <v>1</v>
      </c>
      <c r="G1139" s="253"/>
      <c r="H1139" s="253"/>
      <c r="I1139" s="246"/>
      <c r="J1139" s="253">
        <f t="shared" si="115"/>
        <v>1</v>
      </c>
      <c r="K1139" s="137"/>
      <c r="L1139" s="137"/>
      <c r="M1139" s="137"/>
      <c r="N1139" s="138"/>
      <c r="O1139" s="167"/>
      <c r="P1139" s="111"/>
      <c r="Q1139" s="111"/>
      <c r="R1139" s="111"/>
      <c r="S1139" s="111"/>
      <c r="T1139" s="111"/>
      <c r="U1139" s="111"/>
      <c r="V1139" s="111"/>
      <c r="W1139" s="111"/>
      <c r="X1139" s="111"/>
      <c r="Y1139" s="111"/>
      <c r="Z1139" s="111"/>
      <c r="AA1139" s="111"/>
    </row>
    <row r="1140" spans="1:27" s="118" customFormat="1" x14ac:dyDescent="0.2">
      <c r="A1140" s="6"/>
      <c r="B1140" s="6"/>
      <c r="C1140" s="155"/>
      <c r="D1140" s="2" t="s">
        <v>257</v>
      </c>
      <c r="E1140" s="148"/>
      <c r="F1140" s="253">
        <v>1</v>
      </c>
      <c r="G1140" s="253"/>
      <c r="H1140" s="253"/>
      <c r="I1140" s="246"/>
      <c r="J1140" s="253">
        <f t="shared" si="115"/>
        <v>1</v>
      </c>
      <c r="K1140" s="137"/>
      <c r="L1140" s="137"/>
      <c r="M1140" s="137"/>
      <c r="N1140" s="138"/>
      <c r="O1140" s="167"/>
      <c r="P1140" s="111"/>
      <c r="Q1140" s="111"/>
      <c r="R1140" s="111"/>
      <c r="S1140" s="111"/>
      <c r="T1140" s="111"/>
      <c r="U1140" s="111"/>
      <c r="V1140" s="111"/>
      <c r="W1140" s="111"/>
      <c r="X1140" s="111"/>
      <c r="Y1140" s="111"/>
      <c r="Z1140" s="111"/>
      <c r="AA1140" s="111"/>
    </row>
    <row r="1141" spans="1:27" s="118" customFormat="1" x14ac:dyDescent="0.2">
      <c r="A1141" s="6"/>
      <c r="B1141" s="6"/>
      <c r="C1141" s="156"/>
      <c r="D1141" s="108"/>
      <c r="E1141" s="148"/>
      <c r="F1141" s="253"/>
      <c r="G1141" s="253"/>
      <c r="H1141" s="253"/>
      <c r="I1141" s="246" t="str">
        <f>"Total item "&amp;A1136</f>
        <v>Total item 14.1.1</v>
      </c>
      <c r="J1141" s="261">
        <f>SUM(J1137:J1140)</f>
        <v>4</v>
      </c>
      <c r="K1141" s="137"/>
      <c r="L1141" s="137"/>
      <c r="M1141" s="137"/>
      <c r="N1141" s="138"/>
      <c r="O1141" s="167"/>
      <c r="P1141" s="111"/>
      <c r="Q1141" s="111"/>
      <c r="R1141" s="111"/>
      <c r="S1141" s="111"/>
      <c r="T1141" s="111"/>
      <c r="U1141" s="111"/>
      <c r="V1141" s="111"/>
      <c r="W1141" s="111"/>
      <c r="X1141" s="111"/>
      <c r="Y1141" s="111"/>
      <c r="Z1141" s="111"/>
      <c r="AA1141" s="111"/>
    </row>
    <row r="1142" spans="1:27" s="154" customFormat="1" x14ac:dyDescent="0.2">
      <c r="A1142" s="10"/>
      <c r="B1142" s="10"/>
      <c r="C1142" s="15"/>
      <c r="D1142" s="117"/>
      <c r="E1142" s="10"/>
      <c r="F1142" s="263"/>
      <c r="G1142" s="263"/>
      <c r="H1142" s="263"/>
      <c r="I1142" s="250"/>
      <c r="J1142" s="263"/>
      <c r="K1142" s="151"/>
      <c r="L1142" s="151"/>
      <c r="M1142" s="151"/>
      <c r="N1142" s="152"/>
      <c r="O1142" s="283"/>
      <c r="P1142" s="153"/>
      <c r="Q1142" s="153"/>
      <c r="R1142" s="153"/>
      <c r="S1142" s="153"/>
      <c r="T1142" s="153"/>
      <c r="U1142" s="153"/>
      <c r="V1142" s="153"/>
      <c r="W1142" s="153"/>
      <c r="X1142" s="153"/>
      <c r="Y1142" s="153"/>
      <c r="Z1142" s="153"/>
      <c r="AA1142" s="153"/>
    </row>
    <row r="1143" spans="1:27" s="147" customFormat="1" ht="61.2" x14ac:dyDescent="0.2">
      <c r="A1143" s="9" t="s">
        <v>439</v>
      </c>
      <c r="B1143" s="9" t="s">
        <v>179</v>
      </c>
      <c r="C1143" s="13" t="s">
        <v>417</v>
      </c>
      <c r="D1143" s="113" t="s">
        <v>561</v>
      </c>
      <c r="E1143" s="9" t="s">
        <v>31</v>
      </c>
      <c r="F1143" s="261"/>
      <c r="G1143" s="261"/>
      <c r="H1143" s="261"/>
      <c r="I1143" s="245"/>
      <c r="J1143" s="261"/>
      <c r="K1143" s="131">
        <f>J1148</f>
        <v>14</v>
      </c>
      <c r="L1143" s="131" t="e">
        <f>'COMPOSICOES - SINAPI COM DESON'!G36</f>
        <v>#VALUE!</v>
      </c>
      <c r="M1143" s="131" t="e">
        <f>ROUND(L1143*(1+$Q$7),2)</f>
        <v>#VALUE!</v>
      </c>
      <c r="N1143" s="133" t="e">
        <f>TRUNC(K1143*M1143,2)</f>
        <v>#VALUE!</v>
      </c>
      <c r="O1143" s="286"/>
      <c r="P1143" s="146"/>
      <c r="Q1143" s="146"/>
      <c r="R1143" s="146"/>
      <c r="S1143" s="146"/>
      <c r="T1143" s="146"/>
      <c r="U1143" s="146"/>
      <c r="V1143" s="146"/>
      <c r="W1143" s="146"/>
      <c r="X1143" s="146"/>
      <c r="Y1143" s="146"/>
      <c r="Z1143" s="146"/>
      <c r="AA1143" s="146"/>
    </row>
    <row r="1144" spans="1:27" s="118" customFormat="1" x14ac:dyDescent="0.2">
      <c r="A1144" s="6"/>
      <c r="B1144" s="6"/>
      <c r="C1144" s="155"/>
      <c r="D1144" s="2" t="s">
        <v>331</v>
      </c>
      <c r="E1144" s="148"/>
      <c r="F1144" s="253">
        <v>4</v>
      </c>
      <c r="G1144" s="253"/>
      <c r="H1144" s="253"/>
      <c r="I1144" s="246"/>
      <c r="J1144" s="253">
        <f>ROUND(PRODUCT(F1144:I1144),2)</f>
        <v>4</v>
      </c>
      <c r="K1144" s="137"/>
      <c r="L1144" s="137"/>
      <c r="M1144" s="137"/>
      <c r="N1144" s="138"/>
      <c r="O1144" s="167"/>
      <c r="P1144" s="111"/>
      <c r="Q1144" s="111"/>
      <c r="R1144" s="111"/>
      <c r="S1144" s="111"/>
      <c r="T1144" s="111"/>
      <c r="U1144" s="111"/>
      <c r="V1144" s="111"/>
      <c r="W1144" s="111"/>
      <c r="X1144" s="111"/>
      <c r="Y1144" s="111"/>
      <c r="Z1144" s="111"/>
      <c r="AA1144" s="111"/>
    </row>
    <row r="1145" spans="1:27" s="118" customFormat="1" x14ac:dyDescent="0.2">
      <c r="A1145" s="6"/>
      <c r="B1145" s="6"/>
      <c r="C1145" s="155"/>
      <c r="D1145" s="2" t="s">
        <v>253</v>
      </c>
      <c r="E1145" s="148"/>
      <c r="F1145" s="253">
        <v>4</v>
      </c>
      <c r="G1145" s="253"/>
      <c r="H1145" s="253"/>
      <c r="I1145" s="246"/>
      <c r="J1145" s="253">
        <f t="shared" ref="J1145:J1147" si="116">ROUND(PRODUCT(F1145:I1145),2)</f>
        <v>4</v>
      </c>
      <c r="K1145" s="137"/>
      <c r="L1145" s="137"/>
      <c r="M1145" s="137"/>
      <c r="N1145" s="138"/>
      <c r="O1145" s="167"/>
      <c r="P1145" s="111"/>
      <c r="Q1145" s="111"/>
      <c r="R1145" s="111"/>
      <c r="S1145" s="111"/>
      <c r="T1145" s="111"/>
      <c r="U1145" s="111"/>
      <c r="V1145" s="111"/>
      <c r="W1145" s="111"/>
      <c r="X1145" s="111"/>
      <c r="Y1145" s="111"/>
      <c r="Z1145" s="111"/>
      <c r="AA1145" s="111"/>
    </row>
    <row r="1146" spans="1:27" s="118" customFormat="1" x14ac:dyDescent="0.2">
      <c r="A1146" s="6"/>
      <c r="B1146" s="6"/>
      <c r="C1146" s="155"/>
      <c r="D1146" s="2" t="s">
        <v>257</v>
      </c>
      <c r="E1146" s="148"/>
      <c r="F1146" s="253">
        <v>4</v>
      </c>
      <c r="G1146" s="253"/>
      <c r="H1146" s="253"/>
      <c r="I1146" s="246"/>
      <c r="J1146" s="253">
        <f t="shared" si="116"/>
        <v>4</v>
      </c>
      <c r="K1146" s="137"/>
      <c r="L1146" s="137"/>
      <c r="M1146" s="137"/>
      <c r="N1146" s="138"/>
      <c r="O1146" s="167"/>
      <c r="P1146" s="111"/>
      <c r="Q1146" s="111"/>
      <c r="R1146" s="111"/>
      <c r="S1146" s="111"/>
      <c r="T1146" s="111"/>
      <c r="U1146" s="111"/>
      <c r="V1146" s="111"/>
      <c r="W1146" s="111"/>
      <c r="X1146" s="111"/>
      <c r="Y1146" s="111"/>
      <c r="Z1146" s="111"/>
      <c r="AA1146" s="111"/>
    </row>
    <row r="1147" spans="1:27" s="118" customFormat="1" x14ac:dyDescent="0.2">
      <c r="A1147" s="6"/>
      <c r="B1147" s="6"/>
      <c r="C1147" s="155"/>
      <c r="D1147" s="2" t="s">
        <v>242</v>
      </c>
      <c r="E1147" s="148"/>
      <c r="F1147" s="253">
        <v>2</v>
      </c>
      <c r="G1147" s="253"/>
      <c r="H1147" s="253"/>
      <c r="I1147" s="246"/>
      <c r="J1147" s="253">
        <f t="shared" si="116"/>
        <v>2</v>
      </c>
      <c r="K1147" s="137"/>
      <c r="L1147" s="137"/>
      <c r="M1147" s="137"/>
      <c r="N1147" s="138"/>
      <c r="O1147" s="167"/>
      <c r="P1147" s="111"/>
      <c r="Q1147" s="111"/>
      <c r="R1147" s="111"/>
      <c r="S1147" s="111"/>
      <c r="T1147" s="111"/>
      <c r="U1147" s="111"/>
      <c r="V1147" s="111"/>
      <c r="W1147" s="111"/>
      <c r="X1147" s="111"/>
      <c r="Y1147" s="111"/>
      <c r="Z1147" s="111"/>
      <c r="AA1147" s="111"/>
    </row>
    <row r="1148" spans="1:27" s="118" customFormat="1" x14ac:dyDescent="0.2">
      <c r="A1148" s="6"/>
      <c r="B1148" s="6"/>
      <c r="C1148" s="156"/>
      <c r="D1148" s="108"/>
      <c r="E1148" s="148"/>
      <c r="F1148" s="253"/>
      <c r="G1148" s="253"/>
      <c r="H1148" s="253"/>
      <c r="I1148" s="246" t="str">
        <f>"Total item "&amp;A1143</f>
        <v>Total item 14.1.2</v>
      </c>
      <c r="J1148" s="261">
        <f>SUM(J1144:J1147)</f>
        <v>14</v>
      </c>
      <c r="K1148" s="137"/>
      <c r="L1148" s="137"/>
      <c r="M1148" s="137"/>
      <c r="N1148" s="138"/>
      <c r="O1148" s="167"/>
      <c r="P1148" s="111"/>
      <c r="Q1148" s="111"/>
      <c r="R1148" s="111"/>
      <c r="S1148" s="111"/>
      <c r="T1148" s="111"/>
      <c r="U1148" s="111"/>
      <c r="V1148" s="111"/>
      <c r="W1148" s="111"/>
      <c r="X1148" s="111"/>
      <c r="Y1148" s="111"/>
      <c r="Z1148" s="111"/>
      <c r="AA1148" s="111"/>
    </row>
    <row r="1149" spans="1:27" s="139" customFormat="1" x14ac:dyDescent="0.2">
      <c r="A1149" s="6"/>
      <c r="B1149" s="6"/>
      <c r="C1149" s="7"/>
      <c r="D1149" s="116"/>
      <c r="E1149" s="6"/>
      <c r="F1149" s="258"/>
      <c r="G1149" s="258"/>
      <c r="H1149" s="258"/>
      <c r="I1149" s="246"/>
      <c r="J1149" s="258"/>
      <c r="K1149" s="137"/>
      <c r="L1149" s="137"/>
      <c r="M1149" s="137"/>
      <c r="N1149" s="138"/>
      <c r="O1149" s="283"/>
      <c r="P1149" s="120"/>
      <c r="Q1149" s="120"/>
      <c r="R1149" s="120"/>
      <c r="S1149" s="120"/>
      <c r="T1149" s="120"/>
      <c r="U1149" s="120"/>
      <c r="V1149" s="120"/>
      <c r="W1149" s="120"/>
      <c r="X1149" s="120"/>
      <c r="Y1149" s="120"/>
      <c r="Z1149" s="120"/>
      <c r="AA1149" s="120"/>
    </row>
    <row r="1150" spans="1:27" s="147" customFormat="1" ht="30.6" x14ac:dyDescent="0.2">
      <c r="A1150" s="9" t="s">
        <v>448</v>
      </c>
      <c r="B1150" s="9" t="s">
        <v>179</v>
      </c>
      <c r="C1150" s="13" t="s">
        <v>672</v>
      </c>
      <c r="D1150" s="113" t="s">
        <v>567</v>
      </c>
      <c r="E1150" s="9" t="s">
        <v>33</v>
      </c>
      <c r="F1150" s="261"/>
      <c r="G1150" s="261"/>
      <c r="H1150" s="261"/>
      <c r="I1150" s="245"/>
      <c r="J1150" s="261"/>
      <c r="K1150" s="131">
        <f>J1154</f>
        <v>10</v>
      </c>
      <c r="L1150" s="131">
        <f>'COMPOSICOES - SINAPI COM DESON'!G50</f>
        <v>104.48</v>
      </c>
      <c r="M1150" s="131">
        <f>ROUND(L1150*(1+$Q$7),2)</f>
        <v>132.19999999999999</v>
      </c>
      <c r="N1150" s="133">
        <f>TRUNC(K1150*M1150,2)</f>
        <v>1322</v>
      </c>
      <c r="O1150" s="286"/>
      <c r="P1150" s="146"/>
      <c r="Q1150" s="146"/>
      <c r="R1150" s="146"/>
      <c r="S1150" s="146"/>
      <c r="T1150" s="146"/>
      <c r="U1150" s="146"/>
      <c r="V1150" s="146"/>
      <c r="W1150" s="146"/>
      <c r="X1150" s="146"/>
      <c r="Y1150" s="146"/>
      <c r="Z1150" s="146"/>
      <c r="AA1150" s="146"/>
    </row>
    <row r="1151" spans="1:27" s="174" customFormat="1" x14ac:dyDescent="0.2">
      <c r="A1151" s="170"/>
      <c r="B1151" s="170"/>
      <c r="C1151" s="171"/>
      <c r="D1151" s="2" t="s">
        <v>253</v>
      </c>
      <c r="E1151" s="170"/>
      <c r="F1151" s="253">
        <v>4</v>
      </c>
      <c r="G1151" s="253"/>
      <c r="H1151" s="253"/>
      <c r="I1151" s="249"/>
      <c r="J1151" s="253">
        <f t="shared" ref="J1151:J1153" si="117">ROUND(PRODUCT(F1151:I1151),2)</f>
        <v>4</v>
      </c>
      <c r="K1151" s="172"/>
      <c r="L1151" s="172"/>
      <c r="M1151" s="172"/>
      <c r="N1151" s="173"/>
      <c r="O1151" s="287"/>
      <c r="P1151" s="23"/>
      <c r="Q1151" s="23"/>
      <c r="R1151" s="23"/>
      <c r="S1151" s="23"/>
      <c r="T1151" s="23"/>
      <c r="U1151" s="23"/>
      <c r="V1151" s="23"/>
      <c r="W1151" s="23"/>
      <c r="X1151" s="23"/>
      <c r="Y1151" s="23"/>
      <c r="Z1151" s="23"/>
      <c r="AA1151" s="23"/>
    </row>
    <row r="1152" spans="1:27" s="174" customFormat="1" x14ac:dyDescent="0.2">
      <c r="A1152" s="170"/>
      <c r="B1152" s="170"/>
      <c r="C1152" s="171"/>
      <c r="D1152" s="2" t="s">
        <v>257</v>
      </c>
      <c r="E1152" s="170"/>
      <c r="F1152" s="253">
        <v>4</v>
      </c>
      <c r="G1152" s="253"/>
      <c r="H1152" s="253"/>
      <c r="I1152" s="249"/>
      <c r="J1152" s="253">
        <f t="shared" si="117"/>
        <v>4</v>
      </c>
      <c r="K1152" s="172"/>
      <c r="L1152" s="172"/>
      <c r="M1152" s="172"/>
      <c r="N1152" s="173"/>
      <c r="O1152" s="287"/>
      <c r="P1152" s="23"/>
      <c r="Q1152" s="23"/>
      <c r="R1152" s="23"/>
      <c r="S1152" s="23"/>
      <c r="T1152" s="23"/>
      <c r="U1152" s="23"/>
      <c r="V1152" s="23"/>
      <c r="W1152" s="23"/>
      <c r="X1152" s="23"/>
      <c r="Y1152" s="23"/>
      <c r="Z1152" s="23"/>
      <c r="AA1152" s="23"/>
    </row>
    <row r="1153" spans="1:27" s="174" customFormat="1" x14ac:dyDescent="0.2">
      <c r="A1153" s="170"/>
      <c r="B1153" s="170"/>
      <c r="C1153" s="171"/>
      <c r="D1153" s="2" t="s">
        <v>242</v>
      </c>
      <c r="E1153" s="170"/>
      <c r="F1153" s="253">
        <v>2</v>
      </c>
      <c r="G1153" s="253"/>
      <c r="H1153" s="253"/>
      <c r="I1153" s="249"/>
      <c r="J1153" s="253">
        <f t="shared" si="117"/>
        <v>2</v>
      </c>
      <c r="K1153" s="172"/>
      <c r="L1153" s="172"/>
      <c r="M1153" s="172"/>
      <c r="N1153" s="173"/>
      <c r="O1153" s="287"/>
      <c r="P1153" s="23"/>
      <c r="Q1153" s="23"/>
      <c r="R1153" s="23"/>
      <c r="S1153" s="23"/>
      <c r="T1153" s="23"/>
      <c r="U1153" s="23"/>
      <c r="V1153" s="23"/>
      <c r="W1153" s="23"/>
      <c r="X1153" s="23"/>
      <c r="Y1153" s="23"/>
      <c r="Z1153" s="23"/>
      <c r="AA1153" s="23"/>
    </row>
    <row r="1154" spans="1:27" s="174" customFormat="1" x14ac:dyDescent="0.2">
      <c r="A1154" s="170"/>
      <c r="B1154" s="170"/>
      <c r="C1154" s="171"/>
      <c r="D1154" s="175"/>
      <c r="E1154" s="176"/>
      <c r="F1154" s="264"/>
      <c r="G1154" s="264"/>
      <c r="H1154" s="264"/>
      <c r="I1154" s="251" t="str">
        <f>"Total item "&amp;A1150</f>
        <v>Total item 14.1.3</v>
      </c>
      <c r="J1154" s="261">
        <f>SUM(J1151:J1153)</f>
        <v>10</v>
      </c>
      <c r="K1154" s="172"/>
      <c r="L1154" s="172"/>
      <c r="M1154" s="172"/>
      <c r="N1154" s="173"/>
      <c r="O1154" s="287"/>
      <c r="P1154" s="23"/>
      <c r="Q1154" s="23"/>
      <c r="R1154" s="23"/>
      <c r="S1154" s="23"/>
      <c r="T1154" s="23"/>
      <c r="U1154" s="23"/>
      <c r="V1154" s="23"/>
      <c r="W1154" s="23"/>
      <c r="X1154" s="23"/>
      <c r="Y1154" s="23"/>
      <c r="Z1154" s="23"/>
      <c r="AA1154" s="23"/>
    </row>
    <row r="1155" spans="1:27" s="174" customFormat="1" x14ac:dyDescent="0.2">
      <c r="A1155" s="170"/>
      <c r="B1155" s="170"/>
      <c r="C1155" s="171"/>
      <c r="D1155" s="175"/>
      <c r="E1155" s="176"/>
      <c r="F1155" s="264"/>
      <c r="G1155" s="264"/>
      <c r="H1155" s="264"/>
      <c r="I1155" s="251"/>
      <c r="J1155" s="262"/>
      <c r="K1155" s="172"/>
      <c r="L1155" s="172"/>
      <c r="M1155" s="172"/>
      <c r="N1155" s="173"/>
      <c r="O1155" s="287"/>
      <c r="P1155" s="23"/>
      <c r="Q1155" s="23"/>
      <c r="R1155" s="23"/>
      <c r="S1155" s="23"/>
      <c r="T1155" s="23"/>
      <c r="U1155" s="23"/>
      <c r="V1155" s="23"/>
      <c r="W1155" s="23"/>
      <c r="X1155" s="23"/>
      <c r="Y1155" s="23"/>
      <c r="Z1155" s="23"/>
      <c r="AA1155" s="23"/>
    </row>
    <row r="1156" spans="1:27" s="147" customFormat="1" ht="40.799999999999997" x14ac:dyDescent="0.2">
      <c r="A1156" s="9" t="s">
        <v>449</v>
      </c>
      <c r="B1156" s="9" t="s">
        <v>163</v>
      </c>
      <c r="C1156" s="13" t="s">
        <v>288</v>
      </c>
      <c r="D1156" s="113" t="s">
        <v>289</v>
      </c>
      <c r="E1156" s="9" t="s">
        <v>33</v>
      </c>
      <c r="F1156" s="261"/>
      <c r="G1156" s="261"/>
      <c r="H1156" s="261"/>
      <c r="I1156" s="245"/>
      <c r="J1156" s="261"/>
      <c r="K1156" s="131">
        <f>J1158</f>
        <v>1</v>
      </c>
      <c r="L1156" s="131">
        <v>54</v>
      </c>
      <c r="M1156" s="131">
        <f>ROUND(L1156*(1+$Q$7),2)</f>
        <v>68.33</v>
      </c>
      <c r="N1156" s="133">
        <f>TRUNC(K1156*M1156,2)</f>
        <v>68.33</v>
      </c>
      <c r="O1156" s="286"/>
      <c r="P1156" s="146"/>
      <c r="Q1156" s="146"/>
      <c r="R1156" s="146"/>
      <c r="S1156" s="146"/>
      <c r="T1156" s="146"/>
      <c r="U1156" s="146"/>
      <c r="V1156" s="146"/>
      <c r="W1156" s="146"/>
      <c r="X1156" s="146"/>
      <c r="Y1156" s="146"/>
      <c r="Z1156" s="146"/>
      <c r="AA1156" s="146"/>
    </row>
    <row r="1157" spans="1:27" s="118" customFormat="1" x14ac:dyDescent="0.2">
      <c r="A1157" s="10"/>
      <c r="B1157" s="6"/>
      <c r="C1157" s="155"/>
      <c r="D1157" s="2"/>
      <c r="E1157" s="148"/>
      <c r="F1157" s="253">
        <v>1</v>
      </c>
      <c r="G1157" s="253"/>
      <c r="H1157" s="253"/>
      <c r="I1157" s="246"/>
      <c r="J1157" s="253">
        <f>ROUND(PRODUCT(F1157:I1157),2)</f>
        <v>1</v>
      </c>
      <c r="K1157" s="137"/>
      <c r="L1157" s="137"/>
      <c r="M1157" s="137"/>
      <c r="N1157" s="138"/>
      <c r="O1157" s="167"/>
      <c r="P1157" s="111"/>
      <c r="Q1157" s="111"/>
      <c r="R1157" s="111"/>
      <c r="S1157" s="111"/>
      <c r="T1157" s="111"/>
      <c r="U1157" s="111"/>
      <c r="V1157" s="111"/>
      <c r="W1157" s="111"/>
      <c r="X1157" s="111"/>
      <c r="Y1157" s="111"/>
      <c r="Z1157" s="111"/>
      <c r="AA1157" s="111"/>
    </row>
    <row r="1158" spans="1:27" s="118" customFormat="1" x14ac:dyDescent="0.2">
      <c r="A1158" s="10"/>
      <c r="B1158" s="6"/>
      <c r="C1158" s="156"/>
      <c r="D1158" s="108"/>
      <c r="E1158" s="148"/>
      <c r="F1158" s="253"/>
      <c r="G1158" s="253"/>
      <c r="H1158" s="253"/>
      <c r="I1158" s="246" t="str">
        <f>"Total item "&amp;A1156</f>
        <v>Total item 14.1.4</v>
      </c>
      <c r="J1158" s="261">
        <f>SUM(J1157:J1157)</f>
        <v>1</v>
      </c>
      <c r="K1158" s="137"/>
      <c r="L1158" s="137"/>
      <c r="M1158" s="137"/>
      <c r="N1158" s="138"/>
      <c r="O1158" s="167"/>
      <c r="P1158" s="111"/>
      <c r="Q1158" s="111"/>
      <c r="R1158" s="111"/>
      <c r="S1158" s="111"/>
      <c r="T1158" s="111"/>
      <c r="U1158" s="111"/>
      <c r="V1158" s="111"/>
      <c r="W1158" s="111"/>
      <c r="X1158" s="111"/>
      <c r="Y1158" s="111"/>
      <c r="Z1158" s="111"/>
      <c r="AA1158" s="111"/>
    </row>
    <row r="1159" spans="1:27" s="118" customFormat="1" x14ac:dyDescent="0.2">
      <c r="A1159" s="10"/>
      <c r="B1159" s="6"/>
      <c r="C1159" s="155"/>
      <c r="D1159" s="108"/>
      <c r="E1159" s="148"/>
      <c r="F1159" s="253"/>
      <c r="G1159" s="253"/>
      <c r="H1159" s="253"/>
      <c r="I1159" s="246"/>
      <c r="J1159" s="258"/>
      <c r="K1159" s="137"/>
      <c r="L1159" s="137"/>
      <c r="M1159" s="137"/>
      <c r="N1159" s="138"/>
      <c r="O1159" s="167"/>
      <c r="P1159" s="111"/>
      <c r="Q1159" s="111"/>
      <c r="R1159" s="111"/>
      <c r="S1159" s="111"/>
      <c r="T1159" s="111"/>
      <c r="U1159" s="111"/>
      <c r="V1159" s="111"/>
      <c r="W1159" s="111"/>
      <c r="X1159" s="111"/>
      <c r="Y1159" s="111"/>
      <c r="Z1159" s="111"/>
      <c r="AA1159" s="111"/>
    </row>
    <row r="1160" spans="1:27" s="147" customFormat="1" ht="30.6" x14ac:dyDescent="0.2">
      <c r="A1160" s="9" t="s">
        <v>828</v>
      </c>
      <c r="B1160" s="9" t="s">
        <v>163</v>
      </c>
      <c r="C1160" s="13" t="s">
        <v>190</v>
      </c>
      <c r="D1160" s="113" t="s">
        <v>290</v>
      </c>
      <c r="E1160" s="9" t="s">
        <v>33</v>
      </c>
      <c r="F1160" s="261"/>
      <c r="G1160" s="261"/>
      <c r="H1160" s="261"/>
      <c r="I1160" s="245"/>
      <c r="J1160" s="261"/>
      <c r="K1160" s="131">
        <f>J1162</f>
        <v>3</v>
      </c>
      <c r="L1160" s="131">
        <v>14.55</v>
      </c>
      <c r="M1160" s="131">
        <f>ROUND(L1160*(1+$Q$7),2)</f>
        <v>18.41</v>
      </c>
      <c r="N1160" s="133">
        <f>TRUNC(K1160*M1160,2)</f>
        <v>55.23</v>
      </c>
      <c r="O1160" s="286"/>
      <c r="P1160" s="146"/>
      <c r="Q1160" s="146"/>
      <c r="R1160" s="146"/>
      <c r="S1160" s="146"/>
      <c r="T1160" s="146"/>
      <c r="U1160" s="146"/>
      <c r="V1160" s="146"/>
      <c r="W1160" s="146"/>
      <c r="X1160" s="146"/>
      <c r="Y1160" s="146"/>
      <c r="Z1160" s="146"/>
      <c r="AA1160" s="146"/>
    </row>
    <row r="1161" spans="1:27" s="118" customFormat="1" x14ac:dyDescent="0.2">
      <c r="A1161" s="6"/>
      <c r="B1161" s="6"/>
      <c r="C1161" s="155"/>
      <c r="D1161" s="2"/>
      <c r="E1161" s="148"/>
      <c r="F1161" s="253">
        <v>3</v>
      </c>
      <c r="G1161" s="253"/>
      <c r="H1161" s="253"/>
      <c r="I1161" s="246"/>
      <c r="J1161" s="253">
        <f>ROUND(PRODUCT(F1161:I1161),2)</f>
        <v>3</v>
      </c>
      <c r="K1161" s="137"/>
      <c r="L1161" s="137"/>
      <c r="M1161" s="137"/>
      <c r="N1161" s="138"/>
      <c r="O1161" s="167"/>
      <c r="P1161" s="111"/>
      <c r="Q1161" s="111"/>
      <c r="R1161" s="111"/>
      <c r="S1161" s="111"/>
      <c r="T1161" s="111"/>
      <c r="U1161" s="111"/>
      <c r="V1161" s="111"/>
      <c r="W1161" s="111"/>
      <c r="X1161" s="111"/>
      <c r="Y1161" s="111"/>
      <c r="Z1161" s="111"/>
      <c r="AA1161" s="111"/>
    </row>
    <row r="1162" spans="1:27" s="118" customFormat="1" x14ac:dyDescent="0.2">
      <c r="A1162" s="6"/>
      <c r="B1162" s="6"/>
      <c r="C1162" s="156"/>
      <c r="D1162" s="108"/>
      <c r="E1162" s="148"/>
      <c r="F1162" s="253"/>
      <c r="G1162" s="253"/>
      <c r="H1162" s="253"/>
      <c r="I1162" s="246" t="str">
        <f>"Total item "&amp;A1160</f>
        <v>Total item 14.1.5</v>
      </c>
      <c r="J1162" s="261">
        <f>SUM(J1161:J1161)</f>
        <v>3</v>
      </c>
      <c r="K1162" s="137"/>
      <c r="L1162" s="137"/>
      <c r="M1162" s="137"/>
      <c r="N1162" s="138"/>
      <c r="O1162" s="167"/>
      <c r="P1162" s="111"/>
      <c r="Q1162" s="111"/>
      <c r="R1162" s="111"/>
      <c r="S1162" s="111"/>
      <c r="T1162" s="111"/>
      <c r="U1162" s="111"/>
      <c r="V1162" s="111"/>
      <c r="W1162" s="111"/>
      <c r="X1162" s="111"/>
      <c r="Y1162" s="111"/>
      <c r="Z1162" s="111"/>
      <c r="AA1162" s="111"/>
    </row>
    <row r="1163" spans="1:27" s="118" customFormat="1" x14ac:dyDescent="0.2">
      <c r="A1163" s="6"/>
      <c r="B1163" s="6"/>
      <c r="C1163" s="155"/>
      <c r="D1163" s="108"/>
      <c r="E1163" s="148"/>
      <c r="F1163" s="253"/>
      <c r="G1163" s="253"/>
      <c r="H1163" s="253"/>
      <c r="I1163" s="246"/>
      <c r="J1163" s="258"/>
      <c r="K1163" s="137"/>
      <c r="L1163" s="137"/>
      <c r="M1163" s="137"/>
      <c r="N1163" s="138"/>
      <c r="O1163" s="167"/>
      <c r="P1163" s="111"/>
      <c r="Q1163" s="111"/>
      <c r="R1163" s="111"/>
      <c r="S1163" s="111"/>
      <c r="T1163" s="111"/>
      <c r="U1163" s="111"/>
      <c r="V1163" s="111"/>
      <c r="W1163" s="111"/>
      <c r="X1163" s="111"/>
      <c r="Y1163" s="111"/>
      <c r="Z1163" s="111"/>
      <c r="AA1163" s="111"/>
    </row>
    <row r="1164" spans="1:27" s="145" customFormat="1" x14ac:dyDescent="0.2">
      <c r="A1164" s="140" t="s">
        <v>450</v>
      </c>
      <c r="B1164" s="140"/>
      <c r="C1164" s="141"/>
      <c r="D1164" s="112" t="s">
        <v>211</v>
      </c>
      <c r="E1164" s="140"/>
      <c r="F1164" s="260"/>
      <c r="G1164" s="260"/>
      <c r="H1164" s="260"/>
      <c r="I1164" s="248"/>
      <c r="J1164" s="260"/>
      <c r="K1164" s="142"/>
      <c r="L1164" s="142"/>
      <c r="M1164" s="142"/>
      <c r="N1164" s="143">
        <f>SUM(N1166:N1174)</f>
        <v>204.86</v>
      </c>
      <c r="O1164" s="285"/>
      <c r="P1164" s="144"/>
      <c r="Q1164" s="144"/>
      <c r="R1164" s="144"/>
      <c r="S1164" s="144"/>
      <c r="T1164" s="144"/>
      <c r="U1164" s="144"/>
      <c r="V1164" s="144"/>
      <c r="W1164" s="144"/>
      <c r="X1164" s="144"/>
      <c r="Y1164" s="144"/>
      <c r="Z1164" s="144"/>
      <c r="AA1164" s="144"/>
    </row>
    <row r="1165" spans="1:27" s="118" customFormat="1" x14ac:dyDescent="0.2">
      <c r="A1165" s="6"/>
      <c r="B1165" s="6"/>
      <c r="C1165" s="155"/>
      <c r="D1165" s="108"/>
      <c r="E1165" s="148"/>
      <c r="F1165" s="253"/>
      <c r="G1165" s="253"/>
      <c r="H1165" s="253"/>
      <c r="I1165" s="246"/>
      <c r="J1165" s="258"/>
      <c r="K1165" s="137"/>
      <c r="L1165" s="137"/>
      <c r="M1165" s="137"/>
      <c r="N1165" s="138"/>
      <c r="O1165" s="167"/>
      <c r="P1165" s="111"/>
      <c r="Q1165" s="111"/>
      <c r="R1165" s="111"/>
      <c r="S1165" s="111"/>
      <c r="T1165" s="111"/>
      <c r="U1165" s="111"/>
      <c r="V1165" s="111"/>
      <c r="W1165" s="111"/>
      <c r="X1165" s="111"/>
      <c r="Y1165" s="111"/>
      <c r="Z1165" s="111"/>
      <c r="AA1165" s="111"/>
    </row>
    <row r="1166" spans="1:27" s="147" customFormat="1" ht="30.6" x14ac:dyDescent="0.2">
      <c r="A1166" s="9" t="s">
        <v>451</v>
      </c>
      <c r="B1166" s="9" t="s">
        <v>163</v>
      </c>
      <c r="C1166" s="13" t="s">
        <v>249</v>
      </c>
      <c r="D1166" s="113" t="s">
        <v>250</v>
      </c>
      <c r="E1166" s="9" t="s">
        <v>33</v>
      </c>
      <c r="F1166" s="261"/>
      <c r="G1166" s="261"/>
      <c r="H1166" s="261"/>
      <c r="I1166" s="245"/>
      <c r="J1166" s="261"/>
      <c r="K1166" s="131">
        <f>J1169</f>
        <v>1</v>
      </c>
      <c r="L1166" s="131">
        <v>116.1</v>
      </c>
      <c r="M1166" s="131">
        <f>ROUND(L1166*(1+$Q$7),2)</f>
        <v>146.9</v>
      </c>
      <c r="N1166" s="133">
        <f>TRUNC(K1166*M1166,2)</f>
        <v>146.9</v>
      </c>
      <c r="O1166" s="286"/>
      <c r="P1166" s="146"/>
      <c r="Q1166" s="146"/>
      <c r="R1166" s="146"/>
      <c r="S1166" s="146"/>
      <c r="T1166" s="146"/>
      <c r="U1166" s="146"/>
      <c r="V1166" s="146"/>
      <c r="W1166" s="146"/>
      <c r="X1166" s="146"/>
      <c r="Y1166" s="146"/>
      <c r="Z1166" s="146"/>
      <c r="AA1166" s="146"/>
    </row>
    <row r="1167" spans="1:27" s="118" customFormat="1" x14ac:dyDescent="0.2">
      <c r="A1167" s="6"/>
      <c r="B1167" s="6"/>
      <c r="C1167" s="155"/>
      <c r="D1167" s="2" t="s">
        <v>332</v>
      </c>
      <c r="E1167" s="148"/>
      <c r="F1167" s="253">
        <v>1</v>
      </c>
      <c r="G1167" s="253"/>
      <c r="H1167" s="253"/>
      <c r="I1167" s="246"/>
      <c r="J1167" s="253">
        <f>ROUND(PRODUCT(F1167:I1167),2)</f>
        <v>1</v>
      </c>
      <c r="K1167" s="137"/>
      <c r="L1167" s="137"/>
      <c r="M1167" s="137"/>
      <c r="N1167" s="138"/>
      <c r="O1167" s="167"/>
      <c r="P1167" s="111"/>
      <c r="Q1167" s="111"/>
      <c r="R1167" s="111"/>
      <c r="S1167" s="111"/>
      <c r="T1167" s="111"/>
      <c r="U1167" s="111"/>
      <c r="V1167" s="111"/>
      <c r="W1167" s="111"/>
      <c r="X1167" s="111"/>
      <c r="Y1167" s="111"/>
      <c r="Z1167" s="111"/>
      <c r="AA1167" s="111"/>
    </row>
    <row r="1168" spans="1:27" s="118" customFormat="1" x14ac:dyDescent="0.2">
      <c r="A1168" s="6"/>
      <c r="B1168" s="6"/>
      <c r="C1168" s="155"/>
      <c r="D1168" s="2"/>
      <c r="E1168" s="148"/>
      <c r="F1168" s="253"/>
      <c r="G1168" s="253"/>
      <c r="H1168" s="253"/>
      <c r="I1168" s="246"/>
      <c r="J1168" s="253">
        <f>ROUND(PRODUCT(F1168:I1168),2)</f>
        <v>0</v>
      </c>
      <c r="K1168" s="137"/>
      <c r="L1168" s="137"/>
      <c r="M1168" s="137"/>
      <c r="N1168" s="138"/>
      <c r="O1168" s="167"/>
      <c r="P1168" s="111"/>
      <c r="Q1168" s="111"/>
      <c r="R1168" s="111"/>
      <c r="S1168" s="111"/>
      <c r="T1168" s="111"/>
      <c r="U1168" s="111"/>
      <c r="V1168" s="111"/>
      <c r="W1168" s="111"/>
      <c r="X1168" s="111"/>
      <c r="Y1168" s="111"/>
      <c r="Z1168" s="111"/>
      <c r="AA1168" s="111"/>
    </row>
    <row r="1169" spans="1:27" s="118" customFormat="1" x14ac:dyDescent="0.2">
      <c r="A1169" s="6"/>
      <c r="B1169" s="6"/>
      <c r="C1169" s="156"/>
      <c r="D1169" s="108"/>
      <c r="E1169" s="148"/>
      <c r="F1169" s="253"/>
      <c r="G1169" s="253"/>
      <c r="H1169" s="253"/>
      <c r="I1169" s="246" t="str">
        <f>"Total item "&amp;A1166</f>
        <v>Total item 14.2.1</v>
      </c>
      <c r="J1169" s="261">
        <f>SUM(J1167:J1168)</f>
        <v>1</v>
      </c>
      <c r="K1169" s="137"/>
      <c r="L1169" s="137"/>
      <c r="M1169" s="137"/>
      <c r="N1169" s="138"/>
      <c r="O1169" s="167"/>
      <c r="P1169" s="111"/>
      <c r="Q1169" s="111"/>
      <c r="R1169" s="111"/>
      <c r="S1169" s="111"/>
      <c r="T1169" s="111"/>
      <c r="U1169" s="111"/>
      <c r="V1169" s="111"/>
      <c r="W1169" s="111"/>
      <c r="X1169" s="111"/>
      <c r="Y1169" s="111"/>
      <c r="Z1169" s="111"/>
      <c r="AA1169" s="111"/>
    </row>
    <row r="1170" spans="1:27" s="139" customFormat="1" x14ac:dyDescent="0.2">
      <c r="A1170" s="6"/>
      <c r="B1170" s="6"/>
      <c r="C1170" s="7"/>
      <c r="D1170" s="116"/>
      <c r="E1170" s="6"/>
      <c r="F1170" s="258"/>
      <c r="G1170" s="258"/>
      <c r="H1170" s="258"/>
      <c r="I1170" s="246"/>
      <c r="J1170" s="258"/>
      <c r="K1170" s="137"/>
      <c r="L1170" s="137"/>
      <c r="M1170" s="137"/>
      <c r="N1170" s="138"/>
      <c r="O1170" s="283"/>
      <c r="P1170" s="120"/>
      <c r="Q1170" s="120"/>
      <c r="R1170" s="120"/>
      <c r="S1170" s="120"/>
      <c r="T1170" s="120"/>
      <c r="U1170" s="120"/>
      <c r="V1170" s="120"/>
      <c r="W1170" s="120"/>
      <c r="X1170" s="120"/>
      <c r="Y1170" s="120"/>
      <c r="Z1170" s="120"/>
      <c r="AA1170" s="120"/>
    </row>
    <row r="1171" spans="1:27" s="147" customFormat="1" x14ac:dyDescent="0.2">
      <c r="A1171" s="9" t="s">
        <v>452</v>
      </c>
      <c r="B1171" s="9" t="s">
        <v>89</v>
      </c>
      <c r="C1171" s="197" t="s">
        <v>334</v>
      </c>
      <c r="D1171" s="113" t="s">
        <v>335</v>
      </c>
      <c r="E1171" s="9" t="s">
        <v>33</v>
      </c>
      <c r="F1171" s="261"/>
      <c r="G1171" s="261"/>
      <c r="H1171" s="261"/>
      <c r="I1171" s="245"/>
      <c r="J1171" s="261"/>
      <c r="K1171" s="131">
        <f>J1174</f>
        <v>2</v>
      </c>
      <c r="L1171" s="131">
        <v>22.9</v>
      </c>
      <c r="M1171" s="131">
        <f>ROUND(L1171*(1+$Q$7),2)</f>
        <v>28.98</v>
      </c>
      <c r="N1171" s="133">
        <f>TRUNC(K1171*M1171,2)</f>
        <v>57.96</v>
      </c>
      <c r="O1171" s="286"/>
      <c r="P1171" s="146"/>
      <c r="Q1171" s="146"/>
      <c r="R1171" s="146"/>
      <c r="S1171" s="146"/>
      <c r="T1171" s="146"/>
      <c r="U1171" s="146"/>
      <c r="V1171" s="146"/>
      <c r="W1171" s="146"/>
      <c r="X1171" s="146"/>
      <c r="Y1171" s="146"/>
      <c r="Z1171" s="146"/>
      <c r="AA1171" s="146"/>
    </row>
    <row r="1172" spans="1:27" s="118" customFormat="1" x14ac:dyDescent="0.2">
      <c r="A1172" s="6"/>
      <c r="B1172" s="6"/>
      <c r="C1172" s="155"/>
      <c r="D1172" s="2" t="s">
        <v>332</v>
      </c>
      <c r="E1172" s="148"/>
      <c r="F1172" s="253">
        <v>1</v>
      </c>
      <c r="G1172" s="253"/>
      <c r="H1172" s="253"/>
      <c r="I1172" s="246"/>
      <c r="J1172" s="253">
        <f>ROUND(PRODUCT(F1172:I1172),2)</f>
        <v>1</v>
      </c>
      <c r="K1172" s="137"/>
      <c r="L1172" s="137"/>
      <c r="M1172" s="137"/>
      <c r="N1172" s="138"/>
      <c r="O1172" s="167"/>
      <c r="P1172" s="111"/>
      <c r="Q1172" s="111"/>
      <c r="R1172" s="111"/>
      <c r="S1172" s="111"/>
      <c r="T1172" s="111"/>
      <c r="U1172" s="111"/>
      <c r="V1172" s="111"/>
      <c r="W1172" s="111"/>
      <c r="X1172" s="111"/>
      <c r="Y1172" s="111"/>
      <c r="Z1172" s="111"/>
      <c r="AA1172" s="111"/>
    </row>
    <row r="1173" spans="1:27" s="118" customFormat="1" x14ac:dyDescent="0.2">
      <c r="A1173" s="6"/>
      <c r="B1173" s="6"/>
      <c r="C1173" s="155"/>
      <c r="D1173" s="2" t="s">
        <v>333</v>
      </c>
      <c r="E1173" s="148"/>
      <c r="F1173" s="253">
        <v>1</v>
      </c>
      <c r="G1173" s="253"/>
      <c r="H1173" s="253"/>
      <c r="I1173" s="246"/>
      <c r="J1173" s="253">
        <f t="shared" ref="J1173" si="118">ROUND(PRODUCT(F1173:I1173),2)</f>
        <v>1</v>
      </c>
      <c r="K1173" s="137"/>
      <c r="L1173" s="137"/>
      <c r="M1173" s="137"/>
      <c r="N1173" s="138"/>
      <c r="O1173" s="167"/>
      <c r="P1173" s="111"/>
      <c r="Q1173" s="111"/>
      <c r="R1173" s="111"/>
      <c r="S1173" s="111"/>
      <c r="T1173" s="111"/>
      <c r="U1173" s="111"/>
      <c r="V1173" s="111"/>
      <c r="W1173" s="111"/>
      <c r="X1173" s="111"/>
      <c r="Y1173" s="111"/>
      <c r="Z1173" s="111"/>
      <c r="AA1173" s="111"/>
    </row>
    <row r="1174" spans="1:27" s="118" customFormat="1" x14ac:dyDescent="0.2">
      <c r="A1174" s="6"/>
      <c r="B1174" s="6"/>
      <c r="C1174" s="156"/>
      <c r="D1174" s="108"/>
      <c r="E1174" s="148"/>
      <c r="F1174" s="253"/>
      <c r="G1174" s="253"/>
      <c r="H1174" s="253"/>
      <c r="I1174" s="246" t="str">
        <f>"Total item "&amp;A1171</f>
        <v>Total item 14.2.2</v>
      </c>
      <c r="J1174" s="261">
        <f>SUM(J1172:J1173)</f>
        <v>2</v>
      </c>
      <c r="K1174" s="137"/>
      <c r="L1174" s="137"/>
      <c r="M1174" s="137"/>
      <c r="N1174" s="138"/>
      <c r="O1174" s="167"/>
      <c r="P1174" s="111"/>
      <c r="Q1174" s="111"/>
      <c r="R1174" s="111"/>
      <c r="S1174" s="111"/>
      <c r="T1174" s="111"/>
      <c r="U1174" s="111"/>
      <c r="V1174" s="111"/>
      <c r="W1174" s="111"/>
      <c r="X1174" s="111"/>
      <c r="Y1174" s="111"/>
      <c r="Z1174" s="111"/>
      <c r="AA1174" s="111"/>
    </row>
    <row r="1175" spans="1:27" s="118" customFormat="1" x14ac:dyDescent="0.2">
      <c r="A1175" s="6"/>
      <c r="B1175" s="6"/>
      <c r="C1175" s="155"/>
      <c r="D1175" s="108"/>
      <c r="E1175" s="148"/>
      <c r="F1175" s="253"/>
      <c r="G1175" s="253"/>
      <c r="H1175" s="253"/>
      <c r="I1175" s="246"/>
      <c r="J1175" s="258"/>
      <c r="K1175" s="137"/>
      <c r="L1175" s="137"/>
      <c r="M1175" s="137"/>
      <c r="N1175" s="138"/>
      <c r="O1175" s="167"/>
      <c r="P1175" s="111"/>
      <c r="Q1175" s="111"/>
      <c r="R1175" s="111"/>
      <c r="S1175" s="111"/>
      <c r="T1175" s="111"/>
      <c r="U1175" s="111"/>
      <c r="V1175" s="111"/>
      <c r="W1175" s="111"/>
      <c r="X1175" s="111"/>
      <c r="Y1175" s="111"/>
      <c r="Z1175" s="111"/>
      <c r="AA1175" s="111"/>
    </row>
    <row r="1176" spans="1:27" s="145" customFormat="1" x14ac:dyDescent="0.2">
      <c r="A1176" s="140" t="s">
        <v>453</v>
      </c>
      <c r="B1176" s="140"/>
      <c r="C1176" s="141"/>
      <c r="D1176" s="112" t="s">
        <v>28</v>
      </c>
      <c r="E1176" s="140"/>
      <c r="F1176" s="260"/>
      <c r="G1176" s="260"/>
      <c r="H1176" s="260"/>
      <c r="I1176" s="248"/>
      <c r="J1176" s="260"/>
      <c r="K1176" s="142"/>
      <c r="L1176" s="142"/>
      <c r="M1176" s="142"/>
      <c r="N1176" s="143">
        <f>SUM(N1178)</f>
        <v>1222.33</v>
      </c>
      <c r="O1176" s="285"/>
      <c r="P1176" s="144"/>
      <c r="Q1176" s="144"/>
      <c r="R1176" s="144"/>
      <c r="S1176" s="144"/>
      <c r="T1176" s="144"/>
      <c r="U1176" s="144"/>
      <c r="V1176" s="144"/>
      <c r="W1176" s="144"/>
      <c r="X1176" s="144"/>
      <c r="Y1176" s="144"/>
      <c r="Z1176" s="144"/>
      <c r="AA1176" s="144"/>
    </row>
    <row r="1177" spans="1:27" s="118" customFormat="1" x14ac:dyDescent="0.2">
      <c r="A1177" s="6"/>
      <c r="B1177" s="6"/>
      <c r="C1177" s="155"/>
      <c r="D1177" s="108"/>
      <c r="E1177" s="148"/>
      <c r="F1177" s="253"/>
      <c r="G1177" s="253"/>
      <c r="H1177" s="253"/>
      <c r="I1177" s="246"/>
      <c r="J1177" s="258"/>
      <c r="K1177" s="137"/>
      <c r="L1177" s="137"/>
      <c r="M1177" s="137"/>
      <c r="N1177" s="138"/>
      <c r="O1177" s="167"/>
      <c r="P1177" s="111"/>
      <c r="Q1177" s="111"/>
      <c r="R1177" s="111"/>
      <c r="S1177" s="111"/>
      <c r="T1177" s="111"/>
      <c r="U1177" s="111"/>
      <c r="V1177" s="111"/>
      <c r="W1177" s="111"/>
      <c r="X1177" s="111"/>
      <c r="Y1177" s="111"/>
      <c r="Z1177" s="111"/>
      <c r="AA1177" s="111"/>
    </row>
    <row r="1178" spans="1:27" s="147" customFormat="1" ht="30.6" x14ac:dyDescent="0.2">
      <c r="A1178" s="9" t="s">
        <v>454</v>
      </c>
      <c r="B1178" s="9" t="s">
        <v>163</v>
      </c>
      <c r="C1178" s="13" t="s">
        <v>263</v>
      </c>
      <c r="D1178" s="113" t="s">
        <v>264</v>
      </c>
      <c r="E1178" s="9" t="s">
        <v>33</v>
      </c>
      <c r="F1178" s="261"/>
      <c r="G1178" s="261"/>
      <c r="H1178" s="261"/>
      <c r="I1178" s="245"/>
      <c r="J1178" s="261"/>
      <c r="K1178" s="131">
        <f>J1181</f>
        <v>3.36</v>
      </c>
      <c r="L1178" s="131">
        <v>287.51</v>
      </c>
      <c r="M1178" s="131">
        <f>ROUND(L1178*(1+$Q$7),2)</f>
        <v>363.79</v>
      </c>
      <c r="N1178" s="133">
        <f>TRUNC(K1178*M1178,2)</f>
        <v>1222.33</v>
      </c>
      <c r="O1178" s="286"/>
      <c r="P1178" s="146"/>
      <c r="Q1178" s="146"/>
      <c r="R1178" s="146"/>
      <c r="S1178" s="146"/>
      <c r="T1178" s="146"/>
      <c r="U1178" s="146"/>
      <c r="V1178" s="146"/>
      <c r="W1178" s="146"/>
      <c r="X1178" s="146"/>
      <c r="Y1178" s="146"/>
      <c r="Z1178" s="146"/>
      <c r="AA1178" s="146"/>
    </row>
    <row r="1179" spans="1:27" s="118" customFormat="1" x14ac:dyDescent="0.2">
      <c r="A1179" s="6"/>
      <c r="B1179" s="6"/>
      <c r="C1179" s="155"/>
      <c r="D1179" s="2" t="s">
        <v>331</v>
      </c>
      <c r="E1179" s="148"/>
      <c r="F1179" s="253"/>
      <c r="G1179" s="253">
        <v>0.8</v>
      </c>
      <c r="H1179" s="253"/>
      <c r="I1179" s="249">
        <v>2.1</v>
      </c>
      <c r="J1179" s="253">
        <f>ROUND(PRODUCT(F1179:I1179),2)</f>
        <v>1.68</v>
      </c>
      <c r="K1179" s="137"/>
      <c r="L1179" s="137"/>
      <c r="M1179" s="137"/>
      <c r="N1179" s="138"/>
      <c r="O1179" s="167"/>
      <c r="P1179" s="111"/>
      <c r="Q1179" s="111"/>
      <c r="R1179" s="111"/>
      <c r="S1179" s="111"/>
      <c r="T1179" s="111"/>
      <c r="U1179" s="111"/>
      <c r="V1179" s="111"/>
      <c r="W1179" s="111"/>
      <c r="X1179" s="111"/>
      <c r="Y1179" s="111"/>
      <c r="Z1179" s="111"/>
      <c r="AA1179" s="111"/>
    </row>
    <row r="1180" spans="1:27" s="118" customFormat="1" x14ac:dyDescent="0.2">
      <c r="A1180" s="6"/>
      <c r="B1180" s="6"/>
      <c r="C1180" s="155"/>
      <c r="D1180" s="2" t="s">
        <v>333</v>
      </c>
      <c r="E1180" s="148"/>
      <c r="F1180" s="253"/>
      <c r="G1180" s="253">
        <v>0.8</v>
      </c>
      <c r="H1180" s="253"/>
      <c r="I1180" s="249">
        <v>2.1</v>
      </c>
      <c r="J1180" s="253">
        <f t="shared" ref="J1180" si="119">ROUND(PRODUCT(F1180:I1180),2)</f>
        <v>1.68</v>
      </c>
      <c r="K1180" s="137"/>
      <c r="L1180" s="137"/>
      <c r="M1180" s="137"/>
      <c r="N1180" s="138"/>
      <c r="O1180" s="167"/>
      <c r="P1180" s="111"/>
      <c r="Q1180" s="111"/>
      <c r="R1180" s="111"/>
      <c r="S1180" s="111"/>
      <c r="T1180" s="111"/>
      <c r="U1180" s="111"/>
      <c r="V1180" s="111"/>
      <c r="W1180" s="111"/>
      <c r="X1180" s="111"/>
      <c r="Y1180" s="111"/>
      <c r="Z1180" s="111"/>
      <c r="AA1180" s="111"/>
    </row>
    <row r="1181" spans="1:27" s="118" customFormat="1" x14ac:dyDescent="0.2">
      <c r="A1181" s="6"/>
      <c r="B1181" s="6"/>
      <c r="C1181" s="156"/>
      <c r="D1181" s="108"/>
      <c r="E1181" s="148"/>
      <c r="F1181" s="253"/>
      <c r="G1181" s="253"/>
      <c r="H1181" s="253"/>
      <c r="I1181" s="246" t="str">
        <f>"Total item "&amp;A1178</f>
        <v>Total item 14.3.1</v>
      </c>
      <c r="J1181" s="261">
        <f>SUM(J1179:J1180)</f>
        <v>3.36</v>
      </c>
      <c r="K1181" s="137"/>
      <c r="L1181" s="137"/>
      <c r="M1181" s="137"/>
      <c r="N1181" s="138"/>
      <c r="O1181" s="167"/>
      <c r="P1181" s="111"/>
      <c r="Q1181" s="111"/>
      <c r="R1181" s="111"/>
      <c r="S1181" s="111"/>
      <c r="T1181" s="111"/>
      <c r="U1181" s="111"/>
      <c r="V1181" s="111"/>
      <c r="W1181" s="111"/>
      <c r="X1181" s="111"/>
      <c r="Y1181" s="111"/>
      <c r="Z1181" s="111"/>
      <c r="AA1181" s="111"/>
    </row>
    <row r="1182" spans="1:27" s="118" customFormat="1" x14ac:dyDescent="0.2">
      <c r="A1182" s="6"/>
      <c r="B1182" s="6"/>
      <c r="C1182" s="156"/>
      <c r="D1182" s="108"/>
      <c r="E1182" s="148"/>
      <c r="F1182" s="253"/>
      <c r="G1182" s="253"/>
      <c r="H1182" s="253"/>
      <c r="I1182" s="246"/>
      <c r="J1182" s="246"/>
      <c r="K1182" s="137"/>
      <c r="L1182" s="137"/>
      <c r="M1182" s="137"/>
      <c r="N1182" s="138"/>
      <c r="O1182" s="167"/>
      <c r="P1182" s="111"/>
      <c r="Q1182" s="111"/>
      <c r="R1182" s="111"/>
      <c r="S1182" s="111"/>
      <c r="T1182" s="111"/>
      <c r="U1182" s="111"/>
      <c r="V1182" s="111"/>
      <c r="W1182" s="111"/>
      <c r="X1182" s="111"/>
      <c r="Y1182" s="111"/>
      <c r="Z1182" s="111"/>
      <c r="AA1182" s="111"/>
    </row>
    <row r="1183" spans="1:27" s="145" customFormat="1" x14ac:dyDescent="0.2">
      <c r="A1183" s="140" t="s">
        <v>455</v>
      </c>
      <c r="B1183" s="140"/>
      <c r="C1183" s="141"/>
      <c r="D1183" s="112" t="s">
        <v>29</v>
      </c>
      <c r="E1183" s="140"/>
      <c r="F1183" s="260"/>
      <c r="G1183" s="260"/>
      <c r="H1183" s="260"/>
      <c r="I1183" s="248"/>
      <c r="J1183" s="260"/>
      <c r="K1183" s="142"/>
      <c r="L1183" s="142"/>
      <c r="M1183" s="142"/>
      <c r="N1183" s="143">
        <f>SUM(N1185:N1190)</f>
        <v>114.1</v>
      </c>
      <c r="O1183" s="285"/>
      <c r="P1183" s="144"/>
      <c r="Q1183" s="144"/>
      <c r="R1183" s="144"/>
      <c r="S1183" s="144"/>
      <c r="T1183" s="144"/>
      <c r="U1183" s="144"/>
      <c r="V1183" s="144"/>
      <c r="W1183" s="144"/>
      <c r="X1183" s="144"/>
      <c r="Y1183" s="144"/>
      <c r="Z1183" s="144"/>
      <c r="AA1183" s="144"/>
    </row>
    <row r="1184" spans="1:27" s="118" customFormat="1" x14ac:dyDescent="0.2">
      <c r="A1184" s="6"/>
      <c r="B1184" s="6"/>
      <c r="C1184" s="156"/>
      <c r="D1184" s="108"/>
      <c r="E1184" s="148"/>
      <c r="F1184" s="253"/>
      <c r="G1184" s="253"/>
      <c r="H1184" s="253"/>
      <c r="I1184" s="246"/>
      <c r="J1184" s="246"/>
      <c r="K1184" s="137"/>
      <c r="L1184" s="137"/>
      <c r="M1184" s="137"/>
      <c r="N1184" s="138"/>
      <c r="O1184" s="167"/>
      <c r="P1184" s="111"/>
      <c r="Q1184" s="111"/>
      <c r="R1184" s="111"/>
      <c r="S1184" s="111"/>
      <c r="T1184" s="111"/>
      <c r="U1184" s="111"/>
      <c r="V1184" s="111"/>
      <c r="W1184" s="111"/>
      <c r="X1184" s="111"/>
      <c r="Y1184" s="111"/>
      <c r="Z1184" s="111"/>
      <c r="AA1184" s="111"/>
    </row>
    <row r="1185" spans="1:27" s="147" customFormat="1" ht="40.799999999999997" x14ac:dyDescent="0.2">
      <c r="A1185" s="9" t="s">
        <v>456</v>
      </c>
      <c r="B1185" s="107" t="s">
        <v>163</v>
      </c>
      <c r="C1185" s="107" t="s">
        <v>176</v>
      </c>
      <c r="D1185" s="113" t="s">
        <v>269</v>
      </c>
      <c r="E1185" s="1" t="s">
        <v>9</v>
      </c>
      <c r="F1185" s="261"/>
      <c r="G1185" s="261"/>
      <c r="H1185" s="261"/>
      <c r="I1185" s="245"/>
      <c r="J1185" s="261"/>
      <c r="K1185" s="131">
        <f>J1189</f>
        <v>6.72</v>
      </c>
      <c r="L1185" s="131">
        <v>13.42</v>
      </c>
      <c r="M1185" s="131">
        <f>ROUND(L1185*(1+$Q$7),2)</f>
        <v>16.98</v>
      </c>
      <c r="N1185" s="133">
        <f>TRUNC(K1185*M1185,2)</f>
        <v>114.1</v>
      </c>
      <c r="O1185" s="286"/>
      <c r="P1185" s="146"/>
      <c r="Q1185" s="146"/>
      <c r="R1185" s="146"/>
      <c r="S1185" s="146"/>
      <c r="T1185" s="146"/>
      <c r="U1185" s="146"/>
      <c r="V1185" s="146"/>
      <c r="W1185" s="146"/>
      <c r="X1185" s="146"/>
      <c r="Y1185" s="146"/>
      <c r="Z1185" s="146"/>
      <c r="AA1185" s="146"/>
    </row>
    <row r="1186" spans="1:27" s="118" customFormat="1" x14ac:dyDescent="0.2">
      <c r="A1186" s="6"/>
      <c r="B1186" s="6"/>
      <c r="C1186" s="155"/>
      <c r="D1186" s="3" t="s">
        <v>270</v>
      </c>
      <c r="E1186" s="148"/>
      <c r="F1186" s="253"/>
      <c r="G1186" s="253"/>
      <c r="H1186" s="253"/>
      <c r="I1186" s="249"/>
      <c r="J1186" s="253"/>
      <c r="K1186" s="137"/>
      <c r="L1186" s="137"/>
      <c r="M1186" s="137"/>
      <c r="N1186" s="138"/>
      <c r="O1186" s="167"/>
      <c r="P1186" s="111"/>
      <c r="Q1186" s="111"/>
      <c r="R1186" s="111"/>
      <c r="S1186" s="111"/>
      <c r="T1186" s="111"/>
      <c r="U1186" s="111"/>
      <c r="V1186" s="111"/>
      <c r="W1186" s="111"/>
      <c r="X1186" s="111"/>
      <c r="Y1186" s="111"/>
      <c r="Z1186" s="111"/>
      <c r="AA1186" s="111"/>
    </row>
    <row r="1187" spans="1:27" s="118" customFormat="1" x14ac:dyDescent="0.2">
      <c r="A1187" s="6"/>
      <c r="B1187" s="6"/>
      <c r="C1187" s="155"/>
      <c r="D1187" s="2" t="s">
        <v>331</v>
      </c>
      <c r="E1187" s="148"/>
      <c r="F1187" s="253">
        <v>2</v>
      </c>
      <c r="G1187" s="253">
        <v>0.8</v>
      </c>
      <c r="H1187" s="253"/>
      <c r="I1187" s="249">
        <v>2.1</v>
      </c>
      <c r="J1187" s="253">
        <f>ROUND(PRODUCT(F1187:I1187),2)</f>
        <v>3.36</v>
      </c>
      <c r="K1187" s="137"/>
      <c r="L1187" s="137"/>
      <c r="M1187" s="137"/>
      <c r="N1187" s="138"/>
      <c r="O1187" s="167"/>
      <c r="P1187" s="111"/>
      <c r="Q1187" s="111"/>
      <c r="R1187" s="111"/>
      <c r="S1187" s="111"/>
      <c r="T1187" s="111"/>
      <c r="U1187" s="111"/>
      <c r="V1187" s="111"/>
      <c r="W1187" s="111"/>
      <c r="X1187" s="111"/>
      <c r="Y1187" s="111"/>
      <c r="Z1187" s="111"/>
      <c r="AA1187" s="111"/>
    </row>
    <row r="1188" spans="1:27" s="118" customFormat="1" x14ac:dyDescent="0.2">
      <c r="A1188" s="6"/>
      <c r="B1188" s="6"/>
      <c r="C1188" s="155"/>
      <c r="D1188" s="2" t="s">
        <v>333</v>
      </c>
      <c r="E1188" s="148"/>
      <c r="F1188" s="253">
        <v>2</v>
      </c>
      <c r="G1188" s="253">
        <v>0.8</v>
      </c>
      <c r="H1188" s="253"/>
      <c r="I1188" s="249">
        <v>2.1</v>
      </c>
      <c r="J1188" s="253">
        <f t="shared" ref="J1188" si="120">ROUND(PRODUCT(F1188:I1188),2)</f>
        <v>3.36</v>
      </c>
      <c r="K1188" s="137"/>
      <c r="L1188" s="137"/>
      <c r="M1188" s="137"/>
      <c r="N1188" s="138"/>
      <c r="O1188" s="167"/>
      <c r="P1188" s="111"/>
      <c r="Q1188" s="111"/>
      <c r="R1188" s="111"/>
      <c r="S1188" s="111"/>
      <c r="T1188" s="111"/>
      <c r="U1188" s="111"/>
      <c r="V1188" s="111"/>
      <c r="W1188" s="111"/>
      <c r="X1188" s="111"/>
      <c r="Y1188" s="111"/>
      <c r="Z1188" s="111"/>
      <c r="AA1188" s="111"/>
    </row>
    <row r="1189" spans="1:27" s="118" customFormat="1" x14ac:dyDescent="0.2">
      <c r="A1189" s="6"/>
      <c r="B1189" s="6"/>
      <c r="C1189" s="156"/>
      <c r="D1189" s="108"/>
      <c r="E1189" s="148"/>
      <c r="F1189" s="253"/>
      <c r="G1189" s="253"/>
      <c r="H1189" s="253"/>
      <c r="I1189" s="246" t="str">
        <f>"Total item "&amp;A1185</f>
        <v>Total item 14.4.1</v>
      </c>
      <c r="J1189" s="261">
        <f>SUM(J1187:J1188)</f>
        <v>6.72</v>
      </c>
      <c r="K1189" s="137"/>
      <c r="L1189" s="137"/>
      <c r="M1189" s="137"/>
      <c r="N1189" s="138"/>
      <c r="O1189" s="167"/>
      <c r="P1189" s="111"/>
      <c r="Q1189" s="111"/>
      <c r="R1189" s="111"/>
      <c r="S1189" s="111"/>
      <c r="T1189" s="111"/>
      <c r="U1189" s="111"/>
      <c r="V1189" s="111"/>
      <c r="W1189" s="111"/>
      <c r="X1189" s="111"/>
      <c r="Y1189" s="111"/>
      <c r="Z1189" s="111"/>
      <c r="AA1189" s="111"/>
    </row>
    <row r="1190" spans="1:27" s="118" customFormat="1" x14ac:dyDescent="0.2">
      <c r="A1190" s="6"/>
      <c r="B1190" s="6"/>
      <c r="C1190" s="155"/>
      <c r="D1190" s="108"/>
      <c r="E1190" s="148"/>
      <c r="F1190" s="253"/>
      <c r="G1190" s="253"/>
      <c r="H1190" s="253"/>
      <c r="I1190" s="246"/>
      <c r="J1190" s="258"/>
      <c r="K1190" s="137"/>
      <c r="L1190" s="137"/>
      <c r="M1190" s="137"/>
      <c r="N1190" s="138"/>
      <c r="O1190" s="167"/>
      <c r="P1190" s="111"/>
      <c r="Q1190" s="111"/>
      <c r="R1190" s="111"/>
      <c r="S1190" s="111"/>
      <c r="T1190" s="111"/>
      <c r="U1190" s="111"/>
      <c r="V1190" s="111"/>
      <c r="W1190" s="111"/>
      <c r="X1190" s="111"/>
      <c r="Y1190" s="111"/>
      <c r="Z1190" s="111"/>
      <c r="AA1190" s="111"/>
    </row>
    <row r="1191" spans="1:27" s="145" customFormat="1" x14ac:dyDescent="0.2">
      <c r="A1191" s="140" t="s">
        <v>457</v>
      </c>
      <c r="B1191" s="140"/>
      <c r="C1191" s="141"/>
      <c r="D1191" s="112" t="s">
        <v>80</v>
      </c>
      <c r="E1191" s="140"/>
      <c r="F1191" s="260"/>
      <c r="G1191" s="260"/>
      <c r="H1191" s="260"/>
      <c r="I1191" s="248"/>
      <c r="J1191" s="260"/>
      <c r="K1191" s="142"/>
      <c r="L1191" s="142"/>
      <c r="M1191" s="142"/>
      <c r="N1191" s="143">
        <f>SUM(N1193:N1194)</f>
        <v>2447.7800000000002</v>
      </c>
      <c r="O1191" s="285"/>
      <c r="P1191" s="144"/>
      <c r="Q1191" s="144"/>
      <c r="R1191" s="144"/>
      <c r="S1191" s="144"/>
      <c r="T1191" s="144"/>
      <c r="U1191" s="144"/>
      <c r="V1191" s="144"/>
      <c r="W1191" s="144"/>
      <c r="X1191" s="144"/>
      <c r="Y1191" s="144"/>
      <c r="Z1191" s="144"/>
      <c r="AA1191" s="144"/>
    </row>
    <row r="1192" spans="1:27" s="118" customFormat="1" x14ac:dyDescent="0.2">
      <c r="A1192" s="6"/>
      <c r="B1192" s="6"/>
      <c r="C1192" s="155"/>
      <c r="D1192" s="108"/>
      <c r="E1192" s="148"/>
      <c r="F1192" s="253"/>
      <c r="G1192" s="253"/>
      <c r="H1192" s="253"/>
      <c r="I1192" s="246"/>
      <c r="J1192" s="258"/>
      <c r="K1192" s="137"/>
      <c r="L1192" s="137"/>
      <c r="M1192" s="137"/>
      <c r="N1192" s="138"/>
      <c r="O1192" s="167"/>
      <c r="P1192" s="111"/>
      <c r="Q1192" s="111"/>
      <c r="R1192" s="111"/>
      <c r="S1192" s="111"/>
      <c r="T1192" s="111"/>
      <c r="U1192" s="111"/>
      <c r="V1192" s="111"/>
      <c r="W1192" s="111"/>
      <c r="X1192" s="111"/>
      <c r="Y1192" s="111"/>
      <c r="Z1192" s="111"/>
      <c r="AA1192" s="111"/>
    </row>
    <row r="1193" spans="1:27" s="147" customFormat="1" x14ac:dyDescent="0.2">
      <c r="A1193" s="9" t="s">
        <v>458</v>
      </c>
      <c r="B1193" s="9" t="s">
        <v>179</v>
      </c>
      <c r="C1193" s="13" t="s">
        <v>180</v>
      </c>
      <c r="D1193" s="113" t="s">
        <v>77</v>
      </c>
      <c r="E1193" s="9" t="s">
        <v>9</v>
      </c>
      <c r="F1193" s="261"/>
      <c r="G1193" s="261"/>
      <c r="H1193" s="261"/>
      <c r="I1193" s="245"/>
      <c r="J1193" s="261"/>
      <c r="K1193" s="131">
        <f>J1195</f>
        <v>333.94</v>
      </c>
      <c r="L1193" s="131">
        <f>'COMPOSICOES - SINAPI COM DESON'!G18</f>
        <v>5.79</v>
      </c>
      <c r="M1193" s="131">
        <f>ROUND(L1193*(1+$Q$7),2)</f>
        <v>7.33</v>
      </c>
      <c r="N1193" s="133">
        <f>TRUNC(K1193*M1193,2)</f>
        <v>2447.7800000000002</v>
      </c>
      <c r="O1193" s="286"/>
      <c r="P1193" s="146"/>
      <c r="Q1193" s="146"/>
      <c r="R1193" s="146"/>
      <c r="S1193" s="146"/>
      <c r="T1193" s="146"/>
      <c r="U1193" s="146"/>
      <c r="V1193" s="146"/>
      <c r="W1193" s="146"/>
      <c r="X1193" s="146"/>
      <c r="Y1193" s="146"/>
      <c r="Z1193" s="146"/>
      <c r="AA1193" s="146"/>
    </row>
    <row r="1194" spans="1:27" s="118" customFormat="1" x14ac:dyDescent="0.2">
      <c r="A1194" s="6"/>
      <c r="B1194" s="6"/>
      <c r="C1194" s="155"/>
      <c r="D1194" s="2"/>
      <c r="E1194" s="148"/>
      <c r="F1194" s="253"/>
      <c r="G1194" s="253">
        <v>16.25</v>
      </c>
      <c r="H1194" s="253">
        <v>20.55</v>
      </c>
      <c r="I1194" s="249"/>
      <c r="J1194" s="253">
        <f>ROUND(PRODUCT(F1194:I1194),2)</f>
        <v>333.94</v>
      </c>
      <c r="K1194" s="137"/>
      <c r="L1194" s="137"/>
      <c r="M1194" s="137"/>
      <c r="N1194" s="138"/>
      <c r="O1194" s="167"/>
      <c r="P1194" s="111"/>
      <c r="Q1194" s="111"/>
      <c r="R1194" s="111"/>
      <c r="S1194" s="111"/>
      <c r="T1194" s="111"/>
      <c r="U1194" s="111"/>
      <c r="V1194" s="111"/>
      <c r="W1194" s="111"/>
      <c r="X1194" s="111"/>
      <c r="Y1194" s="111"/>
      <c r="Z1194" s="111"/>
      <c r="AA1194" s="111"/>
    </row>
    <row r="1195" spans="1:27" s="118" customFormat="1" x14ac:dyDescent="0.2">
      <c r="A1195" s="6"/>
      <c r="B1195" s="6"/>
      <c r="C1195" s="156"/>
      <c r="D1195" s="108"/>
      <c r="E1195" s="148"/>
      <c r="F1195" s="253"/>
      <c r="G1195" s="253"/>
      <c r="H1195" s="253"/>
      <c r="I1195" s="246" t="str">
        <f>"Total item "&amp;A1193</f>
        <v>Total item 14.5.1</v>
      </c>
      <c r="J1195" s="261">
        <f>SUM(J1194:J1194)</f>
        <v>333.94</v>
      </c>
      <c r="K1195" s="137"/>
      <c r="L1195" s="137"/>
      <c r="M1195" s="137"/>
      <c r="N1195" s="138"/>
      <c r="O1195" s="167"/>
      <c r="P1195" s="111"/>
      <c r="Q1195" s="111"/>
      <c r="R1195" s="111"/>
      <c r="S1195" s="111"/>
      <c r="T1195" s="111"/>
      <c r="U1195" s="111"/>
      <c r="V1195" s="111"/>
      <c r="W1195" s="111"/>
      <c r="X1195" s="111"/>
      <c r="Y1195" s="111"/>
      <c r="Z1195" s="111"/>
      <c r="AA1195" s="111"/>
    </row>
    <row r="1196" spans="1:27" s="118" customFormat="1" x14ac:dyDescent="0.2">
      <c r="A1196" s="6"/>
      <c r="B1196" s="6"/>
      <c r="C1196" s="155"/>
      <c r="D1196" s="108"/>
      <c r="E1196" s="148"/>
      <c r="F1196" s="253"/>
      <c r="G1196" s="253"/>
      <c r="H1196" s="253"/>
      <c r="I1196" s="246"/>
      <c r="J1196" s="258"/>
      <c r="K1196" s="137"/>
      <c r="L1196" s="137"/>
      <c r="M1196" s="137"/>
      <c r="N1196" s="138"/>
      <c r="O1196" s="167"/>
      <c r="P1196" s="111"/>
      <c r="Q1196" s="111"/>
      <c r="R1196" s="111"/>
      <c r="S1196" s="111"/>
      <c r="T1196" s="111"/>
      <c r="U1196" s="111"/>
      <c r="V1196" s="111"/>
      <c r="W1196" s="111"/>
      <c r="X1196" s="111"/>
      <c r="Y1196" s="111"/>
      <c r="Z1196" s="111"/>
      <c r="AA1196" s="111"/>
    </row>
    <row r="1197" spans="1:27" s="241" customFormat="1" ht="13.2" x14ac:dyDescent="0.25">
      <c r="A1197" s="236" t="s">
        <v>231</v>
      </c>
      <c r="B1197" s="236"/>
      <c r="C1197" s="237"/>
      <c r="D1197" s="289" t="s">
        <v>224</v>
      </c>
      <c r="E1197" s="236"/>
      <c r="F1197" s="259"/>
      <c r="G1197" s="259"/>
      <c r="H1197" s="259"/>
      <c r="I1197" s="247"/>
      <c r="J1197" s="259"/>
      <c r="K1197" s="238"/>
      <c r="L1197" s="238"/>
      <c r="M1197" s="238"/>
      <c r="N1197" s="239" t="e">
        <f>N1199+N1252+N1258+N1267+N1277+N1298+N1318</f>
        <v>#VALUE!</v>
      </c>
      <c r="O1197" s="284" t="e">
        <f>N1197/$N$2057</f>
        <v>#VALUE!</v>
      </c>
      <c r="P1197" s="240" t="s">
        <v>533</v>
      </c>
      <c r="Q1197" s="240" t="s">
        <v>533</v>
      </c>
      <c r="R1197" s="240"/>
      <c r="S1197" s="240"/>
      <c r="T1197" s="240"/>
      <c r="U1197" s="240"/>
      <c r="V1197" s="240"/>
      <c r="W1197" s="240"/>
      <c r="X1197" s="240"/>
      <c r="Y1197" s="240"/>
      <c r="Z1197" s="240"/>
      <c r="AA1197" s="240"/>
    </row>
    <row r="1198" spans="1:27" s="118" customFormat="1" x14ac:dyDescent="0.2">
      <c r="A1198" s="6"/>
      <c r="B1198" s="6"/>
      <c r="C1198" s="155"/>
      <c r="D1198" s="108"/>
      <c r="E1198" s="148"/>
      <c r="F1198" s="253"/>
      <c r="G1198" s="253"/>
      <c r="H1198" s="253"/>
      <c r="I1198" s="246"/>
      <c r="J1198" s="258"/>
      <c r="K1198" s="137"/>
      <c r="L1198" s="137"/>
      <c r="M1198" s="137"/>
      <c r="N1198" s="138"/>
      <c r="O1198" s="167"/>
      <c r="P1198" s="111"/>
      <c r="Q1198" s="111"/>
      <c r="R1198" s="111"/>
      <c r="S1198" s="111"/>
      <c r="T1198" s="111"/>
      <c r="U1198" s="111"/>
      <c r="V1198" s="111"/>
      <c r="W1198" s="111"/>
      <c r="X1198" s="111"/>
      <c r="Y1198" s="111"/>
      <c r="Z1198" s="111"/>
      <c r="AA1198" s="111"/>
    </row>
    <row r="1199" spans="1:27" s="145" customFormat="1" x14ac:dyDescent="0.2">
      <c r="A1199" s="140" t="s">
        <v>336</v>
      </c>
      <c r="B1199" s="140"/>
      <c r="C1199" s="141"/>
      <c r="D1199" s="112" t="s">
        <v>30</v>
      </c>
      <c r="E1199" s="140"/>
      <c r="F1199" s="260"/>
      <c r="G1199" s="260"/>
      <c r="H1199" s="260"/>
      <c r="I1199" s="248"/>
      <c r="J1199" s="260"/>
      <c r="K1199" s="142"/>
      <c r="L1199" s="142"/>
      <c r="M1199" s="142"/>
      <c r="N1199" s="143" t="e">
        <f>SUM(N1201:N1251)</f>
        <v>#VALUE!</v>
      </c>
      <c r="O1199" s="285"/>
      <c r="P1199" s="144"/>
      <c r="Q1199" s="144"/>
      <c r="R1199" s="144"/>
      <c r="S1199" s="144"/>
      <c r="T1199" s="144"/>
      <c r="U1199" s="144"/>
      <c r="V1199" s="144"/>
      <c r="W1199" s="144"/>
      <c r="X1199" s="144"/>
      <c r="Y1199" s="144"/>
      <c r="Z1199" s="144"/>
      <c r="AA1199" s="144"/>
    </row>
    <row r="1200" spans="1:27" s="118" customFormat="1" x14ac:dyDescent="0.2">
      <c r="A1200" s="6"/>
      <c r="B1200" s="6"/>
      <c r="C1200" s="155"/>
      <c r="D1200" s="108"/>
      <c r="E1200" s="148"/>
      <c r="F1200" s="253"/>
      <c r="G1200" s="253"/>
      <c r="H1200" s="253"/>
      <c r="I1200" s="246"/>
      <c r="J1200" s="258"/>
      <c r="K1200" s="137"/>
      <c r="L1200" s="137"/>
      <c r="M1200" s="137"/>
      <c r="N1200" s="138"/>
      <c r="O1200" s="167"/>
      <c r="P1200" s="111"/>
      <c r="Q1200" s="111"/>
      <c r="R1200" s="111"/>
      <c r="S1200" s="111"/>
      <c r="T1200" s="111"/>
      <c r="U1200" s="111"/>
      <c r="V1200" s="111"/>
      <c r="W1200" s="111"/>
      <c r="X1200" s="111"/>
      <c r="Y1200" s="111"/>
      <c r="Z1200" s="111"/>
      <c r="AA1200" s="111"/>
    </row>
    <row r="1201" spans="1:27" s="147" customFormat="1" ht="61.2" x14ac:dyDescent="0.2">
      <c r="A1201" s="9" t="s">
        <v>337</v>
      </c>
      <c r="B1201" s="9" t="s">
        <v>179</v>
      </c>
      <c r="C1201" s="13" t="s">
        <v>417</v>
      </c>
      <c r="D1201" s="113" t="s">
        <v>561</v>
      </c>
      <c r="E1201" s="9" t="s">
        <v>31</v>
      </c>
      <c r="F1201" s="261"/>
      <c r="G1201" s="261"/>
      <c r="H1201" s="261"/>
      <c r="I1201" s="245"/>
      <c r="J1201" s="261"/>
      <c r="K1201" s="131">
        <f>J1207</f>
        <v>9</v>
      </c>
      <c r="L1201" s="131" t="e">
        <f>'COMPOSICOES - SINAPI COM DESON'!G36</f>
        <v>#VALUE!</v>
      </c>
      <c r="M1201" s="131" t="e">
        <f>ROUND(L1201*(1+$Q$7),2)</f>
        <v>#VALUE!</v>
      </c>
      <c r="N1201" s="133" t="e">
        <f>TRUNC(K1201*M1201,2)</f>
        <v>#VALUE!</v>
      </c>
      <c r="O1201" s="286"/>
      <c r="P1201" s="146"/>
      <c r="Q1201" s="146"/>
      <c r="R1201" s="146"/>
      <c r="S1201" s="146"/>
      <c r="T1201" s="146"/>
      <c r="U1201" s="146"/>
      <c r="V1201" s="146"/>
      <c r="W1201" s="146"/>
      <c r="X1201" s="146"/>
      <c r="Y1201" s="146"/>
      <c r="Z1201" s="146"/>
      <c r="AA1201" s="146"/>
    </row>
    <row r="1202" spans="1:27" s="118" customFormat="1" x14ac:dyDescent="0.2">
      <c r="A1202" s="6"/>
      <c r="B1202" s="6"/>
      <c r="C1202" s="155"/>
      <c r="D1202" s="2" t="s">
        <v>494</v>
      </c>
      <c r="E1202" s="148"/>
      <c r="F1202" s="253">
        <v>2</v>
      </c>
      <c r="G1202" s="253"/>
      <c r="H1202" s="253"/>
      <c r="I1202" s="246"/>
      <c r="J1202" s="253">
        <f>ROUND(PRODUCT(F1202:I1202),2)</f>
        <v>2</v>
      </c>
      <c r="K1202" s="137"/>
      <c r="L1202" s="137"/>
      <c r="M1202" s="137"/>
      <c r="N1202" s="138"/>
      <c r="O1202" s="167"/>
      <c r="P1202" s="111"/>
      <c r="Q1202" s="111"/>
      <c r="R1202" s="111"/>
      <c r="S1202" s="111"/>
      <c r="T1202" s="111"/>
      <c r="U1202" s="111"/>
      <c r="V1202" s="111"/>
      <c r="W1202" s="111"/>
      <c r="X1202" s="111"/>
      <c r="Y1202" s="111"/>
      <c r="Z1202" s="111"/>
      <c r="AA1202" s="111"/>
    </row>
    <row r="1203" spans="1:27" s="118" customFormat="1" x14ac:dyDescent="0.2">
      <c r="A1203" s="6"/>
      <c r="B1203" s="6"/>
      <c r="C1203" s="155"/>
      <c r="D1203" s="2" t="s">
        <v>502</v>
      </c>
      <c r="E1203" s="148"/>
      <c r="F1203" s="253">
        <v>2</v>
      </c>
      <c r="G1203" s="253"/>
      <c r="H1203" s="253"/>
      <c r="I1203" s="246"/>
      <c r="J1203" s="253">
        <f>ROUND(PRODUCT(F1203:I1203),2)</f>
        <v>2</v>
      </c>
      <c r="K1203" s="137"/>
      <c r="L1203" s="137"/>
      <c r="M1203" s="137"/>
      <c r="N1203" s="138"/>
      <c r="O1203" s="167"/>
      <c r="P1203" s="111"/>
      <c r="Q1203" s="111"/>
      <c r="R1203" s="111"/>
      <c r="S1203" s="111"/>
      <c r="T1203" s="111"/>
      <c r="U1203" s="111"/>
      <c r="V1203" s="111"/>
      <c r="W1203" s="111"/>
      <c r="X1203" s="111"/>
      <c r="Y1203" s="111"/>
      <c r="Z1203" s="111"/>
      <c r="AA1203" s="111"/>
    </row>
    <row r="1204" spans="1:27" s="118" customFormat="1" x14ac:dyDescent="0.2">
      <c r="A1204" s="6"/>
      <c r="B1204" s="6"/>
      <c r="C1204" s="155"/>
      <c r="D1204" s="2" t="s">
        <v>503</v>
      </c>
      <c r="E1204" s="148"/>
      <c r="F1204" s="253">
        <v>1</v>
      </c>
      <c r="G1204" s="253"/>
      <c r="H1204" s="253"/>
      <c r="I1204" s="246"/>
      <c r="J1204" s="253">
        <f t="shared" ref="J1204:J1206" si="121">ROUND(PRODUCT(F1204:I1204),2)</f>
        <v>1</v>
      </c>
      <c r="K1204" s="137"/>
      <c r="L1204" s="137"/>
      <c r="M1204" s="137"/>
      <c r="N1204" s="138"/>
      <c r="O1204" s="167"/>
      <c r="P1204" s="111"/>
      <c r="Q1204" s="111"/>
      <c r="R1204" s="111"/>
      <c r="S1204" s="111"/>
      <c r="T1204" s="111"/>
      <c r="U1204" s="111"/>
      <c r="V1204" s="111"/>
      <c r="W1204" s="111"/>
      <c r="X1204" s="111"/>
      <c r="Y1204" s="111"/>
      <c r="Z1204" s="111"/>
      <c r="AA1204" s="111"/>
    </row>
    <row r="1205" spans="1:27" s="118" customFormat="1" x14ac:dyDescent="0.2">
      <c r="A1205" s="6"/>
      <c r="B1205" s="6"/>
      <c r="C1205" s="155"/>
      <c r="D1205" s="2" t="s">
        <v>504</v>
      </c>
      <c r="E1205" s="148"/>
      <c r="F1205" s="253">
        <v>2</v>
      </c>
      <c r="G1205" s="253"/>
      <c r="H1205" s="253"/>
      <c r="I1205" s="246"/>
      <c r="J1205" s="253">
        <f t="shared" si="121"/>
        <v>2</v>
      </c>
      <c r="K1205" s="137"/>
      <c r="L1205" s="137"/>
      <c r="M1205" s="137"/>
      <c r="N1205" s="138"/>
      <c r="O1205" s="167"/>
      <c r="P1205" s="111"/>
      <c r="Q1205" s="111"/>
      <c r="R1205" s="111"/>
      <c r="S1205" s="111"/>
      <c r="T1205" s="111"/>
      <c r="U1205" s="111"/>
      <c r="V1205" s="111"/>
      <c r="W1205" s="111"/>
      <c r="X1205" s="111"/>
      <c r="Y1205" s="111"/>
      <c r="Z1205" s="111"/>
      <c r="AA1205" s="111"/>
    </row>
    <row r="1206" spans="1:27" s="118" customFormat="1" x14ac:dyDescent="0.2">
      <c r="A1206" s="6"/>
      <c r="B1206" s="6"/>
      <c r="C1206" s="155"/>
      <c r="D1206" s="2" t="s">
        <v>505</v>
      </c>
      <c r="E1206" s="148"/>
      <c r="F1206" s="253">
        <v>2</v>
      </c>
      <c r="G1206" s="253"/>
      <c r="H1206" s="253"/>
      <c r="I1206" s="246"/>
      <c r="J1206" s="253">
        <f t="shared" si="121"/>
        <v>2</v>
      </c>
      <c r="K1206" s="137"/>
      <c r="L1206" s="137"/>
      <c r="M1206" s="137"/>
      <c r="N1206" s="138"/>
      <c r="O1206" s="167"/>
      <c r="P1206" s="111"/>
      <c r="Q1206" s="111"/>
      <c r="R1206" s="111"/>
      <c r="S1206" s="111"/>
      <c r="T1206" s="111"/>
      <c r="U1206" s="111"/>
      <c r="V1206" s="111"/>
      <c r="W1206" s="111"/>
      <c r="X1206" s="111"/>
      <c r="Y1206" s="111"/>
      <c r="Z1206" s="111"/>
      <c r="AA1206" s="111"/>
    </row>
    <row r="1207" spans="1:27" s="118" customFormat="1" x14ac:dyDescent="0.2">
      <c r="A1207" s="6"/>
      <c r="B1207" s="6"/>
      <c r="C1207" s="156"/>
      <c r="D1207" s="108"/>
      <c r="E1207" s="148"/>
      <c r="F1207" s="253"/>
      <c r="G1207" s="253"/>
      <c r="H1207" s="253"/>
      <c r="I1207" s="246" t="str">
        <f>"Total item "&amp;A1201</f>
        <v>Total item 15.1.1</v>
      </c>
      <c r="J1207" s="261">
        <f>SUM(J1202:J1206)</f>
        <v>9</v>
      </c>
      <c r="K1207" s="137"/>
      <c r="L1207" s="137"/>
      <c r="M1207" s="137"/>
      <c r="N1207" s="138"/>
      <c r="O1207" s="167"/>
      <c r="P1207" s="111"/>
      <c r="Q1207" s="111"/>
      <c r="R1207" s="111"/>
      <c r="S1207" s="111"/>
      <c r="T1207" s="111"/>
      <c r="U1207" s="111"/>
      <c r="V1207" s="111"/>
      <c r="W1207" s="111"/>
      <c r="X1207" s="111"/>
      <c r="Y1207" s="111"/>
      <c r="Z1207" s="111"/>
      <c r="AA1207" s="111"/>
    </row>
    <row r="1208" spans="1:27" s="139" customFormat="1" x14ac:dyDescent="0.2">
      <c r="A1208" s="6"/>
      <c r="B1208" s="6"/>
      <c r="C1208" s="7"/>
      <c r="D1208" s="116"/>
      <c r="E1208" s="6"/>
      <c r="F1208" s="258"/>
      <c r="G1208" s="258"/>
      <c r="H1208" s="258"/>
      <c r="I1208" s="246"/>
      <c r="J1208" s="258"/>
      <c r="K1208" s="137"/>
      <c r="L1208" s="137"/>
      <c r="M1208" s="137"/>
      <c r="N1208" s="138"/>
      <c r="O1208" s="283"/>
      <c r="P1208" s="120"/>
      <c r="Q1208" s="120"/>
      <c r="R1208" s="120"/>
      <c r="S1208" s="120"/>
      <c r="T1208" s="120"/>
      <c r="U1208" s="120"/>
      <c r="V1208" s="120"/>
      <c r="W1208" s="120"/>
      <c r="X1208" s="120"/>
      <c r="Y1208" s="120"/>
      <c r="Z1208" s="120"/>
      <c r="AA1208" s="120"/>
    </row>
    <row r="1209" spans="1:27" s="147" customFormat="1" ht="40.799999999999997" x14ac:dyDescent="0.2">
      <c r="A1209" s="9" t="s">
        <v>338</v>
      </c>
      <c r="B1209" s="9" t="s">
        <v>89</v>
      </c>
      <c r="C1209" s="13">
        <v>93144</v>
      </c>
      <c r="D1209" s="113" t="s">
        <v>295</v>
      </c>
      <c r="E1209" s="9" t="s">
        <v>33</v>
      </c>
      <c r="F1209" s="261"/>
      <c r="G1209" s="261"/>
      <c r="H1209" s="261"/>
      <c r="I1209" s="245"/>
      <c r="J1209" s="261"/>
      <c r="K1209" s="131">
        <f>J1217</f>
        <v>6</v>
      </c>
      <c r="L1209" s="131">
        <v>166.81</v>
      </c>
      <c r="M1209" s="131">
        <f>ROUND(L1209*(1+$Q$7),2)</f>
        <v>211.06</v>
      </c>
      <c r="N1209" s="133">
        <f>TRUNC(K1209*M1209,2)</f>
        <v>1266.3599999999999</v>
      </c>
      <c r="O1209" s="286"/>
      <c r="P1209" s="146"/>
      <c r="Q1209" s="146"/>
      <c r="R1209" s="146"/>
      <c r="S1209" s="146"/>
      <c r="T1209" s="146"/>
      <c r="U1209" s="146"/>
      <c r="V1209" s="146"/>
      <c r="W1209" s="146"/>
      <c r="X1209" s="146"/>
      <c r="Y1209" s="146"/>
      <c r="Z1209" s="146"/>
      <c r="AA1209" s="146"/>
    </row>
    <row r="1210" spans="1:27" s="118" customFormat="1" x14ac:dyDescent="0.2">
      <c r="A1210" s="6"/>
      <c r="B1210" s="6"/>
      <c r="C1210" s="155"/>
      <c r="D1210" s="3" t="s">
        <v>296</v>
      </c>
      <c r="E1210" s="148"/>
      <c r="F1210" s="253"/>
      <c r="G1210" s="253"/>
      <c r="H1210" s="253"/>
      <c r="I1210" s="246"/>
      <c r="J1210" s="253"/>
      <c r="K1210" s="137"/>
      <c r="L1210" s="137"/>
      <c r="M1210" s="137"/>
      <c r="N1210" s="138"/>
      <c r="O1210" s="167"/>
      <c r="P1210" s="111"/>
      <c r="Q1210" s="111"/>
      <c r="R1210" s="111"/>
      <c r="S1210" s="111"/>
      <c r="T1210" s="111"/>
      <c r="U1210" s="111"/>
      <c r="V1210" s="111"/>
      <c r="W1210" s="111"/>
      <c r="X1210" s="111"/>
      <c r="Y1210" s="111"/>
      <c r="Z1210" s="111"/>
      <c r="AA1210" s="111"/>
    </row>
    <row r="1211" spans="1:27" s="118" customFormat="1" x14ac:dyDescent="0.2">
      <c r="A1211" s="6"/>
      <c r="B1211" s="6"/>
      <c r="C1211" s="155"/>
      <c r="D1211" s="2" t="s">
        <v>253</v>
      </c>
      <c r="E1211" s="148"/>
      <c r="F1211" s="253">
        <v>1</v>
      </c>
      <c r="G1211" s="253"/>
      <c r="H1211" s="253"/>
      <c r="I1211" s="246"/>
      <c r="J1211" s="253">
        <f t="shared" ref="J1211:J1216" si="122">ROUND(PRODUCT(F1211:I1211),2)</f>
        <v>1</v>
      </c>
      <c r="K1211" s="137"/>
      <c r="L1211" s="137"/>
      <c r="M1211" s="137"/>
      <c r="N1211" s="138"/>
      <c r="O1211" s="167"/>
      <c r="P1211" s="111"/>
      <c r="Q1211" s="111"/>
      <c r="R1211" s="111"/>
      <c r="S1211" s="111"/>
      <c r="T1211" s="111"/>
      <c r="U1211" s="111"/>
      <c r="V1211" s="111"/>
      <c r="W1211" s="111"/>
      <c r="X1211" s="111"/>
      <c r="Y1211" s="111"/>
      <c r="Z1211" s="111"/>
      <c r="AA1211" s="111"/>
    </row>
    <row r="1212" spans="1:27" s="118" customFormat="1" x14ac:dyDescent="0.2">
      <c r="A1212" s="6"/>
      <c r="B1212" s="6"/>
      <c r="C1212" s="155"/>
      <c r="D1212" s="2" t="s">
        <v>257</v>
      </c>
      <c r="E1212" s="148"/>
      <c r="F1212" s="253">
        <v>1</v>
      </c>
      <c r="G1212" s="253"/>
      <c r="H1212" s="253"/>
      <c r="I1212" s="246"/>
      <c r="J1212" s="253">
        <f t="shared" si="122"/>
        <v>1</v>
      </c>
      <c r="K1212" s="137"/>
      <c r="L1212" s="137"/>
      <c r="M1212" s="137"/>
      <c r="N1212" s="138"/>
      <c r="O1212" s="167"/>
      <c r="P1212" s="111"/>
      <c r="Q1212" s="111"/>
      <c r="R1212" s="111"/>
      <c r="S1212" s="111"/>
      <c r="T1212" s="111"/>
      <c r="U1212" s="111"/>
      <c r="V1212" s="111"/>
      <c r="W1212" s="111"/>
      <c r="X1212" s="111"/>
      <c r="Y1212" s="111"/>
      <c r="Z1212" s="111"/>
      <c r="AA1212" s="111"/>
    </row>
    <row r="1213" spans="1:27" s="118" customFormat="1" x14ac:dyDescent="0.2">
      <c r="A1213" s="6"/>
      <c r="B1213" s="6"/>
      <c r="C1213" s="155"/>
      <c r="D1213" s="2" t="s">
        <v>242</v>
      </c>
      <c r="E1213" s="148"/>
      <c r="F1213" s="253">
        <v>1</v>
      </c>
      <c r="G1213" s="253"/>
      <c r="H1213" s="253"/>
      <c r="I1213" s="246"/>
      <c r="J1213" s="253">
        <f t="shared" si="122"/>
        <v>1</v>
      </c>
      <c r="K1213" s="137"/>
      <c r="L1213" s="137"/>
      <c r="M1213" s="137"/>
      <c r="N1213" s="138"/>
      <c r="O1213" s="167"/>
      <c r="P1213" s="111"/>
      <c r="Q1213" s="111"/>
      <c r="R1213" s="111"/>
      <c r="S1213" s="111"/>
      <c r="T1213" s="111"/>
      <c r="U1213" s="111"/>
      <c r="V1213" s="111"/>
      <c r="W1213" s="111"/>
      <c r="X1213" s="111"/>
      <c r="Y1213" s="111"/>
      <c r="Z1213" s="111"/>
      <c r="AA1213" s="111"/>
    </row>
    <row r="1214" spans="1:27" s="118" customFormat="1" x14ac:dyDescent="0.2">
      <c r="A1214" s="6"/>
      <c r="B1214" s="6"/>
      <c r="C1214" s="155"/>
      <c r="D1214" s="2" t="s">
        <v>246</v>
      </c>
      <c r="E1214" s="148"/>
      <c r="F1214" s="253">
        <v>1</v>
      </c>
      <c r="G1214" s="253"/>
      <c r="H1214" s="253"/>
      <c r="I1214" s="246"/>
      <c r="J1214" s="253">
        <f t="shared" si="122"/>
        <v>1</v>
      </c>
      <c r="K1214" s="137"/>
      <c r="L1214" s="137"/>
      <c r="M1214" s="137"/>
      <c r="N1214" s="138"/>
      <c r="O1214" s="167"/>
      <c r="P1214" s="111"/>
      <c r="Q1214" s="111"/>
      <c r="R1214" s="111"/>
      <c r="S1214" s="111"/>
      <c r="T1214" s="111"/>
      <c r="U1214" s="111"/>
      <c r="V1214" s="111"/>
      <c r="W1214" s="111"/>
      <c r="X1214" s="111"/>
      <c r="Y1214" s="111"/>
      <c r="Z1214" s="111"/>
      <c r="AA1214" s="111"/>
    </row>
    <row r="1215" spans="1:27" s="118" customFormat="1" x14ac:dyDescent="0.2">
      <c r="A1215" s="6"/>
      <c r="B1215" s="6"/>
      <c r="C1215" s="155"/>
      <c r="D1215" s="2" t="s">
        <v>63</v>
      </c>
      <c r="E1215" s="148"/>
      <c r="F1215" s="253">
        <v>1</v>
      </c>
      <c r="G1215" s="253"/>
      <c r="H1215" s="253"/>
      <c r="I1215" s="246"/>
      <c r="J1215" s="253">
        <f t="shared" si="122"/>
        <v>1</v>
      </c>
      <c r="K1215" s="137"/>
      <c r="L1215" s="137"/>
      <c r="M1215" s="137"/>
      <c r="N1215" s="138"/>
      <c r="O1215" s="167"/>
      <c r="P1215" s="111"/>
      <c r="Q1215" s="111"/>
      <c r="R1215" s="111"/>
      <c r="S1215" s="111"/>
      <c r="T1215" s="111"/>
      <c r="U1215" s="111"/>
      <c r="V1215" s="111"/>
      <c r="W1215" s="111"/>
      <c r="X1215" s="111"/>
      <c r="Y1215" s="111"/>
      <c r="Z1215" s="111"/>
      <c r="AA1215" s="111"/>
    </row>
    <row r="1216" spans="1:27" s="118" customFormat="1" x14ac:dyDescent="0.2">
      <c r="A1216" s="6"/>
      <c r="B1216" s="6"/>
      <c r="C1216" s="155"/>
      <c r="D1216" s="2" t="s">
        <v>297</v>
      </c>
      <c r="E1216" s="148"/>
      <c r="F1216" s="253">
        <v>1</v>
      </c>
      <c r="G1216" s="253"/>
      <c r="H1216" s="253"/>
      <c r="I1216" s="246"/>
      <c r="J1216" s="253">
        <f t="shared" si="122"/>
        <v>1</v>
      </c>
      <c r="K1216" s="137"/>
      <c r="L1216" s="137"/>
      <c r="M1216" s="137"/>
      <c r="N1216" s="138"/>
      <c r="O1216" s="167"/>
      <c r="P1216" s="111"/>
      <c r="Q1216" s="111"/>
      <c r="R1216" s="111"/>
      <c r="S1216" s="111"/>
      <c r="T1216" s="111"/>
      <c r="U1216" s="111"/>
      <c r="V1216" s="111"/>
      <c r="W1216" s="111"/>
      <c r="X1216" s="111"/>
      <c r="Y1216" s="111"/>
      <c r="Z1216" s="111"/>
      <c r="AA1216" s="111"/>
    </row>
    <row r="1217" spans="1:27" s="118" customFormat="1" x14ac:dyDescent="0.2">
      <c r="A1217" s="6"/>
      <c r="B1217" s="6"/>
      <c r="C1217" s="156"/>
      <c r="D1217" s="108"/>
      <c r="E1217" s="148"/>
      <c r="F1217" s="253"/>
      <c r="G1217" s="253"/>
      <c r="H1217" s="253"/>
      <c r="I1217" s="246" t="str">
        <f>"Total item "&amp;A1209</f>
        <v>Total item 15.1.2</v>
      </c>
      <c r="J1217" s="261">
        <f>SUM(J1211:J1216)</f>
        <v>6</v>
      </c>
      <c r="K1217" s="137"/>
      <c r="L1217" s="137"/>
      <c r="M1217" s="137"/>
      <c r="N1217" s="138"/>
      <c r="O1217" s="167"/>
      <c r="P1217" s="111"/>
      <c r="Q1217" s="111"/>
      <c r="R1217" s="111"/>
      <c r="S1217" s="111"/>
      <c r="T1217" s="111"/>
      <c r="U1217" s="111"/>
      <c r="V1217" s="111"/>
      <c r="W1217" s="111"/>
      <c r="X1217" s="111"/>
      <c r="Y1217" s="111"/>
      <c r="Z1217" s="111"/>
      <c r="AA1217" s="111"/>
    </row>
    <row r="1218" spans="1:27" s="161" customFormat="1" x14ac:dyDescent="0.2">
      <c r="A1218" s="10"/>
      <c r="B1218" s="10"/>
      <c r="C1218" s="191"/>
      <c r="D1218" s="110"/>
      <c r="E1218" s="158"/>
      <c r="F1218" s="267"/>
      <c r="G1218" s="267"/>
      <c r="H1218" s="267"/>
      <c r="I1218" s="250"/>
      <c r="J1218" s="263"/>
      <c r="K1218" s="151"/>
      <c r="L1218" s="151"/>
      <c r="M1218" s="151"/>
      <c r="N1218" s="152"/>
      <c r="O1218" s="167"/>
      <c r="P1218" s="114"/>
      <c r="Q1218" s="114"/>
      <c r="R1218" s="114"/>
      <c r="S1218" s="114"/>
      <c r="T1218" s="114"/>
      <c r="U1218" s="114"/>
      <c r="V1218" s="114"/>
      <c r="W1218" s="114"/>
      <c r="X1218" s="114"/>
      <c r="Y1218" s="114"/>
      <c r="Z1218" s="114"/>
      <c r="AA1218" s="114"/>
    </row>
    <row r="1219" spans="1:27" s="147" customFormat="1" ht="40.799999999999997" x14ac:dyDescent="0.2">
      <c r="A1219" s="9" t="s">
        <v>339</v>
      </c>
      <c r="B1219" s="9" t="s">
        <v>163</v>
      </c>
      <c r="C1219" s="197" t="s">
        <v>192</v>
      </c>
      <c r="D1219" s="113" t="s">
        <v>712</v>
      </c>
      <c r="E1219" s="9" t="s">
        <v>31</v>
      </c>
      <c r="F1219" s="261"/>
      <c r="G1219" s="261"/>
      <c r="H1219" s="261"/>
      <c r="I1219" s="245"/>
      <c r="J1219" s="261"/>
      <c r="K1219" s="131">
        <f>J1227</f>
        <v>6</v>
      </c>
      <c r="L1219" s="131">
        <v>46.44</v>
      </c>
      <c r="M1219" s="131">
        <f>ROUND(L1219*(1+$Q$7),2)</f>
        <v>58.76</v>
      </c>
      <c r="N1219" s="133">
        <f>TRUNC(K1219*M1219,2)</f>
        <v>352.56</v>
      </c>
      <c r="O1219" s="286"/>
      <c r="P1219" s="146"/>
      <c r="Q1219" s="146"/>
      <c r="R1219" s="146"/>
      <c r="S1219" s="146"/>
      <c r="T1219" s="146"/>
      <c r="U1219" s="146"/>
      <c r="V1219" s="146"/>
      <c r="W1219" s="146"/>
      <c r="X1219" s="146"/>
      <c r="Y1219" s="146"/>
      <c r="Z1219" s="146"/>
      <c r="AA1219" s="146"/>
    </row>
    <row r="1220" spans="1:27" s="118" customFormat="1" x14ac:dyDescent="0.2">
      <c r="A1220" s="6"/>
      <c r="B1220" s="6"/>
      <c r="C1220" s="155"/>
      <c r="D1220" s="3" t="s">
        <v>296</v>
      </c>
      <c r="E1220" s="148"/>
      <c r="F1220" s="253"/>
      <c r="G1220" s="253"/>
      <c r="H1220" s="253"/>
      <c r="I1220" s="246"/>
      <c r="J1220" s="253"/>
      <c r="K1220" s="137"/>
      <c r="L1220" s="137"/>
      <c r="M1220" s="137"/>
      <c r="N1220" s="138"/>
      <c r="O1220" s="167"/>
      <c r="P1220" s="111"/>
      <c r="Q1220" s="111"/>
      <c r="R1220" s="111"/>
      <c r="S1220" s="111"/>
      <c r="T1220" s="111"/>
      <c r="U1220" s="111"/>
      <c r="V1220" s="111"/>
      <c r="W1220" s="111"/>
      <c r="X1220" s="111"/>
      <c r="Y1220" s="111"/>
      <c r="Z1220" s="111"/>
      <c r="AA1220" s="111"/>
    </row>
    <row r="1221" spans="1:27" s="118" customFormat="1" x14ac:dyDescent="0.2">
      <c r="A1221" s="6"/>
      <c r="B1221" s="6"/>
      <c r="C1221" s="155"/>
      <c r="D1221" s="2" t="s">
        <v>253</v>
      </c>
      <c r="E1221" s="148"/>
      <c r="F1221" s="253">
        <v>1</v>
      </c>
      <c r="G1221" s="253"/>
      <c r="H1221" s="253"/>
      <c r="I1221" s="246"/>
      <c r="J1221" s="253">
        <f t="shared" ref="J1221:J1226" si="123">ROUND(PRODUCT(F1221:I1221),2)</f>
        <v>1</v>
      </c>
      <c r="K1221" s="137"/>
      <c r="L1221" s="137"/>
      <c r="M1221" s="137"/>
      <c r="N1221" s="138"/>
      <c r="O1221" s="167"/>
      <c r="P1221" s="111"/>
      <c r="Q1221" s="111"/>
      <c r="R1221" s="111"/>
      <c r="S1221" s="111"/>
      <c r="T1221" s="111"/>
      <c r="U1221" s="111"/>
      <c r="V1221" s="111"/>
      <c r="W1221" s="111"/>
      <c r="X1221" s="111"/>
      <c r="Y1221" s="111"/>
      <c r="Z1221" s="111"/>
      <c r="AA1221" s="111"/>
    </row>
    <row r="1222" spans="1:27" s="118" customFormat="1" x14ac:dyDescent="0.2">
      <c r="A1222" s="6"/>
      <c r="B1222" s="6"/>
      <c r="C1222" s="155"/>
      <c r="D1222" s="2" t="s">
        <v>257</v>
      </c>
      <c r="E1222" s="148"/>
      <c r="F1222" s="253">
        <v>1</v>
      </c>
      <c r="G1222" s="253"/>
      <c r="H1222" s="253"/>
      <c r="I1222" s="246"/>
      <c r="J1222" s="253">
        <f t="shared" si="123"/>
        <v>1</v>
      </c>
      <c r="K1222" s="137"/>
      <c r="L1222" s="137"/>
      <c r="M1222" s="137"/>
      <c r="N1222" s="138"/>
      <c r="O1222" s="167"/>
      <c r="P1222" s="111"/>
      <c r="Q1222" s="111"/>
      <c r="R1222" s="111"/>
      <c r="S1222" s="111"/>
      <c r="T1222" s="111"/>
      <c r="U1222" s="111"/>
      <c r="V1222" s="111"/>
      <c r="W1222" s="111"/>
      <c r="X1222" s="111"/>
      <c r="Y1222" s="111"/>
      <c r="Z1222" s="111"/>
      <c r="AA1222" s="111"/>
    </row>
    <row r="1223" spans="1:27" s="118" customFormat="1" x14ac:dyDescent="0.2">
      <c r="A1223" s="6"/>
      <c r="B1223" s="6"/>
      <c r="C1223" s="155"/>
      <c r="D1223" s="2" t="s">
        <v>242</v>
      </c>
      <c r="E1223" s="148"/>
      <c r="F1223" s="253">
        <v>1</v>
      </c>
      <c r="G1223" s="253"/>
      <c r="H1223" s="253"/>
      <c r="I1223" s="246"/>
      <c r="J1223" s="253">
        <f t="shared" si="123"/>
        <v>1</v>
      </c>
      <c r="K1223" s="137"/>
      <c r="L1223" s="137"/>
      <c r="M1223" s="137"/>
      <c r="N1223" s="138"/>
      <c r="O1223" s="167"/>
      <c r="P1223" s="111"/>
      <c r="Q1223" s="111"/>
      <c r="R1223" s="111"/>
      <c r="S1223" s="111"/>
      <c r="T1223" s="111"/>
      <c r="U1223" s="111"/>
      <c r="V1223" s="111"/>
      <c r="W1223" s="111"/>
      <c r="X1223" s="111"/>
      <c r="Y1223" s="111"/>
      <c r="Z1223" s="111"/>
      <c r="AA1223" s="111"/>
    </row>
    <row r="1224" spans="1:27" s="118" customFormat="1" x14ac:dyDescent="0.2">
      <c r="A1224" s="6"/>
      <c r="B1224" s="6"/>
      <c r="C1224" s="155"/>
      <c r="D1224" s="2" t="s">
        <v>246</v>
      </c>
      <c r="E1224" s="148"/>
      <c r="F1224" s="253">
        <v>1</v>
      </c>
      <c r="G1224" s="253"/>
      <c r="H1224" s="253"/>
      <c r="I1224" s="246"/>
      <c r="J1224" s="253">
        <f t="shared" si="123"/>
        <v>1</v>
      </c>
      <c r="K1224" s="137"/>
      <c r="L1224" s="137"/>
      <c r="M1224" s="137"/>
      <c r="N1224" s="138"/>
      <c r="O1224" s="167"/>
      <c r="P1224" s="111"/>
      <c r="Q1224" s="111"/>
      <c r="R1224" s="111"/>
      <c r="S1224" s="111"/>
      <c r="T1224" s="111"/>
      <c r="U1224" s="111"/>
      <c r="V1224" s="111"/>
      <c r="W1224" s="111"/>
      <c r="X1224" s="111"/>
      <c r="Y1224" s="111"/>
      <c r="Z1224" s="111"/>
      <c r="AA1224" s="111"/>
    </row>
    <row r="1225" spans="1:27" s="118" customFormat="1" x14ac:dyDescent="0.2">
      <c r="A1225" s="6"/>
      <c r="B1225" s="6"/>
      <c r="C1225" s="155"/>
      <c r="D1225" s="2" t="s">
        <v>63</v>
      </c>
      <c r="E1225" s="148"/>
      <c r="F1225" s="253">
        <v>1</v>
      </c>
      <c r="G1225" s="253"/>
      <c r="H1225" s="253"/>
      <c r="I1225" s="246"/>
      <c r="J1225" s="253">
        <f t="shared" ref="J1225" si="124">ROUND(PRODUCT(F1225:I1225),2)</f>
        <v>1</v>
      </c>
      <c r="K1225" s="137"/>
      <c r="L1225" s="137"/>
      <c r="M1225" s="137"/>
      <c r="N1225" s="138"/>
      <c r="O1225" s="167"/>
      <c r="P1225" s="111"/>
      <c r="Q1225" s="111"/>
      <c r="R1225" s="111"/>
      <c r="S1225" s="111"/>
      <c r="T1225" s="111"/>
      <c r="U1225" s="111"/>
      <c r="V1225" s="111"/>
      <c r="W1225" s="111"/>
      <c r="X1225" s="111"/>
      <c r="Y1225" s="111"/>
      <c r="Z1225" s="111"/>
      <c r="AA1225" s="111"/>
    </row>
    <row r="1226" spans="1:27" s="118" customFormat="1" x14ac:dyDescent="0.2">
      <c r="A1226" s="6"/>
      <c r="B1226" s="6"/>
      <c r="C1226" s="155"/>
      <c r="D1226" s="2" t="s">
        <v>297</v>
      </c>
      <c r="E1226" s="148"/>
      <c r="F1226" s="253">
        <v>1</v>
      </c>
      <c r="G1226" s="253"/>
      <c r="H1226" s="253"/>
      <c r="I1226" s="246"/>
      <c r="J1226" s="253">
        <f t="shared" si="123"/>
        <v>1</v>
      </c>
      <c r="K1226" s="137"/>
      <c r="L1226" s="137"/>
      <c r="M1226" s="137"/>
      <c r="N1226" s="138"/>
      <c r="O1226" s="167"/>
      <c r="P1226" s="111"/>
      <c r="Q1226" s="111"/>
      <c r="R1226" s="111"/>
      <c r="S1226" s="111"/>
      <c r="T1226" s="111"/>
      <c r="U1226" s="111"/>
      <c r="V1226" s="111"/>
      <c r="W1226" s="111"/>
      <c r="X1226" s="111"/>
      <c r="Y1226" s="111"/>
      <c r="Z1226" s="111"/>
      <c r="AA1226" s="111"/>
    </row>
    <row r="1227" spans="1:27" s="118" customFormat="1" x14ac:dyDescent="0.2">
      <c r="A1227" s="6"/>
      <c r="B1227" s="6"/>
      <c r="C1227" s="156"/>
      <c r="D1227" s="108"/>
      <c r="E1227" s="148"/>
      <c r="F1227" s="253"/>
      <c r="G1227" s="253"/>
      <c r="H1227" s="253"/>
      <c r="I1227" s="246" t="str">
        <f>"Total item "&amp;A1219</f>
        <v>Total item 15.1.3</v>
      </c>
      <c r="J1227" s="261">
        <f>SUM(J1221:J1226)</f>
        <v>6</v>
      </c>
      <c r="K1227" s="137"/>
      <c r="L1227" s="137"/>
      <c r="M1227" s="137"/>
      <c r="N1227" s="138"/>
      <c r="O1227" s="167"/>
      <c r="P1227" s="111"/>
      <c r="Q1227" s="111"/>
      <c r="R1227" s="111"/>
      <c r="S1227" s="111"/>
      <c r="T1227" s="111"/>
      <c r="U1227" s="111"/>
      <c r="V1227" s="111"/>
      <c r="W1227" s="111"/>
      <c r="X1227" s="111"/>
      <c r="Y1227" s="111"/>
      <c r="Z1227" s="111"/>
      <c r="AA1227" s="111"/>
    </row>
    <row r="1228" spans="1:27" s="139" customFormat="1" x14ac:dyDescent="0.2">
      <c r="A1228" s="6"/>
      <c r="B1228" s="6"/>
      <c r="C1228" s="7"/>
      <c r="D1228" s="116"/>
      <c r="E1228" s="6"/>
      <c r="F1228" s="258"/>
      <c r="G1228" s="258"/>
      <c r="H1228" s="258"/>
      <c r="I1228" s="246"/>
      <c r="J1228" s="258"/>
      <c r="K1228" s="137"/>
      <c r="L1228" s="137"/>
      <c r="M1228" s="137"/>
      <c r="N1228" s="138"/>
      <c r="O1228" s="283"/>
      <c r="P1228" s="120"/>
      <c r="Q1228" s="120"/>
      <c r="R1228" s="120"/>
      <c r="S1228" s="120"/>
      <c r="T1228" s="120"/>
      <c r="U1228" s="120"/>
      <c r="V1228" s="120"/>
      <c r="W1228" s="120"/>
      <c r="X1228" s="120"/>
      <c r="Y1228" s="120"/>
      <c r="Z1228" s="120"/>
      <c r="AA1228" s="120"/>
    </row>
    <row r="1229" spans="1:27" s="147" customFormat="1" ht="20.399999999999999" x14ac:dyDescent="0.2">
      <c r="A1229" s="9" t="s">
        <v>837</v>
      </c>
      <c r="B1229" s="9" t="s">
        <v>89</v>
      </c>
      <c r="C1229" s="13">
        <v>83469</v>
      </c>
      <c r="D1229" s="113" t="s">
        <v>308</v>
      </c>
      <c r="E1229" s="9" t="s">
        <v>33</v>
      </c>
      <c r="F1229" s="261"/>
      <c r="G1229" s="261"/>
      <c r="H1229" s="261"/>
      <c r="I1229" s="245"/>
      <c r="J1229" s="261"/>
      <c r="K1229" s="131">
        <f>J1232</f>
        <v>3</v>
      </c>
      <c r="L1229" s="131">
        <v>8.1300000000000008</v>
      </c>
      <c r="M1229" s="131">
        <f>ROUND(L1229*(1+$Q$7),2)</f>
        <v>10.29</v>
      </c>
      <c r="N1229" s="133">
        <f>TRUNC(K1229*M1229,2)</f>
        <v>30.87</v>
      </c>
      <c r="O1229" s="286"/>
      <c r="P1229" s="146"/>
      <c r="Q1229" s="146" t="s">
        <v>415</v>
      </c>
      <c r="R1229" s="146"/>
      <c r="S1229" s="146"/>
      <c r="T1229" s="146"/>
      <c r="U1229" s="146"/>
      <c r="V1229" s="146"/>
      <c r="W1229" s="146"/>
      <c r="X1229" s="146"/>
      <c r="Y1229" s="146"/>
      <c r="Z1229" s="146"/>
      <c r="AA1229" s="146"/>
    </row>
    <row r="1230" spans="1:27" s="118" customFormat="1" x14ac:dyDescent="0.2">
      <c r="A1230" s="6"/>
      <c r="B1230" s="6"/>
      <c r="C1230" s="155"/>
      <c r="D1230" s="2" t="s">
        <v>253</v>
      </c>
      <c r="E1230" s="148"/>
      <c r="F1230" s="253">
        <v>1</v>
      </c>
      <c r="G1230" s="253"/>
      <c r="H1230" s="253"/>
      <c r="I1230" s="246"/>
      <c r="J1230" s="253">
        <f t="shared" ref="J1230:J1231" si="125">ROUND(PRODUCT(F1230:I1230),2)</f>
        <v>1</v>
      </c>
      <c r="K1230" s="137"/>
      <c r="L1230" s="137"/>
      <c r="M1230" s="137"/>
      <c r="N1230" s="138"/>
      <c r="O1230" s="167"/>
      <c r="P1230" s="111"/>
      <c r="Q1230" s="111"/>
      <c r="R1230" s="111"/>
      <c r="S1230" s="111"/>
      <c r="T1230" s="111"/>
      <c r="U1230" s="111"/>
      <c r="V1230" s="111"/>
      <c r="W1230" s="111"/>
      <c r="X1230" s="111"/>
      <c r="Y1230" s="111"/>
      <c r="Z1230" s="111"/>
      <c r="AA1230" s="111"/>
    </row>
    <row r="1231" spans="1:27" s="118" customFormat="1" x14ac:dyDescent="0.2">
      <c r="A1231" s="6"/>
      <c r="B1231" s="6"/>
      <c r="C1231" s="155"/>
      <c r="D1231" s="2" t="s">
        <v>246</v>
      </c>
      <c r="E1231" s="148"/>
      <c r="F1231" s="253">
        <v>2</v>
      </c>
      <c r="G1231" s="253"/>
      <c r="H1231" s="253"/>
      <c r="I1231" s="246"/>
      <c r="J1231" s="253">
        <f t="shared" si="125"/>
        <v>2</v>
      </c>
      <c r="K1231" s="137"/>
      <c r="L1231" s="137"/>
      <c r="M1231" s="137"/>
      <c r="N1231" s="138"/>
      <c r="O1231" s="167"/>
      <c r="P1231" s="111"/>
      <c r="Q1231" s="111"/>
      <c r="R1231" s="111"/>
      <c r="S1231" s="111"/>
      <c r="T1231" s="111"/>
      <c r="U1231" s="111"/>
      <c r="V1231" s="111"/>
      <c r="W1231" s="111"/>
      <c r="X1231" s="111"/>
      <c r="Y1231" s="111"/>
      <c r="Z1231" s="111"/>
      <c r="AA1231" s="111"/>
    </row>
    <row r="1232" spans="1:27" s="118" customFormat="1" x14ac:dyDescent="0.2">
      <c r="A1232" s="6"/>
      <c r="B1232" s="6"/>
      <c r="C1232" s="156"/>
      <c r="D1232" s="108"/>
      <c r="E1232" s="148"/>
      <c r="F1232" s="253"/>
      <c r="G1232" s="253"/>
      <c r="H1232" s="253"/>
      <c r="I1232" s="246" t="str">
        <f>"Total item "&amp;A1229</f>
        <v>Total item 15.1.4</v>
      </c>
      <c r="J1232" s="261">
        <f>SUM(J1230:J1231)</f>
        <v>3</v>
      </c>
      <c r="K1232" s="137"/>
      <c r="L1232" s="137"/>
      <c r="M1232" s="137"/>
      <c r="N1232" s="138"/>
      <c r="O1232" s="167"/>
      <c r="P1232" s="111"/>
      <c r="Q1232" s="111"/>
      <c r="R1232" s="111"/>
      <c r="S1232" s="111"/>
      <c r="T1232" s="111"/>
      <c r="U1232" s="111"/>
      <c r="V1232" s="111"/>
      <c r="W1232" s="111"/>
      <c r="X1232" s="111"/>
      <c r="Y1232" s="111"/>
      <c r="Z1232" s="111"/>
      <c r="AA1232" s="111"/>
    </row>
    <row r="1233" spans="1:27" s="139" customFormat="1" x14ac:dyDescent="0.2">
      <c r="A1233" s="6"/>
      <c r="B1233" s="6"/>
      <c r="C1233" s="7"/>
      <c r="D1233" s="116"/>
      <c r="E1233" s="6"/>
      <c r="F1233" s="258"/>
      <c r="G1233" s="258"/>
      <c r="H1233" s="258"/>
      <c r="I1233" s="246"/>
      <c r="J1233" s="258"/>
      <c r="K1233" s="137"/>
      <c r="L1233" s="137"/>
      <c r="M1233" s="137"/>
      <c r="N1233" s="138"/>
      <c r="O1233" s="283"/>
      <c r="P1233" s="120"/>
      <c r="Q1233" s="120"/>
      <c r="R1233" s="120"/>
      <c r="S1233" s="120"/>
      <c r="T1233" s="120"/>
      <c r="U1233" s="120"/>
      <c r="V1233" s="120"/>
      <c r="W1233" s="120"/>
      <c r="X1233" s="120"/>
      <c r="Y1233" s="120"/>
      <c r="Z1233" s="120"/>
      <c r="AA1233" s="120"/>
    </row>
    <row r="1234" spans="1:27" s="147" customFormat="1" ht="30.6" x14ac:dyDescent="0.2">
      <c r="A1234" s="9" t="s">
        <v>838</v>
      </c>
      <c r="B1234" s="9" t="s">
        <v>163</v>
      </c>
      <c r="C1234" s="13" t="s">
        <v>240</v>
      </c>
      <c r="D1234" s="113" t="s">
        <v>403</v>
      </c>
      <c r="E1234" s="9" t="s">
        <v>31</v>
      </c>
      <c r="F1234" s="261"/>
      <c r="G1234" s="261"/>
      <c r="H1234" s="261"/>
      <c r="I1234" s="245"/>
      <c r="J1234" s="261"/>
      <c r="K1234" s="131">
        <f>J1237</f>
        <v>2</v>
      </c>
      <c r="L1234" s="131">
        <v>73.44</v>
      </c>
      <c r="M1234" s="131">
        <f>ROUND(L1234*(1+$Q$7),2)</f>
        <v>92.92</v>
      </c>
      <c r="N1234" s="133">
        <f>TRUNC(K1234*M1234,2)</f>
        <v>185.84</v>
      </c>
      <c r="O1234" s="286"/>
      <c r="P1234" s="146"/>
      <c r="Q1234" s="146"/>
      <c r="R1234" s="146"/>
      <c r="S1234" s="146"/>
      <c r="T1234" s="146"/>
      <c r="U1234" s="146"/>
      <c r="V1234" s="146"/>
      <c r="W1234" s="146"/>
      <c r="X1234" s="146"/>
      <c r="Y1234" s="146"/>
      <c r="Z1234" s="146"/>
      <c r="AA1234" s="146"/>
    </row>
    <row r="1235" spans="1:27" s="118" customFormat="1" x14ac:dyDescent="0.2">
      <c r="A1235" s="6"/>
      <c r="B1235" s="6"/>
      <c r="C1235" s="155"/>
      <c r="D1235" s="2" t="s">
        <v>297</v>
      </c>
      <c r="E1235" s="148"/>
      <c r="F1235" s="253">
        <v>1</v>
      </c>
      <c r="G1235" s="253"/>
      <c r="H1235" s="253"/>
      <c r="I1235" s="246"/>
      <c r="J1235" s="253">
        <f t="shared" ref="J1235:J1236" si="126">ROUND(PRODUCT(F1235:I1235),2)</f>
        <v>1</v>
      </c>
      <c r="K1235" s="137"/>
      <c r="L1235" s="137"/>
      <c r="M1235" s="137"/>
      <c r="N1235" s="138"/>
      <c r="O1235" s="167"/>
      <c r="P1235" s="111"/>
      <c r="Q1235" s="111"/>
      <c r="R1235" s="111"/>
      <c r="S1235" s="111"/>
      <c r="T1235" s="111"/>
      <c r="U1235" s="111"/>
      <c r="V1235" s="111"/>
      <c r="W1235" s="111"/>
      <c r="X1235" s="111"/>
      <c r="Y1235" s="111"/>
      <c r="Z1235" s="111"/>
      <c r="AA1235" s="111"/>
    </row>
    <row r="1236" spans="1:27" s="174" customFormat="1" x14ac:dyDescent="0.2">
      <c r="A1236" s="170"/>
      <c r="B1236" s="170"/>
      <c r="C1236" s="171"/>
      <c r="D1236" s="2" t="s">
        <v>307</v>
      </c>
      <c r="E1236" s="170"/>
      <c r="F1236" s="253">
        <v>1</v>
      </c>
      <c r="G1236" s="253"/>
      <c r="H1236" s="253"/>
      <c r="I1236" s="249"/>
      <c r="J1236" s="253">
        <f t="shared" si="126"/>
        <v>1</v>
      </c>
      <c r="K1236" s="172"/>
      <c r="L1236" s="172"/>
      <c r="M1236" s="172"/>
      <c r="N1236" s="173"/>
      <c r="O1236" s="287"/>
      <c r="P1236" s="23"/>
      <c r="Q1236" s="23"/>
      <c r="R1236" s="23"/>
      <c r="S1236" s="23"/>
      <c r="T1236" s="23"/>
      <c r="U1236" s="23"/>
      <c r="V1236" s="23"/>
      <c r="W1236" s="23"/>
      <c r="X1236" s="23"/>
      <c r="Y1236" s="23"/>
      <c r="Z1236" s="23"/>
      <c r="AA1236" s="23"/>
    </row>
    <row r="1237" spans="1:27" s="118" customFormat="1" x14ac:dyDescent="0.2">
      <c r="A1237" s="6"/>
      <c r="B1237" s="6"/>
      <c r="C1237" s="156"/>
      <c r="D1237" s="108"/>
      <c r="E1237" s="148"/>
      <c r="F1237" s="253"/>
      <c r="G1237" s="253"/>
      <c r="H1237" s="253"/>
      <c r="I1237" s="246" t="str">
        <f>"Total item "&amp;A1234</f>
        <v>Total item 15.1.5</v>
      </c>
      <c r="J1237" s="261">
        <f>SUM(J1235:J1236)</f>
        <v>2</v>
      </c>
      <c r="K1237" s="137"/>
      <c r="L1237" s="137"/>
      <c r="M1237" s="137"/>
      <c r="N1237" s="138"/>
      <c r="O1237" s="167"/>
      <c r="P1237" s="111"/>
      <c r="Q1237" s="111"/>
      <c r="R1237" s="111"/>
      <c r="S1237" s="111"/>
      <c r="T1237" s="111"/>
      <c r="U1237" s="111"/>
      <c r="V1237" s="111"/>
      <c r="W1237" s="111"/>
      <c r="X1237" s="111"/>
      <c r="Y1237" s="111"/>
      <c r="Z1237" s="111"/>
      <c r="AA1237" s="111"/>
    </row>
    <row r="1238" spans="1:27" s="139" customFormat="1" x14ac:dyDescent="0.2">
      <c r="A1238" s="6"/>
      <c r="B1238" s="6"/>
      <c r="C1238" s="7"/>
      <c r="D1238" s="116"/>
      <c r="E1238" s="6"/>
      <c r="F1238" s="258"/>
      <c r="G1238" s="258"/>
      <c r="H1238" s="258"/>
      <c r="I1238" s="246"/>
      <c r="J1238" s="258"/>
      <c r="K1238" s="137"/>
      <c r="L1238" s="137"/>
      <c r="M1238" s="137"/>
      <c r="N1238" s="138"/>
      <c r="O1238" s="283"/>
      <c r="P1238" s="120"/>
      <c r="Q1238" s="120"/>
      <c r="R1238" s="120"/>
      <c r="S1238" s="120"/>
      <c r="T1238" s="120"/>
      <c r="U1238" s="120"/>
      <c r="V1238" s="120"/>
      <c r="W1238" s="120"/>
      <c r="X1238" s="120"/>
      <c r="Y1238" s="120"/>
      <c r="Z1238" s="120"/>
      <c r="AA1238" s="120"/>
    </row>
    <row r="1239" spans="1:27" s="147" customFormat="1" ht="30.6" x14ac:dyDescent="0.2">
      <c r="A1239" s="9" t="s">
        <v>839</v>
      </c>
      <c r="B1239" s="9" t="s">
        <v>179</v>
      </c>
      <c r="C1239" s="13" t="s">
        <v>672</v>
      </c>
      <c r="D1239" s="113" t="s">
        <v>567</v>
      </c>
      <c r="E1239" s="9" t="s">
        <v>33</v>
      </c>
      <c r="F1239" s="261"/>
      <c r="G1239" s="261"/>
      <c r="H1239" s="261"/>
      <c r="I1239" s="245"/>
      <c r="J1239" s="261"/>
      <c r="K1239" s="131">
        <f>J1242</f>
        <v>2</v>
      </c>
      <c r="L1239" s="131" t="e">
        <f>'COMPOSICOES - SINAPI COM DESON'!G36</f>
        <v>#VALUE!</v>
      </c>
      <c r="M1239" s="131" t="e">
        <f>ROUND(L1239*(1+$Q$7),2)</f>
        <v>#VALUE!</v>
      </c>
      <c r="N1239" s="133" t="e">
        <f>TRUNC(K1239*M1239,2)</f>
        <v>#VALUE!</v>
      </c>
      <c r="O1239" s="286"/>
      <c r="P1239" s="146"/>
      <c r="Q1239" s="146"/>
      <c r="R1239" s="146"/>
      <c r="S1239" s="146"/>
      <c r="T1239" s="146"/>
      <c r="U1239" s="146"/>
      <c r="V1239" s="146"/>
      <c r="W1239" s="146"/>
      <c r="X1239" s="146"/>
      <c r="Y1239" s="146"/>
      <c r="Z1239" s="146"/>
      <c r="AA1239" s="146"/>
    </row>
    <row r="1240" spans="1:27" s="174" customFormat="1" x14ac:dyDescent="0.2">
      <c r="A1240" s="170"/>
      <c r="B1240" s="170"/>
      <c r="C1240" s="171"/>
      <c r="D1240" s="2" t="s">
        <v>297</v>
      </c>
      <c r="E1240" s="170"/>
      <c r="F1240" s="253">
        <v>1</v>
      </c>
      <c r="G1240" s="253"/>
      <c r="H1240" s="253"/>
      <c r="I1240" s="249"/>
      <c r="J1240" s="253">
        <f t="shared" ref="J1240:J1241" si="127">ROUND(PRODUCT(F1240:I1240),2)</f>
        <v>1</v>
      </c>
      <c r="K1240" s="172"/>
      <c r="L1240" s="172"/>
      <c r="M1240" s="172"/>
      <c r="N1240" s="173"/>
      <c r="O1240" s="287"/>
      <c r="P1240" s="23"/>
      <c r="Q1240" s="23"/>
      <c r="R1240" s="23"/>
      <c r="S1240" s="23"/>
      <c r="T1240" s="23"/>
      <c r="U1240" s="23"/>
      <c r="V1240" s="23"/>
      <c r="W1240" s="23"/>
      <c r="X1240" s="23"/>
      <c r="Y1240" s="23"/>
      <c r="Z1240" s="23"/>
      <c r="AA1240" s="23"/>
    </row>
    <row r="1241" spans="1:27" s="174" customFormat="1" x14ac:dyDescent="0.2">
      <c r="A1241" s="170"/>
      <c r="B1241" s="170"/>
      <c r="C1241" s="171"/>
      <c r="D1241" s="2" t="s">
        <v>307</v>
      </c>
      <c r="E1241" s="170"/>
      <c r="F1241" s="253">
        <v>1</v>
      </c>
      <c r="G1241" s="253"/>
      <c r="H1241" s="253"/>
      <c r="I1241" s="249"/>
      <c r="J1241" s="253">
        <f t="shared" si="127"/>
        <v>1</v>
      </c>
      <c r="K1241" s="172"/>
      <c r="L1241" s="172"/>
      <c r="M1241" s="172"/>
      <c r="N1241" s="173"/>
      <c r="O1241" s="287"/>
      <c r="P1241" s="23"/>
      <c r="Q1241" s="23"/>
      <c r="R1241" s="23"/>
      <c r="S1241" s="23"/>
      <c r="T1241" s="23"/>
      <c r="U1241" s="23"/>
      <c r="V1241" s="23"/>
      <c r="W1241" s="23"/>
      <c r="X1241" s="23"/>
      <c r="Y1241" s="23"/>
      <c r="Z1241" s="23"/>
      <c r="AA1241" s="23"/>
    </row>
    <row r="1242" spans="1:27" s="174" customFormat="1" x14ac:dyDescent="0.2">
      <c r="A1242" s="170"/>
      <c r="B1242" s="170"/>
      <c r="C1242" s="171"/>
      <c r="D1242" s="175"/>
      <c r="E1242" s="176"/>
      <c r="F1242" s="264"/>
      <c r="G1242" s="264"/>
      <c r="H1242" s="264"/>
      <c r="I1242" s="251" t="str">
        <f>"Total item "&amp;A1239</f>
        <v>Total item 15.1.6</v>
      </c>
      <c r="J1242" s="261">
        <f>SUM(J1240:J1241)</f>
        <v>2</v>
      </c>
      <c r="K1242" s="172"/>
      <c r="L1242" s="172"/>
      <c r="M1242" s="172"/>
      <c r="N1242" s="173"/>
      <c r="O1242" s="287"/>
      <c r="P1242" s="23"/>
      <c r="Q1242" s="23"/>
      <c r="R1242" s="23"/>
      <c r="S1242" s="23"/>
      <c r="T1242" s="23"/>
      <c r="U1242" s="23"/>
      <c r="V1242" s="23"/>
      <c r="W1242" s="23"/>
      <c r="X1242" s="23"/>
      <c r="Y1242" s="23"/>
      <c r="Z1242" s="23"/>
      <c r="AA1242" s="23"/>
    </row>
    <row r="1243" spans="1:27" s="183" customFormat="1" x14ac:dyDescent="0.2">
      <c r="A1243" s="177"/>
      <c r="B1243" s="177"/>
      <c r="C1243" s="178"/>
      <c r="D1243" s="179"/>
      <c r="E1243" s="180"/>
      <c r="F1243" s="265"/>
      <c r="G1243" s="265"/>
      <c r="H1243" s="265"/>
      <c r="I1243" s="252"/>
      <c r="J1243" s="266"/>
      <c r="K1243" s="181"/>
      <c r="L1243" s="181"/>
      <c r="M1243" s="181"/>
      <c r="N1243" s="182"/>
      <c r="O1243" s="287"/>
      <c r="P1243" s="121"/>
      <c r="Q1243" s="121"/>
      <c r="R1243" s="121"/>
      <c r="S1243" s="121"/>
      <c r="T1243" s="121"/>
      <c r="U1243" s="121"/>
      <c r="V1243" s="121"/>
      <c r="W1243" s="121"/>
      <c r="X1243" s="121"/>
      <c r="Y1243" s="121"/>
      <c r="Z1243" s="121"/>
      <c r="AA1243" s="121"/>
    </row>
    <row r="1244" spans="1:27" s="147" customFormat="1" ht="40.799999999999997" x14ac:dyDescent="0.2">
      <c r="A1244" s="9" t="s">
        <v>840</v>
      </c>
      <c r="B1244" s="9" t="s">
        <v>163</v>
      </c>
      <c r="C1244" s="13" t="s">
        <v>188</v>
      </c>
      <c r="D1244" s="113" t="s">
        <v>719</v>
      </c>
      <c r="E1244" s="9" t="s">
        <v>33</v>
      </c>
      <c r="F1244" s="261"/>
      <c r="G1244" s="261"/>
      <c r="H1244" s="261"/>
      <c r="I1244" s="245"/>
      <c r="J1244" s="261"/>
      <c r="K1244" s="131">
        <f>J1246</f>
        <v>1</v>
      </c>
      <c r="L1244" s="131">
        <v>65.69</v>
      </c>
      <c r="M1244" s="131">
        <f>ROUND(L1244*(1+$Q$7),2)</f>
        <v>83.12</v>
      </c>
      <c r="N1244" s="133">
        <f>TRUNC(K1244*M1244,2)</f>
        <v>83.12</v>
      </c>
      <c r="O1244" s="286"/>
      <c r="P1244" s="146"/>
      <c r="Q1244" s="146"/>
      <c r="R1244" s="146"/>
      <c r="S1244" s="146"/>
      <c r="T1244" s="146"/>
      <c r="U1244" s="146"/>
      <c r="V1244" s="146"/>
      <c r="W1244" s="146"/>
      <c r="X1244" s="146"/>
      <c r="Y1244" s="146"/>
      <c r="Z1244" s="146"/>
      <c r="AA1244" s="146"/>
    </row>
    <row r="1245" spans="1:27" s="118" customFormat="1" x14ac:dyDescent="0.2">
      <c r="A1245" s="10"/>
      <c r="B1245" s="6"/>
      <c r="C1245" s="6"/>
      <c r="D1245" s="2"/>
      <c r="E1245" s="148"/>
      <c r="F1245" s="253">
        <v>1</v>
      </c>
      <c r="G1245" s="253"/>
      <c r="H1245" s="253"/>
      <c r="I1245" s="246"/>
      <c r="J1245" s="253">
        <f>ROUND(PRODUCT(F1245:I1245),2)</f>
        <v>1</v>
      </c>
      <c r="K1245" s="137"/>
      <c r="L1245" s="137"/>
      <c r="M1245" s="137"/>
      <c r="N1245" s="138"/>
      <c r="O1245" s="167"/>
      <c r="P1245" s="111"/>
      <c r="Q1245" s="111"/>
      <c r="R1245" s="111"/>
      <c r="S1245" s="111"/>
      <c r="T1245" s="111"/>
      <c r="U1245" s="111"/>
      <c r="V1245" s="111"/>
      <c r="W1245" s="111"/>
      <c r="X1245" s="111"/>
      <c r="Y1245" s="111"/>
      <c r="Z1245" s="111"/>
      <c r="AA1245" s="111"/>
    </row>
    <row r="1246" spans="1:27" s="118" customFormat="1" x14ac:dyDescent="0.2">
      <c r="A1246" s="10"/>
      <c r="B1246" s="6"/>
      <c r="C1246" s="156"/>
      <c r="D1246" s="108"/>
      <c r="E1246" s="148"/>
      <c r="F1246" s="253"/>
      <c r="G1246" s="253"/>
      <c r="H1246" s="253"/>
      <c r="I1246" s="246" t="str">
        <f>"Total item "&amp;A1244</f>
        <v>Total item 15.1.7</v>
      </c>
      <c r="J1246" s="261">
        <f>SUM(J1245:J1245)</f>
        <v>1</v>
      </c>
      <c r="K1246" s="137"/>
      <c r="L1246" s="137"/>
      <c r="M1246" s="137"/>
      <c r="N1246" s="138"/>
      <c r="O1246" s="167"/>
      <c r="P1246" s="111"/>
      <c r="Q1246" s="111"/>
      <c r="R1246" s="111"/>
      <c r="S1246" s="111"/>
      <c r="T1246" s="111"/>
      <c r="U1246" s="111"/>
      <c r="V1246" s="111"/>
      <c r="W1246" s="111"/>
      <c r="X1246" s="111"/>
      <c r="Y1246" s="111"/>
      <c r="Z1246" s="111"/>
      <c r="AA1246" s="111"/>
    </row>
    <row r="1247" spans="1:27" s="118" customFormat="1" x14ac:dyDescent="0.2">
      <c r="A1247" s="10"/>
      <c r="B1247" s="6"/>
      <c r="C1247" s="155"/>
      <c r="D1247" s="108"/>
      <c r="E1247" s="148"/>
      <c r="F1247" s="253"/>
      <c r="G1247" s="253"/>
      <c r="H1247" s="253"/>
      <c r="I1247" s="246"/>
      <c r="J1247" s="258"/>
      <c r="K1247" s="137"/>
      <c r="L1247" s="137"/>
      <c r="M1247" s="137"/>
      <c r="N1247" s="138"/>
      <c r="O1247" s="167"/>
      <c r="P1247" s="111"/>
      <c r="Q1247" s="111"/>
      <c r="R1247" s="111"/>
      <c r="S1247" s="111"/>
      <c r="T1247" s="111"/>
      <c r="U1247" s="111"/>
      <c r="V1247" s="111"/>
      <c r="W1247" s="111"/>
      <c r="X1247" s="111"/>
      <c r="Y1247" s="111"/>
      <c r="Z1247" s="111"/>
      <c r="AA1247" s="111"/>
    </row>
    <row r="1248" spans="1:27" s="147" customFormat="1" ht="30.6" x14ac:dyDescent="0.2">
      <c r="A1248" s="9" t="s">
        <v>841</v>
      </c>
      <c r="B1248" s="9" t="s">
        <v>163</v>
      </c>
      <c r="C1248" s="13" t="s">
        <v>190</v>
      </c>
      <c r="D1248" s="113" t="s">
        <v>290</v>
      </c>
      <c r="E1248" s="9" t="s">
        <v>33</v>
      </c>
      <c r="F1248" s="261"/>
      <c r="G1248" s="261"/>
      <c r="H1248" s="261"/>
      <c r="I1248" s="245"/>
      <c r="J1248" s="261"/>
      <c r="K1248" s="131">
        <f>J1250</f>
        <v>6</v>
      </c>
      <c r="L1248" s="131">
        <v>14.55</v>
      </c>
      <c r="M1248" s="131">
        <f>ROUND(L1248*(1+$Q$7),2)</f>
        <v>18.41</v>
      </c>
      <c r="N1248" s="133">
        <f>TRUNC(K1248*M1248,2)</f>
        <v>110.46</v>
      </c>
      <c r="O1248" s="286"/>
      <c r="P1248" s="146"/>
      <c r="Q1248" s="146"/>
      <c r="R1248" s="146"/>
      <c r="S1248" s="146"/>
      <c r="T1248" s="146"/>
      <c r="U1248" s="146"/>
      <c r="V1248" s="146"/>
      <c r="W1248" s="146"/>
      <c r="X1248" s="146"/>
      <c r="Y1248" s="146"/>
      <c r="Z1248" s="146"/>
      <c r="AA1248" s="146"/>
    </row>
    <row r="1249" spans="1:27" s="118" customFormat="1" x14ac:dyDescent="0.2">
      <c r="A1249" s="6"/>
      <c r="B1249" s="6"/>
      <c r="C1249" s="6"/>
      <c r="D1249" s="2"/>
      <c r="E1249" s="148"/>
      <c r="F1249" s="253">
        <v>6</v>
      </c>
      <c r="G1249" s="253"/>
      <c r="H1249" s="253"/>
      <c r="I1249" s="246"/>
      <c r="J1249" s="253">
        <f>ROUND(PRODUCT(F1249:I1249),2)</f>
        <v>6</v>
      </c>
      <c r="K1249" s="137"/>
      <c r="L1249" s="137"/>
      <c r="M1249" s="137"/>
      <c r="N1249" s="138"/>
      <c r="O1249" s="167"/>
      <c r="P1249" s="111"/>
      <c r="Q1249" s="111"/>
      <c r="R1249" s="111"/>
      <c r="S1249" s="111"/>
      <c r="T1249" s="111"/>
      <c r="U1249" s="111"/>
      <c r="V1249" s="111"/>
      <c r="W1249" s="111"/>
      <c r="X1249" s="111"/>
      <c r="Y1249" s="111"/>
      <c r="Z1249" s="111"/>
      <c r="AA1249" s="111"/>
    </row>
    <row r="1250" spans="1:27" s="118" customFormat="1" x14ac:dyDescent="0.2">
      <c r="A1250" s="6"/>
      <c r="B1250" s="6"/>
      <c r="C1250" s="156"/>
      <c r="D1250" s="108"/>
      <c r="E1250" s="148"/>
      <c r="F1250" s="253"/>
      <c r="G1250" s="253"/>
      <c r="H1250" s="253"/>
      <c r="I1250" s="246" t="str">
        <f>"Total item "&amp;A1248</f>
        <v>Total item 15.1.8</v>
      </c>
      <c r="J1250" s="261">
        <f>SUM(J1249:J1249)</f>
        <v>6</v>
      </c>
      <c r="K1250" s="137"/>
      <c r="L1250" s="137"/>
      <c r="M1250" s="137"/>
      <c r="N1250" s="138"/>
      <c r="O1250" s="167"/>
      <c r="P1250" s="111"/>
      <c r="Q1250" s="111"/>
      <c r="R1250" s="111"/>
      <c r="S1250" s="111"/>
      <c r="T1250" s="111"/>
      <c r="U1250" s="111"/>
      <c r="V1250" s="111"/>
      <c r="W1250" s="111"/>
      <c r="X1250" s="111"/>
      <c r="Y1250" s="111"/>
      <c r="Z1250" s="111"/>
      <c r="AA1250" s="111"/>
    </row>
    <row r="1251" spans="1:27" s="118" customFormat="1" x14ac:dyDescent="0.2">
      <c r="A1251" s="6"/>
      <c r="B1251" s="6"/>
      <c r="C1251" s="155"/>
      <c r="D1251" s="108"/>
      <c r="E1251" s="148"/>
      <c r="F1251" s="253"/>
      <c r="G1251" s="253"/>
      <c r="H1251" s="253"/>
      <c r="I1251" s="246"/>
      <c r="J1251" s="258"/>
      <c r="K1251" s="137"/>
      <c r="L1251" s="137"/>
      <c r="M1251" s="137"/>
      <c r="N1251" s="138"/>
      <c r="O1251" s="167"/>
      <c r="P1251" s="111"/>
      <c r="Q1251" s="111"/>
      <c r="R1251" s="111"/>
      <c r="S1251" s="111"/>
      <c r="T1251" s="111"/>
      <c r="U1251" s="111"/>
      <c r="V1251" s="111"/>
      <c r="W1251" s="111"/>
      <c r="X1251" s="111"/>
      <c r="Y1251" s="111"/>
      <c r="Z1251" s="111"/>
      <c r="AA1251" s="111"/>
    </row>
    <row r="1252" spans="1:27" s="145" customFormat="1" x14ac:dyDescent="0.2">
      <c r="A1252" s="140" t="s">
        <v>340</v>
      </c>
      <c r="B1252" s="140"/>
      <c r="C1252" s="141"/>
      <c r="D1252" s="112" t="s">
        <v>211</v>
      </c>
      <c r="E1252" s="140"/>
      <c r="F1252" s="260"/>
      <c r="G1252" s="260"/>
      <c r="H1252" s="260"/>
      <c r="I1252" s="248"/>
      <c r="J1252" s="260"/>
      <c r="K1252" s="142"/>
      <c r="L1252" s="142"/>
      <c r="M1252" s="142"/>
      <c r="N1252" s="143">
        <f>SUM(N1254:N1256)</f>
        <v>213.51</v>
      </c>
      <c r="O1252" s="285"/>
      <c r="P1252" s="144"/>
      <c r="Q1252" s="144"/>
      <c r="R1252" s="144"/>
      <c r="S1252" s="144"/>
      <c r="T1252" s="144"/>
      <c r="U1252" s="144"/>
      <c r="V1252" s="144"/>
      <c r="W1252" s="144"/>
      <c r="X1252" s="144"/>
      <c r="Y1252" s="144"/>
      <c r="Z1252" s="144"/>
      <c r="AA1252" s="144"/>
    </row>
    <row r="1253" spans="1:27" s="118" customFormat="1" x14ac:dyDescent="0.2">
      <c r="A1253" s="6"/>
      <c r="B1253" s="6"/>
      <c r="C1253" s="155"/>
      <c r="D1253" s="108"/>
      <c r="E1253" s="148"/>
      <c r="F1253" s="253"/>
      <c r="G1253" s="253"/>
      <c r="H1253" s="253"/>
      <c r="I1253" s="246"/>
      <c r="J1253" s="258"/>
      <c r="K1253" s="137"/>
      <c r="L1253" s="137"/>
      <c r="M1253" s="137"/>
      <c r="N1253" s="138"/>
      <c r="O1253" s="167"/>
      <c r="P1253" s="111"/>
      <c r="Q1253" s="111"/>
      <c r="R1253" s="111"/>
      <c r="S1253" s="111"/>
      <c r="T1253" s="111"/>
      <c r="U1253" s="111"/>
      <c r="V1253" s="111"/>
      <c r="W1253" s="111"/>
      <c r="X1253" s="111"/>
      <c r="Y1253" s="111"/>
      <c r="Z1253" s="111"/>
      <c r="AA1253" s="111"/>
    </row>
    <row r="1254" spans="1:27" s="147" customFormat="1" ht="51" x14ac:dyDescent="0.2">
      <c r="A1254" s="9" t="s">
        <v>341</v>
      </c>
      <c r="B1254" s="9" t="s">
        <v>89</v>
      </c>
      <c r="C1254" s="13">
        <v>86942</v>
      </c>
      <c r="D1254" s="113" t="s">
        <v>661</v>
      </c>
      <c r="E1254" s="9" t="s">
        <v>33</v>
      </c>
      <c r="F1254" s="261"/>
      <c r="G1254" s="261"/>
      <c r="H1254" s="261"/>
      <c r="I1254" s="245"/>
      <c r="J1254" s="261"/>
      <c r="K1254" s="131">
        <f>J1256</f>
        <v>1</v>
      </c>
      <c r="L1254" s="106">
        <v>168.74</v>
      </c>
      <c r="M1254" s="131">
        <f>ROUND(L1254*(1+$Q$7),2)</f>
        <v>213.51</v>
      </c>
      <c r="N1254" s="133">
        <f>TRUNC(K1254*M1254,2)</f>
        <v>213.51</v>
      </c>
      <c r="O1254" s="286"/>
      <c r="P1254" s="146"/>
      <c r="Q1254" s="146"/>
      <c r="R1254" s="146"/>
      <c r="S1254" s="146"/>
      <c r="T1254" s="146"/>
      <c r="U1254" s="146"/>
      <c r="V1254" s="146"/>
      <c r="W1254" s="146"/>
      <c r="X1254" s="146"/>
      <c r="Y1254" s="146"/>
      <c r="Z1254" s="146"/>
      <c r="AA1254" s="146"/>
    </row>
    <row r="1255" spans="1:27" s="118" customFormat="1" x14ac:dyDescent="0.2">
      <c r="A1255" s="6"/>
      <c r="B1255" s="6"/>
      <c r="C1255" s="155"/>
      <c r="D1255" s="2" t="s">
        <v>306</v>
      </c>
      <c r="E1255" s="148"/>
      <c r="F1255" s="253">
        <v>1</v>
      </c>
      <c r="G1255" s="253"/>
      <c r="H1255" s="253"/>
      <c r="I1255" s="246"/>
      <c r="J1255" s="253">
        <f t="shared" ref="J1255" si="128">ROUND(PRODUCT(F1255:I1255),2)</f>
        <v>1</v>
      </c>
      <c r="K1255" s="137"/>
      <c r="L1255" s="137"/>
      <c r="M1255" s="137"/>
      <c r="N1255" s="138"/>
      <c r="O1255" s="167"/>
      <c r="P1255" s="111"/>
      <c r="Q1255" s="111"/>
      <c r="R1255" s="111"/>
      <c r="S1255" s="111"/>
      <c r="T1255" s="111"/>
      <c r="U1255" s="111"/>
      <c r="V1255" s="111"/>
      <c r="W1255" s="111"/>
      <c r="X1255" s="111"/>
      <c r="Y1255" s="111"/>
      <c r="Z1255" s="111"/>
      <c r="AA1255" s="111"/>
    </row>
    <row r="1256" spans="1:27" s="118" customFormat="1" x14ac:dyDescent="0.2">
      <c r="A1256" s="6"/>
      <c r="B1256" s="6"/>
      <c r="C1256" s="156"/>
      <c r="D1256" s="108"/>
      <c r="E1256" s="148"/>
      <c r="F1256" s="253"/>
      <c r="G1256" s="253"/>
      <c r="H1256" s="253"/>
      <c r="I1256" s="246" t="str">
        <f>"Total item "&amp;A1254</f>
        <v>Total item 15.2.1</v>
      </c>
      <c r="J1256" s="261">
        <f>SUM(J1255:J1255)</f>
        <v>1</v>
      </c>
      <c r="K1256" s="137"/>
      <c r="L1256" s="137"/>
      <c r="M1256" s="137"/>
      <c r="N1256" s="138"/>
      <c r="O1256" s="167"/>
      <c r="P1256" s="111"/>
      <c r="Q1256" s="111"/>
      <c r="R1256" s="111"/>
      <c r="S1256" s="111"/>
      <c r="T1256" s="111"/>
      <c r="U1256" s="111"/>
      <c r="V1256" s="111"/>
      <c r="W1256" s="111"/>
      <c r="X1256" s="111"/>
      <c r="Y1256" s="111"/>
      <c r="Z1256" s="111"/>
      <c r="AA1256" s="111"/>
    </row>
    <row r="1257" spans="1:27" s="139" customFormat="1" x14ac:dyDescent="0.2">
      <c r="A1257" s="6"/>
      <c r="B1257" s="6"/>
      <c r="C1257" s="7"/>
      <c r="D1257" s="116"/>
      <c r="E1257" s="6"/>
      <c r="F1257" s="258"/>
      <c r="G1257" s="258"/>
      <c r="H1257" s="258"/>
      <c r="I1257" s="246"/>
      <c r="J1257" s="258"/>
      <c r="K1257" s="137"/>
      <c r="L1257" s="137"/>
      <c r="M1257" s="137"/>
      <c r="N1257" s="138"/>
      <c r="O1257" s="283"/>
      <c r="P1257" s="120"/>
      <c r="Q1257" s="120"/>
      <c r="R1257" s="120"/>
      <c r="S1257" s="120"/>
      <c r="T1257" s="120"/>
      <c r="U1257" s="120"/>
      <c r="V1257" s="120"/>
      <c r="W1257" s="120"/>
      <c r="X1257" s="120"/>
      <c r="Y1257" s="120"/>
      <c r="Z1257" s="120"/>
      <c r="AA1257" s="120"/>
    </row>
    <row r="1258" spans="1:27" s="145" customFormat="1" x14ac:dyDescent="0.2">
      <c r="A1258" s="140" t="s">
        <v>342</v>
      </c>
      <c r="B1258" s="140"/>
      <c r="C1258" s="141"/>
      <c r="D1258" s="112" t="s">
        <v>28</v>
      </c>
      <c r="E1258" s="140"/>
      <c r="F1258" s="260"/>
      <c r="G1258" s="260"/>
      <c r="H1258" s="260"/>
      <c r="I1258" s="248"/>
      <c r="J1258" s="260"/>
      <c r="K1258" s="142"/>
      <c r="L1258" s="142"/>
      <c r="M1258" s="142"/>
      <c r="N1258" s="143">
        <f>SUM(N1260:N1262)</f>
        <v>2368.27</v>
      </c>
      <c r="O1258" s="285"/>
      <c r="P1258" s="144"/>
      <c r="Q1258" s="144"/>
      <c r="R1258" s="144"/>
      <c r="S1258" s="144"/>
      <c r="T1258" s="144"/>
      <c r="U1258" s="144"/>
      <c r="V1258" s="144"/>
      <c r="W1258" s="144"/>
      <c r="X1258" s="144"/>
      <c r="Y1258" s="144"/>
      <c r="Z1258" s="144"/>
      <c r="AA1258" s="144"/>
    </row>
    <row r="1259" spans="1:27" s="118" customFormat="1" x14ac:dyDescent="0.2">
      <c r="A1259" s="6"/>
      <c r="B1259" s="6"/>
      <c r="C1259" s="155"/>
      <c r="D1259" s="108"/>
      <c r="E1259" s="148"/>
      <c r="F1259" s="253"/>
      <c r="G1259" s="253"/>
      <c r="H1259" s="253"/>
      <c r="I1259" s="246"/>
      <c r="J1259" s="258"/>
      <c r="K1259" s="137"/>
      <c r="L1259" s="137"/>
      <c r="M1259" s="137"/>
      <c r="N1259" s="138"/>
      <c r="O1259" s="167"/>
      <c r="P1259" s="111"/>
      <c r="Q1259" s="111"/>
      <c r="R1259" s="111"/>
      <c r="S1259" s="111"/>
      <c r="T1259" s="111"/>
      <c r="U1259" s="111"/>
      <c r="V1259" s="111"/>
      <c r="W1259" s="111"/>
      <c r="X1259" s="111"/>
      <c r="Y1259" s="111"/>
      <c r="Z1259" s="111"/>
      <c r="AA1259" s="111"/>
    </row>
    <row r="1260" spans="1:27" s="147" customFormat="1" ht="34.5" customHeight="1" x14ac:dyDescent="0.2">
      <c r="A1260" s="9" t="s">
        <v>343</v>
      </c>
      <c r="B1260" s="9" t="s">
        <v>163</v>
      </c>
      <c r="C1260" s="13" t="s">
        <v>263</v>
      </c>
      <c r="D1260" s="113" t="s">
        <v>423</v>
      </c>
      <c r="E1260" s="9" t="s">
        <v>9</v>
      </c>
      <c r="F1260" s="261"/>
      <c r="G1260" s="261"/>
      <c r="H1260" s="261"/>
      <c r="I1260" s="245"/>
      <c r="J1260" s="261"/>
      <c r="K1260" s="131">
        <f>J1265</f>
        <v>6.51</v>
      </c>
      <c r="L1260" s="131">
        <v>287.51</v>
      </c>
      <c r="M1260" s="131">
        <f>ROUND(L1260*(1+$Q$7),2)</f>
        <v>363.79</v>
      </c>
      <c r="N1260" s="133">
        <f>TRUNC(K1260*M1260,2)</f>
        <v>2368.27</v>
      </c>
      <c r="O1260" s="286"/>
      <c r="P1260" s="146"/>
      <c r="Q1260" s="146"/>
      <c r="R1260" s="146"/>
      <c r="S1260" s="146"/>
      <c r="T1260" s="146"/>
      <c r="U1260" s="146"/>
      <c r="V1260" s="146"/>
      <c r="W1260" s="146"/>
      <c r="X1260" s="146"/>
      <c r="Y1260" s="146"/>
      <c r="Z1260" s="146"/>
      <c r="AA1260" s="146"/>
    </row>
    <row r="1261" spans="1:27" s="118" customFormat="1" x14ac:dyDescent="0.2">
      <c r="A1261" s="6"/>
      <c r="B1261" s="6"/>
      <c r="C1261" s="7"/>
      <c r="D1261" s="2" t="s">
        <v>257</v>
      </c>
      <c r="E1261" s="148"/>
      <c r="F1261" s="253"/>
      <c r="G1261" s="253">
        <v>0.8</v>
      </c>
      <c r="H1261" s="253"/>
      <c r="I1261" s="253">
        <v>2.1</v>
      </c>
      <c r="J1261" s="253">
        <f t="shared" ref="J1261:J1264" si="129">ROUND(PRODUCT(F1261:I1261),2)</f>
        <v>1.68</v>
      </c>
      <c r="K1261" s="137"/>
      <c r="L1261" s="137"/>
      <c r="M1261" s="137"/>
      <c r="N1261" s="138"/>
      <c r="O1261" s="167"/>
      <c r="P1261" s="111"/>
      <c r="Q1261" s="111"/>
      <c r="R1261" s="111"/>
      <c r="S1261" s="111"/>
      <c r="T1261" s="111"/>
      <c r="U1261" s="111"/>
      <c r="V1261" s="111"/>
      <c r="W1261" s="111"/>
      <c r="X1261" s="111"/>
      <c r="Y1261" s="111"/>
      <c r="Z1261" s="111"/>
      <c r="AA1261" s="111"/>
    </row>
    <row r="1262" spans="1:27" s="118" customFormat="1" x14ac:dyDescent="0.2">
      <c r="A1262" s="6"/>
      <c r="B1262" s="6"/>
      <c r="C1262" s="7"/>
      <c r="D1262" s="2" t="s">
        <v>242</v>
      </c>
      <c r="E1262" s="148"/>
      <c r="F1262" s="253"/>
      <c r="G1262" s="253">
        <v>0.8</v>
      </c>
      <c r="H1262" s="253"/>
      <c r="I1262" s="253">
        <v>2.1</v>
      </c>
      <c r="J1262" s="253">
        <f t="shared" si="129"/>
        <v>1.68</v>
      </c>
      <c r="K1262" s="137"/>
      <c r="L1262" s="137"/>
      <c r="M1262" s="137"/>
      <c r="N1262" s="138"/>
      <c r="O1262" s="167"/>
      <c r="P1262" s="111"/>
      <c r="Q1262" s="111"/>
      <c r="R1262" s="111"/>
      <c r="S1262" s="111"/>
      <c r="T1262" s="111"/>
      <c r="U1262" s="111"/>
      <c r="V1262" s="111"/>
      <c r="W1262" s="111"/>
      <c r="X1262" s="111"/>
      <c r="Y1262" s="111"/>
      <c r="Z1262" s="111"/>
      <c r="AA1262" s="111"/>
    </row>
    <row r="1263" spans="1:27" s="118" customFormat="1" x14ac:dyDescent="0.2">
      <c r="A1263" s="6"/>
      <c r="B1263" s="6"/>
      <c r="C1263" s="7"/>
      <c r="D1263" s="2" t="s">
        <v>297</v>
      </c>
      <c r="E1263" s="148"/>
      <c r="F1263" s="253"/>
      <c r="G1263" s="253">
        <v>0.9</v>
      </c>
      <c r="H1263" s="253"/>
      <c r="I1263" s="253">
        <v>2.1</v>
      </c>
      <c r="J1263" s="253">
        <f t="shared" si="129"/>
        <v>1.89</v>
      </c>
      <c r="K1263" s="137"/>
      <c r="L1263" s="137"/>
      <c r="M1263" s="137"/>
      <c r="N1263" s="138"/>
      <c r="O1263" s="167"/>
      <c r="P1263" s="111"/>
      <c r="Q1263" s="111"/>
      <c r="R1263" s="111"/>
      <c r="S1263" s="111"/>
      <c r="T1263" s="111"/>
      <c r="U1263" s="111"/>
      <c r="V1263" s="111"/>
      <c r="W1263" s="111"/>
      <c r="X1263" s="111"/>
      <c r="Y1263" s="111"/>
      <c r="Z1263" s="111"/>
      <c r="AA1263" s="111"/>
    </row>
    <row r="1264" spans="1:27" s="118" customFormat="1" x14ac:dyDescent="0.2">
      <c r="A1264" s="6"/>
      <c r="B1264" s="6"/>
      <c r="C1264" s="7"/>
      <c r="D1264" s="2" t="s">
        <v>307</v>
      </c>
      <c r="E1264" s="148"/>
      <c r="F1264" s="253"/>
      <c r="G1264" s="253">
        <v>0.6</v>
      </c>
      <c r="H1264" s="253"/>
      <c r="I1264" s="253">
        <v>2.1</v>
      </c>
      <c r="J1264" s="253">
        <f t="shared" si="129"/>
        <v>1.26</v>
      </c>
      <c r="K1264" s="137"/>
      <c r="L1264" s="137"/>
      <c r="M1264" s="137"/>
      <c r="N1264" s="138"/>
      <c r="O1264" s="167"/>
      <c r="P1264" s="111"/>
      <c r="Q1264" s="111"/>
      <c r="R1264" s="111"/>
      <c r="S1264" s="111"/>
      <c r="T1264" s="111"/>
      <c r="U1264" s="111"/>
      <c r="V1264" s="111"/>
      <c r="W1264" s="111"/>
      <c r="X1264" s="111"/>
      <c r="Y1264" s="111"/>
      <c r="Z1264" s="111"/>
      <c r="AA1264" s="111"/>
    </row>
    <row r="1265" spans="1:27" s="118" customFormat="1" x14ac:dyDescent="0.2">
      <c r="A1265" s="6"/>
      <c r="B1265" s="6"/>
      <c r="C1265" s="7"/>
      <c r="D1265" s="149"/>
      <c r="E1265" s="148"/>
      <c r="F1265" s="253"/>
      <c r="G1265" s="253"/>
      <c r="H1265" s="253"/>
      <c r="I1265" s="246" t="str">
        <f>"Total item "&amp;A1260</f>
        <v>Total item 15.3.1</v>
      </c>
      <c r="J1265" s="261">
        <f>SUM(J1261:J1264)</f>
        <v>6.51</v>
      </c>
      <c r="K1265" s="137"/>
      <c r="L1265" s="137"/>
      <c r="M1265" s="137"/>
      <c r="N1265" s="138"/>
      <c r="O1265" s="167"/>
      <c r="P1265" s="111"/>
      <c r="Q1265" s="111"/>
      <c r="R1265" s="111"/>
      <c r="S1265" s="111"/>
      <c r="T1265" s="111"/>
      <c r="U1265" s="111"/>
      <c r="V1265" s="111"/>
      <c r="W1265" s="111"/>
      <c r="X1265" s="111"/>
      <c r="Y1265" s="111"/>
      <c r="Z1265" s="111"/>
      <c r="AA1265" s="111"/>
    </row>
    <row r="1266" spans="1:27" s="118" customFormat="1" x14ac:dyDescent="0.2">
      <c r="A1266" s="6"/>
      <c r="B1266" s="6"/>
      <c r="C1266" s="7"/>
      <c r="D1266" s="3"/>
      <c r="E1266" s="148"/>
      <c r="F1266" s="253"/>
      <c r="G1266" s="253"/>
      <c r="H1266" s="253"/>
      <c r="I1266" s="249"/>
      <c r="J1266" s="253"/>
      <c r="K1266" s="137"/>
      <c r="L1266" s="137"/>
      <c r="M1266" s="137"/>
      <c r="N1266" s="138"/>
      <c r="O1266" s="167"/>
      <c r="P1266" s="111"/>
      <c r="Q1266" s="111"/>
      <c r="R1266" s="111"/>
      <c r="S1266" s="111"/>
      <c r="T1266" s="111"/>
      <c r="U1266" s="111"/>
      <c r="V1266" s="111"/>
      <c r="W1266" s="111"/>
      <c r="X1266" s="111"/>
      <c r="Y1266" s="111"/>
      <c r="Z1266" s="111"/>
      <c r="AA1266" s="111"/>
    </row>
    <row r="1267" spans="1:27" s="145" customFormat="1" x14ac:dyDescent="0.2">
      <c r="A1267" s="140" t="s">
        <v>344</v>
      </c>
      <c r="B1267" s="140"/>
      <c r="C1267" s="141"/>
      <c r="D1267" s="112" t="s">
        <v>29</v>
      </c>
      <c r="E1267" s="140"/>
      <c r="F1267" s="260"/>
      <c r="G1267" s="260"/>
      <c r="H1267" s="260"/>
      <c r="I1267" s="248"/>
      <c r="J1267" s="260"/>
      <c r="K1267" s="142"/>
      <c r="L1267" s="142"/>
      <c r="M1267" s="142"/>
      <c r="N1267" s="143">
        <f>SUM(N1269:N1276)</f>
        <v>221.07</v>
      </c>
      <c r="O1267" s="285"/>
      <c r="P1267" s="144"/>
      <c r="Q1267" s="144"/>
      <c r="R1267" s="144"/>
      <c r="S1267" s="144"/>
      <c r="T1267" s="144"/>
      <c r="U1267" s="144"/>
      <c r="V1267" s="144"/>
      <c r="W1267" s="144"/>
      <c r="X1267" s="144"/>
      <c r="Y1267" s="144"/>
      <c r="Z1267" s="144"/>
      <c r="AA1267" s="144"/>
    </row>
    <row r="1268" spans="1:27" s="118" customFormat="1" x14ac:dyDescent="0.2">
      <c r="A1268" s="6"/>
      <c r="B1268" s="6"/>
      <c r="C1268" s="7"/>
      <c r="D1268" s="3"/>
      <c r="E1268" s="148"/>
      <c r="F1268" s="253"/>
      <c r="G1268" s="253"/>
      <c r="H1268" s="253"/>
      <c r="I1268" s="249"/>
      <c r="J1268" s="253"/>
      <c r="K1268" s="137"/>
      <c r="L1268" s="137"/>
      <c r="M1268" s="137"/>
      <c r="N1268" s="138"/>
      <c r="O1268" s="167"/>
      <c r="P1268" s="111"/>
      <c r="Q1268" s="111"/>
      <c r="R1268" s="111"/>
      <c r="S1268" s="111"/>
      <c r="T1268" s="111"/>
      <c r="U1268" s="111"/>
      <c r="V1268" s="111"/>
      <c r="W1268" s="111"/>
      <c r="X1268" s="111"/>
      <c r="Y1268" s="111"/>
      <c r="Z1268" s="111"/>
      <c r="AA1268" s="111"/>
    </row>
    <row r="1269" spans="1:27" s="147" customFormat="1" ht="40.799999999999997" x14ac:dyDescent="0.2">
      <c r="A1269" s="9" t="s">
        <v>637</v>
      </c>
      <c r="B1269" s="107" t="s">
        <v>163</v>
      </c>
      <c r="C1269" s="107" t="s">
        <v>176</v>
      </c>
      <c r="D1269" s="113" t="s">
        <v>269</v>
      </c>
      <c r="E1269" s="1" t="s">
        <v>9</v>
      </c>
      <c r="F1269" s="261"/>
      <c r="G1269" s="261"/>
      <c r="H1269" s="261"/>
      <c r="I1269" s="245"/>
      <c r="J1269" s="261"/>
      <c r="K1269" s="131">
        <f>J1275</f>
        <v>13.02</v>
      </c>
      <c r="L1269" s="131">
        <v>13.42</v>
      </c>
      <c r="M1269" s="131">
        <f>ROUND(L1269*(1+$Q$7),2)</f>
        <v>16.98</v>
      </c>
      <c r="N1269" s="133">
        <f>TRUNC(K1269*M1269,2)</f>
        <v>221.07</v>
      </c>
      <c r="O1269" s="286"/>
      <c r="P1269" s="146"/>
      <c r="Q1269" s="146"/>
      <c r="R1269" s="146"/>
      <c r="S1269" s="146"/>
      <c r="T1269" s="146"/>
      <c r="U1269" s="146"/>
      <c r="V1269" s="146"/>
      <c r="W1269" s="146"/>
      <c r="X1269" s="146"/>
      <c r="Y1269" s="146"/>
      <c r="Z1269" s="146"/>
      <c r="AA1269" s="146"/>
    </row>
    <row r="1270" spans="1:27" s="118" customFormat="1" x14ac:dyDescent="0.2">
      <c r="A1270" s="6"/>
      <c r="B1270" s="6"/>
      <c r="C1270" s="155"/>
      <c r="D1270" s="3" t="s">
        <v>270</v>
      </c>
      <c r="E1270" s="148"/>
      <c r="F1270" s="253"/>
      <c r="G1270" s="253"/>
      <c r="H1270" s="253"/>
      <c r="I1270" s="249"/>
      <c r="J1270" s="253"/>
      <c r="K1270" s="137"/>
      <c r="L1270" s="137"/>
      <c r="M1270" s="137"/>
      <c r="N1270" s="138"/>
      <c r="O1270" s="167"/>
      <c r="P1270" s="111"/>
      <c r="Q1270" s="111"/>
      <c r="R1270" s="111"/>
      <c r="S1270" s="111"/>
      <c r="T1270" s="111"/>
      <c r="U1270" s="111"/>
      <c r="V1270" s="111"/>
      <c r="W1270" s="111"/>
      <c r="X1270" s="111"/>
      <c r="Y1270" s="111"/>
      <c r="Z1270" s="111"/>
      <c r="AA1270" s="111"/>
    </row>
    <row r="1271" spans="1:27" s="118" customFormat="1" x14ac:dyDescent="0.2">
      <c r="A1271" s="6"/>
      <c r="B1271" s="6"/>
      <c r="C1271" s="7"/>
      <c r="D1271" s="2" t="s">
        <v>257</v>
      </c>
      <c r="E1271" s="148"/>
      <c r="F1271" s="253">
        <v>2</v>
      </c>
      <c r="G1271" s="253">
        <v>0.8</v>
      </c>
      <c r="H1271" s="253"/>
      <c r="I1271" s="253">
        <v>2.1</v>
      </c>
      <c r="J1271" s="253">
        <f t="shared" ref="J1271:J1274" si="130">ROUND(PRODUCT(F1271:I1271),2)</f>
        <v>3.36</v>
      </c>
      <c r="K1271" s="137"/>
      <c r="L1271" s="137"/>
      <c r="M1271" s="137"/>
      <c r="N1271" s="138"/>
      <c r="O1271" s="167"/>
      <c r="P1271" s="111"/>
      <c r="Q1271" s="111"/>
      <c r="R1271" s="111"/>
      <c r="S1271" s="111"/>
      <c r="T1271" s="111"/>
      <c r="U1271" s="111"/>
      <c r="V1271" s="111"/>
      <c r="W1271" s="111"/>
      <c r="X1271" s="111"/>
      <c r="Y1271" s="111"/>
      <c r="Z1271" s="111"/>
      <c r="AA1271" s="111"/>
    </row>
    <row r="1272" spans="1:27" s="118" customFormat="1" x14ac:dyDescent="0.2">
      <c r="A1272" s="6"/>
      <c r="B1272" s="6"/>
      <c r="C1272" s="7"/>
      <c r="D1272" s="2" t="s">
        <v>242</v>
      </c>
      <c r="E1272" s="148"/>
      <c r="F1272" s="253">
        <v>2</v>
      </c>
      <c r="G1272" s="253">
        <v>0.8</v>
      </c>
      <c r="H1272" s="253"/>
      <c r="I1272" s="253">
        <v>2.1</v>
      </c>
      <c r="J1272" s="253">
        <f t="shared" si="130"/>
        <v>3.36</v>
      </c>
      <c r="K1272" s="137"/>
      <c r="L1272" s="137"/>
      <c r="M1272" s="137"/>
      <c r="N1272" s="138"/>
      <c r="O1272" s="167"/>
      <c r="P1272" s="111"/>
      <c r="Q1272" s="111"/>
      <c r="R1272" s="111"/>
      <c r="S1272" s="111"/>
      <c r="T1272" s="111"/>
      <c r="U1272" s="111"/>
      <c r="V1272" s="111"/>
      <c r="W1272" s="111"/>
      <c r="X1272" s="111"/>
      <c r="Y1272" s="111"/>
      <c r="Z1272" s="111"/>
      <c r="AA1272" s="111"/>
    </row>
    <row r="1273" spans="1:27" s="118" customFormat="1" x14ac:dyDescent="0.2">
      <c r="A1273" s="6"/>
      <c r="B1273" s="6"/>
      <c r="C1273" s="7"/>
      <c r="D1273" s="2" t="s">
        <v>297</v>
      </c>
      <c r="E1273" s="148"/>
      <c r="F1273" s="253">
        <v>2</v>
      </c>
      <c r="G1273" s="253">
        <v>0.9</v>
      </c>
      <c r="H1273" s="253"/>
      <c r="I1273" s="253">
        <v>2.1</v>
      </c>
      <c r="J1273" s="253">
        <f t="shared" si="130"/>
        <v>3.78</v>
      </c>
      <c r="K1273" s="137"/>
      <c r="L1273" s="137"/>
      <c r="M1273" s="137"/>
      <c r="N1273" s="138"/>
      <c r="O1273" s="167"/>
      <c r="P1273" s="111"/>
      <c r="Q1273" s="111"/>
      <c r="R1273" s="111"/>
      <c r="S1273" s="111"/>
      <c r="T1273" s="111"/>
      <c r="U1273" s="111"/>
      <c r="V1273" s="111"/>
      <c r="W1273" s="111"/>
      <c r="X1273" s="111"/>
      <c r="Y1273" s="111"/>
      <c r="Z1273" s="111"/>
      <c r="AA1273" s="111"/>
    </row>
    <row r="1274" spans="1:27" s="118" customFormat="1" x14ac:dyDescent="0.2">
      <c r="A1274" s="6"/>
      <c r="B1274" s="6"/>
      <c r="C1274" s="7"/>
      <c r="D1274" s="2" t="s">
        <v>307</v>
      </c>
      <c r="E1274" s="148"/>
      <c r="F1274" s="253">
        <v>2</v>
      </c>
      <c r="G1274" s="253">
        <v>0.6</v>
      </c>
      <c r="H1274" s="253"/>
      <c r="I1274" s="253">
        <v>2.1</v>
      </c>
      <c r="J1274" s="253">
        <f t="shared" si="130"/>
        <v>2.52</v>
      </c>
      <c r="K1274" s="137"/>
      <c r="L1274" s="137"/>
      <c r="M1274" s="137"/>
      <c r="N1274" s="138"/>
      <c r="O1274" s="167"/>
      <c r="P1274" s="111"/>
      <c r="Q1274" s="111"/>
      <c r="R1274" s="111"/>
      <c r="S1274" s="111"/>
      <c r="T1274" s="111"/>
      <c r="U1274" s="111"/>
      <c r="V1274" s="111"/>
      <c r="W1274" s="111"/>
      <c r="X1274" s="111"/>
      <c r="Y1274" s="111"/>
      <c r="Z1274" s="111"/>
      <c r="AA1274" s="111"/>
    </row>
    <row r="1275" spans="1:27" s="118" customFormat="1" x14ac:dyDescent="0.2">
      <c r="A1275" s="6"/>
      <c r="B1275" s="6"/>
      <c r="C1275" s="156"/>
      <c r="D1275" s="108"/>
      <c r="E1275" s="148"/>
      <c r="F1275" s="253"/>
      <c r="G1275" s="253"/>
      <c r="H1275" s="253"/>
      <c r="I1275" s="246" t="str">
        <f>"Total item "&amp;A1269</f>
        <v>Total item 15.4.1</v>
      </c>
      <c r="J1275" s="261">
        <f>SUM(J1271:J1274)</f>
        <v>13.02</v>
      </c>
      <c r="K1275" s="137"/>
      <c r="L1275" s="137"/>
      <c r="M1275" s="137"/>
      <c r="N1275" s="138"/>
      <c r="O1275" s="167"/>
      <c r="P1275" s="111"/>
      <c r="Q1275" s="111"/>
      <c r="R1275" s="111"/>
      <c r="S1275" s="111"/>
      <c r="T1275" s="111"/>
      <c r="U1275" s="111"/>
      <c r="V1275" s="111"/>
      <c r="W1275" s="111"/>
      <c r="X1275" s="111"/>
      <c r="Y1275" s="111"/>
      <c r="Z1275" s="111"/>
      <c r="AA1275" s="111"/>
    </row>
    <row r="1276" spans="1:27" s="118" customFormat="1" x14ac:dyDescent="0.2">
      <c r="A1276" s="6"/>
      <c r="B1276" s="6"/>
      <c r="C1276" s="155"/>
      <c r="D1276" s="108"/>
      <c r="E1276" s="148"/>
      <c r="F1276" s="253"/>
      <c r="G1276" s="253"/>
      <c r="H1276" s="253"/>
      <c r="I1276" s="246"/>
      <c r="J1276" s="258"/>
      <c r="K1276" s="137"/>
      <c r="L1276" s="137"/>
      <c r="M1276" s="137"/>
      <c r="N1276" s="138"/>
      <c r="O1276" s="167"/>
      <c r="P1276" s="111"/>
      <c r="Q1276" s="111"/>
      <c r="R1276" s="111"/>
      <c r="S1276" s="111"/>
      <c r="T1276" s="111"/>
      <c r="U1276" s="111"/>
      <c r="V1276" s="111"/>
      <c r="W1276" s="111"/>
      <c r="X1276" s="111"/>
      <c r="Y1276" s="111"/>
      <c r="Z1276" s="111"/>
      <c r="AA1276" s="111"/>
    </row>
    <row r="1277" spans="1:27" s="145" customFormat="1" x14ac:dyDescent="0.2">
      <c r="A1277" s="140" t="s">
        <v>638</v>
      </c>
      <c r="B1277" s="140"/>
      <c r="C1277" s="141"/>
      <c r="D1277" s="112" t="s">
        <v>80</v>
      </c>
      <c r="E1277" s="140"/>
      <c r="F1277" s="260"/>
      <c r="G1277" s="260"/>
      <c r="H1277" s="260"/>
      <c r="I1277" s="248"/>
      <c r="J1277" s="260"/>
      <c r="K1277" s="142"/>
      <c r="L1277" s="142"/>
      <c r="M1277" s="142"/>
      <c r="N1277" s="143">
        <f>SUM(N1279:N1297)</f>
        <v>22104.58</v>
      </c>
      <c r="O1277" s="285"/>
      <c r="P1277" s="144"/>
      <c r="Q1277" s="144"/>
      <c r="R1277" s="144"/>
      <c r="S1277" s="144"/>
      <c r="T1277" s="144"/>
      <c r="U1277" s="144"/>
      <c r="V1277" s="144"/>
      <c r="W1277" s="144"/>
      <c r="X1277" s="144"/>
      <c r="Y1277" s="144"/>
      <c r="Z1277" s="144"/>
      <c r="AA1277" s="144"/>
    </row>
    <row r="1278" spans="1:27" s="118" customFormat="1" x14ac:dyDescent="0.2">
      <c r="A1278" s="6"/>
      <c r="B1278" s="6"/>
      <c r="C1278" s="7"/>
      <c r="D1278" s="3"/>
      <c r="E1278" s="148"/>
      <c r="F1278" s="253"/>
      <c r="G1278" s="253"/>
      <c r="H1278" s="253"/>
      <c r="I1278" s="249"/>
      <c r="J1278" s="253"/>
      <c r="K1278" s="137"/>
      <c r="L1278" s="137"/>
      <c r="M1278" s="137"/>
      <c r="N1278" s="138"/>
      <c r="O1278" s="167"/>
      <c r="P1278" s="111"/>
      <c r="Q1278" s="111"/>
      <c r="R1278" s="111"/>
      <c r="S1278" s="111"/>
      <c r="T1278" s="111"/>
      <c r="U1278" s="111"/>
      <c r="V1278" s="111"/>
      <c r="W1278" s="111"/>
      <c r="X1278" s="111"/>
      <c r="Y1278" s="111"/>
      <c r="Z1278" s="111"/>
      <c r="AA1278" s="111"/>
    </row>
    <row r="1279" spans="1:27" s="147" customFormat="1" ht="30.6" x14ac:dyDescent="0.2">
      <c r="A1279" s="9" t="s">
        <v>639</v>
      </c>
      <c r="B1279" s="9" t="s">
        <v>421</v>
      </c>
      <c r="C1279" s="13">
        <v>11587</v>
      </c>
      <c r="D1279" s="109" t="s">
        <v>714</v>
      </c>
      <c r="E1279" s="9" t="s">
        <v>9</v>
      </c>
      <c r="F1279" s="261"/>
      <c r="G1279" s="261"/>
      <c r="H1279" s="261"/>
      <c r="I1279" s="245"/>
      <c r="J1279" s="261"/>
      <c r="K1279" s="131">
        <f>J1284</f>
        <v>163</v>
      </c>
      <c r="L1279" s="106">
        <v>59.97</v>
      </c>
      <c r="M1279" s="131">
        <f>ROUND(L1279*(1+$Q$7),2)</f>
        <v>75.88</v>
      </c>
      <c r="N1279" s="133">
        <f>TRUNC(K1279*M1279,2)</f>
        <v>12368.44</v>
      </c>
      <c r="O1279" s="286"/>
      <c r="P1279" s="146"/>
      <c r="Q1279" s="146"/>
      <c r="R1279" s="146"/>
      <c r="S1279" s="146"/>
      <c r="T1279" s="146"/>
      <c r="U1279" s="146"/>
      <c r="V1279" s="146"/>
      <c r="W1279" s="146"/>
      <c r="X1279" s="146"/>
      <c r="Y1279" s="146"/>
      <c r="Z1279" s="146"/>
      <c r="AA1279" s="146"/>
    </row>
    <row r="1280" spans="1:27" s="118" customFormat="1" x14ac:dyDescent="0.2">
      <c r="A1280" s="6"/>
      <c r="B1280" s="6"/>
      <c r="C1280" s="155"/>
      <c r="D1280" s="2" t="s">
        <v>253</v>
      </c>
      <c r="E1280" s="148"/>
      <c r="F1280" s="253"/>
      <c r="G1280" s="253">
        <v>8</v>
      </c>
      <c r="H1280" s="253">
        <v>5.85</v>
      </c>
      <c r="I1280" s="246"/>
      <c r="J1280" s="253">
        <f t="shared" ref="J1280:J1283" si="131">ROUND(PRODUCT(F1280:I1280),2)</f>
        <v>46.8</v>
      </c>
      <c r="K1280" s="137"/>
      <c r="L1280" s="137"/>
      <c r="M1280" s="137"/>
      <c r="N1280" s="138"/>
      <c r="O1280" s="167"/>
      <c r="P1280" s="111"/>
      <c r="Q1280" s="111"/>
      <c r="R1280" s="111"/>
      <c r="S1280" s="111"/>
      <c r="T1280" s="111"/>
      <c r="U1280" s="111"/>
      <c r="V1280" s="111"/>
      <c r="W1280" s="111"/>
      <c r="X1280" s="111"/>
      <c r="Y1280" s="111"/>
      <c r="Z1280" s="111"/>
      <c r="AA1280" s="111"/>
    </row>
    <row r="1281" spans="1:27" s="118" customFormat="1" x14ac:dyDescent="0.2">
      <c r="A1281" s="6"/>
      <c r="B1281" s="6"/>
      <c r="C1281" s="155"/>
      <c r="D1281" s="2" t="s">
        <v>257</v>
      </c>
      <c r="E1281" s="148"/>
      <c r="F1281" s="253"/>
      <c r="G1281" s="253">
        <v>4</v>
      </c>
      <c r="H1281" s="253">
        <v>4.8</v>
      </c>
      <c r="I1281" s="246"/>
      <c r="J1281" s="253">
        <f t="shared" si="131"/>
        <v>19.2</v>
      </c>
      <c r="K1281" s="137"/>
      <c r="L1281" s="137"/>
      <c r="M1281" s="137"/>
      <c r="N1281" s="138"/>
      <c r="O1281" s="167"/>
      <c r="P1281" s="111"/>
      <c r="Q1281" s="111"/>
      <c r="R1281" s="111"/>
      <c r="S1281" s="111"/>
      <c r="T1281" s="111"/>
      <c r="U1281" s="111"/>
      <c r="V1281" s="111"/>
      <c r="W1281" s="111"/>
      <c r="X1281" s="111"/>
      <c r="Y1281" s="111"/>
      <c r="Z1281" s="111"/>
      <c r="AA1281" s="111"/>
    </row>
    <row r="1282" spans="1:27" s="118" customFormat="1" x14ac:dyDescent="0.2">
      <c r="A1282" s="6"/>
      <c r="B1282" s="6"/>
      <c r="C1282" s="155"/>
      <c r="D1282" s="2" t="s">
        <v>242</v>
      </c>
      <c r="E1282" s="148"/>
      <c r="F1282" s="253"/>
      <c r="G1282" s="253">
        <v>6</v>
      </c>
      <c r="H1282" s="253">
        <v>8</v>
      </c>
      <c r="I1282" s="246"/>
      <c r="J1282" s="253">
        <f t="shared" si="131"/>
        <v>48</v>
      </c>
      <c r="K1282" s="137"/>
      <c r="L1282" s="137"/>
      <c r="M1282" s="137"/>
      <c r="N1282" s="138"/>
      <c r="O1282" s="167"/>
      <c r="P1282" s="111"/>
      <c r="Q1282" s="111"/>
      <c r="R1282" s="111"/>
      <c r="S1282" s="111"/>
      <c r="T1282" s="111"/>
      <c r="U1282" s="111"/>
      <c r="V1282" s="111"/>
      <c r="W1282" s="111"/>
      <c r="X1282" s="111"/>
      <c r="Y1282" s="111"/>
      <c r="Z1282" s="111"/>
      <c r="AA1282" s="111"/>
    </row>
    <row r="1283" spans="1:27" s="118" customFormat="1" x14ac:dyDescent="0.2">
      <c r="A1283" s="6"/>
      <c r="B1283" s="6"/>
      <c r="C1283" s="155"/>
      <c r="D1283" s="2" t="s">
        <v>246</v>
      </c>
      <c r="E1283" s="148"/>
      <c r="F1283" s="253"/>
      <c r="G1283" s="253">
        <v>7</v>
      </c>
      <c r="H1283" s="253">
        <v>7</v>
      </c>
      <c r="I1283" s="246"/>
      <c r="J1283" s="253">
        <f t="shared" si="131"/>
        <v>49</v>
      </c>
      <c r="K1283" s="137"/>
      <c r="L1283" s="137"/>
      <c r="M1283" s="137"/>
      <c r="N1283" s="138"/>
      <c r="O1283" s="167"/>
      <c r="P1283" s="111"/>
      <c r="Q1283" s="111"/>
      <c r="R1283" s="111"/>
      <c r="S1283" s="111"/>
      <c r="T1283" s="111"/>
      <c r="U1283" s="111"/>
      <c r="V1283" s="111"/>
      <c r="W1283" s="111"/>
      <c r="X1283" s="111"/>
      <c r="Y1283" s="111"/>
      <c r="Z1283" s="111"/>
      <c r="AA1283" s="111"/>
    </row>
    <row r="1284" spans="1:27" s="118" customFormat="1" x14ac:dyDescent="0.2">
      <c r="A1284" s="6"/>
      <c r="B1284" s="6"/>
      <c r="C1284" s="156"/>
      <c r="D1284" s="108"/>
      <c r="E1284" s="148"/>
      <c r="F1284" s="253"/>
      <c r="G1284" s="253"/>
      <c r="H1284" s="253"/>
      <c r="I1284" s="246" t="str">
        <f>"Total item "&amp;A1279</f>
        <v>Total item 15.5.1</v>
      </c>
      <c r="J1284" s="261">
        <f>SUM(J1280:J1283)</f>
        <v>163</v>
      </c>
      <c r="K1284" s="137"/>
      <c r="L1284" s="137"/>
      <c r="M1284" s="137"/>
      <c r="N1284" s="138"/>
      <c r="O1284" s="167"/>
      <c r="P1284" s="111"/>
      <c r="Q1284" s="111"/>
      <c r="R1284" s="111"/>
      <c r="S1284" s="111"/>
      <c r="T1284" s="111"/>
      <c r="U1284" s="111"/>
      <c r="V1284" s="111"/>
      <c r="W1284" s="111"/>
      <c r="X1284" s="111"/>
      <c r="Y1284" s="111"/>
      <c r="Z1284" s="111"/>
      <c r="AA1284" s="111"/>
    </row>
    <row r="1285" spans="1:27" s="118" customFormat="1" x14ac:dyDescent="0.2">
      <c r="A1285" s="6"/>
      <c r="B1285" s="6"/>
      <c r="C1285" s="14"/>
      <c r="D1285" s="108"/>
      <c r="E1285" s="148"/>
      <c r="F1285" s="253"/>
      <c r="G1285" s="253"/>
      <c r="H1285" s="253"/>
      <c r="I1285" s="246"/>
      <c r="J1285" s="262"/>
      <c r="K1285" s="137"/>
      <c r="L1285" s="137"/>
      <c r="M1285" s="137"/>
      <c r="N1285" s="138"/>
      <c r="O1285" s="167"/>
      <c r="P1285" s="111"/>
      <c r="Q1285" s="111"/>
      <c r="R1285" s="111"/>
      <c r="S1285" s="111"/>
      <c r="T1285" s="111"/>
      <c r="U1285" s="111"/>
      <c r="V1285" s="111"/>
      <c r="W1285" s="111"/>
      <c r="X1285" s="111"/>
      <c r="Y1285" s="111"/>
      <c r="Z1285" s="111"/>
      <c r="AA1285" s="111"/>
    </row>
    <row r="1286" spans="1:27" s="147" customFormat="1" x14ac:dyDescent="0.2">
      <c r="A1286" s="9" t="s">
        <v>829</v>
      </c>
      <c r="B1286" s="9" t="s">
        <v>89</v>
      </c>
      <c r="C1286" s="13" t="s">
        <v>316</v>
      </c>
      <c r="D1286" s="109" t="s">
        <v>317</v>
      </c>
      <c r="E1286" s="9" t="s">
        <v>9</v>
      </c>
      <c r="F1286" s="261"/>
      <c r="G1286" s="261"/>
      <c r="H1286" s="261"/>
      <c r="I1286" s="245"/>
      <c r="J1286" s="261"/>
      <c r="K1286" s="131">
        <f>J1288</f>
        <v>224.07</v>
      </c>
      <c r="L1286" s="131">
        <f>'COMPOSICOES - SINAPI COM DESON'!G18</f>
        <v>5.79</v>
      </c>
      <c r="M1286" s="131">
        <f>ROUND(L1286*(1+$Q$7),2)</f>
        <v>7.33</v>
      </c>
      <c r="N1286" s="133">
        <f>TRUNC(K1286*M1286,2)</f>
        <v>1642.43</v>
      </c>
      <c r="O1286" s="286"/>
      <c r="P1286" s="146"/>
      <c r="Q1286" s="146"/>
      <c r="R1286" s="146"/>
      <c r="S1286" s="146"/>
      <c r="T1286" s="146"/>
      <c r="U1286" s="146"/>
      <c r="V1286" s="146"/>
      <c r="W1286" s="146"/>
      <c r="X1286" s="146"/>
      <c r="Y1286" s="146"/>
      <c r="Z1286" s="146"/>
      <c r="AA1286" s="146"/>
    </row>
    <row r="1287" spans="1:27" s="118" customFormat="1" x14ac:dyDescent="0.2">
      <c r="A1287" s="6"/>
      <c r="B1287" s="6"/>
      <c r="C1287" s="155"/>
      <c r="D1287" s="2"/>
      <c r="E1287" s="148"/>
      <c r="F1287" s="268">
        <v>0.7</v>
      </c>
      <c r="G1287" s="253">
        <v>24.25</v>
      </c>
      <c r="H1287" s="253">
        <v>13.2</v>
      </c>
      <c r="I1287" s="246"/>
      <c r="J1287" s="253">
        <f t="shared" ref="J1287" si="132">ROUND(PRODUCT(F1287:I1287),2)</f>
        <v>224.07</v>
      </c>
      <c r="K1287" s="137"/>
      <c r="L1287" s="137"/>
      <c r="M1287" s="137"/>
      <c r="N1287" s="138"/>
      <c r="O1287" s="167"/>
      <c r="P1287" s="111"/>
      <c r="Q1287" s="111"/>
      <c r="R1287" s="111"/>
      <c r="S1287" s="111"/>
      <c r="T1287" s="111"/>
      <c r="U1287" s="111"/>
      <c r="V1287" s="111"/>
      <c r="W1287" s="111"/>
      <c r="X1287" s="111"/>
      <c r="Y1287" s="111"/>
      <c r="Z1287" s="111"/>
      <c r="AA1287" s="111"/>
    </row>
    <row r="1288" spans="1:27" s="118" customFormat="1" x14ac:dyDescent="0.2">
      <c r="A1288" s="6"/>
      <c r="B1288" s="6"/>
      <c r="C1288" s="156"/>
      <c r="D1288" s="108"/>
      <c r="E1288" s="148"/>
      <c r="F1288" s="253"/>
      <c r="G1288" s="253"/>
      <c r="H1288" s="253"/>
      <c r="I1288" s="246" t="str">
        <f>"Total item "&amp;A1286</f>
        <v>Total item 15.5.2</v>
      </c>
      <c r="J1288" s="261">
        <f>SUM(J1287:J1287)</f>
        <v>224.07</v>
      </c>
      <c r="K1288" s="137"/>
      <c r="L1288" s="137"/>
      <c r="M1288" s="137"/>
      <c r="N1288" s="138"/>
      <c r="O1288" s="167"/>
      <c r="P1288" s="111"/>
      <c r="Q1288" s="111"/>
      <c r="R1288" s="111"/>
      <c r="S1288" s="111"/>
      <c r="T1288" s="111"/>
      <c r="U1288" s="111"/>
      <c r="V1288" s="111"/>
      <c r="W1288" s="111"/>
      <c r="X1288" s="111"/>
      <c r="Y1288" s="111"/>
      <c r="Z1288" s="111"/>
      <c r="AA1288" s="111"/>
    </row>
    <row r="1289" spans="1:27" s="118" customFormat="1" x14ac:dyDescent="0.2">
      <c r="A1289" s="6"/>
      <c r="B1289" s="6"/>
      <c r="C1289" s="14"/>
      <c r="D1289" s="108"/>
      <c r="E1289" s="148"/>
      <c r="F1289" s="253"/>
      <c r="G1289" s="253"/>
      <c r="H1289" s="253"/>
      <c r="I1289" s="246"/>
      <c r="J1289" s="262"/>
      <c r="K1289" s="137"/>
      <c r="L1289" s="137"/>
      <c r="M1289" s="137"/>
      <c r="N1289" s="138"/>
      <c r="O1289" s="167"/>
      <c r="P1289" s="111"/>
      <c r="Q1289" s="111"/>
      <c r="R1289" s="111"/>
      <c r="S1289" s="111"/>
      <c r="T1289" s="111"/>
      <c r="U1289" s="111"/>
      <c r="V1289" s="111"/>
      <c r="W1289" s="111"/>
      <c r="X1289" s="111"/>
      <c r="Y1289" s="111"/>
      <c r="Z1289" s="111"/>
      <c r="AA1289" s="111"/>
    </row>
    <row r="1290" spans="1:27" s="147" customFormat="1" ht="30.6" x14ac:dyDescent="0.2">
      <c r="A1290" s="9" t="s">
        <v>830</v>
      </c>
      <c r="B1290" s="9" t="s">
        <v>89</v>
      </c>
      <c r="C1290" s="13">
        <v>94201</v>
      </c>
      <c r="D1290" s="109" t="s">
        <v>425</v>
      </c>
      <c r="E1290" s="9" t="s">
        <v>9</v>
      </c>
      <c r="F1290" s="261"/>
      <c r="G1290" s="261"/>
      <c r="H1290" s="261"/>
      <c r="I1290" s="245"/>
      <c r="J1290" s="261"/>
      <c r="K1290" s="131">
        <f>J1292</f>
        <v>96.03</v>
      </c>
      <c r="L1290" s="131">
        <v>35.01</v>
      </c>
      <c r="M1290" s="131">
        <f>ROUND(L1290*(1+$Q$7),2)</f>
        <v>44.3</v>
      </c>
      <c r="N1290" s="133">
        <f>TRUNC(K1290*M1290,2)</f>
        <v>4254.12</v>
      </c>
      <c r="O1290" s="286"/>
      <c r="P1290" s="146"/>
      <c r="Q1290" s="146"/>
      <c r="R1290" s="146"/>
      <c r="S1290" s="146"/>
      <c r="T1290" s="146"/>
      <c r="U1290" s="146"/>
      <c r="V1290" s="146"/>
      <c r="W1290" s="146"/>
      <c r="X1290" s="146"/>
      <c r="Y1290" s="146"/>
      <c r="Z1290" s="146"/>
      <c r="AA1290" s="146"/>
    </row>
    <row r="1291" spans="1:27" s="118" customFormat="1" x14ac:dyDescent="0.2">
      <c r="A1291" s="6"/>
      <c r="B1291" s="6"/>
      <c r="C1291" s="7"/>
      <c r="D1291" s="3" t="s">
        <v>506</v>
      </c>
      <c r="E1291" s="148"/>
      <c r="F1291" s="268">
        <v>0.3</v>
      </c>
      <c r="G1291" s="253">
        <v>24.25</v>
      </c>
      <c r="H1291" s="253">
        <v>13.2</v>
      </c>
      <c r="I1291" s="249"/>
      <c r="J1291" s="253">
        <f>ROUND(PRODUCT(F1291:I1291),2)</f>
        <v>96.03</v>
      </c>
      <c r="K1291" s="137"/>
      <c r="L1291" s="137"/>
      <c r="M1291" s="137"/>
      <c r="N1291" s="138"/>
      <c r="O1291" s="167"/>
      <c r="P1291" s="111"/>
      <c r="Q1291" s="111"/>
      <c r="R1291" s="111"/>
      <c r="S1291" s="111"/>
      <c r="T1291" s="111"/>
      <c r="U1291" s="111"/>
      <c r="V1291" s="111"/>
      <c r="W1291" s="111"/>
      <c r="X1291" s="111"/>
      <c r="Y1291" s="111"/>
      <c r="Z1291" s="111"/>
      <c r="AA1291" s="111"/>
    </row>
    <row r="1292" spans="1:27" s="118" customFormat="1" x14ac:dyDescent="0.2">
      <c r="A1292" s="6"/>
      <c r="B1292" s="6"/>
      <c r="C1292" s="7"/>
      <c r="D1292" s="149"/>
      <c r="E1292" s="148"/>
      <c r="F1292" s="253"/>
      <c r="G1292" s="253"/>
      <c r="H1292" s="253"/>
      <c r="I1292" s="246" t="str">
        <f>"Total item "&amp;A1290</f>
        <v>Total item 15.5.3</v>
      </c>
      <c r="J1292" s="261">
        <f>SUM(J1291:J1291)</f>
        <v>96.03</v>
      </c>
      <c r="K1292" s="137"/>
      <c r="L1292" s="137"/>
      <c r="M1292" s="137"/>
      <c r="N1292" s="138"/>
      <c r="O1292" s="167"/>
      <c r="P1292" s="111"/>
      <c r="Q1292" s="111"/>
      <c r="R1292" s="111"/>
      <c r="S1292" s="111"/>
      <c r="T1292" s="111"/>
      <c r="U1292" s="111"/>
      <c r="V1292" s="111"/>
      <c r="W1292" s="111"/>
      <c r="X1292" s="111"/>
      <c r="Y1292" s="111"/>
      <c r="Z1292" s="111"/>
      <c r="AA1292" s="111"/>
    </row>
    <row r="1293" spans="1:27" s="118" customFormat="1" x14ac:dyDescent="0.2">
      <c r="A1293" s="6"/>
      <c r="B1293" s="6"/>
      <c r="C1293" s="14"/>
      <c r="D1293" s="2"/>
      <c r="E1293" s="148"/>
      <c r="F1293" s="253"/>
      <c r="G1293" s="253"/>
      <c r="H1293" s="253"/>
      <c r="I1293" s="246"/>
      <c r="J1293" s="262"/>
      <c r="K1293" s="137"/>
      <c r="L1293" s="137"/>
      <c r="M1293" s="137"/>
      <c r="N1293" s="138"/>
      <c r="O1293" s="167"/>
      <c r="P1293" s="111"/>
      <c r="Q1293" s="111"/>
      <c r="R1293" s="111"/>
      <c r="S1293" s="111"/>
      <c r="T1293" s="111"/>
      <c r="U1293" s="111"/>
      <c r="V1293" s="111"/>
      <c r="W1293" s="111"/>
      <c r="X1293" s="111"/>
      <c r="Y1293" s="111"/>
      <c r="Z1293" s="111"/>
      <c r="AA1293" s="111"/>
    </row>
    <row r="1294" spans="1:27" s="147" customFormat="1" ht="20.399999999999999" x14ac:dyDescent="0.2">
      <c r="A1294" s="9" t="s">
        <v>831</v>
      </c>
      <c r="B1294" s="9" t="s">
        <v>163</v>
      </c>
      <c r="C1294" s="13" t="s">
        <v>185</v>
      </c>
      <c r="D1294" s="113" t="s">
        <v>655</v>
      </c>
      <c r="E1294" s="9"/>
      <c r="F1294" s="261"/>
      <c r="G1294" s="261"/>
      <c r="H1294" s="261"/>
      <c r="I1294" s="245"/>
      <c r="J1294" s="261"/>
      <c r="K1294" s="131">
        <f>J1296</f>
        <v>32.01</v>
      </c>
      <c r="L1294" s="131">
        <v>94.8</v>
      </c>
      <c r="M1294" s="131">
        <f>ROUND(L1294*(1+$Q$7),2)</f>
        <v>119.95</v>
      </c>
      <c r="N1294" s="133">
        <f>TRUNC(K1294*M1294,2)</f>
        <v>3839.59</v>
      </c>
      <c r="O1294" s="286"/>
      <c r="P1294" s="146"/>
      <c r="Q1294" s="146"/>
      <c r="R1294" s="146"/>
      <c r="S1294" s="146"/>
      <c r="T1294" s="146"/>
      <c r="U1294" s="146"/>
      <c r="V1294" s="146"/>
      <c r="W1294" s="146"/>
      <c r="X1294" s="146"/>
      <c r="Y1294" s="146"/>
      <c r="Z1294" s="146"/>
      <c r="AA1294" s="146"/>
    </row>
    <row r="1295" spans="1:27" s="118" customFormat="1" x14ac:dyDescent="0.2">
      <c r="A1295" s="6"/>
      <c r="B1295" s="6"/>
      <c r="C1295" s="7"/>
      <c r="D1295" s="3" t="s">
        <v>676</v>
      </c>
      <c r="E1295" s="148"/>
      <c r="F1295" s="268">
        <v>0.1</v>
      </c>
      <c r="G1295" s="253">
        <v>24.25</v>
      </c>
      <c r="H1295" s="253">
        <v>13.2</v>
      </c>
      <c r="I1295" s="249"/>
      <c r="J1295" s="253">
        <f>ROUND(PRODUCT(F1295:I1295),2)</f>
        <v>32.01</v>
      </c>
      <c r="K1295" s="137"/>
      <c r="L1295" s="137"/>
      <c r="M1295" s="137"/>
      <c r="N1295" s="138"/>
      <c r="O1295" s="167"/>
      <c r="P1295" s="111"/>
      <c r="Q1295" s="111"/>
      <c r="R1295" s="111"/>
      <c r="S1295" s="111"/>
      <c r="T1295" s="111"/>
      <c r="U1295" s="111"/>
      <c r="V1295" s="111"/>
      <c r="W1295" s="111"/>
      <c r="X1295" s="111"/>
      <c r="Y1295" s="111"/>
      <c r="Z1295" s="111"/>
      <c r="AA1295" s="111"/>
    </row>
    <row r="1296" spans="1:27" s="118" customFormat="1" x14ac:dyDescent="0.2">
      <c r="A1296" s="6"/>
      <c r="B1296" s="6"/>
      <c r="C1296" s="7"/>
      <c r="D1296" s="149"/>
      <c r="E1296" s="148"/>
      <c r="F1296" s="253"/>
      <c r="G1296" s="253"/>
      <c r="H1296" s="253"/>
      <c r="I1296" s="246" t="str">
        <f>"Total item "&amp;A1294</f>
        <v>Total item 15.5.4</v>
      </c>
      <c r="J1296" s="261">
        <f>SUM(J1295:J1295)</f>
        <v>32.01</v>
      </c>
      <c r="K1296" s="137"/>
      <c r="L1296" s="137"/>
      <c r="M1296" s="137"/>
      <c r="N1296" s="138"/>
      <c r="O1296" s="167"/>
      <c r="P1296" s="111"/>
      <c r="Q1296" s="111"/>
      <c r="R1296" s="111"/>
      <c r="S1296" s="111"/>
      <c r="T1296" s="111"/>
      <c r="U1296" s="111"/>
      <c r="V1296" s="111"/>
      <c r="W1296" s="111"/>
      <c r="X1296" s="111"/>
      <c r="Y1296" s="111"/>
      <c r="Z1296" s="111"/>
      <c r="AA1296" s="111"/>
    </row>
    <row r="1297" spans="1:27" s="118" customFormat="1" x14ac:dyDescent="0.2">
      <c r="A1297" s="6"/>
      <c r="B1297" s="6"/>
      <c r="C1297" s="14"/>
      <c r="D1297" s="2"/>
      <c r="E1297" s="148"/>
      <c r="F1297" s="253"/>
      <c r="G1297" s="253"/>
      <c r="H1297" s="253"/>
      <c r="I1297" s="246"/>
      <c r="J1297" s="262"/>
      <c r="K1297" s="137"/>
      <c r="L1297" s="137"/>
      <c r="M1297" s="137"/>
      <c r="N1297" s="138"/>
      <c r="O1297" s="167"/>
      <c r="P1297" s="111"/>
      <c r="Q1297" s="111"/>
      <c r="R1297" s="111"/>
      <c r="S1297" s="111"/>
      <c r="T1297" s="111"/>
      <c r="U1297" s="111"/>
      <c r="V1297" s="111"/>
      <c r="W1297" s="111"/>
      <c r="X1297" s="111"/>
      <c r="Y1297" s="111"/>
      <c r="Z1297" s="111"/>
      <c r="AA1297" s="111"/>
    </row>
    <row r="1298" spans="1:27" s="145" customFormat="1" x14ac:dyDescent="0.2">
      <c r="A1298" s="140" t="s">
        <v>832</v>
      </c>
      <c r="B1298" s="140"/>
      <c r="C1298" s="141"/>
      <c r="D1298" s="112" t="s">
        <v>204</v>
      </c>
      <c r="E1298" s="140"/>
      <c r="F1298" s="260"/>
      <c r="G1298" s="260"/>
      <c r="H1298" s="260"/>
      <c r="I1298" s="248"/>
      <c r="J1298" s="260"/>
      <c r="K1298" s="142"/>
      <c r="L1298" s="142"/>
      <c r="M1298" s="142"/>
      <c r="N1298" s="143">
        <f>SUM(N1300:N1317)</f>
        <v>2902.42</v>
      </c>
      <c r="O1298" s="285"/>
      <c r="P1298" s="144"/>
      <c r="Q1298" s="144"/>
      <c r="R1298" s="144"/>
      <c r="S1298" s="144"/>
      <c r="T1298" s="144"/>
      <c r="U1298" s="144"/>
      <c r="V1298" s="144"/>
      <c r="W1298" s="144"/>
      <c r="X1298" s="144"/>
      <c r="Y1298" s="144"/>
      <c r="Z1298" s="144"/>
      <c r="AA1298" s="144"/>
    </row>
    <row r="1299" spans="1:27" s="118" customFormat="1" x14ac:dyDescent="0.2">
      <c r="A1299" s="6"/>
      <c r="B1299" s="6"/>
      <c r="C1299" s="14"/>
      <c r="D1299" s="2"/>
      <c r="E1299" s="148"/>
      <c r="F1299" s="253"/>
      <c r="G1299" s="253"/>
      <c r="H1299" s="253"/>
      <c r="I1299" s="246"/>
      <c r="J1299" s="262"/>
      <c r="K1299" s="137"/>
      <c r="L1299" s="137"/>
      <c r="M1299" s="137"/>
      <c r="N1299" s="138"/>
      <c r="O1299" s="167"/>
      <c r="P1299" s="111"/>
      <c r="Q1299" s="111"/>
      <c r="R1299" s="111"/>
      <c r="S1299" s="111"/>
      <c r="T1299" s="111"/>
      <c r="U1299" s="111"/>
      <c r="V1299" s="111"/>
      <c r="W1299" s="111"/>
      <c r="X1299" s="111"/>
      <c r="Y1299" s="111"/>
      <c r="Z1299" s="111"/>
      <c r="AA1299" s="111"/>
    </row>
    <row r="1300" spans="1:27" s="147" customFormat="1" ht="30.6" x14ac:dyDescent="0.2">
      <c r="A1300" s="9" t="s">
        <v>833</v>
      </c>
      <c r="B1300" s="9" t="s">
        <v>163</v>
      </c>
      <c r="C1300" s="13" t="s">
        <v>507</v>
      </c>
      <c r="D1300" s="109" t="s">
        <v>508</v>
      </c>
      <c r="E1300" s="9" t="s">
        <v>9</v>
      </c>
      <c r="F1300" s="261"/>
      <c r="G1300" s="261"/>
      <c r="H1300" s="261"/>
      <c r="I1300" s="245"/>
      <c r="J1300" s="261"/>
      <c r="K1300" s="131">
        <f>J1304</f>
        <v>35.130000000000003</v>
      </c>
      <c r="L1300" s="106">
        <v>37.07</v>
      </c>
      <c r="M1300" s="131">
        <f>ROUND(L1300*(1+$Q$7),2)</f>
        <v>46.9</v>
      </c>
      <c r="N1300" s="133">
        <f>TRUNC(K1300*M1300,2)</f>
        <v>1647.59</v>
      </c>
      <c r="O1300" s="286"/>
      <c r="P1300" s="146"/>
      <c r="Q1300" s="146"/>
      <c r="R1300" s="146"/>
      <c r="S1300" s="146"/>
      <c r="T1300" s="146"/>
      <c r="U1300" s="146"/>
      <c r="V1300" s="146"/>
      <c r="W1300" s="146"/>
      <c r="X1300" s="146"/>
      <c r="Y1300" s="146"/>
      <c r="Z1300" s="146"/>
      <c r="AA1300" s="146"/>
    </row>
    <row r="1301" spans="1:27" s="118" customFormat="1" x14ac:dyDescent="0.2">
      <c r="A1301" s="6"/>
      <c r="B1301" s="6"/>
      <c r="C1301" s="155"/>
      <c r="D1301" s="2" t="s">
        <v>509</v>
      </c>
      <c r="E1301" s="148"/>
      <c r="F1301" s="253"/>
      <c r="G1301" s="253">
        <v>3.95</v>
      </c>
      <c r="H1301" s="253"/>
      <c r="I1301" s="249">
        <v>3</v>
      </c>
      <c r="J1301" s="253">
        <f t="shared" ref="J1301:J1303" si="133">ROUND(PRODUCT(F1301:I1301),2)</f>
        <v>11.85</v>
      </c>
      <c r="K1301" s="137"/>
      <c r="L1301" s="137"/>
      <c r="M1301" s="137"/>
      <c r="N1301" s="138"/>
      <c r="O1301" s="167"/>
      <c r="P1301" s="111"/>
      <c r="Q1301" s="111"/>
      <c r="R1301" s="111"/>
      <c r="S1301" s="111"/>
      <c r="T1301" s="111"/>
      <c r="U1301" s="111"/>
      <c r="V1301" s="111"/>
      <c r="W1301" s="111"/>
      <c r="X1301" s="111"/>
      <c r="Y1301" s="111"/>
      <c r="Z1301" s="111"/>
      <c r="AA1301" s="111"/>
    </row>
    <row r="1302" spans="1:27" s="118" customFormat="1" x14ac:dyDescent="0.2">
      <c r="A1302" s="6"/>
      <c r="B1302" s="6"/>
      <c r="C1302" s="155"/>
      <c r="D1302" s="2"/>
      <c r="E1302" s="148"/>
      <c r="F1302" s="253"/>
      <c r="G1302" s="253">
        <v>4.8</v>
      </c>
      <c r="H1302" s="253"/>
      <c r="I1302" s="249">
        <v>3</v>
      </c>
      <c r="J1302" s="253">
        <f t="shared" si="133"/>
        <v>14.4</v>
      </c>
      <c r="K1302" s="137"/>
      <c r="L1302" s="137"/>
      <c r="M1302" s="137"/>
      <c r="N1302" s="138"/>
      <c r="O1302" s="167"/>
      <c r="P1302" s="111"/>
      <c r="Q1302" s="111"/>
      <c r="R1302" s="111"/>
      <c r="S1302" s="111"/>
      <c r="T1302" s="111"/>
      <c r="U1302" s="111"/>
      <c r="V1302" s="111"/>
      <c r="W1302" s="111"/>
      <c r="X1302" s="111"/>
      <c r="Y1302" s="111"/>
      <c r="Z1302" s="111"/>
      <c r="AA1302" s="111"/>
    </row>
    <row r="1303" spans="1:27" s="118" customFormat="1" x14ac:dyDescent="0.2">
      <c r="A1303" s="6"/>
      <c r="B1303" s="6"/>
      <c r="C1303" s="155"/>
      <c r="D1303" s="2" t="s">
        <v>687</v>
      </c>
      <c r="E1303" s="148"/>
      <c r="F1303" s="253"/>
      <c r="G1303" s="253">
        <v>2.5</v>
      </c>
      <c r="H1303" s="253">
        <v>3.55</v>
      </c>
      <c r="I1303" s="249"/>
      <c r="J1303" s="253">
        <f t="shared" si="133"/>
        <v>8.8800000000000008</v>
      </c>
      <c r="K1303" s="137"/>
      <c r="L1303" s="137"/>
      <c r="M1303" s="137"/>
      <c r="N1303" s="138"/>
      <c r="O1303" s="167"/>
      <c r="P1303" s="111"/>
      <c r="Q1303" s="111"/>
      <c r="R1303" s="111"/>
      <c r="S1303" s="111"/>
      <c r="T1303" s="111"/>
      <c r="U1303" s="111"/>
      <c r="V1303" s="111"/>
      <c r="W1303" s="111"/>
      <c r="X1303" s="111"/>
      <c r="Y1303" s="111"/>
      <c r="Z1303" s="111"/>
      <c r="AA1303" s="111"/>
    </row>
    <row r="1304" spans="1:27" s="118" customFormat="1" x14ac:dyDescent="0.2">
      <c r="A1304" s="6"/>
      <c r="B1304" s="6"/>
      <c r="C1304" s="156"/>
      <c r="D1304" s="108"/>
      <c r="E1304" s="148"/>
      <c r="F1304" s="253"/>
      <c r="G1304" s="253"/>
      <c r="H1304" s="253"/>
      <c r="I1304" s="246" t="str">
        <f>"Total item "&amp;A1300</f>
        <v>Total item 15.6.1</v>
      </c>
      <c r="J1304" s="261">
        <f>SUM(J1301:J1303)</f>
        <v>35.130000000000003</v>
      </c>
      <c r="K1304" s="137"/>
      <c r="L1304" s="137"/>
      <c r="M1304" s="137"/>
      <c r="N1304" s="138"/>
      <c r="O1304" s="167"/>
      <c r="P1304" s="111"/>
      <c r="Q1304" s="111"/>
      <c r="R1304" s="111"/>
      <c r="S1304" s="111"/>
      <c r="T1304" s="111"/>
      <c r="U1304" s="111"/>
      <c r="V1304" s="111"/>
      <c r="W1304" s="111"/>
      <c r="X1304" s="111"/>
      <c r="Y1304" s="111"/>
      <c r="Z1304" s="111"/>
      <c r="AA1304" s="111"/>
    </row>
    <row r="1305" spans="1:27" s="118" customFormat="1" x14ac:dyDescent="0.2">
      <c r="A1305" s="6"/>
      <c r="B1305" s="6"/>
      <c r="C1305" s="14"/>
      <c r="D1305" s="108"/>
      <c r="E1305" s="148"/>
      <c r="F1305" s="253"/>
      <c r="G1305" s="253"/>
      <c r="H1305" s="253"/>
      <c r="I1305" s="246"/>
      <c r="J1305" s="262"/>
      <c r="K1305" s="137"/>
      <c r="L1305" s="137"/>
      <c r="M1305" s="137"/>
      <c r="N1305" s="138"/>
      <c r="O1305" s="167"/>
      <c r="P1305" s="111"/>
      <c r="Q1305" s="111"/>
      <c r="R1305" s="111"/>
      <c r="S1305" s="111"/>
      <c r="T1305" s="111"/>
      <c r="U1305" s="111"/>
      <c r="V1305" s="111"/>
      <c r="W1305" s="111"/>
      <c r="X1305" s="111"/>
      <c r="Y1305" s="111"/>
      <c r="Z1305" s="111"/>
      <c r="AA1305" s="111"/>
    </row>
    <row r="1306" spans="1:27" s="147" customFormat="1" ht="20.399999999999999" x14ac:dyDescent="0.2">
      <c r="A1306" s="9" t="s">
        <v>834</v>
      </c>
      <c r="B1306" s="9" t="s">
        <v>163</v>
      </c>
      <c r="C1306" s="13" t="s">
        <v>186</v>
      </c>
      <c r="D1306" s="109" t="s">
        <v>510</v>
      </c>
      <c r="E1306" s="9" t="s">
        <v>9</v>
      </c>
      <c r="F1306" s="261"/>
      <c r="G1306" s="261"/>
      <c r="H1306" s="261"/>
      <c r="I1306" s="245"/>
      <c r="J1306" s="261"/>
      <c r="K1306" s="131">
        <f>J1310</f>
        <v>35.130000000000003</v>
      </c>
      <c r="L1306" s="106">
        <v>5.98</v>
      </c>
      <c r="M1306" s="131">
        <f>ROUND(L1306*(1+$Q$7),2)</f>
        <v>7.57</v>
      </c>
      <c r="N1306" s="133">
        <f>TRUNC(K1306*M1306,2)</f>
        <v>265.93</v>
      </c>
      <c r="O1306" s="286"/>
      <c r="P1306" s="146"/>
      <c r="Q1306" s="146"/>
      <c r="R1306" s="146"/>
      <c r="S1306" s="146"/>
      <c r="T1306" s="146"/>
      <c r="U1306" s="146"/>
      <c r="V1306" s="146"/>
      <c r="W1306" s="146"/>
      <c r="X1306" s="146"/>
      <c r="Y1306" s="146"/>
      <c r="Z1306" s="146"/>
      <c r="AA1306" s="146"/>
    </row>
    <row r="1307" spans="1:27" s="118" customFormat="1" x14ac:dyDescent="0.2">
      <c r="A1307" s="6"/>
      <c r="B1307" s="6"/>
      <c r="C1307" s="155"/>
      <c r="D1307" s="2" t="s">
        <v>509</v>
      </c>
      <c r="E1307" s="148"/>
      <c r="F1307" s="253"/>
      <c r="G1307" s="253">
        <v>3.95</v>
      </c>
      <c r="H1307" s="253"/>
      <c r="I1307" s="249">
        <v>3</v>
      </c>
      <c r="J1307" s="253">
        <f t="shared" ref="J1307:J1309" si="134">ROUND(PRODUCT(F1307:I1307),2)</f>
        <v>11.85</v>
      </c>
      <c r="K1307" s="137"/>
      <c r="L1307" s="137"/>
      <c r="M1307" s="137"/>
      <c r="N1307" s="138"/>
      <c r="O1307" s="167"/>
      <c r="P1307" s="111"/>
      <c r="Q1307" s="111"/>
      <c r="R1307" s="111"/>
      <c r="S1307" s="111"/>
      <c r="T1307" s="111"/>
      <c r="U1307" s="111"/>
      <c r="V1307" s="111"/>
      <c r="W1307" s="111"/>
      <c r="X1307" s="111"/>
      <c r="Y1307" s="111"/>
      <c r="Z1307" s="111"/>
      <c r="AA1307" s="111"/>
    </row>
    <row r="1308" spans="1:27" s="118" customFormat="1" x14ac:dyDescent="0.2">
      <c r="A1308" s="6"/>
      <c r="B1308" s="6"/>
      <c r="C1308" s="155"/>
      <c r="D1308" s="2"/>
      <c r="E1308" s="148"/>
      <c r="F1308" s="253"/>
      <c r="G1308" s="253">
        <v>4.8</v>
      </c>
      <c r="H1308" s="253"/>
      <c r="I1308" s="249">
        <v>3</v>
      </c>
      <c r="J1308" s="253">
        <f t="shared" si="134"/>
        <v>14.4</v>
      </c>
      <c r="K1308" s="137"/>
      <c r="L1308" s="137"/>
      <c r="M1308" s="137"/>
      <c r="N1308" s="138"/>
      <c r="O1308" s="167"/>
      <c r="P1308" s="111"/>
      <c r="Q1308" s="111"/>
      <c r="R1308" s="111"/>
      <c r="S1308" s="111"/>
      <c r="T1308" s="111"/>
      <c r="U1308" s="111"/>
      <c r="V1308" s="111"/>
      <c r="W1308" s="111"/>
      <c r="X1308" s="111"/>
      <c r="Y1308" s="111"/>
      <c r="Z1308" s="111"/>
      <c r="AA1308" s="111"/>
    </row>
    <row r="1309" spans="1:27" s="118" customFormat="1" x14ac:dyDescent="0.2">
      <c r="A1309" s="6"/>
      <c r="B1309" s="6"/>
      <c r="C1309" s="155"/>
      <c r="D1309" s="2" t="s">
        <v>687</v>
      </c>
      <c r="E1309" s="148"/>
      <c r="F1309" s="253"/>
      <c r="G1309" s="253">
        <v>2.5</v>
      </c>
      <c r="H1309" s="253">
        <v>3.55</v>
      </c>
      <c r="I1309" s="249"/>
      <c r="J1309" s="253">
        <f t="shared" si="134"/>
        <v>8.8800000000000008</v>
      </c>
      <c r="K1309" s="137"/>
      <c r="L1309" s="137"/>
      <c r="M1309" s="137"/>
      <c r="N1309" s="138"/>
      <c r="O1309" s="167"/>
      <c r="P1309" s="111"/>
      <c r="Q1309" s="111"/>
      <c r="R1309" s="111"/>
      <c r="S1309" s="111"/>
      <c r="T1309" s="111"/>
      <c r="U1309" s="111"/>
      <c r="V1309" s="111"/>
      <c r="W1309" s="111"/>
      <c r="X1309" s="111"/>
      <c r="Y1309" s="111"/>
      <c r="Z1309" s="111"/>
      <c r="AA1309" s="111"/>
    </row>
    <row r="1310" spans="1:27" s="118" customFormat="1" x14ac:dyDescent="0.2">
      <c r="A1310" s="6"/>
      <c r="B1310" s="6"/>
      <c r="C1310" s="156"/>
      <c r="D1310" s="108"/>
      <c r="E1310" s="148"/>
      <c r="F1310" s="253"/>
      <c r="G1310" s="253"/>
      <c r="H1310" s="253"/>
      <c r="I1310" s="246" t="str">
        <f>"Total item "&amp;A1306</f>
        <v>Total item 15.6.2</v>
      </c>
      <c r="J1310" s="261">
        <f>SUM(J1307:J1309)</f>
        <v>35.130000000000003</v>
      </c>
      <c r="K1310" s="137"/>
      <c r="L1310" s="137"/>
      <c r="M1310" s="137"/>
      <c r="N1310" s="138"/>
      <c r="O1310" s="167"/>
      <c r="P1310" s="111"/>
      <c r="Q1310" s="111"/>
      <c r="R1310" s="111"/>
      <c r="S1310" s="111"/>
      <c r="T1310" s="111"/>
      <c r="U1310" s="111"/>
      <c r="V1310" s="111"/>
      <c r="W1310" s="111"/>
      <c r="X1310" s="111"/>
      <c r="Y1310" s="111"/>
      <c r="Z1310" s="111"/>
      <c r="AA1310" s="111"/>
    </row>
    <row r="1311" spans="1:27" s="118" customFormat="1" x14ac:dyDescent="0.2">
      <c r="A1311" s="6"/>
      <c r="B1311" s="6"/>
      <c r="C1311" s="14"/>
      <c r="D1311" s="108"/>
      <c r="E1311" s="148"/>
      <c r="F1311" s="253"/>
      <c r="G1311" s="253"/>
      <c r="H1311" s="253"/>
      <c r="I1311" s="246"/>
      <c r="J1311" s="262"/>
      <c r="K1311" s="137"/>
      <c r="L1311" s="137"/>
      <c r="M1311" s="137"/>
      <c r="N1311" s="138"/>
      <c r="O1311" s="167"/>
      <c r="P1311" s="111"/>
      <c r="Q1311" s="111"/>
      <c r="R1311" s="111"/>
      <c r="S1311" s="111"/>
      <c r="T1311" s="111"/>
      <c r="U1311" s="111"/>
      <c r="V1311" s="111"/>
      <c r="W1311" s="111"/>
      <c r="X1311" s="111"/>
      <c r="Y1311" s="111"/>
      <c r="Z1311" s="111"/>
      <c r="AA1311" s="111"/>
    </row>
    <row r="1312" spans="1:27" s="147" customFormat="1" ht="20.399999999999999" x14ac:dyDescent="0.2">
      <c r="A1312" s="9" t="s">
        <v>835</v>
      </c>
      <c r="B1312" s="9" t="s">
        <v>163</v>
      </c>
      <c r="C1312" s="13" t="s">
        <v>173</v>
      </c>
      <c r="D1312" s="109" t="s">
        <v>511</v>
      </c>
      <c r="E1312" s="9" t="s">
        <v>9</v>
      </c>
      <c r="F1312" s="261"/>
      <c r="G1312" s="261"/>
      <c r="H1312" s="261"/>
      <c r="I1312" s="245"/>
      <c r="J1312" s="261"/>
      <c r="K1312" s="131">
        <f>J1316</f>
        <v>35.130000000000003</v>
      </c>
      <c r="L1312" s="106">
        <v>22.25</v>
      </c>
      <c r="M1312" s="131">
        <f>ROUND(L1312*(1+$Q$7),2)</f>
        <v>28.15</v>
      </c>
      <c r="N1312" s="133">
        <f>TRUNC(K1312*M1312,2)</f>
        <v>988.9</v>
      </c>
      <c r="O1312" s="286"/>
      <c r="P1312" s="146"/>
      <c r="Q1312" s="146"/>
      <c r="R1312" s="146"/>
      <c r="S1312" s="146"/>
      <c r="T1312" s="146"/>
      <c r="U1312" s="146"/>
      <c r="V1312" s="146"/>
      <c r="W1312" s="146"/>
      <c r="X1312" s="146"/>
      <c r="Y1312" s="146"/>
      <c r="Z1312" s="146"/>
      <c r="AA1312" s="146"/>
    </row>
    <row r="1313" spans="1:27" s="118" customFormat="1" x14ac:dyDescent="0.2">
      <c r="A1313" s="6"/>
      <c r="B1313" s="6"/>
      <c r="C1313" s="155"/>
      <c r="D1313" s="2" t="s">
        <v>509</v>
      </c>
      <c r="E1313" s="148"/>
      <c r="F1313" s="253"/>
      <c r="G1313" s="253">
        <v>3.95</v>
      </c>
      <c r="H1313" s="253"/>
      <c r="I1313" s="249">
        <v>3</v>
      </c>
      <c r="J1313" s="253">
        <f t="shared" ref="J1313:J1315" si="135">ROUND(PRODUCT(F1313:I1313),2)</f>
        <v>11.85</v>
      </c>
      <c r="K1313" s="137"/>
      <c r="L1313" s="137"/>
      <c r="M1313" s="137"/>
      <c r="N1313" s="138"/>
      <c r="O1313" s="167"/>
      <c r="P1313" s="111"/>
      <c r="Q1313" s="111"/>
      <c r="R1313" s="111"/>
      <c r="S1313" s="111"/>
      <c r="T1313" s="111"/>
      <c r="U1313" s="111"/>
      <c r="V1313" s="111"/>
      <c r="W1313" s="111"/>
      <c r="X1313" s="111"/>
      <c r="Y1313" s="111"/>
      <c r="Z1313" s="111"/>
      <c r="AA1313" s="111"/>
    </row>
    <row r="1314" spans="1:27" s="118" customFormat="1" x14ac:dyDescent="0.2">
      <c r="A1314" s="6"/>
      <c r="B1314" s="6"/>
      <c r="C1314" s="155"/>
      <c r="D1314" s="2"/>
      <c r="E1314" s="148"/>
      <c r="F1314" s="253"/>
      <c r="G1314" s="253">
        <v>4.8</v>
      </c>
      <c r="H1314" s="253"/>
      <c r="I1314" s="249">
        <v>3</v>
      </c>
      <c r="J1314" s="253">
        <f t="shared" si="135"/>
        <v>14.4</v>
      </c>
      <c r="K1314" s="137"/>
      <c r="L1314" s="137"/>
      <c r="M1314" s="137"/>
      <c r="N1314" s="138"/>
      <c r="O1314" s="167"/>
      <c r="P1314" s="111"/>
      <c r="Q1314" s="111"/>
      <c r="R1314" s="111"/>
      <c r="S1314" s="111"/>
      <c r="T1314" s="111"/>
      <c r="U1314" s="111"/>
      <c r="V1314" s="111"/>
      <c r="W1314" s="111"/>
      <c r="X1314" s="111"/>
      <c r="Y1314" s="111"/>
      <c r="Z1314" s="111"/>
      <c r="AA1314" s="111"/>
    </row>
    <row r="1315" spans="1:27" s="118" customFormat="1" x14ac:dyDescent="0.2">
      <c r="A1315" s="6"/>
      <c r="B1315" s="6"/>
      <c r="C1315" s="155"/>
      <c r="D1315" s="2" t="s">
        <v>687</v>
      </c>
      <c r="E1315" s="148"/>
      <c r="F1315" s="253"/>
      <c r="G1315" s="253">
        <v>2.5</v>
      </c>
      <c r="H1315" s="253">
        <v>3.55</v>
      </c>
      <c r="I1315" s="249"/>
      <c r="J1315" s="253">
        <f t="shared" si="135"/>
        <v>8.8800000000000008</v>
      </c>
      <c r="K1315" s="137"/>
      <c r="L1315" s="137"/>
      <c r="M1315" s="137"/>
      <c r="N1315" s="138"/>
      <c r="O1315" s="167"/>
      <c r="P1315" s="111"/>
      <c r="Q1315" s="111"/>
      <c r="R1315" s="111"/>
      <c r="S1315" s="111"/>
      <c r="T1315" s="111"/>
      <c r="U1315" s="111"/>
      <c r="V1315" s="111"/>
      <c r="W1315" s="111"/>
      <c r="X1315" s="111"/>
      <c r="Y1315" s="111"/>
      <c r="Z1315" s="111"/>
      <c r="AA1315" s="111"/>
    </row>
    <row r="1316" spans="1:27" s="118" customFormat="1" x14ac:dyDescent="0.2">
      <c r="A1316" s="6"/>
      <c r="B1316" s="6"/>
      <c r="C1316" s="156"/>
      <c r="D1316" s="108"/>
      <c r="E1316" s="148"/>
      <c r="F1316" s="253"/>
      <c r="G1316" s="253"/>
      <c r="H1316" s="253"/>
      <c r="I1316" s="246" t="str">
        <f>"Total item "&amp;A1312</f>
        <v>Total item 15.6.3</v>
      </c>
      <c r="J1316" s="261">
        <f>SUM(J1313:J1315)</f>
        <v>35.130000000000003</v>
      </c>
      <c r="K1316" s="137"/>
      <c r="L1316" s="137"/>
      <c r="M1316" s="137"/>
      <c r="N1316" s="138"/>
      <c r="O1316" s="167"/>
      <c r="P1316" s="111"/>
      <c r="Q1316" s="111"/>
      <c r="R1316" s="111"/>
      <c r="S1316" s="111"/>
      <c r="T1316" s="111"/>
      <c r="U1316" s="111"/>
      <c r="V1316" s="111"/>
      <c r="W1316" s="111"/>
      <c r="X1316" s="111"/>
      <c r="Y1316" s="111"/>
      <c r="Z1316" s="111"/>
      <c r="AA1316" s="111"/>
    </row>
    <row r="1317" spans="1:27" s="118" customFormat="1" x14ac:dyDescent="0.2">
      <c r="A1317" s="6"/>
      <c r="B1317" s="6"/>
      <c r="C1317" s="14"/>
      <c r="D1317" s="108"/>
      <c r="E1317" s="148"/>
      <c r="F1317" s="253"/>
      <c r="G1317" s="253"/>
      <c r="H1317" s="253"/>
      <c r="I1317" s="246"/>
      <c r="J1317" s="262"/>
      <c r="K1317" s="137"/>
      <c r="L1317" s="137"/>
      <c r="M1317" s="137"/>
      <c r="N1317" s="138"/>
      <c r="O1317" s="167"/>
      <c r="P1317" s="111"/>
      <c r="Q1317" s="111"/>
      <c r="R1317" s="111"/>
      <c r="S1317" s="111"/>
      <c r="T1317" s="111"/>
      <c r="U1317" s="111"/>
      <c r="V1317" s="111"/>
      <c r="W1317" s="111"/>
      <c r="X1317" s="111"/>
      <c r="Y1317" s="111"/>
      <c r="Z1317" s="111"/>
      <c r="AA1317" s="111"/>
    </row>
    <row r="1318" spans="1:27" s="145" customFormat="1" x14ac:dyDescent="0.2">
      <c r="A1318" s="140" t="s">
        <v>836</v>
      </c>
      <c r="B1318" s="140"/>
      <c r="C1318" s="141"/>
      <c r="D1318" s="112" t="s">
        <v>267</v>
      </c>
      <c r="E1318" s="140"/>
      <c r="F1318" s="260"/>
      <c r="G1318" s="260"/>
      <c r="H1318" s="260"/>
      <c r="I1318" s="248"/>
      <c r="J1318" s="260"/>
      <c r="K1318" s="142"/>
      <c r="L1318" s="142"/>
      <c r="M1318" s="142"/>
      <c r="N1318" s="143">
        <f>SUM(N1319:N1358)</f>
        <v>1786.29</v>
      </c>
      <c r="O1318" s="285"/>
      <c r="P1318" s="144"/>
      <c r="Q1318" s="144"/>
      <c r="R1318" s="144"/>
      <c r="S1318" s="144"/>
      <c r="T1318" s="144"/>
      <c r="U1318" s="144"/>
      <c r="V1318" s="144"/>
      <c r="W1318" s="144"/>
      <c r="X1318" s="144"/>
      <c r="Y1318" s="144"/>
      <c r="Z1318" s="144"/>
      <c r="AA1318" s="144"/>
    </row>
    <row r="1319" spans="1:27" s="118" customFormat="1" x14ac:dyDescent="0.2">
      <c r="A1319" s="6"/>
      <c r="B1319" s="6"/>
      <c r="C1319" s="14"/>
      <c r="D1319" s="108"/>
      <c r="E1319" s="148"/>
      <c r="F1319" s="253"/>
      <c r="G1319" s="253"/>
      <c r="H1319" s="253"/>
      <c r="I1319" s="246"/>
      <c r="J1319" s="262"/>
      <c r="K1319" s="137"/>
      <c r="L1319" s="137"/>
      <c r="M1319" s="137"/>
      <c r="N1319" s="138"/>
      <c r="O1319" s="167"/>
      <c r="P1319" s="111"/>
      <c r="Q1319" s="111"/>
      <c r="R1319" s="111"/>
      <c r="S1319" s="111"/>
      <c r="T1319" s="111"/>
      <c r="U1319" s="111"/>
      <c r="V1319" s="111"/>
      <c r="W1319" s="111"/>
      <c r="X1319" s="111"/>
      <c r="Y1319" s="111"/>
      <c r="Z1319" s="111"/>
      <c r="AA1319" s="111"/>
    </row>
    <row r="1320" spans="1:27" s="233" customFormat="1" x14ac:dyDescent="0.2">
      <c r="A1320" s="227" t="s">
        <v>846</v>
      </c>
      <c r="B1320" s="227"/>
      <c r="C1320" s="228"/>
      <c r="D1320" s="229" t="s">
        <v>845</v>
      </c>
      <c r="E1320" s="227"/>
      <c r="F1320" s="270"/>
      <c r="G1320" s="270"/>
      <c r="H1320" s="270"/>
      <c r="I1320" s="255"/>
      <c r="J1320" s="270"/>
      <c r="K1320" s="230"/>
      <c r="L1320" s="230"/>
      <c r="M1320" s="230"/>
      <c r="N1320" s="231"/>
      <c r="O1320" s="288"/>
      <c r="P1320" s="232"/>
      <c r="Q1320" s="232"/>
      <c r="R1320" s="232"/>
      <c r="S1320" s="232"/>
      <c r="T1320" s="232"/>
      <c r="U1320" s="232"/>
      <c r="V1320" s="232"/>
      <c r="W1320" s="232"/>
      <c r="X1320" s="232"/>
      <c r="Y1320" s="232"/>
      <c r="Z1320" s="232"/>
      <c r="AA1320" s="232"/>
    </row>
    <row r="1321" spans="1:27" s="118" customFormat="1" x14ac:dyDescent="0.2">
      <c r="A1321" s="6"/>
      <c r="B1321" s="6"/>
      <c r="C1321" s="14"/>
      <c r="D1321" s="108"/>
      <c r="E1321" s="148"/>
      <c r="F1321" s="253"/>
      <c r="G1321" s="253"/>
      <c r="H1321" s="253"/>
      <c r="I1321" s="246"/>
      <c r="J1321" s="262"/>
      <c r="K1321" s="137"/>
      <c r="L1321" s="137"/>
      <c r="M1321" s="137"/>
      <c r="N1321" s="138"/>
      <c r="O1321" s="167"/>
      <c r="P1321" s="111"/>
      <c r="Q1321" s="111"/>
      <c r="R1321" s="111"/>
      <c r="S1321" s="111"/>
      <c r="T1321" s="111"/>
      <c r="U1321" s="111"/>
      <c r="V1321" s="111"/>
      <c r="W1321" s="111"/>
      <c r="X1321" s="111"/>
      <c r="Y1321" s="111"/>
      <c r="Z1321" s="111"/>
      <c r="AA1321" s="111"/>
    </row>
    <row r="1322" spans="1:27" s="147" customFormat="1" ht="20.399999999999999" x14ac:dyDescent="0.2">
      <c r="A1322" s="9" t="s">
        <v>847</v>
      </c>
      <c r="B1322" s="9" t="s">
        <v>163</v>
      </c>
      <c r="C1322" s="13" t="s">
        <v>168</v>
      </c>
      <c r="D1322" s="113" t="s">
        <v>679</v>
      </c>
      <c r="E1322" s="9" t="s">
        <v>42</v>
      </c>
      <c r="F1322" s="261"/>
      <c r="G1322" s="261"/>
      <c r="H1322" s="261"/>
      <c r="I1322" s="245"/>
      <c r="J1322" s="261"/>
      <c r="K1322" s="131">
        <f>J1324</f>
        <v>0.47</v>
      </c>
      <c r="L1322" s="106">
        <v>18.440000000000001</v>
      </c>
      <c r="M1322" s="131">
        <f>ROUND(L1322*(1+$Q$7),2)</f>
        <v>23.33</v>
      </c>
      <c r="N1322" s="133">
        <f>TRUNC(K1322*M1322,2)</f>
        <v>10.96</v>
      </c>
      <c r="O1322" s="286"/>
      <c r="P1322" s="146"/>
      <c r="Q1322" s="146"/>
      <c r="R1322" s="146"/>
      <c r="S1322" s="146"/>
      <c r="T1322" s="146"/>
      <c r="U1322" s="146"/>
      <c r="V1322" s="146"/>
      <c r="W1322" s="146"/>
      <c r="X1322" s="146"/>
      <c r="Y1322" s="146"/>
      <c r="Z1322" s="146"/>
      <c r="AA1322" s="146"/>
    </row>
    <row r="1323" spans="1:27" s="118" customFormat="1" x14ac:dyDescent="0.2">
      <c r="A1323" s="6"/>
      <c r="B1323" s="6"/>
      <c r="C1323" s="155"/>
      <c r="D1323" s="2" t="s">
        <v>684</v>
      </c>
      <c r="E1323" s="148"/>
      <c r="F1323" s="253">
        <v>2</v>
      </c>
      <c r="G1323" s="253">
        <v>0.6</v>
      </c>
      <c r="H1323" s="253">
        <v>0.6</v>
      </c>
      <c r="I1323" s="249">
        <v>0.65</v>
      </c>
      <c r="J1323" s="253">
        <f t="shared" ref="J1323" si="136">ROUND(PRODUCT(F1323:I1323),2)</f>
        <v>0.47</v>
      </c>
      <c r="K1323" s="137"/>
      <c r="L1323" s="137"/>
      <c r="M1323" s="137"/>
      <c r="N1323" s="138"/>
      <c r="O1323" s="167"/>
      <c r="P1323" s="111"/>
      <c r="Q1323" s="111"/>
      <c r="R1323" s="111"/>
      <c r="S1323" s="111"/>
      <c r="T1323" s="111"/>
      <c r="U1323" s="111"/>
      <c r="V1323" s="111"/>
      <c r="W1323" s="111"/>
      <c r="X1323" s="111"/>
      <c r="Y1323" s="111"/>
      <c r="Z1323" s="111"/>
      <c r="AA1323" s="111"/>
    </row>
    <row r="1324" spans="1:27" s="118" customFormat="1" x14ac:dyDescent="0.2">
      <c r="A1324" s="6"/>
      <c r="B1324" s="6"/>
      <c r="C1324" s="156"/>
      <c r="D1324" s="108"/>
      <c r="E1324" s="148"/>
      <c r="F1324" s="253"/>
      <c r="G1324" s="253"/>
      <c r="H1324" s="253"/>
      <c r="I1324" s="246" t="str">
        <f>"Total item "&amp;A1322</f>
        <v>Total item 15.7.1.1</v>
      </c>
      <c r="J1324" s="261">
        <f>SUM(J1323:J1323)</f>
        <v>0.47</v>
      </c>
      <c r="K1324" s="137"/>
      <c r="L1324" s="137"/>
      <c r="M1324" s="137"/>
      <c r="N1324" s="138"/>
      <c r="O1324" s="167"/>
      <c r="P1324" s="111"/>
      <c r="Q1324" s="111"/>
      <c r="R1324" s="111"/>
      <c r="S1324" s="111"/>
      <c r="T1324" s="111"/>
      <c r="U1324" s="111"/>
      <c r="V1324" s="111"/>
      <c r="W1324" s="111"/>
      <c r="X1324" s="111"/>
      <c r="Y1324" s="111"/>
      <c r="Z1324" s="111"/>
      <c r="AA1324" s="111"/>
    </row>
    <row r="1325" spans="1:27" s="118" customFormat="1" x14ac:dyDescent="0.2">
      <c r="A1325" s="6"/>
      <c r="B1325" s="6"/>
      <c r="C1325" s="14"/>
      <c r="D1325" s="108"/>
      <c r="E1325" s="148"/>
      <c r="F1325" s="253"/>
      <c r="G1325" s="253"/>
      <c r="H1325" s="253"/>
      <c r="I1325" s="246"/>
      <c r="J1325" s="262"/>
      <c r="K1325" s="137"/>
      <c r="L1325" s="137"/>
      <c r="M1325" s="137"/>
      <c r="N1325" s="138"/>
      <c r="O1325" s="167"/>
      <c r="P1325" s="111"/>
      <c r="Q1325" s="111"/>
      <c r="R1325" s="111"/>
      <c r="S1325" s="111"/>
      <c r="T1325" s="111"/>
      <c r="U1325" s="111"/>
      <c r="V1325" s="111"/>
      <c r="W1325" s="111"/>
      <c r="X1325" s="111"/>
      <c r="Y1325" s="111"/>
      <c r="Z1325" s="111"/>
      <c r="AA1325" s="111"/>
    </row>
    <row r="1326" spans="1:27" s="147" customFormat="1" ht="30.6" x14ac:dyDescent="0.2">
      <c r="A1326" s="9" t="s">
        <v>848</v>
      </c>
      <c r="B1326" s="9" t="s">
        <v>163</v>
      </c>
      <c r="C1326" s="13" t="s">
        <v>169</v>
      </c>
      <c r="D1326" s="113" t="s">
        <v>683</v>
      </c>
      <c r="E1326" s="9" t="s">
        <v>42</v>
      </c>
      <c r="F1326" s="261"/>
      <c r="G1326" s="261" t="s">
        <v>39</v>
      </c>
      <c r="H1326" s="261"/>
      <c r="I1326" s="245"/>
      <c r="J1326" s="261"/>
      <c r="K1326" s="131">
        <f>J1330</f>
        <v>0.26</v>
      </c>
      <c r="L1326" s="106">
        <v>25.14</v>
      </c>
      <c r="M1326" s="131">
        <f>ROUND(L1326*(1+$Q$7),2)</f>
        <v>31.81</v>
      </c>
      <c r="N1326" s="133">
        <f>TRUNC(K1326*M1326,2)</f>
        <v>8.27</v>
      </c>
      <c r="O1326" s="286"/>
      <c r="P1326" s="146"/>
      <c r="Q1326" s="146"/>
      <c r="R1326" s="146"/>
      <c r="S1326" s="146"/>
      <c r="T1326" s="146"/>
      <c r="U1326" s="146"/>
      <c r="V1326" s="146"/>
      <c r="W1326" s="146"/>
      <c r="X1326" s="146"/>
      <c r="Y1326" s="146"/>
      <c r="Z1326" s="146"/>
      <c r="AA1326" s="146"/>
    </row>
    <row r="1327" spans="1:27" s="118" customFormat="1" x14ac:dyDescent="0.2">
      <c r="A1327" s="6"/>
      <c r="B1327" s="6"/>
      <c r="C1327" s="155"/>
      <c r="D1327" s="2" t="s">
        <v>945</v>
      </c>
      <c r="E1327" s="148"/>
      <c r="F1327" s="253"/>
      <c r="G1327" s="253">
        <f>J1324</f>
        <v>0.47</v>
      </c>
      <c r="H1327" s="253"/>
      <c r="I1327" s="249"/>
      <c r="J1327" s="253">
        <f t="shared" ref="J1327:J1329" si="137">ROUND(PRODUCT(F1327:I1327),2)</f>
        <v>0.47</v>
      </c>
      <c r="K1327" s="137"/>
      <c r="L1327" s="137"/>
      <c r="M1327" s="137"/>
      <c r="N1327" s="138"/>
      <c r="O1327" s="167"/>
      <c r="P1327" s="111"/>
      <c r="Q1327" s="111"/>
      <c r="R1327" s="111"/>
      <c r="S1327" s="111"/>
      <c r="T1327" s="111"/>
      <c r="U1327" s="111"/>
      <c r="V1327" s="111"/>
      <c r="W1327" s="111"/>
      <c r="X1327" s="111"/>
      <c r="Y1327" s="111"/>
      <c r="Z1327" s="111"/>
      <c r="AA1327" s="111"/>
    </row>
    <row r="1328" spans="1:27" s="118" customFormat="1" x14ac:dyDescent="0.2">
      <c r="A1328" s="6"/>
      <c r="B1328" s="6"/>
      <c r="C1328" s="155"/>
      <c r="D1328" s="2" t="s">
        <v>685</v>
      </c>
      <c r="E1328" s="148"/>
      <c r="F1328" s="253">
        <v>-1</v>
      </c>
      <c r="G1328" s="253">
        <f>J1334</f>
        <v>0.04</v>
      </c>
      <c r="H1328" s="253"/>
      <c r="I1328" s="249"/>
      <c r="J1328" s="253">
        <f t="shared" si="137"/>
        <v>-0.04</v>
      </c>
      <c r="K1328" s="137"/>
      <c r="L1328" s="137"/>
      <c r="M1328" s="137"/>
      <c r="N1328" s="138"/>
      <c r="O1328" s="167"/>
      <c r="P1328" s="111"/>
      <c r="Q1328" s="111"/>
      <c r="R1328" s="111"/>
      <c r="S1328" s="111"/>
      <c r="T1328" s="111"/>
      <c r="U1328" s="111"/>
      <c r="V1328" s="111"/>
      <c r="W1328" s="111"/>
      <c r="X1328" s="111"/>
      <c r="Y1328" s="111"/>
      <c r="Z1328" s="111"/>
      <c r="AA1328" s="111"/>
    </row>
    <row r="1329" spans="1:27" s="118" customFormat="1" x14ac:dyDescent="0.2">
      <c r="A1329" s="6"/>
      <c r="B1329" s="6"/>
      <c r="C1329" s="155"/>
      <c r="D1329" s="2" t="s">
        <v>686</v>
      </c>
      <c r="E1329" s="148"/>
      <c r="F1329" s="253">
        <v>-1</v>
      </c>
      <c r="G1329" s="253">
        <f>J1339</f>
        <v>0.17</v>
      </c>
      <c r="H1329" s="253"/>
      <c r="I1329" s="249"/>
      <c r="J1329" s="253">
        <f t="shared" si="137"/>
        <v>-0.17</v>
      </c>
      <c r="K1329" s="137"/>
      <c r="L1329" s="137"/>
      <c r="M1329" s="137"/>
      <c r="N1329" s="138"/>
      <c r="O1329" s="167"/>
      <c r="P1329" s="111"/>
      <c r="Q1329" s="111"/>
      <c r="R1329" s="111"/>
      <c r="S1329" s="111"/>
      <c r="T1329" s="111"/>
      <c r="U1329" s="111"/>
      <c r="V1329" s="111"/>
      <c r="W1329" s="111"/>
      <c r="X1329" s="111"/>
      <c r="Y1329" s="111"/>
      <c r="Z1329" s="111"/>
      <c r="AA1329" s="111"/>
    </row>
    <row r="1330" spans="1:27" s="118" customFormat="1" x14ac:dyDescent="0.2">
      <c r="A1330" s="6"/>
      <c r="B1330" s="6"/>
      <c r="C1330" s="156"/>
      <c r="D1330" s="108"/>
      <c r="E1330" s="148"/>
      <c r="F1330" s="253"/>
      <c r="G1330" s="253"/>
      <c r="H1330" s="253"/>
      <c r="I1330" s="246" t="str">
        <f>"Total item "&amp;A1326</f>
        <v>Total item 15.7.1.2</v>
      </c>
      <c r="J1330" s="261">
        <f>SUM(J1327:J1329)</f>
        <v>0.26</v>
      </c>
      <c r="K1330" s="137"/>
      <c r="L1330" s="137"/>
      <c r="M1330" s="137"/>
      <c r="N1330" s="138"/>
      <c r="O1330" s="167"/>
      <c r="P1330" s="111"/>
      <c r="Q1330" s="111"/>
      <c r="R1330" s="111"/>
      <c r="S1330" s="111"/>
      <c r="T1330" s="111"/>
      <c r="U1330" s="111"/>
      <c r="V1330" s="111"/>
      <c r="W1330" s="111"/>
      <c r="X1330" s="111"/>
      <c r="Y1330" s="111"/>
      <c r="Z1330" s="111"/>
      <c r="AA1330" s="111"/>
    </row>
    <row r="1331" spans="1:27" s="118" customFormat="1" x14ac:dyDescent="0.2">
      <c r="A1331" s="6"/>
      <c r="B1331" s="6"/>
      <c r="C1331" s="14"/>
      <c r="D1331" s="108"/>
      <c r="E1331" s="148"/>
      <c r="F1331" s="253"/>
      <c r="G1331" s="253"/>
      <c r="H1331" s="253"/>
      <c r="I1331" s="246"/>
      <c r="J1331" s="262"/>
      <c r="K1331" s="137"/>
      <c r="L1331" s="137"/>
      <c r="M1331" s="137"/>
      <c r="N1331" s="138"/>
      <c r="O1331" s="167"/>
      <c r="P1331" s="111"/>
      <c r="Q1331" s="111"/>
      <c r="R1331" s="111"/>
      <c r="S1331" s="111"/>
      <c r="T1331" s="111"/>
      <c r="U1331" s="111"/>
      <c r="V1331" s="111"/>
      <c r="W1331" s="111"/>
      <c r="X1331" s="111"/>
      <c r="Y1331" s="111"/>
      <c r="Z1331" s="111"/>
      <c r="AA1331" s="111"/>
    </row>
    <row r="1332" spans="1:27" s="147" customFormat="1" ht="20.399999999999999" x14ac:dyDescent="0.2">
      <c r="A1332" s="9" t="s">
        <v>849</v>
      </c>
      <c r="B1332" s="9" t="s">
        <v>163</v>
      </c>
      <c r="C1332" s="13" t="s">
        <v>170</v>
      </c>
      <c r="D1332" s="113" t="s">
        <v>680</v>
      </c>
      <c r="E1332" s="9" t="s">
        <v>42</v>
      </c>
      <c r="F1332" s="261"/>
      <c r="G1332" s="261"/>
      <c r="H1332" s="261"/>
      <c r="I1332" s="245"/>
      <c r="J1332" s="261"/>
      <c r="K1332" s="131">
        <f>J1334</f>
        <v>0.04</v>
      </c>
      <c r="L1332" s="106">
        <v>375.94</v>
      </c>
      <c r="M1332" s="131">
        <f>ROUND(L1332*(1+$Q$7),2)</f>
        <v>475.68</v>
      </c>
      <c r="N1332" s="133">
        <f>TRUNC(K1332*M1332,2)</f>
        <v>19.02</v>
      </c>
      <c r="O1332" s="286"/>
      <c r="P1332" s="146"/>
      <c r="Q1332" s="146"/>
      <c r="R1332" s="146"/>
      <c r="S1332" s="146"/>
      <c r="T1332" s="146"/>
      <c r="U1332" s="146"/>
      <c r="V1332" s="146"/>
      <c r="W1332" s="146"/>
      <c r="X1332" s="146"/>
      <c r="Y1332" s="146"/>
      <c r="Z1332" s="146"/>
      <c r="AA1332" s="146"/>
    </row>
    <row r="1333" spans="1:27" s="118" customFormat="1" x14ac:dyDescent="0.2">
      <c r="A1333" s="6"/>
      <c r="B1333" s="6"/>
      <c r="C1333" s="155"/>
      <c r="D1333" s="2" t="s">
        <v>165</v>
      </c>
      <c r="E1333" s="148"/>
      <c r="F1333" s="253">
        <v>2</v>
      </c>
      <c r="G1333" s="253">
        <v>0.6</v>
      </c>
      <c r="H1333" s="253">
        <v>0.6</v>
      </c>
      <c r="I1333" s="249">
        <v>0.05</v>
      </c>
      <c r="J1333" s="253">
        <f t="shared" ref="J1333" si="138">ROUND(PRODUCT(F1333:I1333),2)</f>
        <v>0.04</v>
      </c>
      <c r="K1333" s="137"/>
      <c r="L1333" s="137"/>
      <c r="M1333" s="137"/>
      <c r="N1333" s="138"/>
      <c r="O1333" s="167"/>
      <c r="P1333" s="111"/>
      <c r="Q1333" s="111"/>
      <c r="R1333" s="111"/>
      <c r="S1333" s="111"/>
      <c r="T1333" s="111"/>
      <c r="U1333" s="111"/>
      <c r="V1333" s="111"/>
      <c r="W1333" s="111"/>
      <c r="X1333" s="111"/>
      <c r="Y1333" s="111"/>
      <c r="Z1333" s="111"/>
      <c r="AA1333" s="111"/>
    </row>
    <row r="1334" spans="1:27" s="118" customFormat="1" x14ac:dyDescent="0.2">
      <c r="A1334" s="6"/>
      <c r="B1334" s="6"/>
      <c r="C1334" s="156"/>
      <c r="D1334" s="108"/>
      <c r="E1334" s="148"/>
      <c r="F1334" s="253"/>
      <c r="G1334" s="253"/>
      <c r="H1334" s="253"/>
      <c r="I1334" s="246" t="str">
        <f>"Total item "&amp;A1332</f>
        <v>Total item 15.7.1.3</v>
      </c>
      <c r="J1334" s="261">
        <f>SUM(J1333:J1333)</f>
        <v>0.04</v>
      </c>
      <c r="K1334" s="137"/>
      <c r="L1334" s="137"/>
      <c r="M1334" s="137"/>
      <c r="N1334" s="138"/>
      <c r="O1334" s="167"/>
      <c r="P1334" s="111"/>
      <c r="Q1334" s="111"/>
      <c r="R1334" s="111"/>
      <c r="S1334" s="111"/>
      <c r="T1334" s="111"/>
      <c r="U1334" s="111"/>
      <c r="V1334" s="111"/>
      <c r="W1334" s="111"/>
      <c r="X1334" s="111"/>
      <c r="Y1334" s="111"/>
      <c r="Z1334" s="111"/>
      <c r="AA1334" s="111"/>
    </row>
    <row r="1335" spans="1:27" s="118" customFormat="1" x14ac:dyDescent="0.2">
      <c r="A1335" s="6"/>
      <c r="B1335" s="6"/>
      <c r="C1335" s="14"/>
      <c r="D1335" s="108"/>
      <c r="E1335" s="148"/>
      <c r="F1335" s="253"/>
      <c r="G1335" s="253"/>
      <c r="H1335" s="253"/>
      <c r="I1335" s="246"/>
      <c r="J1335" s="262"/>
      <c r="K1335" s="137"/>
      <c r="L1335" s="137"/>
      <c r="M1335" s="137"/>
      <c r="N1335" s="138"/>
      <c r="O1335" s="167"/>
      <c r="P1335" s="111"/>
      <c r="Q1335" s="111"/>
      <c r="R1335" s="111"/>
      <c r="S1335" s="111"/>
      <c r="T1335" s="111"/>
      <c r="U1335" s="111"/>
      <c r="V1335" s="111"/>
      <c r="W1335" s="111"/>
      <c r="X1335" s="111"/>
      <c r="Y1335" s="111"/>
      <c r="Z1335" s="111"/>
      <c r="AA1335" s="111"/>
    </row>
    <row r="1336" spans="1:27" s="147" customFormat="1" ht="35.25" customHeight="1" x14ac:dyDescent="0.2">
      <c r="A1336" s="9" t="s">
        <v>850</v>
      </c>
      <c r="B1336" s="9" t="s">
        <v>163</v>
      </c>
      <c r="C1336" s="13" t="s">
        <v>171</v>
      </c>
      <c r="D1336" s="113" t="s">
        <v>678</v>
      </c>
      <c r="E1336" s="9" t="s">
        <v>42</v>
      </c>
      <c r="F1336" s="261"/>
      <c r="G1336" s="261"/>
      <c r="H1336" s="261"/>
      <c r="I1336" s="245"/>
      <c r="J1336" s="261"/>
      <c r="K1336" s="131">
        <f>J1339</f>
        <v>0.17</v>
      </c>
      <c r="L1336" s="106">
        <v>1396.31</v>
      </c>
      <c r="M1336" s="131">
        <f>ROUND(L1336*(1+$Q$7),2)</f>
        <v>1766.75</v>
      </c>
      <c r="N1336" s="133">
        <f>TRUNC(K1336*M1336,2)</f>
        <v>300.33999999999997</v>
      </c>
      <c r="O1336" s="286"/>
      <c r="P1336" s="146"/>
      <c r="Q1336" s="146"/>
      <c r="R1336" s="146"/>
      <c r="S1336" s="146"/>
      <c r="T1336" s="146"/>
      <c r="U1336" s="146"/>
      <c r="V1336" s="146"/>
      <c r="W1336" s="146"/>
      <c r="X1336" s="146"/>
      <c r="Y1336" s="146"/>
      <c r="Z1336" s="146"/>
      <c r="AA1336" s="146"/>
    </row>
    <row r="1337" spans="1:27" s="118" customFormat="1" x14ac:dyDescent="0.2">
      <c r="A1337" s="6"/>
      <c r="B1337" s="6"/>
      <c r="C1337" s="155"/>
      <c r="D1337" s="2" t="s">
        <v>681</v>
      </c>
      <c r="E1337" s="148"/>
      <c r="F1337" s="253">
        <v>2</v>
      </c>
      <c r="G1337" s="253">
        <v>0.6</v>
      </c>
      <c r="H1337" s="253">
        <v>0.6</v>
      </c>
      <c r="I1337" s="249">
        <v>0.2</v>
      </c>
      <c r="J1337" s="253">
        <f t="shared" ref="J1337:J1338" si="139">ROUND(PRODUCT(F1337:I1337),2)</f>
        <v>0.14000000000000001</v>
      </c>
      <c r="K1337" s="137"/>
      <c r="L1337" s="137"/>
      <c r="M1337" s="137"/>
      <c r="N1337" s="138"/>
      <c r="O1337" s="167"/>
      <c r="P1337" s="111"/>
      <c r="Q1337" s="111"/>
      <c r="R1337" s="111"/>
      <c r="S1337" s="111"/>
      <c r="T1337" s="111"/>
      <c r="U1337" s="111"/>
      <c r="V1337" s="111"/>
      <c r="W1337" s="111"/>
      <c r="X1337" s="111"/>
      <c r="Y1337" s="111"/>
      <c r="Z1337" s="111"/>
      <c r="AA1337" s="111"/>
    </row>
    <row r="1338" spans="1:27" s="118" customFormat="1" x14ac:dyDescent="0.2">
      <c r="A1338" s="6"/>
      <c r="B1338" s="6"/>
      <c r="C1338" s="155"/>
      <c r="D1338" s="2" t="s">
        <v>682</v>
      </c>
      <c r="E1338" s="148"/>
      <c r="F1338" s="253">
        <v>2</v>
      </c>
      <c r="G1338" s="253">
        <v>0.3</v>
      </c>
      <c r="H1338" s="253">
        <v>0.14000000000000001</v>
      </c>
      <c r="I1338" s="249">
        <v>0.4</v>
      </c>
      <c r="J1338" s="253">
        <f t="shared" si="139"/>
        <v>0.03</v>
      </c>
      <c r="K1338" s="137"/>
      <c r="L1338" s="137"/>
      <c r="M1338" s="137"/>
      <c r="N1338" s="138"/>
      <c r="O1338" s="167"/>
      <c r="P1338" s="111"/>
      <c r="Q1338" s="111"/>
      <c r="R1338" s="111"/>
      <c r="S1338" s="111"/>
      <c r="T1338" s="111"/>
      <c r="U1338" s="111"/>
      <c r="V1338" s="111"/>
      <c r="W1338" s="111"/>
      <c r="X1338" s="111"/>
      <c r="Y1338" s="111"/>
      <c r="Z1338" s="111"/>
      <c r="AA1338" s="111"/>
    </row>
    <row r="1339" spans="1:27" s="118" customFormat="1" x14ac:dyDescent="0.2">
      <c r="A1339" s="6"/>
      <c r="B1339" s="6"/>
      <c r="C1339" s="156"/>
      <c r="D1339" s="108"/>
      <c r="E1339" s="148"/>
      <c r="F1339" s="253"/>
      <c r="G1339" s="253"/>
      <c r="H1339" s="253"/>
      <c r="I1339" s="246" t="str">
        <f>"Total item "&amp;A1336</f>
        <v>Total item 15.7.1.4</v>
      </c>
      <c r="J1339" s="261">
        <f>SUM(J1337:J1338)</f>
        <v>0.17</v>
      </c>
      <c r="K1339" s="137"/>
      <c r="L1339" s="137"/>
      <c r="M1339" s="137"/>
      <c r="N1339" s="138"/>
      <c r="O1339" s="167"/>
      <c r="P1339" s="111"/>
      <c r="Q1339" s="111"/>
      <c r="R1339" s="111"/>
      <c r="S1339" s="111"/>
      <c r="T1339" s="111"/>
      <c r="U1339" s="111"/>
      <c r="V1339" s="111"/>
      <c r="W1339" s="111"/>
      <c r="X1339" s="111"/>
      <c r="Y1339" s="111"/>
      <c r="Z1339" s="111"/>
      <c r="AA1339" s="111"/>
    </row>
    <row r="1340" spans="1:27" s="118" customFormat="1" x14ac:dyDescent="0.2">
      <c r="A1340" s="6"/>
      <c r="B1340" s="6"/>
      <c r="C1340" s="14"/>
      <c r="D1340" s="108"/>
      <c r="E1340" s="148"/>
      <c r="F1340" s="253"/>
      <c r="G1340" s="253"/>
      <c r="H1340" s="253"/>
      <c r="I1340" s="246"/>
      <c r="J1340" s="262"/>
      <c r="K1340" s="137"/>
      <c r="L1340" s="137"/>
      <c r="M1340" s="137"/>
      <c r="N1340" s="138"/>
      <c r="O1340" s="167"/>
      <c r="P1340" s="111"/>
      <c r="Q1340" s="111"/>
      <c r="R1340" s="111"/>
      <c r="S1340" s="111"/>
      <c r="T1340" s="111"/>
      <c r="U1340" s="111"/>
      <c r="V1340" s="111"/>
      <c r="W1340" s="111"/>
      <c r="X1340" s="111"/>
      <c r="Y1340" s="111"/>
      <c r="Z1340" s="111"/>
      <c r="AA1340" s="111"/>
    </row>
    <row r="1341" spans="1:27" s="147" customFormat="1" ht="35.25" customHeight="1" x14ac:dyDescent="0.2">
      <c r="A1341" s="9" t="s">
        <v>851</v>
      </c>
      <c r="B1341" s="9" t="s">
        <v>163</v>
      </c>
      <c r="C1341" s="13" t="s">
        <v>172</v>
      </c>
      <c r="D1341" s="113" t="s">
        <v>677</v>
      </c>
      <c r="E1341" s="9" t="s">
        <v>42</v>
      </c>
      <c r="F1341" s="261"/>
      <c r="G1341" s="261"/>
      <c r="H1341" s="261"/>
      <c r="I1341" s="245"/>
      <c r="J1341" s="261"/>
      <c r="K1341" s="131">
        <f>J1343</f>
        <v>0.25</v>
      </c>
      <c r="L1341" s="106">
        <v>2349.37</v>
      </c>
      <c r="M1341" s="131">
        <f>ROUND(L1341*(1+$Q$7),2)</f>
        <v>2972.66</v>
      </c>
      <c r="N1341" s="133">
        <f>TRUNC(K1341*M1341,2)</f>
        <v>743.16</v>
      </c>
      <c r="O1341" s="286"/>
      <c r="P1341" s="146"/>
      <c r="Q1341" s="146"/>
      <c r="R1341" s="146"/>
      <c r="S1341" s="146"/>
      <c r="T1341" s="146"/>
      <c r="U1341" s="146"/>
      <c r="V1341" s="146"/>
      <c r="W1341" s="146"/>
      <c r="X1341" s="146"/>
      <c r="Y1341" s="146"/>
      <c r="Z1341" s="146"/>
      <c r="AA1341" s="146"/>
    </row>
    <row r="1342" spans="1:27" s="118" customFormat="1" x14ac:dyDescent="0.2">
      <c r="A1342" s="6"/>
      <c r="B1342" s="6"/>
      <c r="C1342" s="155"/>
      <c r="D1342" s="2" t="s">
        <v>165</v>
      </c>
      <c r="E1342" s="148"/>
      <c r="F1342" s="253">
        <v>2</v>
      </c>
      <c r="G1342" s="253">
        <v>0.3</v>
      </c>
      <c r="H1342" s="253">
        <v>0.14000000000000001</v>
      </c>
      <c r="I1342" s="249">
        <v>3</v>
      </c>
      <c r="J1342" s="253">
        <f t="shared" ref="J1342" si="140">ROUND(PRODUCT(F1342:I1342),2)</f>
        <v>0.25</v>
      </c>
      <c r="K1342" s="137"/>
      <c r="L1342" s="137"/>
      <c r="M1342" s="137"/>
      <c r="N1342" s="138"/>
      <c r="O1342" s="167"/>
      <c r="P1342" s="111"/>
      <c r="Q1342" s="111"/>
      <c r="R1342" s="111"/>
      <c r="S1342" s="111"/>
      <c r="T1342" s="111"/>
      <c r="U1342" s="111"/>
      <c r="V1342" s="111"/>
      <c r="W1342" s="111"/>
      <c r="X1342" s="111"/>
      <c r="Y1342" s="111"/>
      <c r="Z1342" s="111"/>
      <c r="AA1342" s="111"/>
    </row>
    <row r="1343" spans="1:27" s="118" customFormat="1" x14ac:dyDescent="0.2">
      <c r="A1343" s="6"/>
      <c r="B1343" s="6"/>
      <c r="C1343" s="156"/>
      <c r="D1343" s="108"/>
      <c r="E1343" s="148"/>
      <c r="F1343" s="253"/>
      <c r="G1343" s="253"/>
      <c r="H1343" s="253"/>
      <c r="I1343" s="246" t="str">
        <f>"Total item "&amp;A1341</f>
        <v>Total item 15.7.1.5</v>
      </c>
      <c r="J1343" s="261">
        <f>SUM(J1342:J1342)</f>
        <v>0.25</v>
      </c>
      <c r="K1343" s="137"/>
      <c r="L1343" s="137"/>
      <c r="M1343" s="137"/>
      <c r="N1343" s="138"/>
      <c r="O1343" s="167"/>
      <c r="P1343" s="111"/>
      <c r="Q1343" s="111"/>
      <c r="R1343" s="111"/>
      <c r="S1343" s="111"/>
      <c r="T1343" s="111"/>
      <c r="U1343" s="111"/>
      <c r="V1343" s="111"/>
      <c r="W1343" s="111"/>
      <c r="X1343" s="111"/>
      <c r="Y1343" s="111"/>
      <c r="Z1343" s="111"/>
      <c r="AA1343" s="111"/>
    </row>
    <row r="1344" spans="1:27" s="118" customFormat="1" x14ac:dyDescent="0.2">
      <c r="A1344" s="6"/>
      <c r="B1344" s="6"/>
      <c r="C1344" s="14"/>
      <c r="D1344" s="108"/>
      <c r="E1344" s="148"/>
      <c r="F1344" s="253"/>
      <c r="G1344" s="253"/>
      <c r="H1344" s="253"/>
      <c r="I1344" s="246"/>
      <c r="J1344" s="262"/>
      <c r="K1344" s="137"/>
      <c r="L1344" s="137"/>
      <c r="M1344" s="137"/>
      <c r="N1344" s="138"/>
      <c r="O1344" s="167"/>
      <c r="P1344" s="111"/>
      <c r="Q1344" s="111"/>
      <c r="R1344" s="111"/>
      <c r="S1344" s="111"/>
      <c r="T1344" s="111"/>
      <c r="U1344" s="111"/>
      <c r="V1344" s="111"/>
      <c r="W1344" s="111"/>
      <c r="X1344" s="111"/>
      <c r="Y1344" s="111"/>
      <c r="Z1344" s="111"/>
      <c r="AA1344" s="111"/>
    </row>
    <row r="1345" spans="1:27" s="233" customFormat="1" x14ac:dyDescent="0.2">
      <c r="A1345" s="227" t="s">
        <v>842</v>
      </c>
      <c r="B1345" s="227"/>
      <c r="C1345" s="228"/>
      <c r="D1345" s="229" t="s">
        <v>844</v>
      </c>
      <c r="E1345" s="227"/>
      <c r="F1345" s="270"/>
      <c r="G1345" s="270"/>
      <c r="H1345" s="270"/>
      <c r="I1345" s="255"/>
      <c r="J1345" s="270"/>
      <c r="K1345" s="230"/>
      <c r="L1345" s="230"/>
      <c r="M1345" s="230"/>
      <c r="N1345" s="231"/>
      <c r="O1345" s="288"/>
      <c r="P1345" s="232"/>
      <c r="Q1345" s="232"/>
      <c r="R1345" s="232"/>
      <c r="S1345" s="232"/>
      <c r="T1345" s="232"/>
      <c r="U1345" s="232"/>
      <c r="V1345" s="232"/>
      <c r="W1345" s="232"/>
      <c r="X1345" s="232"/>
      <c r="Y1345" s="232"/>
      <c r="Z1345" s="232"/>
      <c r="AA1345" s="232"/>
    </row>
    <row r="1346" spans="1:27" s="118" customFormat="1" x14ac:dyDescent="0.2">
      <c r="A1346" s="6"/>
      <c r="B1346" s="6"/>
      <c r="C1346" s="14"/>
      <c r="D1346" s="108"/>
      <c r="E1346" s="148"/>
      <c r="F1346" s="253"/>
      <c r="G1346" s="253"/>
      <c r="H1346" s="253"/>
      <c r="I1346" s="246"/>
      <c r="J1346" s="262"/>
      <c r="K1346" s="137"/>
      <c r="L1346" s="137"/>
      <c r="M1346" s="137"/>
      <c r="N1346" s="138"/>
      <c r="O1346" s="167"/>
      <c r="P1346" s="111"/>
      <c r="Q1346" s="111"/>
      <c r="R1346" s="111"/>
      <c r="S1346" s="111"/>
      <c r="T1346" s="111"/>
      <c r="U1346" s="111"/>
      <c r="V1346" s="111"/>
      <c r="W1346" s="111"/>
      <c r="X1346" s="111"/>
      <c r="Y1346" s="111"/>
      <c r="Z1346" s="111"/>
      <c r="AA1346" s="111"/>
    </row>
    <row r="1347" spans="1:27" s="147" customFormat="1" ht="20.399999999999999" x14ac:dyDescent="0.2">
      <c r="A1347" s="9" t="s">
        <v>843</v>
      </c>
      <c r="B1347" s="9" t="s">
        <v>163</v>
      </c>
      <c r="C1347" s="13" t="s">
        <v>186</v>
      </c>
      <c r="D1347" s="109" t="s">
        <v>510</v>
      </c>
      <c r="E1347" s="9" t="s">
        <v>9</v>
      </c>
      <c r="F1347" s="261"/>
      <c r="G1347" s="261"/>
      <c r="H1347" s="261"/>
      <c r="I1347" s="245"/>
      <c r="J1347" s="261"/>
      <c r="K1347" s="131">
        <f>J1351</f>
        <v>14.93</v>
      </c>
      <c r="L1347" s="106">
        <v>5.98</v>
      </c>
      <c r="M1347" s="131">
        <f>ROUND(L1347*(1+$Q$7),2)</f>
        <v>7.57</v>
      </c>
      <c r="N1347" s="133">
        <f>TRUNC(K1347*M1347,2)</f>
        <v>113.02</v>
      </c>
      <c r="O1347" s="286"/>
      <c r="P1347" s="146"/>
      <c r="Q1347" s="146"/>
      <c r="R1347" s="146"/>
      <c r="S1347" s="146"/>
      <c r="T1347" s="146"/>
      <c r="U1347" s="146"/>
      <c r="V1347" s="146"/>
      <c r="W1347" s="146"/>
      <c r="X1347" s="146"/>
      <c r="Y1347" s="146"/>
      <c r="Z1347" s="146"/>
      <c r="AA1347" s="146"/>
    </row>
    <row r="1348" spans="1:27" s="118" customFormat="1" x14ac:dyDescent="0.2">
      <c r="A1348" s="6"/>
      <c r="B1348" s="6"/>
      <c r="C1348" s="155"/>
      <c r="D1348" s="2" t="s">
        <v>688</v>
      </c>
      <c r="E1348" s="148"/>
      <c r="F1348" s="253"/>
      <c r="G1348" s="253">
        <v>2.5</v>
      </c>
      <c r="H1348" s="253">
        <v>3.55</v>
      </c>
      <c r="I1348" s="249"/>
      <c r="J1348" s="253">
        <f t="shared" ref="J1348:J1350" si="141">ROUND(PRODUCT(F1348:I1348),2)</f>
        <v>8.8800000000000008</v>
      </c>
      <c r="K1348" s="137"/>
      <c r="L1348" s="137"/>
      <c r="M1348" s="137"/>
      <c r="N1348" s="138"/>
      <c r="O1348" s="167"/>
      <c r="P1348" s="111"/>
      <c r="Q1348" s="111"/>
      <c r="R1348" s="111"/>
      <c r="S1348" s="111"/>
      <c r="T1348" s="111"/>
      <c r="U1348" s="111"/>
      <c r="V1348" s="111"/>
      <c r="W1348" s="111"/>
      <c r="X1348" s="111"/>
      <c r="Y1348" s="111"/>
      <c r="Z1348" s="111"/>
      <c r="AA1348" s="111"/>
    </row>
    <row r="1349" spans="1:27" s="118" customFormat="1" x14ac:dyDescent="0.2">
      <c r="A1349" s="6"/>
      <c r="B1349" s="6"/>
      <c r="C1349" s="155"/>
      <c r="D1349" s="2"/>
      <c r="E1349" s="148"/>
      <c r="F1349" s="253"/>
      <c r="G1349" s="253">
        <v>2.5</v>
      </c>
      <c r="H1349" s="253"/>
      <c r="I1349" s="249">
        <v>1</v>
      </c>
      <c r="J1349" s="253">
        <f t="shared" si="141"/>
        <v>2.5</v>
      </c>
      <c r="K1349" s="137"/>
      <c r="L1349" s="137"/>
      <c r="M1349" s="137"/>
      <c r="N1349" s="138"/>
      <c r="O1349" s="167"/>
      <c r="P1349" s="111"/>
      <c r="Q1349" s="111"/>
      <c r="R1349" s="111"/>
      <c r="S1349" s="111"/>
      <c r="T1349" s="111"/>
      <c r="U1349" s="111"/>
      <c r="V1349" s="111"/>
      <c r="W1349" s="111"/>
      <c r="X1349" s="111"/>
      <c r="Y1349" s="111"/>
      <c r="Z1349" s="111"/>
      <c r="AA1349" s="111"/>
    </row>
    <row r="1350" spans="1:27" s="118" customFormat="1" x14ac:dyDescent="0.2">
      <c r="A1350" s="6"/>
      <c r="B1350" s="6"/>
      <c r="C1350" s="155"/>
      <c r="D1350" s="2"/>
      <c r="E1350" s="148"/>
      <c r="F1350" s="253"/>
      <c r="G1350" s="253">
        <v>3.55</v>
      </c>
      <c r="H1350" s="253"/>
      <c r="I1350" s="249">
        <v>1</v>
      </c>
      <c r="J1350" s="253">
        <f t="shared" si="141"/>
        <v>3.55</v>
      </c>
      <c r="K1350" s="137"/>
      <c r="L1350" s="137"/>
      <c r="M1350" s="137"/>
      <c r="N1350" s="138"/>
      <c r="O1350" s="167"/>
      <c r="P1350" s="111"/>
      <c r="Q1350" s="111"/>
      <c r="R1350" s="111"/>
      <c r="S1350" s="111"/>
      <c r="T1350" s="111"/>
      <c r="U1350" s="111"/>
      <c r="V1350" s="111"/>
      <c r="W1350" s="111"/>
      <c r="X1350" s="111"/>
      <c r="Y1350" s="111"/>
      <c r="Z1350" s="111"/>
      <c r="AA1350" s="111"/>
    </row>
    <row r="1351" spans="1:27" s="118" customFormat="1" x14ac:dyDescent="0.2">
      <c r="A1351" s="6"/>
      <c r="B1351" s="6"/>
      <c r="C1351" s="156"/>
      <c r="D1351" s="108"/>
      <c r="E1351" s="148"/>
      <c r="F1351" s="253"/>
      <c r="G1351" s="253"/>
      <c r="H1351" s="253"/>
      <c r="I1351" s="246" t="str">
        <f>"Total item "&amp;A1347</f>
        <v>Total item 15.7.2.1</v>
      </c>
      <c r="J1351" s="261">
        <f>SUM(J1348:J1350)</f>
        <v>14.93</v>
      </c>
      <c r="K1351" s="137"/>
      <c r="L1351" s="137"/>
      <c r="M1351" s="137"/>
      <c r="N1351" s="138"/>
      <c r="O1351" s="167"/>
      <c r="P1351" s="111"/>
      <c r="Q1351" s="111"/>
      <c r="R1351" s="111"/>
      <c r="S1351" s="111"/>
      <c r="T1351" s="111"/>
      <c r="U1351" s="111"/>
      <c r="V1351" s="111"/>
      <c r="W1351" s="111"/>
      <c r="X1351" s="111"/>
      <c r="Y1351" s="111"/>
      <c r="Z1351" s="111"/>
      <c r="AA1351" s="111"/>
    </row>
    <row r="1352" spans="1:27" s="118" customFormat="1" x14ac:dyDescent="0.2">
      <c r="A1352" s="6"/>
      <c r="B1352" s="6"/>
      <c r="C1352" s="14"/>
      <c r="D1352" s="108"/>
      <c r="E1352" s="148"/>
      <c r="F1352" s="253"/>
      <c r="G1352" s="253"/>
      <c r="H1352" s="253"/>
      <c r="I1352" s="246"/>
      <c r="J1352" s="262"/>
      <c r="K1352" s="137"/>
      <c r="L1352" s="137"/>
      <c r="M1352" s="137"/>
      <c r="N1352" s="138"/>
      <c r="O1352" s="167"/>
      <c r="P1352" s="111"/>
      <c r="Q1352" s="111"/>
      <c r="R1352" s="111"/>
      <c r="S1352" s="111"/>
      <c r="T1352" s="111"/>
      <c r="U1352" s="111"/>
      <c r="V1352" s="111"/>
      <c r="W1352" s="111"/>
      <c r="X1352" s="111"/>
      <c r="Y1352" s="111"/>
      <c r="Z1352" s="111"/>
      <c r="AA1352" s="111"/>
    </row>
    <row r="1353" spans="1:27" s="147" customFormat="1" ht="35.25" customHeight="1" x14ac:dyDescent="0.2">
      <c r="A1353" s="9" t="s">
        <v>852</v>
      </c>
      <c r="B1353" s="9" t="s">
        <v>163</v>
      </c>
      <c r="C1353" s="13" t="s">
        <v>691</v>
      </c>
      <c r="D1353" s="113" t="s">
        <v>692</v>
      </c>
      <c r="E1353" s="9" t="s">
        <v>9</v>
      </c>
      <c r="F1353" s="261"/>
      <c r="G1353" s="261"/>
      <c r="H1353" s="261"/>
      <c r="I1353" s="245"/>
      <c r="J1353" s="261"/>
      <c r="K1353" s="131">
        <f>J1357</f>
        <v>14.93</v>
      </c>
      <c r="L1353" s="106">
        <v>31.31</v>
      </c>
      <c r="M1353" s="131">
        <f>ROUND(L1353*(1+$Q$7),2)</f>
        <v>39.619999999999997</v>
      </c>
      <c r="N1353" s="133">
        <f>TRUNC(K1353*M1353,2)</f>
        <v>591.52</v>
      </c>
      <c r="O1353" s="286"/>
      <c r="P1353" s="146"/>
      <c r="Q1353" s="146"/>
      <c r="R1353" s="146"/>
      <c r="S1353" s="146"/>
      <c r="T1353" s="146"/>
      <c r="U1353" s="146"/>
      <c r="V1353" s="146"/>
      <c r="W1353" s="146"/>
      <c r="X1353" s="146"/>
      <c r="Y1353" s="146"/>
      <c r="Z1353" s="146"/>
      <c r="AA1353" s="146"/>
    </row>
    <row r="1354" spans="1:27" s="118" customFormat="1" x14ac:dyDescent="0.2">
      <c r="A1354" s="6"/>
      <c r="B1354" s="6"/>
      <c r="C1354" s="155"/>
      <c r="D1354" s="2" t="s">
        <v>688</v>
      </c>
      <c r="E1354" s="148"/>
      <c r="F1354" s="253"/>
      <c r="G1354" s="253">
        <v>2.5</v>
      </c>
      <c r="H1354" s="253">
        <v>3.55</v>
      </c>
      <c r="I1354" s="249"/>
      <c r="J1354" s="253">
        <f t="shared" ref="J1354:J1356" si="142">ROUND(PRODUCT(F1354:I1354),2)</f>
        <v>8.8800000000000008</v>
      </c>
      <c r="K1354" s="137"/>
      <c r="L1354" s="137"/>
      <c r="M1354" s="137"/>
      <c r="N1354" s="138"/>
      <c r="O1354" s="167"/>
      <c r="P1354" s="111"/>
      <c r="Q1354" s="111"/>
      <c r="R1354" s="111"/>
      <c r="S1354" s="111"/>
      <c r="T1354" s="111"/>
      <c r="U1354" s="111"/>
      <c r="V1354" s="111"/>
      <c r="W1354" s="111"/>
      <c r="X1354" s="111"/>
      <c r="Y1354" s="111"/>
      <c r="Z1354" s="111"/>
      <c r="AA1354" s="111"/>
    </row>
    <row r="1355" spans="1:27" s="118" customFormat="1" x14ac:dyDescent="0.2">
      <c r="A1355" s="6"/>
      <c r="B1355" s="6"/>
      <c r="C1355" s="155"/>
      <c r="D1355" s="2"/>
      <c r="E1355" s="148"/>
      <c r="F1355" s="253"/>
      <c r="G1355" s="253">
        <v>2.5</v>
      </c>
      <c r="H1355" s="253"/>
      <c r="I1355" s="249">
        <v>1</v>
      </c>
      <c r="J1355" s="253">
        <f t="shared" si="142"/>
        <v>2.5</v>
      </c>
      <c r="K1355" s="137"/>
      <c r="L1355" s="137"/>
      <c r="M1355" s="137"/>
      <c r="N1355" s="138"/>
      <c r="O1355" s="167"/>
      <c r="P1355" s="111"/>
      <c r="Q1355" s="111"/>
      <c r="R1355" s="111"/>
      <c r="S1355" s="111"/>
      <c r="T1355" s="111"/>
      <c r="U1355" s="111"/>
      <c r="V1355" s="111"/>
      <c r="W1355" s="111"/>
      <c r="X1355" s="111"/>
      <c r="Y1355" s="111"/>
      <c r="Z1355" s="111"/>
      <c r="AA1355" s="111"/>
    </row>
    <row r="1356" spans="1:27" s="118" customFormat="1" x14ac:dyDescent="0.2">
      <c r="A1356" s="6"/>
      <c r="B1356" s="6"/>
      <c r="C1356" s="155"/>
      <c r="D1356" s="2"/>
      <c r="E1356" s="148"/>
      <c r="F1356" s="253"/>
      <c r="G1356" s="253">
        <v>3.55</v>
      </c>
      <c r="H1356" s="253"/>
      <c r="I1356" s="249">
        <v>1</v>
      </c>
      <c r="J1356" s="253">
        <f t="shared" si="142"/>
        <v>3.55</v>
      </c>
      <c r="K1356" s="137"/>
      <c r="L1356" s="137"/>
      <c r="M1356" s="137"/>
      <c r="N1356" s="138"/>
      <c r="O1356" s="167"/>
      <c r="P1356" s="111"/>
      <c r="Q1356" s="111"/>
      <c r="R1356" s="111"/>
      <c r="S1356" s="111"/>
      <c r="T1356" s="111"/>
      <c r="U1356" s="111"/>
      <c r="V1356" s="111"/>
      <c r="W1356" s="111"/>
      <c r="X1356" s="111"/>
      <c r="Y1356" s="111"/>
      <c r="Z1356" s="111"/>
      <c r="AA1356" s="111"/>
    </row>
    <row r="1357" spans="1:27" s="118" customFormat="1" x14ac:dyDescent="0.2">
      <c r="A1357" s="6"/>
      <c r="B1357" s="6"/>
      <c r="C1357" s="156"/>
      <c r="D1357" s="108"/>
      <c r="E1357" s="148"/>
      <c r="F1357" s="253"/>
      <c r="G1357" s="253"/>
      <c r="H1357" s="253"/>
      <c r="I1357" s="246" t="str">
        <f>"Total item "&amp;A1353</f>
        <v>Total item 15.7.2.2</v>
      </c>
      <c r="J1357" s="261">
        <f>SUM(J1354:J1356)</f>
        <v>14.93</v>
      </c>
      <c r="K1357" s="137"/>
      <c r="L1357" s="137"/>
      <c r="M1357" s="137"/>
      <c r="N1357" s="138"/>
      <c r="O1357" s="167"/>
      <c r="P1357" s="111"/>
      <c r="Q1357" s="111"/>
      <c r="R1357" s="111"/>
      <c r="S1357" s="111"/>
      <c r="T1357" s="111"/>
      <c r="U1357" s="111"/>
      <c r="V1357" s="111"/>
      <c r="W1357" s="111"/>
      <c r="X1357" s="111"/>
      <c r="Y1357" s="111"/>
      <c r="Z1357" s="111"/>
      <c r="AA1357" s="111"/>
    </row>
    <row r="1358" spans="1:27" s="118" customFormat="1" x14ac:dyDescent="0.2">
      <c r="A1358" s="6"/>
      <c r="B1358" s="6"/>
      <c r="C1358" s="14"/>
      <c r="D1358" s="108"/>
      <c r="E1358" s="148"/>
      <c r="F1358" s="253"/>
      <c r="G1358" s="253"/>
      <c r="H1358" s="253"/>
      <c r="I1358" s="246"/>
      <c r="J1358" s="262"/>
      <c r="K1358" s="137"/>
      <c r="L1358" s="137"/>
      <c r="M1358" s="137"/>
      <c r="N1358" s="138"/>
      <c r="O1358" s="167"/>
      <c r="P1358" s="111"/>
      <c r="Q1358" s="111"/>
      <c r="R1358" s="111"/>
      <c r="S1358" s="111"/>
      <c r="T1358" s="111"/>
      <c r="U1358" s="111"/>
      <c r="V1358" s="111"/>
      <c r="W1358" s="111"/>
      <c r="X1358" s="111"/>
      <c r="Y1358" s="111"/>
      <c r="Z1358" s="111"/>
      <c r="AA1358" s="111"/>
    </row>
    <row r="1359" spans="1:27" s="241" customFormat="1" ht="26.4" x14ac:dyDescent="0.25">
      <c r="A1359" s="236" t="s">
        <v>232</v>
      </c>
      <c r="B1359" s="236"/>
      <c r="C1359" s="237"/>
      <c r="D1359" s="289" t="s">
        <v>225</v>
      </c>
      <c r="E1359" s="236"/>
      <c r="F1359" s="259"/>
      <c r="G1359" s="259"/>
      <c r="H1359" s="259"/>
      <c r="I1359" s="247"/>
      <c r="J1359" s="259"/>
      <c r="K1359" s="238"/>
      <c r="L1359" s="238"/>
      <c r="M1359" s="238"/>
      <c r="N1359" s="239" t="e">
        <f>N1361+N1404+N1418+N1436+N1459+N1429</f>
        <v>#VALUE!</v>
      </c>
      <c r="O1359" s="284" t="e">
        <f>N1359/$N$2057</f>
        <v>#VALUE!</v>
      </c>
      <c r="P1359" s="240" t="s">
        <v>533</v>
      </c>
      <c r="Q1359" s="240" t="s">
        <v>533</v>
      </c>
      <c r="R1359" s="240"/>
      <c r="S1359" s="240"/>
      <c r="T1359" s="240"/>
      <c r="U1359" s="240"/>
      <c r="V1359" s="240"/>
      <c r="W1359" s="240"/>
      <c r="X1359" s="240"/>
      <c r="Y1359" s="240"/>
      <c r="Z1359" s="240"/>
      <c r="AA1359" s="240"/>
    </row>
    <row r="1360" spans="1:27" s="118" customFormat="1" x14ac:dyDescent="0.2">
      <c r="A1360" s="6"/>
      <c r="B1360" s="6"/>
      <c r="C1360" s="14"/>
      <c r="D1360" s="108"/>
      <c r="E1360" s="148"/>
      <c r="F1360" s="253"/>
      <c r="G1360" s="253"/>
      <c r="H1360" s="253"/>
      <c r="I1360" s="246"/>
      <c r="J1360" s="262"/>
      <c r="K1360" s="137"/>
      <c r="L1360" s="137"/>
      <c r="M1360" s="137"/>
      <c r="N1360" s="138"/>
      <c r="O1360" s="167"/>
      <c r="P1360" s="111"/>
      <c r="Q1360" s="111"/>
      <c r="R1360" s="111"/>
      <c r="S1360" s="111"/>
      <c r="T1360" s="111"/>
      <c r="U1360" s="111"/>
      <c r="V1360" s="111"/>
      <c r="W1360" s="111"/>
      <c r="X1360" s="111"/>
      <c r="Y1360" s="111"/>
      <c r="Z1360" s="111"/>
      <c r="AA1360" s="111"/>
    </row>
    <row r="1361" spans="1:27" s="145" customFormat="1" x14ac:dyDescent="0.2">
      <c r="A1361" s="140" t="s">
        <v>640</v>
      </c>
      <c r="B1361" s="140"/>
      <c r="C1361" s="141"/>
      <c r="D1361" s="112" t="s">
        <v>30</v>
      </c>
      <c r="E1361" s="140"/>
      <c r="F1361" s="260"/>
      <c r="G1361" s="260"/>
      <c r="H1361" s="260"/>
      <c r="I1361" s="248"/>
      <c r="J1361" s="260"/>
      <c r="K1361" s="142"/>
      <c r="L1361" s="142"/>
      <c r="M1361" s="142"/>
      <c r="N1361" s="143" t="e">
        <f>SUM(N1363:N1402)</f>
        <v>#VALUE!</v>
      </c>
      <c r="O1361" s="285"/>
      <c r="P1361" s="144"/>
      <c r="Q1361" s="144"/>
      <c r="R1361" s="144"/>
      <c r="S1361" s="144"/>
      <c r="T1361" s="144"/>
      <c r="U1361" s="144"/>
      <c r="V1361" s="144"/>
      <c r="W1361" s="144"/>
      <c r="X1361" s="144"/>
      <c r="Y1361" s="144"/>
      <c r="Z1361" s="144"/>
      <c r="AA1361" s="144"/>
    </row>
    <row r="1362" spans="1:27" s="118" customFormat="1" x14ac:dyDescent="0.2">
      <c r="A1362" s="6"/>
      <c r="B1362" s="6"/>
      <c r="C1362" s="14"/>
      <c r="D1362" s="108"/>
      <c r="E1362" s="148"/>
      <c r="F1362" s="253"/>
      <c r="G1362" s="253"/>
      <c r="H1362" s="253"/>
      <c r="I1362" s="246"/>
      <c r="J1362" s="262"/>
      <c r="K1362" s="137"/>
      <c r="L1362" s="137"/>
      <c r="M1362" s="137"/>
      <c r="N1362" s="138"/>
      <c r="O1362" s="167"/>
      <c r="P1362" s="111"/>
      <c r="Q1362" s="111"/>
      <c r="R1362" s="111"/>
      <c r="S1362" s="111"/>
      <c r="T1362" s="111"/>
      <c r="U1362" s="111"/>
      <c r="V1362" s="111"/>
      <c r="W1362" s="111"/>
      <c r="X1362" s="111"/>
      <c r="Y1362" s="111"/>
      <c r="Z1362" s="111"/>
      <c r="AA1362" s="111"/>
    </row>
    <row r="1363" spans="1:27" s="147" customFormat="1" ht="61.2" x14ac:dyDescent="0.2">
      <c r="A1363" s="9" t="s">
        <v>641</v>
      </c>
      <c r="B1363" s="9" t="s">
        <v>179</v>
      </c>
      <c r="C1363" s="13" t="s">
        <v>673</v>
      </c>
      <c r="D1363" s="113" t="s">
        <v>561</v>
      </c>
      <c r="E1363" s="9" t="s">
        <v>31</v>
      </c>
      <c r="F1363" s="261"/>
      <c r="G1363" s="261"/>
      <c r="H1363" s="261"/>
      <c r="I1363" s="245"/>
      <c r="J1363" s="261"/>
      <c r="K1363" s="131">
        <f>J1374</f>
        <v>17</v>
      </c>
      <c r="L1363" s="131" t="e">
        <f>'COMPOSICOES - SINAPI COM DESON'!G36</f>
        <v>#VALUE!</v>
      </c>
      <c r="M1363" s="131" t="e">
        <f>ROUND(L1363*(1+$Q$7),2)</f>
        <v>#VALUE!</v>
      </c>
      <c r="N1363" s="133" t="e">
        <f>TRUNC(K1363*M1363,2)</f>
        <v>#VALUE!</v>
      </c>
      <c r="O1363" s="286"/>
      <c r="P1363" s="146"/>
      <c r="Q1363" s="146"/>
      <c r="R1363" s="146"/>
      <c r="S1363" s="146"/>
      <c r="T1363" s="146"/>
      <c r="U1363" s="146"/>
      <c r="V1363" s="146"/>
      <c r="W1363" s="146"/>
      <c r="X1363" s="146"/>
      <c r="Y1363" s="146"/>
      <c r="Z1363" s="146"/>
      <c r="AA1363" s="146"/>
    </row>
    <row r="1364" spans="1:27" s="118" customFormat="1" x14ac:dyDescent="0.2">
      <c r="A1364" s="6"/>
      <c r="B1364" s="6"/>
      <c r="C1364" s="155"/>
      <c r="D1364" s="2" t="s">
        <v>253</v>
      </c>
      <c r="E1364" s="148"/>
      <c r="F1364" s="253">
        <v>2</v>
      </c>
      <c r="G1364" s="253"/>
      <c r="H1364" s="253"/>
      <c r="I1364" s="246"/>
      <c r="J1364" s="253">
        <f>ROUND(PRODUCT(F1364:I1364),2)</f>
        <v>2</v>
      </c>
      <c r="K1364" s="137"/>
      <c r="L1364" s="137"/>
      <c r="M1364" s="137"/>
      <c r="N1364" s="138"/>
      <c r="O1364" s="167"/>
      <c r="P1364" s="111"/>
      <c r="Q1364" s="111"/>
      <c r="R1364" s="111"/>
      <c r="S1364" s="111"/>
      <c r="T1364" s="111"/>
      <c r="U1364" s="111"/>
      <c r="V1364" s="111"/>
      <c r="W1364" s="111"/>
      <c r="X1364" s="111"/>
      <c r="Y1364" s="111"/>
      <c r="Z1364" s="111"/>
      <c r="AA1364" s="111"/>
    </row>
    <row r="1365" spans="1:27" s="118" customFormat="1" x14ac:dyDescent="0.2">
      <c r="A1365" s="6"/>
      <c r="B1365" s="6"/>
      <c r="C1365" s="155"/>
      <c r="D1365" s="2" t="s">
        <v>257</v>
      </c>
      <c r="E1365" s="148"/>
      <c r="F1365" s="253">
        <v>2</v>
      </c>
      <c r="G1365" s="253"/>
      <c r="H1365" s="253"/>
      <c r="I1365" s="246"/>
      <c r="J1365" s="253">
        <f t="shared" ref="J1365:J1369" si="143">ROUND(PRODUCT(F1365:I1365),2)</f>
        <v>2</v>
      </c>
      <c r="K1365" s="137"/>
      <c r="L1365" s="137"/>
      <c r="M1365" s="137"/>
      <c r="N1365" s="138"/>
      <c r="O1365" s="167"/>
      <c r="P1365" s="111"/>
      <c r="Q1365" s="111"/>
      <c r="R1365" s="111"/>
      <c r="S1365" s="111"/>
      <c r="T1365" s="111"/>
      <c r="U1365" s="111"/>
      <c r="V1365" s="111"/>
      <c r="W1365" s="111"/>
      <c r="X1365" s="111"/>
      <c r="Y1365" s="111"/>
      <c r="Z1365" s="111"/>
      <c r="AA1365" s="111"/>
    </row>
    <row r="1366" spans="1:27" s="118" customFormat="1" x14ac:dyDescent="0.2">
      <c r="A1366" s="6"/>
      <c r="B1366" s="6"/>
      <c r="C1366" s="155"/>
      <c r="D1366" s="2" t="s">
        <v>242</v>
      </c>
      <c r="E1366" s="148"/>
      <c r="F1366" s="253">
        <v>2</v>
      </c>
      <c r="G1366" s="253"/>
      <c r="H1366" s="253"/>
      <c r="I1366" s="246"/>
      <c r="J1366" s="253">
        <f t="shared" si="143"/>
        <v>2</v>
      </c>
      <c r="K1366" s="137"/>
      <c r="L1366" s="137"/>
      <c r="M1366" s="137"/>
      <c r="N1366" s="138"/>
      <c r="O1366" s="167"/>
      <c r="P1366" s="111"/>
      <c r="Q1366" s="111"/>
      <c r="R1366" s="111"/>
      <c r="S1366" s="111"/>
      <c r="T1366" s="111"/>
      <c r="U1366" s="111"/>
      <c r="V1366" s="111"/>
      <c r="W1366" s="111"/>
      <c r="X1366" s="111"/>
      <c r="Y1366" s="111"/>
      <c r="Z1366" s="111"/>
      <c r="AA1366" s="111"/>
    </row>
    <row r="1367" spans="1:27" s="118" customFormat="1" x14ac:dyDescent="0.2">
      <c r="A1367" s="6"/>
      <c r="B1367" s="6"/>
      <c r="C1367" s="155"/>
      <c r="D1367" s="2" t="s">
        <v>246</v>
      </c>
      <c r="E1367" s="148"/>
      <c r="F1367" s="253">
        <v>2</v>
      </c>
      <c r="G1367" s="253"/>
      <c r="H1367" s="253"/>
      <c r="I1367" s="246"/>
      <c r="J1367" s="253">
        <f t="shared" si="143"/>
        <v>2</v>
      </c>
      <c r="K1367" s="137"/>
      <c r="L1367" s="137"/>
      <c r="M1367" s="137"/>
      <c r="N1367" s="138"/>
      <c r="O1367" s="167"/>
      <c r="P1367" s="111"/>
      <c r="Q1367" s="111"/>
      <c r="R1367" s="111"/>
      <c r="S1367" s="111"/>
      <c r="T1367" s="111"/>
      <c r="U1367" s="111"/>
      <c r="V1367" s="111"/>
      <c r="W1367" s="111"/>
      <c r="X1367" s="111"/>
      <c r="Y1367" s="111"/>
      <c r="Z1367" s="111"/>
      <c r="AA1367" s="111"/>
    </row>
    <row r="1368" spans="1:27" s="118" customFormat="1" x14ac:dyDescent="0.2">
      <c r="A1368" s="6"/>
      <c r="B1368" s="6"/>
      <c r="C1368" s="155"/>
      <c r="D1368" s="2" t="s">
        <v>243</v>
      </c>
      <c r="E1368" s="148"/>
      <c r="F1368" s="253">
        <v>2</v>
      </c>
      <c r="G1368" s="253"/>
      <c r="H1368" s="253"/>
      <c r="I1368" s="246"/>
      <c r="J1368" s="253">
        <f t="shared" si="143"/>
        <v>2</v>
      </c>
      <c r="K1368" s="137"/>
      <c r="L1368" s="137"/>
      <c r="M1368" s="137"/>
      <c r="N1368" s="138"/>
      <c r="O1368" s="167"/>
      <c r="P1368" s="111"/>
      <c r="Q1368" s="111"/>
      <c r="R1368" s="111"/>
      <c r="S1368" s="111"/>
      <c r="T1368" s="111"/>
      <c r="U1368" s="111"/>
      <c r="V1368" s="111"/>
      <c r="W1368" s="111"/>
      <c r="X1368" s="111"/>
      <c r="Y1368" s="111"/>
      <c r="Z1368" s="111"/>
      <c r="AA1368" s="111"/>
    </row>
    <row r="1369" spans="1:27" s="118" customFormat="1" x14ac:dyDescent="0.2">
      <c r="A1369" s="6"/>
      <c r="B1369" s="6"/>
      <c r="C1369" s="155"/>
      <c r="D1369" s="2" t="s">
        <v>256</v>
      </c>
      <c r="E1369" s="148"/>
      <c r="F1369" s="253">
        <v>2</v>
      </c>
      <c r="G1369" s="253"/>
      <c r="H1369" s="253"/>
      <c r="I1369" s="246"/>
      <c r="J1369" s="253">
        <f t="shared" si="143"/>
        <v>2</v>
      </c>
      <c r="K1369" s="137"/>
      <c r="L1369" s="137"/>
      <c r="M1369" s="137"/>
      <c r="N1369" s="138"/>
      <c r="O1369" s="167"/>
      <c r="P1369" s="111"/>
      <c r="Q1369" s="111"/>
      <c r="R1369" s="111"/>
      <c r="S1369" s="111"/>
      <c r="T1369" s="111"/>
      <c r="U1369" s="111"/>
      <c r="V1369" s="111"/>
      <c r="W1369" s="111"/>
      <c r="X1369" s="111"/>
      <c r="Y1369" s="111"/>
      <c r="Z1369" s="111"/>
      <c r="AA1369" s="111"/>
    </row>
    <row r="1370" spans="1:27" s="118" customFormat="1" x14ac:dyDescent="0.2">
      <c r="A1370" s="6"/>
      <c r="B1370" s="6"/>
      <c r="C1370" s="155"/>
      <c r="D1370" s="2" t="s">
        <v>266</v>
      </c>
      <c r="E1370" s="148"/>
      <c r="F1370" s="253">
        <v>2</v>
      </c>
      <c r="G1370" s="253"/>
      <c r="H1370" s="253"/>
      <c r="I1370" s="246"/>
      <c r="J1370" s="253">
        <f t="shared" ref="J1370:J1373" si="144">ROUND(PRODUCT(F1370:I1370),2)</f>
        <v>2</v>
      </c>
      <c r="K1370" s="137"/>
      <c r="L1370" s="137"/>
      <c r="M1370" s="137"/>
      <c r="N1370" s="138"/>
      <c r="O1370" s="167"/>
      <c r="P1370" s="111"/>
      <c r="Q1370" s="111"/>
      <c r="R1370" s="111"/>
      <c r="S1370" s="111"/>
      <c r="T1370" s="111"/>
      <c r="U1370" s="111"/>
      <c r="V1370" s="111"/>
      <c r="W1370" s="111"/>
      <c r="X1370" s="111"/>
      <c r="Y1370" s="111"/>
      <c r="Z1370" s="111"/>
      <c r="AA1370" s="111"/>
    </row>
    <row r="1371" spans="1:27" s="118" customFormat="1" x14ac:dyDescent="0.2">
      <c r="A1371" s="6"/>
      <c r="B1371" s="6"/>
      <c r="C1371" s="155"/>
      <c r="D1371" s="2" t="s">
        <v>331</v>
      </c>
      <c r="E1371" s="148"/>
      <c r="F1371" s="253">
        <v>1</v>
      </c>
      <c r="G1371" s="253"/>
      <c r="H1371" s="253"/>
      <c r="I1371" s="246"/>
      <c r="J1371" s="253">
        <f t="shared" si="144"/>
        <v>1</v>
      </c>
      <c r="K1371" s="137"/>
      <c r="L1371" s="137"/>
      <c r="M1371" s="137"/>
      <c r="N1371" s="138"/>
      <c r="O1371" s="167"/>
      <c r="P1371" s="111"/>
      <c r="Q1371" s="111"/>
      <c r="R1371" s="111"/>
      <c r="S1371" s="111"/>
      <c r="T1371" s="111"/>
      <c r="U1371" s="111"/>
      <c r="V1371" s="111"/>
      <c r="W1371" s="111"/>
      <c r="X1371" s="111"/>
      <c r="Y1371" s="111"/>
      <c r="Z1371" s="111"/>
      <c r="AA1371" s="111"/>
    </row>
    <row r="1372" spans="1:27" s="118" customFormat="1" x14ac:dyDescent="0.2">
      <c r="A1372" s="6"/>
      <c r="B1372" s="6"/>
      <c r="C1372" s="155"/>
      <c r="D1372" s="2" t="s">
        <v>305</v>
      </c>
      <c r="E1372" s="148"/>
      <c r="F1372" s="253">
        <v>1</v>
      </c>
      <c r="G1372" s="253"/>
      <c r="H1372" s="253"/>
      <c r="I1372" s="246"/>
      <c r="J1372" s="253">
        <f t="shared" si="144"/>
        <v>1</v>
      </c>
      <c r="K1372" s="137"/>
      <c r="L1372" s="137"/>
      <c r="M1372" s="137"/>
      <c r="N1372" s="138"/>
      <c r="O1372" s="167"/>
      <c r="P1372" s="111"/>
      <c r="Q1372" s="111"/>
      <c r="R1372" s="111"/>
      <c r="S1372" s="111"/>
      <c r="T1372" s="111"/>
      <c r="U1372" s="111"/>
      <c r="V1372" s="111"/>
      <c r="W1372" s="111"/>
      <c r="X1372" s="111"/>
      <c r="Y1372" s="111"/>
      <c r="Z1372" s="111"/>
      <c r="AA1372" s="111"/>
    </row>
    <row r="1373" spans="1:27" s="118" customFormat="1" x14ac:dyDescent="0.2">
      <c r="A1373" s="6"/>
      <c r="B1373" s="6"/>
      <c r="C1373" s="155"/>
      <c r="D1373" s="2" t="s">
        <v>382</v>
      </c>
      <c r="E1373" s="148"/>
      <c r="F1373" s="253">
        <v>1</v>
      </c>
      <c r="G1373" s="253"/>
      <c r="H1373" s="253"/>
      <c r="I1373" s="246"/>
      <c r="J1373" s="253">
        <f t="shared" si="144"/>
        <v>1</v>
      </c>
      <c r="K1373" s="137"/>
      <c r="L1373" s="137"/>
      <c r="M1373" s="137"/>
      <c r="N1373" s="138"/>
      <c r="O1373" s="167"/>
      <c r="P1373" s="111"/>
      <c r="Q1373" s="111"/>
      <c r="R1373" s="111"/>
      <c r="S1373" s="111"/>
      <c r="T1373" s="111"/>
      <c r="U1373" s="111"/>
      <c r="V1373" s="111"/>
      <c r="W1373" s="111"/>
      <c r="X1373" s="111"/>
      <c r="Y1373" s="111"/>
      <c r="Z1373" s="111"/>
      <c r="AA1373" s="111"/>
    </row>
    <row r="1374" spans="1:27" s="118" customFormat="1" x14ac:dyDescent="0.2">
      <c r="A1374" s="6"/>
      <c r="B1374" s="6"/>
      <c r="C1374" s="156"/>
      <c r="D1374" s="108"/>
      <c r="E1374" s="148"/>
      <c r="F1374" s="253"/>
      <c r="G1374" s="253"/>
      <c r="H1374" s="253"/>
      <c r="I1374" s="246" t="str">
        <f>"Total item "&amp;A1363</f>
        <v>Total item 16.1.1</v>
      </c>
      <c r="J1374" s="261">
        <f>SUM(J1364:J1373)</f>
        <v>17</v>
      </c>
      <c r="K1374" s="137"/>
      <c r="L1374" s="137"/>
      <c r="M1374" s="137"/>
      <c r="N1374" s="138"/>
      <c r="O1374" s="167"/>
      <c r="P1374" s="111"/>
      <c r="Q1374" s="111"/>
      <c r="R1374" s="111"/>
      <c r="S1374" s="111"/>
      <c r="T1374" s="111"/>
      <c r="U1374" s="111"/>
      <c r="V1374" s="111"/>
      <c r="W1374" s="111"/>
      <c r="X1374" s="111"/>
      <c r="Y1374" s="111"/>
      <c r="Z1374" s="111"/>
      <c r="AA1374" s="111"/>
    </row>
    <row r="1375" spans="1:27" s="139" customFormat="1" x14ac:dyDescent="0.2">
      <c r="A1375" s="6"/>
      <c r="B1375" s="6"/>
      <c r="C1375" s="7"/>
      <c r="D1375" s="116"/>
      <c r="E1375" s="6"/>
      <c r="F1375" s="258"/>
      <c r="G1375" s="258"/>
      <c r="H1375" s="258"/>
      <c r="I1375" s="246"/>
      <c r="J1375" s="258"/>
      <c r="K1375" s="137"/>
      <c r="L1375" s="137"/>
      <c r="M1375" s="137"/>
      <c r="N1375" s="138"/>
      <c r="O1375" s="283"/>
      <c r="P1375" s="120"/>
      <c r="Q1375" s="120"/>
      <c r="R1375" s="120"/>
      <c r="S1375" s="120"/>
      <c r="T1375" s="120"/>
      <c r="U1375" s="120"/>
      <c r="V1375" s="120"/>
      <c r="W1375" s="120"/>
      <c r="X1375" s="120"/>
      <c r="Y1375" s="120"/>
      <c r="Z1375" s="120"/>
      <c r="AA1375" s="120"/>
    </row>
    <row r="1376" spans="1:27" s="147" customFormat="1" ht="51" x14ac:dyDescent="0.2">
      <c r="A1376" s="9" t="s">
        <v>642</v>
      </c>
      <c r="B1376" s="9" t="s">
        <v>163</v>
      </c>
      <c r="C1376" s="13" t="s">
        <v>244</v>
      </c>
      <c r="D1376" s="113" t="s">
        <v>245</v>
      </c>
      <c r="E1376" s="9" t="s">
        <v>31</v>
      </c>
      <c r="F1376" s="261"/>
      <c r="G1376" s="261"/>
      <c r="H1376" s="261"/>
      <c r="I1376" s="245"/>
      <c r="J1376" s="261"/>
      <c r="K1376" s="131">
        <f>J1387</f>
        <v>10</v>
      </c>
      <c r="L1376" s="131">
        <v>116.08</v>
      </c>
      <c r="M1376" s="131">
        <f>ROUND(L1376*(1+$Q$7),2)</f>
        <v>146.88</v>
      </c>
      <c r="N1376" s="133">
        <f>TRUNC(K1376*M1376,2)</f>
        <v>1468.8</v>
      </c>
      <c r="O1376" s="286"/>
      <c r="P1376" s="146"/>
      <c r="Q1376" s="146"/>
      <c r="R1376" s="146"/>
      <c r="S1376" s="146"/>
      <c r="T1376" s="146"/>
      <c r="U1376" s="146"/>
      <c r="V1376" s="146"/>
      <c r="W1376" s="146"/>
      <c r="X1376" s="146"/>
      <c r="Y1376" s="146"/>
      <c r="Z1376" s="146"/>
      <c r="AA1376" s="146"/>
    </row>
    <row r="1377" spans="1:27" s="118" customFormat="1" x14ac:dyDescent="0.2">
      <c r="A1377" s="6"/>
      <c r="B1377" s="6"/>
      <c r="C1377" s="155"/>
      <c r="D1377" s="2" t="s">
        <v>253</v>
      </c>
      <c r="E1377" s="148"/>
      <c r="F1377" s="253">
        <v>1</v>
      </c>
      <c r="G1377" s="253"/>
      <c r="H1377" s="253"/>
      <c r="I1377" s="246"/>
      <c r="J1377" s="253">
        <f>ROUND(PRODUCT(F1377:I1377),2)</f>
        <v>1</v>
      </c>
      <c r="K1377" s="137"/>
      <c r="L1377" s="137"/>
      <c r="M1377" s="137"/>
      <c r="N1377" s="138"/>
      <c r="O1377" s="167"/>
      <c r="P1377" s="111"/>
      <c r="Q1377" s="111"/>
      <c r="R1377" s="111"/>
      <c r="S1377" s="111"/>
      <c r="T1377" s="111"/>
      <c r="U1377" s="111"/>
      <c r="V1377" s="111"/>
      <c r="W1377" s="111"/>
      <c r="X1377" s="111"/>
      <c r="Y1377" s="111"/>
      <c r="Z1377" s="111"/>
      <c r="AA1377" s="111"/>
    </row>
    <row r="1378" spans="1:27" s="118" customFormat="1" x14ac:dyDescent="0.2">
      <c r="A1378" s="6"/>
      <c r="B1378" s="6"/>
      <c r="C1378" s="155"/>
      <c r="D1378" s="2" t="s">
        <v>257</v>
      </c>
      <c r="E1378" s="148"/>
      <c r="F1378" s="253">
        <v>1</v>
      </c>
      <c r="G1378" s="253"/>
      <c r="H1378" s="253"/>
      <c r="I1378" s="246"/>
      <c r="J1378" s="253">
        <f t="shared" ref="J1378:J1381" si="145">ROUND(PRODUCT(F1378:I1378),2)</f>
        <v>1</v>
      </c>
      <c r="K1378" s="137"/>
      <c r="L1378" s="137"/>
      <c r="M1378" s="137"/>
      <c r="N1378" s="138"/>
      <c r="O1378" s="167"/>
      <c r="P1378" s="111"/>
      <c r="Q1378" s="111"/>
      <c r="R1378" s="111"/>
      <c r="S1378" s="111"/>
      <c r="T1378" s="111"/>
      <c r="U1378" s="111"/>
      <c r="V1378" s="111"/>
      <c r="W1378" s="111"/>
      <c r="X1378" s="111"/>
      <c r="Y1378" s="111"/>
      <c r="Z1378" s="111"/>
      <c r="AA1378" s="111"/>
    </row>
    <row r="1379" spans="1:27" s="118" customFormat="1" x14ac:dyDescent="0.2">
      <c r="A1379" s="6"/>
      <c r="B1379" s="6"/>
      <c r="C1379" s="155"/>
      <c r="D1379" s="2" t="s">
        <v>242</v>
      </c>
      <c r="E1379" s="148"/>
      <c r="F1379" s="253">
        <v>1</v>
      </c>
      <c r="G1379" s="253"/>
      <c r="H1379" s="253"/>
      <c r="I1379" s="246"/>
      <c r="J1379" s="253">
        <f t="shared" si="145"/>
        <v>1</v>
      </c>
      <c r="K1379" s="137"/>
      <c r="L1379" s="137"/>
      <c r="M1379" s="137"/>
      <c r="N1379" s="138"/>
      <c r="O1379" s="167"/>
      <c r="P1379" s="111"/>
      <c r="Q1379" s="111"/>
      <c r="R1379" s="111"/>
      <c r="S1379" s="111"/>
      <c r="T1379" s="111"/>
      <c r="U1379" s="111"/>
      <c r="V1379" s="111"/>
      <c r="W1379" s="111"/>
      <c r="X1379" s="111"/>
      <c r="Y1379" s="111"/>
      <c r="Z1379" s="111"/>
      <c r="AA1379" s="111"/>
    </row>
    <row r="1380" spans="1:27" s="118" customFormat="1" x14ac:dyDescent="0.2">
      <c r="A1380" s="6"/>
      <c r="B1380" s="6"/>
      <c r="C1380" s="155"/>
      <c r="D1380" s="2" t="s">
        <v>246</v>
      </c>
      <c r="E1380" s="148"/>
      <c r="F1380" s="253">
        <v>1</v>
      </c>
      <c r="G1380" s="253"/>
      <c r="H1380" s="253"/>
      <c r="I1380" s="246"/>
      <c r="J1380" s="253">
        <f t="shared" si="145"/>
        <v>1</v>
      </c>
      <c r="K1380" s="137"/>
      <c r="L1380" s="137"/>
      <c r="M1380" s="137"/>
      <c r="N1380" s="138"/>
      <c r="O1380" s="167"/>
      <c r="P1380" s="111"/>
      <c r="Q1380" s="111"/>
      <c r="R1380" s="111"/>
      <c r="S1380" s="111"/>
      <c r="T1380" s="111"/>
      <c r="U1380" s="111"/>
      <c r="V1380" s="111"/>
      <c r="W1380" s="111"/>
      <c r="X1380" s="111"/>
      <c r="Y1380" s="111"/>
      <c r="Z1380" s="111"/>
      <c r="AA1380" s="111"/>
    </row>
    <row r="1381" spans="1:27" s="118" customFormat="1" x14ac:dyDescent="0.2">
      <c r="A1381" s="6"/>
      <c r="B1381" s="6"/>
      <c r="C1381" s="155"/>
      <c r="D1381" s="2" t="s">
        <v>243</v>
      </c>
      <c r="E1381" s="148"/>
      <c r="F1381" s="253">
        <v>1</v>
      </c>
      <c r="G1381" s="253"/>
      <c r="H1381" s="253"/>
      <c r="I1381" s="246"/>
      <c r="J1381" s="253">
        <f t="shared" si="145"/>
        <v>1</v>
      </c>
      <c r="K1381" s="137"/>
      <c r="L1381" s="137"/>
      <c r="M1381" s="137"/>
      <c r="N1381" s="138"/>
      <c r="O1381" s="167"/>
      <c r="P1381" s="111"/>
      <c r="Q1381" s="111"/>
      <c r="R1381" s="111"/>
      <c r="S1381" s="111"/>
      <c r="T1381" s="111"/>
      <c r="U1381" s="111"/>
      <c r="V1381" s="111"/>
      <c r="W1381" s="111"/>
      <c r="X1381" s="111"/>
      <c r="Y1381" s="111"/>
      <c r="Z1381" s="111"/>
      <c r="AA1381" s="111"/>
    </row>
    <row r="1382" spans="1:27" s="118" customFormat="1" x14ac:dyDescent="0.2">
      <c r="A1382" s="6"/>
      <c r="B1382" s="6"/>
      <c r="C1382" s="155"/>
      <c r="D1382" s="2" t="s">
        <v>256</v>
      </c>
      <c r="E1382" s="148"/>
      <c r="F1382" s="253">
        <v>1</v>
      </c>
      <c r="G1382" s="253"/>
      <c r="H1382" s="253"/>
      <c r="I1382" s="246"/>
      <c r="J1382" s="253">
        <f t="shared" ref="J1382:J1385" si="146">ROUND(PRODUCT(F1382:I1382),2)</f>
        <v>1</v>
      </c>
      <c r="K1382" s="137"/>
      <c r="L1382" s="137"/>
      <c r="M1382" s="137"/>
      <c r="N1382" s="138"/>
      <c r="O1382" s="167"/>
      <c r="P1382" s="111"/>
      <c r="Q1382" s="111"/>
      <c r="R1382" s="111"/>
      <c r="S1382" s="111"/>
      <c r="T1382" s="111"/>
      <c r="U1382" s="111"/>
      <c r="V1382" s="111"/>
      <c r="W1382" s="111"/>
      <c r="X1382" s="111"/>
      <c r="Y1382" s="111"/>
      <c r="Z1382" s="111"/>
      <c r="AA1382" s="111"/>
    </row>
    <row r="1383" spans="1:27" s="118" customFormat="1" x14ac:dyDescent="0.2">
      <c r="A1383" s="6"/>
      <c r="B1383" s="6"/>
      <c r="C1383" s="155"/>
      <c r="D1383" s="2" t="s">
        <v>266</v>
      </c>
      <c r="E1383" s="148"/>
      <c r="F1383" s="253">
        <v>1</v>
      </c>
      <c r="G1383" s="253"/>
      <c r="H1383" s="253"/>
      <c r="I1383" s="246"/>
      <c r="J1383" s="253">
        <f t="shared" si="146"/>
        <v>1</v>
      </c>
      <c r="K1383" s="137"/>
      <c r="L1383" s="137"/>
      <c r="M1383" s="137"/>
      <c r="N1383" s="138"/>
      <c r="O1383" s="167"/>
      <c r="P1383" s="111"/>
      <c r="Q1383" s="111"/>
      <c r="R1383" s="111"/>
      <c r="S1383" s="111"/>
      <c r="T1383" s="111"/>
      <c r="U1383" s="111"/>
      <c r="V1383" s="111"/>
      <c r="W1383" s="111"/>
      <c r="X1383" s="111"/>
      <c r="Y1383" s="111"/>
      <c r="Z1383" s="111"/>
      <c r="AA1383" s="111"/>
    </row>
    <row r="1384" spans="1:27" s="118" customFormat="1" x14ac:dyDescent="0.2">
      <c r="A1384" s="6"/>
      <c r="B1384" s="6"/>
      <c r="C1384" s="155"/>
      <c r="D1384" s="2" t="s">
        <v>331</v>
      </c>
      <c r="E1384" s="148"/>
      <c r="F1384" s="253">
        <v>1</v>
      </c>
      <c r="G1384" s="253"/>
      <c r="H1384" s="253"/>
      <c r="I1384" s="246"/>
      <c r="J1384" s="253">
        <f t="shared" si="146"/>
        <v>1</v>
      </c>
      <c r="K1384" s="137"/>
      <c r="L1384" s="137"/>
      <c r="M1384" s="137"/>
      <c r="N1384" s="138"/>
      <c r="O1384" s="167"/>
      <c r="P1384" s="111"/>
      <c r="Q1384" s="111"/>
      <c r="R1384" s="111"/>
      <c r="S1384" s="111"/>
      <c r="T1384" s="111"/>
      <c r="U1384" s="111"/>
      <c r="V1384" s="111"/>
      <c r="W1384" s="111"/>
      <c r="X1384" s="111"/>
      <c r="Y1384" s="111"/>
      <c r="Z1384" s="111"/>
      <c r="AA1384" s="111"/>
    </row>
    <row r="1385" spans="1:27" s="118" customFormat="1" x14ac:dyDescent="0.2">
      <c r="A1385" s="6"/>
      <c r="B1385" s="6"/>
      <c r="C1385" s="155"/>
      <c r="D1385" s="2" t="s">
        <v>305</v>
      </c>
      <c r="E1385" s="148"/>
      <c r="F1385" s="253">
        <v>1</v>
      </c>
      <c r="G1385" s="253"/>
      <c r="H1385" s="253"/>
      <c r="I1385" s="246"/>
      <c r="J1385" s="253">
        <f t="shared" si="146"/>
        <v>1</v>
      </c>
      <c r="K1385" s="137"/>
      <c r="L1385" s="137"/>
      <c r="M1385" s="137"/>
      <c r="N1385" s="138"/>
      <c r="O1385" s="167"/>
      <c r="P1385" s="111"/>
      <c r="Q1385" s="111"/>
      <c r="R1385" s="111"/>
      <c r="S1385" s="111"/>
      <c r="T1385" s="111"/>
      <c r="U1385" s="111"/>
      <c r="V1385" s="111"/>
      <c r="W1385" s="111"/>
      <c r="X1385" s="111"/>
      <c r="Y1385" s="111"/>
      <c r="Z1385" s="111"/>
      <c r="AA1385" s="111"/>
    </row>
    <row r="1386" spans="1:27" s="118" customFormat="1" x14ac:dyDescent="0.2">
      <c r="A1386" s="6"/>
      <c r="B1386" s="6"/>
      <c r="C1386" s="155"/>
      <c r="D1386" s="2" t="s">
        <v>382</v>
      </c>
      <c r="E1386" s="148"/>
      <c r="F1386" s="253">
        <v>1</v>
      </c>
      <c r="G1386" s="253"/>
      <c r="H1386" s="253"/>
      <c r="I1386" s="246"/>
      <c r="J1386" s="253">
        <f t="shared" ref="J1386" si="147">ROUND(PRODUCT(F1386:I1386),2)</f>
        <v>1</v>
      </c>
      <c r="K1386" s="137"/>
      <c r="L1386" s="137"/>
      <c r="M1386" s="137"/>
      <c r="N1386" s="138"/>
      <c r="O1386" s="167"/>
      <c r="P1386" s="111"/>
      <c r="Q1386" s="111"/>
      <c r="R1386" s="111"/>
      <c r="S1386" s="111"/>
      <c r="T1386" s="111"/>
      <c r="U1386" s="111"/>
      <c r="V1386" s="111"/>
      <c r="W1386" s="111"/>
      <c r="X1386" s="111"/>
      <c r="Y1386" s="111"/>
      <c r="Z1386" s="111"/>
      <c r="AA1386" s="111"/>
    </row>
    <row r="1387" spans="1:27" s="118" customFormat="1" x14ac:dyDescent="0.2">
      <c r="A1387" s="6"/>
      <c r="B1387" s="6"/>
      <c r="C1387" s="156"/>
      <c r="D1387" s="108"/>
      <c r="E1387" s="148"/>
      <c r="F1387" s="253"/>
      <c r="G1387" s="253"/>
      <c r="H1387" s="253"/>
      <c r="I1387" s="246" t="str">
        <f>"Total item "&amp;A1376</f>
        <v>Total item 16.1.2</v>
      </c>
      <c r="J1387" s="261">
        <f>SUM(J1377:J1386)</f>
        <v>10</v>
      </c>
      <c r="K1387" s="137"/>
      <c r="L1387" s="137"/>
      <c r="M1387" s="137"/>
      <c r="N1387" s="138"/>
      <c r="O1387" s="167"/>
      <c r="P1387" s="111"/>
      <c r="Q1387" s="111"/>
      <c r="R1387" s="111"/>
      <c r="S1387" s="111"/>
      <c r="T1387" s="111"/>
      <c r="U1387" s="111"/>
      <c r="V1387" s="111"/>
      <c r="W1387" s="111"/>
      <c r="X1387" s="111"/>
      <c r="Y1387" s="111"/>
      <c r="Z1387" s="111"/>
      <c r="AA1387" s="111"/>
    </row>
    <row r="1388" spans="1:27" s="139" customFormat="1" x14ac:dyDescent="0.2">
      <c r="A1388" s="6"/>
      <c r="B1388" s="6"/>
      <c r="C1388" s="7"/>
      <c r="D1388" s="116"/>
      <c r="E1388" s="6"/>
      <c r="F1388" s="258"/>
      <c r="G1388" s="258"/>
      <c r="H1388" s="258"/>
      <c r="I1388" s="246"/>
      <c r="J1388" s="258"/>
      <c r="K1388" s="137"/>
      <c r="L1388" s="137"/>
      <c r="M1388" s="137"/>
      <c r="N1388" s="138"/>
      <c r="O1388" s="283"/>
      <c r="P1388" s="120"/>
      <c r="Q1388" s="120"/>
      <c r="R1388" s="120"/>
      <c r="S1388" s="120"/>
      <c r="T1388" s="120"/>
      <c r="U1388" s="120"/>
      <c r="V1388" s="120"/>
      <c r="W1388" s="120"/>
      <c r="X1388" s="120"/>
      <c r="Y1388" s="120"/>
      <c r="Z1388" s="120"/>
      <c r="AA1388" s="120"/>
    </row>
    <row r="1389" spans="1:27" s="147" customFormat="1" ht="30.6" x14ac:dyDescent="0.2">
      <c r="A1389" s="9" t="s">
        <v>643</v>
      </c>
      <c r="B1389" s="9" t="s">
        <v>179</v>
      </c>
      <c r="C1389" s="13" t="s">
        <v>672</v>
      </c>
      <c r="D1389" s="113" t="s">
        <v>567</v>
      </c>
      <c r="E1389" s="9" t="s">
        <v>33</v>
      </c>
      <c r="F1389" s="261"/>
      <c r="G1389" s="261"/>
      <c r="H1389" s="261"/>
      <c r="I1389" s="245"/>
      <c r="J1389" s="261"/>
      <c r="K1389" s="131">
        <f>J1394</f>
        <v>5</v>
      </c>
      <c r="L1389" s="131">
        <f>'COMPOSICOES - SINAPI COM DESON'!G50</f>
        <v>104.48</v>
      </c>
      <c r="M1389" s="131">
        <f>ROUND(L1389*(1+$Q$7),2)</f>
        <v>132.19999999999999</v>
      </c>
      <c r="N1389" s="133">
        <f>TRUNC(K1389*M1389,2)</f>
        <v>661</v>
      </c>
      <c r="O1389" s="286"/>
      <c r="P1389" s="146"/>
      <c r="Q1389" s="146"/>
      <c r="R1389" s="146"/>
      <c r="S1389" s="146"/>
      <c r="T1389" s="146"/>
      <c r="U1389" s="146"/>
      <c r="V1389" s="146"/>
      <c r="W1389" s="146"/>
      <c r="X1389" s="146"/>
      <c r="Y1389" s="146"/>
      <c r="Z1389" s="146"/>
      <c r="AA1389" s="146"/>
    </row>
    <row r="1390" spans="1:27" s="174" customFormat="1" x14ac:dyDescent="0.2">
      <c r="A1390" s="170"/>
      <c r="B1390" s="170"/>
      <c r="C1390" s="171"/>
      <c r="D1390" s="2" t="s">
        <v>242</v>
      </c>
      <c r="E1390" s="170"/>
      <c r="F1390" s="253">
        <v>2</v>
      </c>
      <c r="G1390" s="253"/>
      <c r="H1390" s="253"/>
      <c r="I1390" s="249"/>
      <c r="J1390" s="253">
        <f t="shared" ref="J1390:J1393" si="148">ROUND(PRODUCT(F1390:I1390),2)</f>
        <v>2</v>
      </c>
      <c r="K1390" s="172"/>
      <c r="L1390" s="172"/>
      <c r="M1390" s="172"/>
      <c r="N1390" s="173"/>
      <c r="O1390" s="287"/>
      <c r="P1390" s="23"/>
      <c r="Q1390" s="23"/>
      <c r="R1390" s="23"/>
      <c r="S1390" s="23"/>
      <c r="T1390" s="23"/>
      <c r="U1390" s="23"/>
      <c r="V1390" s="23"/>
      <c r="W1390" s="23"/>
      <c r="X1390" s="23"/>
      <c r="Y1390" s="23"/>
      <c r="Z1390" s="23"/>
      <c r="AA1390" s="23"/>
    </row>
    <row r="1391" spans="1:27" s="174" customFormat="1" x14ac:dyDescent="0.2">
      <c r="A1391" s="170"/>
      <c r="B1391" s="170"/>
      <c r="C1391" s="171"/>
      <c r="D1391" s="2" t="s">
        <v>345</v>
      </c>
      <c r="E1391" s="170"/>
      <c r="F1391" s="253">
        <v>1</v>
      </c>
      <c r="G1391" s="253"/>
      <c r="H1391" s="253"/>
      <c r="I1391" s="249"/>
      <c r="J1391" s="253">
        <f t="shared" si="148"/>
        <v>1</v>
      </c>
      <c r="K1391" s="172"/>
      <c r="L1391" s="172"/>
      <c r="M1391" s="172"/>
      <c r="N1391" s="173"/>
      <c r="O1391" s="287"/>
      <c r="P1391" s="23"/>
      <c r="Q1391" s="23"/>
      <c r="R1391" s="23"/>
      <c r="S1391" s="23"/>
      <c r="T1391" s="23"/>
      <c r="U1391" s="23"/>
      <c r="V1391" s="23"/>
      <c r="W1391" s="23"/>
      <c r="X1391" s="23"/>
      <c r="Y1391" s="23"/>
      <c r="Z1391" s="23"/>
      <c r="AA1391" s="23"/>
    </row>
    <row r="1392" spans="1:27" s="174" customFormat="1" x14ac:dyDescent="0.2">
      <c r="A1392" s="170"/>
      <c r="B1392" s="170"/>
      <c r="C1392" s="171"/>
      <c r="D1392" s="2" t="s">
        <v>331</v>
      </c>
      <c r="E1392" s="170"/>
      <c r="F1392" s="253">
        <v>1</v>
      </c>
      <c r="G1392" s="253"/>
      <c r="H1392" s="253"/>
      <c r="I1392" s="249"/>
      <c r="J1392" s="253">
        <f t="shared" si="148"/>
        <v>1</v>
      </c>
      <c r="K1392" s="172"/>
      <c r="L1392" s="172"/>
      <c r="M1392" s="172"/>
      <c r="N1392" s="173"/>
      <c r="O1392" s="287"/>
      <c r="P1392" s="23"/>
      <c r="Q1392" s="23"/>
      <c r="R1392" s="23"/>
      <c r="S1392" s="23"/>
      <c r="T1392" s="23"/>
      <c r="U1392" s="23"/>
      <c r="V1392" s="23"/>
      <c r="W1392" s="23"/>
      <c r="X1392" s="23"/>
      <c r="Y1392" s="23"/>
      <c r="Z1392" s="23"/>
      <c r="AA1392" s="23"/>
    </row>
    <row r="1393" spans="1:27" s="118" customFormat="1" x14ac:dyDescent="0.2">
      <c r="A1393" s="6"/>
      <c r="B1393" s="6"/>
      <c r="C1393" s="155"/>
      <c r="D1393" s="2" t="s">
        <v>305</v>
      </c>
      <c r="E1393" s="148"/>
      <c r="F1393" s="253">
        <v>1</v>
      </c>
      <c r="G1393" s="253"/>
      <c r="H1393" s="253"/>
      <c r="I1393" s="246"/>
      <c r="J1393" s="253">
        <f t="shared" si="148"/>
        <v>1</v>
      </c>
      <c r="K1393" s="137"/>
      <c r="L1393" s="137"/>
      <c r="M1393" s="137"/>
      <c r="N1393" s="138"/>
      <c r="O1393" s="167"/>
      <c r="P1393" s="111"/>
      <c r="Q1393" s="111"/>
      <c r="R1393" s="111"/>
      <c r="S1393" s="111"/>
      <c r="T1393" s="111"/>
      <c r="U1393" s="111"/>
      <c r="V1393" s="111"/>
      <c r="W1393" s="111"/>
      <c r="X1393" s="111"/>
      <c r="Y1393" s="111"/>
      <c r="Z1393" s="111"/>
      <c r="AA1393" s="111"/>
    </row>
    <row r="1394" spans="1:27" s="174" customFormat="1" x14ac:dyDescent="0.2">
      <c r="A1394" s="170"/>
      <c r="B1394" s="170"/>
      <c r="C1394" s="171"/>
      <c r="D1394" s="175"/>
      <c r="E1394" s="176"/>
      <c r="F1394" s="264"/>
      <c r="G1394" s="264"/>
      <c r="H1394" s="264"/>
      <c r="I1394" s="251" t="str">
        <f>"Total item "&amp;A1389</f>
        <v>Total item 16.1.3</v>
      </c>
      <c r="J1394" s="261">
        <f>SUM(J1390:J1393)</f>
        <v>5</v>
      </c>
      <c r="K1394" s="172"/>
      <c r="L1394" s="172"/>
      <c r="M1394" s="172"/>
      <c r="N1394" s="173"/>
      <c r="O1394" s="287"/>
      <c r="P1394" s="23"/>
      <c r="Q1394" s="23"/>
      <c r="R1394" s="23"/>
      <c r="S1394" s="23"/>
      <c r="T1394" s="23"/>
      <c r="U1394" s="23"/>
      <c r="V1394" s="23"/>
      <c r="W1394" s="23"/>
      <c r="X1394" s="23"/>
      <c r="Y1394" s="23"/>
      <c r="Z1394" s="23"/>
      <c r="AA1394" s="23"/>
    </row>
    <row r="1395" spans="1:27" s="183" customFormat="1" x14ac:dyDescent="0.2">
      <c r="A1395" s="177"/>
      <c r="B1395" s="177"/>
      <c r="C1395" s="178"/>
      <c r="D1395" s="179"/>
      <c r="E1395" s="180"/>
      <c r="F1395" s="265"/>
      <c r="G1395" s="265"/>
      <c r="H1395" s="265"/>
      <c r="I1395" s="252"/>
      <c r="J1395" s="266"/>
      <c r="K1395" s="181"/>
      <c r="L1395" s="181"/>
      <c r="M1395" s="181"/>
      <c r="N1395" s="182"/>
      <c r="O1395" s="287"/>
      <c r="P1395" s="121"/>
      <c r="Q1395" s="121"/>
      <c r="R1395" s="121"/>
      <c r="S1395" s="121"/>
      <c r="T1395" s="121"/>
      <c r="U1395" s="121"/>
      <c r="V1395" s="121"/>
      <c r="W1395" s="121"/>
      <c r="X1395" s="121"/>
      <c r="Y1395" s="121"/>
      <c r="Z1395" s="121"/>
      <c r="AA1395" s="121"/>
    </row>
    <row r="1396" spans="1:27" s="147" customFormat="1" ht="40.799999999999997" x14ac:dyDescent="0.2">
      <c r="A1396" s="9" t="s">
        <v>644</v>
      </c>
      <c r="B1396" s="9" t="s">
        <v>163</v>
      </c>
      <c r="C1396" s="13" t="s">
        <v>188</v>
      </c>
      <c r="D1396" s="113" t="s">
        <v>719</v>
      </c>
      <c r="E1396" s="9" t="s">
        <v>33</v>
      </c>
      <c r="F1396" s="261"/>
      <c r="G1396" s="261"/>
      <c r="H1396" s="261"/>
      <c r="I1396" s="245"/>
      <c r="J1396" s="261"/>
      <c r="K1396" s="131">
        <f>J1398</f>
        <v>1</v>
      </c>
      <c r="L1396" s="131">
        <v>65.69</v>
      </c>
      <c r="M1396" s="131">
        <f>ROUND(L1396*(1+$Q$7),2)</f>
        <v>83.12</v>
      </c>
      <c r="N1396" s="133">
        <f>TRUNC(K1396*M1396,2)</f>
        <v>83.12</v>
      </c>
      <c r="O1396" s="286"/>
      <c r="P1396" s="146"/>
      <c r="Q1396" s="146"/>
      <c r="R1396" s="146"/>
      <c r="S1396" s="146"/>
      <c r="T1396" s="146"/>
      <c r="U1396" s="146"/>
      <c r="V1396" s="146"/>
      <c r="W1396" s="146"/>
      <c r="X1396" s="146"/>
      <c r="Y1396" s="146"/>
      <c r="Z1396" s="146"/>
      <c r="AA1396" s="146"/>
    </row>
    <row r="1397" spans="1:27" s="118" customFormat="1" x14ac:dyDescent="0.2">
      <c r="A1397" s="10"/>
      <c r="B1397" s="6"/>
      <c r="C1397" s="6"/>
      <c r="D1397" s="2"/>
      <c r="E1397" s="148"/>
      <c r="F1397" s="253">
        <v>1</v>
      </c>
      <c r="G1397" s="253"/>
      <c r="H1397" s="253"/>
      <c r="I1397" s="246"/>
      <c r="J1397" s="253">
        <f>ROUND(PRODUCT(F1397:I1397),2)</f>
        <v>1</v>
      </c>
      <c r="K1397" s="137"/>
      <c r="L1397" s="137"/>
      <c r="M1397" s="137"/>
      <c r="N1397" s="138"/>
      <c r="O1397" s="167"/>
      <c r="P1397" s="111"/>
      <c r="Q1397" s="111"/>
      <c r="R1397" s="111"/>
      <c r="S1397" s="111"/>
      <c r="T1397" s="111"/>
      <c r="U1397" s="111"/>
      <c r="V1397" s="111"/>
      <c r="W1397" s="111"/>
      <c r="X1397" s="111"/>
      <c r="Y1397" s="111"/>
      <c r="Z1397" s="111"/>
      <c r="AA1397" s="111"/>
    </row>
    <row r="1398" spans="1:27" s="118" customFormat="1" x14ac:dyDescent="0.2">
      <c r="A1398" s="10"/>
      <c r="B1398" s="6"/>
      <c r="C1398" s="156"/>
      <c r="D1398" s="108"/>
      <c r="E1398" s="148"/>
      <c r="F1398" s="253"/>
      <c r="G1398" s="253"/>
      <c r="H1398" s="253"/>
      <c r="I1398" s="246" t="str">
        <f>"Total item "&amp;A1396</f>
        <v>Total item 16.1.4</v>
      </c>
      <c r="J1398" s="261">
        <f>SUM(J1397:J1397)</f>
        <v>1</v>
      </c>
      <c r="K1398" s="137"/>
      <c r="L1398" s="137"/>
      <c r="M1398" s="137"/>
      <c r="N1398" s="138"/>
      <c r="O1398" s="167"/>
      <c r="P1398" s="111"/>
      <c r="Q1398" s="111"/>
      <c r="R1398" s="111"/>
      <c r="S1398" s="111"/>
      <c r="T1398" s="111"/>
      <c r="U1398" s="111"/>
      <c r="V1398" s="111"/>
      <c r="W1398" s="111"/>
      <c r="X1398" s="111"/>
      <c r="Y1398" s="111"/>
      <c r="Z1398" s="111"/>
      <c r="AA1398" s="111"/>
    </row>
    <row r="1399" spans="1:27" s="118" customFormat="1" x14ac:dyDescent="0.2">
      <c r="A1399" s="10"/>
      <c r="B1399" s="6"/>
      <c r="C1399" s="155"/>
      <c r="D1399" s="108"/>
      <c r="E1399" s="148"/>
      <c r="F1399" s="253"/>
      <c r="G1399" s="253"/>
      <c r="H1399" s="253"/>
      <c r="I1399" s="246"/>
      <c r="J1399" s="258"/>
      <c r="K1399" s="137"/>
      <c r="L1399" s="137"/>
      <c r="M1399" s="137"/>
      <c r="N1399" s="138"/>
      <c r="O1399" s="167"/>
      <c r="P1399" s="111"/>
      <c r="Q1399" s="111"/>
      <c r="R1399" s="111"/>
      <c r="S1399" s="111"/>
      <c r="T1399" s="111"/>
      <c r="U1399" s="111"/>
      <c r="V1399" s="111"/>
      <c r="W1399" s="111"/>
      <c r="X1399" s="111"/>
      <c r="Y1399" s="111"/>
      <c r="Z1399" s="111"/>
      <c r="AA1399" s="111"/>
    </row>
    <row r="1400" spans="1:27" s="147" customFormat="1" ht="30.6" x14ac:dyDescent="0.2">
      <c r="A1400" s="9" t="s">
        <v>645</v>
      </c>
      <c r="B1400" s="9" t="s">
        <v>163</v>
      </c>
      <c r="C1400" s="13" t="s">
        <v>190</v>
      </c>
      <c r="D1400" s="113" t="s">
        <v>290</v>
      </c>
      <c r="E1400" s="9" t="s">
        <v>33</v>
      </c>
      <c r="F1400" s="261"/>
      <c r="G1400" s="261"/>
      <c r="H1400" s="261"/>
      <c r="I1400" s="245"/>
      <c r="J1400" s="261"/>
      <c r="K1400" s="131">
        <f>J1402</f>
        <v>6</v>
      </c>
      <c r="L1400" s="131">
        <v>14.55</v>
      </c>
      <c r="M1400" s="131">
        <f>ROUND(L1400*(1+$Q$7),2)</f>
        <v>18.41</v>
      </c>
      <c r="N1400" s="133">
        <f>TRUNC(K1400*M1400,2)</f>
        <v>110.46</v>
      </c>
      <c r="O1400" s="286"/>
      <c r="P1400" s="146"/>
      <c r="Q1400" s="146"/>
      <c r="R1400" s="146"/>
      <c r="S1400" s="146"/>
      <c r="T1400" s="146"/>
      <c r="U1400" s="146"/>
      <c r="V1400" s="146"/>
      <c r="W1400" s="146"/>
      <c r="X1400" s="146"/>
      <c r="Y1400" s="146"/>
      <c r="Z1400" s="146"/>
      <c r="AA1400" s="146"/>
    </row>
    <row r="1401" spans="1:27" s="118" customFormat="1" x14ac:dyDescent="0.2">
      <c r="A1401" s="6"/>
      <c r="B1401" s="6"/>
      <c r="C1401" s="6"/>
      <c r="D1401" s="2"/>
      <c r="E1401" s="148"/>
      <c r="F1401" s="253">
        <v>6</v>
      </c>
      <c r="G1401" s="253"/>
      <c r="H1401" s="253"/>
      <c r="I1401" s="246"/>
      <c r="J1401" s="253">
        <f>ROUND(PRODUCT(F1401:I1401),2)</f>
        <v>6</v>
      </c>
      <c r="K1401" s="137"/>
      <c r="L1401" s="137"/>
      <c r="M1401" s="137"/>
      <c r="N1401" s="138"/>
      <c r="O1401" s="167"/>
      <c r="P1401" s="111"/>
      <c r="Q1401" s="111"/>
      <c r="R1401" s="111"/>
      <c r="S1401" s="111"/>
      <c r="T1401" s="111"/>
      <c r="U1401" s="111"/>
      <c r="V1401" s="111"/>
      <c r="W1401" s="111"/>
      <c r="X1401" s="111"/>
      <c r="Y1401" s="111"/>
      <c r="Z1401" s="111"/>
      <c r="AA1401" s="111"/>
    </row>
    <row r="1402" spans="1:27" s="118" customFormat="1" x14ac:dyDescent="0.2">
      <c r="A1402" s="6"/>
      <c r="B1402" s="6"/>
      <c r="C1402" s="156"/>
      <c r="D1402" s="108"/>
      <c r="E1402" s="148"/>
      <c r="F1402" s="253"/>
      <c r="G1402" s="253"/>
      <c r="H1402" s="253"/>
      <c r="I1402" s="246" t="str">
        <f>"Total item "&amp;A1400</f>
        <v>Total item 16.1.5</v>
      </c>
      <c r="J1402" s="261">
        <f>SUM(J1401:J1401)</f>
        <v>6</v>
      </c>
      <c r="K1402" s="137"/>
      <c r="L1402" s="137"/>
      <c r="M1402" s="137"/>
      <c r="N1402" s="138"/>
      <c r="O1402" s="167"/>
      <c r="P1402" s="111"/>
      <c r="Q1402" s="111"/>
      <c r="R1402" s="111"/>
      <c r="S1402" s="111"/>
      <c r="T1402" s="111"/>
      <c r="U1402" s="111"/>
      <c r="V1402" s="111"/>
      <c r="W1402" s="111"/>
      <c r="X1402" s="111"/>
      <c r="Y1402" s="111"/>
      <c r="Z1402" s="111"/>
      <c r="AA1402" s="111"/>
    </row>
    <row r="1403" spans="1:27" s="118" customFormat="1" x14ac:dyDescent="0.2">
      <c r="A1403" s="6"/>
      <c r="B1403" s="6"/>
      <c r="C1403" s="155"/>
      <c r="D1403" s="108"/>
      <c r="E1403" s="148"/>
      <c r="F1403" s="253"/>
      <c r="G1403" s="253"/>
      <c r="H1403" s="253"/>
      <c r="I1403" s="246"/>
      <c r="J1403" s="258"/>
      <c r="K1403" s="137"/>
      <c r="L1403" s="137"/>
      <c r="M1403" s="137"/>
      <c r="N1403" s="138"/>
      <c r="O1403" s="167"/>
      <c r="P1403" s="111"/>
      <c r="Q1403" s="111"/>
      <c r="R1403" s="111"/>
      <c r="S1403" s="111"/>
      <c r="T1403" s="111"/>
      <c r="U1403" s="111"/>
      <c r="V1403" s="111"/>
      <c r="W1403" s="111"/>
      <c r="X1403" s="111"/>
      <c r="Y1403" s="111"/>
      <c r="Z1403" s="111"/>
      <c r="AA1403" s="111"/>
    </row>
    <row r="1404" spans="1:27" s="145" customFormat="1" x14ac:dyDescent="0.2">
      <c r="A1404" s="140" t="s">
        <v>646</v>
      </c>
      <c r="B1404" s="140"/>
      <c r="C1404" s="141"/>
      <c r="D1404" s="112" t="s">
        <v>211</v>
      </c>
      <c r="E1404" s="140"/>
      <c r="F1404" s="260"/>
      <c r="G1404" s="260"/>
      <c r="H1404" s="260"/>
      <c r="I1404" s="248"/>
      <c r="J1404" s="260"/>
      <c r="K1404" s="142"/>
      <c r="L1404" s="142"/>
      <c r="M1404" s="142"/>
      <c r="N1404" s="143">
        <f>SUM(N1406:N1417)</f>
        <v>360.09000000000003</v>
      </c>
      <c r="O1404" s="285"/>
      <c r="P1404" s="144"/>
      <c r="Q1404" s="144"/>
      <c r="R1404" s="144"/>
      <c r="S1404" s="144"/>
      <c r="T1404" s="144"/>
      <c r="U1404" s="144"/>
      <c r="V1404" s="144"/>
      <c r="W1404" s="144"/>
      <c r="X1404" s="144"/>
      <c r="Y1404" s="144"/>
      <c r="Z1404" s="144"/>
      <c r="AA1404" s="144"/>
    </row>
    <row r="1405" spans="1:27" s="118" customFormat="1" x14ac:dyDescent="0.2">
      <c r="A1405" s="6"/>
      <c r="B1405" s="6"/>
      <c r="C1405" s="155"/>
      <c r="D1405" s="108"/>
      <c r="E1405" s="148"/>
      <c r="F1405" s="253"/>
      <c r="G1405" s="253"/>
      <c r="H1405" s="253"/>
      <c r="I1405" s="246"/>
      <c r="J1405" s="258"/>
      <c r="K1405" s="137"/>
      <c r="L1405" s="137"/>
      <c r="M1405" s="137"/>
      <c r="N1405" s="138"/>
      <c r="O1405" s="167"/>
      <c r="P1405" s="111"/>
      <c r="Q1405" s="111"/>
      <c r="R1405" s="111"/>
      <c r="S1405" s="111"/>
      <c r="T1405" s="111"/>
      <c r="U1405" s="111"/>
      <c r="V1405" s="111"/>
      <c r="W1405" s="111"/>
      <c r="X1405" s="111"/>
      <c r="Y1405" s="111"/>
      <c r="Z1405" s="111"/>
      <c r="AA1405" s="111"/>
    </row>
    <row r="1406" spans="1:27" s="147" customFormat="1" ht="30.6" x14ac:dyDescent="0.2">
      <c r="A1406" s="9" t="s">
        <v>647</v>
      </c>
      <c r="B1406" s="9" t="s">
        <v>163</v>
      </c>
      <c r="C1406" s="13" t="s">
        <v>249</v>
      </c>
      <c r="D1406" s="113" t="s">
        <v>250</v>
      </c>
      <c r="E1406" s="9" t="s">
        <v>33</v>
      </c>
      <c r="F1406" s="261"/>
      <c r="G1406" s="261"/>
      <c r="H1406" s="261"/>
      <c r="I1406" s="245"/>
      <c r="J1406" s="261"/>
      <c r="K1406" s="131">
        <f>J1408</f>
        <v>1</v>
      </c>
      <c r="L1406" s="131">
        <v>116.1</v>
      </c>
      <c r="M1406" s="131">
        <f>ROUND(L1406*(1+$Q$7),2)</f>
        <v>146.9</v>
      </c>
      <c r="N1406" s="133">
        <f>TRUNC(K1406*M1406,2)</f>
        <v>146.9</v>
      </c>
      <c r="O1406" s="286"/>
      <c r="P1406" s="146"/>
      <c r="Q1406" s="146"/>
      <c r="R1406" s="146"/>
      <c r="S1406" s="146"/>
      <c r="T1406" s="146"/>
      <c r="U1406" s="146"/>
      <c r="V1406" s="146"/>
      <c r="W1406" s="146"/>
      <c r="X1406" s="146"/>
      <c r="Y1406" s="146"/>
      <c r="Z1406" s="146"/>
      <c r="AA1406" s="146"/>
    </row>
    <row r="1407" spans="1:27" s="118" customFormat="1" x14ac:dyDescent="0.2">
      <c r="A1407" s="6"/>
      <c r="B1407" s="6"/>
      <c r="C1407" s="155"/>
      <c r="D1407" s="2" t="s">
        <v>346</v>
      </c>
      <c r="E1407" s="148"/>
      <c r="F1407" s="253">
        <v>1</v>
      </c>
      <c r="G1407" s="253"/>
      <c r="H1407" s="253"/>
      <c r="I1407" s="246"/>
      <c r="J1407" s="253">
        <f>ROUND(PRODUCT(F1407:I1407),2)</f>
        <v>1</v>
      </c>
      <c r="K1407" s="137"/>
      <c r="L1407" s="137"/>
      <c r="M1407" s="137"/>
      <c r="N1407" s="138"/>
      <c r="O1407" s="167"/>
      <c r="P1407" s="111"/>
      <c r="Q1407" s="111"/>
      <c r="R1407" s="111"/>
      <c r="S1407" s="111"/>
      <c r="T1407" s="111"/>
      <c r="U1407" s="111"/>
      <c r="V1407" s="111"/>
      <c r="W1407" s="111"/>
      <c r="X1407" s="111"/>
      <c r="Y1407" s="111"/>
      <c r="Z1407" s="111"/>
      <c r="AA1407" s="111"/>
    </row>
    <row r="1408" spans="1:27" s="118" customFormat="1" x14ac:dyDescent="0.2">
      <c r="A1408" s="6"/>
      <c r="B1408" s="6"/>
      <c r="C1408" s="156"/>
      <c r="D1408" s="108"/>
      <c r="E1408" s="148"/>
      <c r="F1408" s="253"/>
      <c r="G1408" s="253"/>
      <c r="H1408" s="253"/>
      <c r="I1408" s="246" t="str">
        <f>"Total item "&amp;A1406</f>
        <v>Total item 16.2.1</v>
      </c>
      <c r="J1408" s="261">
        <f>SUM(J1407:J1407)</f>
        <v>1</v>
      </c>
      <c r="K1408" s="137"/>
      <c r="L1408" s="137"/>
      <c r="M1408" s="137"/>
      <c r="N1408" s="138"/>
      <c r="O1408" s="167"/>
      <c r="P1408" s="111"/>
      <c r="Q1408" s="111"/>
      <c r="R1408" s="111"/>
      <c r="S1408" s="111"/>
      <c r="T1408" s="111"/>
      <c r="U1408" s="111"/>
      <c r="V1408" s="111"/>
      <c r="W1408" s="111"/>
      <c r="X1408" s="111"/>
      <c r="Y1408" s="111"/>
      <c r="Z1408" s="111"/>
      <c r="AA1408" s="111"/>
    </row>
    <row r="1409" spans="1:27" s="154" customFormat="1" x14ac:dyDescent="0.2">
      <c r="A1409" s="10"/>
      <c r="B1409" s="10"/>
      <c r="C1409" s="15"/>
      <c r="D1409" s="117"/>
      <c r="E1409" s="10"/>
      <c r="F1409" s="263"/>
      <c r="G1409" s="263"/>
      <c r="H1409" s="263"/>
      <c r="I1409" s="250"/>
      <c r="J1409" s="263"/>
      <c r="K1409" s="151"/>
      <c r="L1409" s="151"/>
      <c r="M1409" s="151"/>
      <c r="N1409" s="152"/>
      <c r="O1409" s="283"/>
      <c r="P1409" s="153"/>
      <c r="Q1409" s="153"/>
      <c r="R1409" s="153"/>
      <c r="S1409" s="153"/>
      <c r="T1409" s="153"/>
      <c r="U1409" s="153"/>
      <c r="V1409" s="153"/>
      <c r="W1409" s="153"/>
      <c r="X1409" s="153"/>
      <c r="Y1409" s="153"/>
      <c r="Z1409" s="153"/>
      <c r="AA1409" s="153"/>
    </row>
    <row r="1410" spans="1:27" s="147" customFormat="1" ht="30.6" x14ac:dyDescent="0.2">
      <c r="A1410" s="9" t="s">
        <v>853</v>
      </c>
      <c r="B1410" s="9" t="s">
        <v>89</v>
      </c>
      <c r="C1410" s="197" t="s">
        <v>193</v>
      </c>
      <c r="D1410" s="113" t="s">
        <v>383</v>
      </c>
      <c r="E1410" s="9" t="s">
        <v>33</v>
      </c>
      <c r="F1410" s="261"/>
      <c r="G1410" s="261"/>
      <c r="H1410" s="261"/>
      <c r="I1410" s="245"/>
      <c r="J1410" s="261"/>
      <c r="K1410" s="131">
        <f>J1412</f>
        <v>1</v>
      </c>
      <c r="L1410" s="131">
        <v>73.67</v>
      </c>
      <c r="M1410" s="131">
        <f>ROUND(L1410*(1+$Q$7),2)</f>
        <v>93.21</v>
      </c>
      <c r="N1410" s="133">
        <f>TRUNC(K1410*M1410,2)</f>
        <v>93.21</v>
      </c>
      <c r="O1410" s="286"/>
      <c r="P1410" s="146"/>
      <c r="Q1410" s="146"/>
      <c r="R1410" s="146"/>
      <c r="S1410" s="146"/>
      <c r="T1410" s="146"/>
      <c r="U1410" s="146"/>
      <c r="V1410" s="146"/>
      <c r="W1410" s="146"/>
      <c r="X1410" s="146"/>
      <c r="Y1410" s="146"/>
      <c r="Z1410" s="146"/>
      <c r="AA1410" s="146"/>
    </row>
    <row r="1411" spans="1:27" s="118" customFormat="1" x14ac:dyDescent="0.2">
      <c r="A1411" s="6"/>
      <c r="B1411" s="6"/>
      <c r="C1411" s="155"/>
      <c r="D1411" s="2" t="s">
        <v>346</v>
      </c>
      <c r="E1411" s="148"/>
      <c r="F1411" s="253">
        <v>1</v>
      </c>
      <c r="G1411" s="253"/>
      <c r="H1411" s="253"/>
      <c r="I1411" s="246"/>
      <c r="J1411" s="253">
        <f>ROUND(PRODUCT(F1411:I1411),2)</f>
        <v>1</v>
      </c>
      <c r="K1411" s="137"/>
      <c r="L1411" s="137"/>
      <c r="M1411" s="137"/>
      <c r="N1411" s="138"/>
      <c r="O1411" s="167"/>
      <c r="P1411" s="111"/>
      <c r="Q1411" s="111"/>
      <c r="R1411" s="111"/>
      <c r="S1411" s="111"/>
      <c r="T1411" s="111"/>
      <c r="U1411" s="111"/>
      <c r="V1411" s="111"/>
      <c r="W1411" s="111"/>
      <c r="X1411" s="111"/>
      <c r="Y1411" s="111"/>
      <c r="Z1411" s="111"/>
      <c r="AA1411" s="111"/>
    </row>
    <row r="1412" spans="1:27" s="118" customFormat="1" x14ac:dyDescent="0.2">
      <c r="A1412" s="6"/>
      <c r="B1412" s="6"/>
      <c r="C1412" s="156"/>
      <c r="D1412" s="108"/>
      <c r="E1412" s="148"/>
      <c r="F1412" s="253"/>
      <c r="G1412" s="253"/>
      <c r="H1412" s="253"/>
      <c r="I1412" s="246" t="str">
        <f>"Total item "&amp;A1410</f>
        <v>Total item 16.2.2</v>
      </c>
      <c r="J1412" s="261">
        <f>SUM(J1411:J1411)</f>
        <v>1</v>
      </c>
      <c r="K1412" s="137"/>
      <c r="L1412" s="137"/>
      <c r="M1412" s="137"/>
      <c r="N1412" s="138"/>
      <c r="O1412" s="167"/>
      <c r="P1412" s="111"/>
      <c r="Q1412" s="111"/>
      <c r="R1412" s="111"/>
      <c r="S1412" s="111"/>
      <c r="T1412" s="111"/>
      <c r="U1412" s="111"/>
      <c r="V1412" s="111"/>
      <c r="W1412" s="111"/>
      <c r="X1412" s="111"/>
      <c r="Y1412" s="111"/>
      <c r="Z1412" s="111"/>
      <c r="AA1412" s="111"/>
    </row>
    <row r="1413" spans="1:27" s="161" customFormat="1" x14ac:dyDescent="0.2">
      <c r="A1413" s="10"/>
      <c r="B1413" s="10"/>
      <c r="C1413" s="191"/>
      <c r="D1413" s="110"/>
      <c r="E1413" s="158"/>
      <c r="F1413" s="267"/>
      <c r="G1413" s="267"/>
      <c r="H1413" s="267"/>
      <c r="I1413" s="250"/>
      <c r="J1413" s="263"/>
      <c r="K1413" s="151"/>
      <c r="L1413" s="151"/>
      <c r="M1413" s="151"/>
      <c r="N1413" s="152"/>
      <c r="O1413" s="167"/>
      <c r="P1413" s="114"/>
      <c r="Q1413" s="114"/>
      <c r="R1413" s="114"/>
      <c r="S1413" s="114"/>
      <c r="T1413" s="114"/>
      <c r="U1413" s="114"/>
      <c r="V1413" s="114"/>
      <c r="W1413" s="114"/>
      <c r="X1413" s="114"/>
      <c r="Y1413" s="114"/>
      <c r="Z1413" s="114"/>
      <c r="AA1413" s="114"/>
    </row>
    <row r="1414" spans="1:27" s="147" customFormat="1" ht="30.6" x14ac:dyDescent="0.2">
      <c r="A1414" s="9" t="s">
        <v>854</v>
      </c>
      <c r="B1414" s="9" t="s">
        <v>89</v>
      </c>
      <c r="C1414" s="13">
        <v>86906</v>
      </c>
      <c r="D1414" s="113" t="s">
        <v>261</v>
      </c>
      <c r="E1414" s="9" t="s">
        <v>33</v>
      </c>
      <c r="F1414" s="261"/>
      <c r="G1414" s="261"/>
      <c r="H1414" s="261"/>
      <c r="I1414" s="245"/>
      <c r="J1414" s="261"/>
      <c r="K1414" s="131">
        <f>J1416</f>
        <v>2</v>
      </c>
      <c r="L1414" s="131">
        <v>47.41</v>
      </c>
      <c r="M1414" s="131">
        <f>ROUND(L1414*(1+$Q$7),2)</f>
        <v>59.99</v>
      </c>
      <c r="N1414" s="133">
        <f>TRUNC(K1414*M1414,2)</f>
        <v>119.98</v>
      </c>
      <c r="O1414" s="286"/>
      <c r="P1414" s="146"/>
      <c r="Q1414" s="146"/>
      <c r="R1414" s="146"/>
      <c r="S1414" s="146"/>
      <c r="T1414" s="146"/>
      <c r="U1414" s="146"/>
      <c r="V1414" s="146"/>
      <c r="W1414" s="146"/>
      <c r="X1414" s="146"/>
      <c r="Y1414" s="146"/>
      <c r="Z1414" s="146"/>
      <c r="AA1414" s="146"/>
    </row>
    <row r="1415" spans="1:27" s="118" customFormat="1" x14ac:dyDescent="0.2">
      <c r="A1415" s="6"/>
      <c r="B1415" s="6"/>
      <c r="C1415" s="155"/>
      <c r="D1415" s="2" t="s">
        <v>345</v>
      </c>
      <c r="E1415" s="148"/>
      <c r="F1415" s="253">
        <v>2</v>
      </c>
      <c r="G1415" s="253"/>
      <c r="H1415" s="253"/>
      <c r="I1415" s="246"/>
      <c r="J1415" s="253">
        <f>ROUND(PRODUCT(F1415:I1415),2)</f>
        <v>2</v>
      </c>
      <c r="K1415" s="137"/>
      <c r="L1415" s="137"/>
      <c r="M1415" s="137"/>
      <c r="N1415" s="138"/>
      <c r="O1415" s="167"/>
      <c r="P1415" s="111"/>
      <c r="Q1415" s="111"/>
      <c r="R1415" s="111"/>
      <c r="S1415" s="111"/>
      <c r="T1415" s="111"/>
      <c r="U1415" s="111"/>
      <c r="V1415" s="111"/>
      <c r="W1415" s="111"/>
      <c r="X1415" s="111"/>
      <c r="Y1415" s="111"/>
      <c r="Z1415" s="111"/>
      <c r="AA1415" s="111"/>
    </row>
    <row r="1416" spans="1:27" s="118" customFormat="1" x14ac:dyDescent="0.2">
      <c r="A1416" s="6"/>
      <c r="B1416" s="6"/>
      <c r="C1416" s="156"/>
      <c r="D1416" s="108"/>
      <c r="E1416" s="148"/>
      <c r="F1416" s="253"/>
      <c r="G1416" s="253"/>
      <c r="H1416" s="253"/>
      <c r="I1416" s="246" t="str">
        <f>"Total item "&amp;A1414</f>
        <v>Total item 16.2.3</v>
      </c>
      <c r="J1416" s="261">
        <f>SUM(J1415:J1415)</f>
        <v>2</v>
      </c>
      <c r="K1416" s="137"/>
      <c r="L1416" s="137"/>
      <c r="M1416" s="137"/>
      <c r="N1416" s="138"/>
      <c r="O1416" s="167"/>
      <c r="P1416" s="111"/>
      <c r="Q1416" s="111"/>
      <c r="R1416" s="111"/>
      <c r="S1416" s="111"/>
      <c r="T1416" s="111"/>
      <c r="U1416" s="111"/>
      <c r="V1416" s="111"/>
      <c r="W1416" s="111"/>
      <c r="X1416" s="111"/>
      <c r="Y1416" s="111"/>
      <c r="Z1416" s="111"/>
      <c r="AA1416" s="111"/>
    </row>
    <row r="1417" spans="1:27" s="139" customFormat="1" x14ac:dyDescent="0.2">
      <c r="A1417" s="6"/>
      <c r="B1417" s="6"/>
      <c r="C1417" s="7"/>
      <c r="D1417" s="116"/>
      <c r="E1417" s="6"/>
      <c r="F1417" s="258"/>
      <c r="G1417" s="258"/>
      <c r="H1417" s="258"/>
      <c r="I1417" s="246"/>
      <c r="J1417" s="258"/>
      <c r="K1417" s="137"/>
      <c r="L1417" s="137"/>
      <c r="M1417" s="137"/>
      <c r="N1417" s="138"/>
      <c r="O1417" s="283"/>
      <c r="P1417" s="120"/>
      <c r="Q1417" s="120"/>
      <c r="R1417" s="120"/>
      <c r="S1417" s="120"/>
      <c r="T1417" s="120"/>
      <c r="U1417" s="120"/>
      <c r="V1417" s="120"/>
      <c r="W1417" s="120"/>
      <c r="X1417" s="120"/>
      <c r="Y1417" s="120"/>
      <c r="Z1417" s="120"/>
      <c r="AA1417" s="120"/>
    </row>
    <row r="1418" spans="1:27" s="145" customFormat="1" x14ac:dyDescent="0.2">
      <c r="A1418" s="140" t="s">
        <v>648</v>
      </c>
      <c r="B1418" s="140"/>
      <c r="C1418" s="141"/>
      <c r="D1418" s="112" t="s">
        <v>28</v>
      </c>
      <c r="E1418" s="140"/>
      <c r="F1418" s="260"/>
      <c r="G1418" s="260"/>
      <c r="H1418" s="260"/>
      <c r="I1418" s="248"/>
      <c r="J1418" s="260"/>
      <c r="K1418" s="142"/>
      <c r="L1418" s="142"/>
      <c r="M1418" s="142"/>
      <c r="N1418" s="143">
        <f>SUM(N1420:N1427)</f>
        <v>687.14</v>
      </c>
      <c r="O1418" s="285"/>
      <c r="P1418" s="144"/>
      <c r="Q1418" s="144"/>
      <c r="R1418" s="144"/>
      <c r="S1418" s="144"/>
      <c r="T1418" s="144"/>
      <c r="U1418" s="144"/>
      <c r="V1418" s="144"/>
      <c r="W1418" s="144"/>
      <c r="X1418" s="144"/>
      <c r="Y1418" s="144"/>
      <c r="Z1418" s="144"/>
      <c r="AA1418" s="144"/>
    </row>
    <row r="1419" spans="1:27" s="139" customFormat="1" x14ac:dyDescent="0.2">
      <c r="A1419" s="6"/>
      <c r="B1419" s="6"/>
      <c r="C1419" s="7"/>
      <c r="D1419" s="116"/>
      <c r="E1419" s="6"/>
      <c r="F1419" s="258"/>
      <c r="G1419" s="258"/>
      <c r="H1419" s="258"/>
      <c r="I1419" s="246"/>
      <c r="J1419" s="258"/>
      <c r="K1419" s="137"/>
      <c r="L1419" s="137"/>
      <c r="M1419" s="137"/>
      <c r="N1419" s="138"/>
      <c r="O1419" s="283"/>
      <c r="P1419" s="120"/>
      <c r="Q1419" s="120"/>
      <c r="R1419" s="120"/>
      <c r="S1419" s="120"/>
      <c r="T1419" s="120"/>
      <c r="U1419" s="120"/>
      <c r="V1419" s="120"/>
      <c r="W1419" s="120"/>
      <c r="X1419" s="120"/>
      <c r="Y1419" s="120"/>
      <c r="Z1419" s="120"/>
      <c r="AA1419" s="120"/>
    </row>
    <row r="1420" spans="1:27" s="147" customFormat="1" ht="30.6" x14ac:dyDescent="0.2">
      <c r="A1420" s="9" t="s">
        <v>649</v>
      </c>
      <c r="B1420" s="9" t="s">
        <v>163</v>
      </c>
      <c r="C1420" s="13" t="s">
        <v>263</v>
      </c>
      <c r="D1420" s="113" t="s">
        <v>264</v>
      </c>
      <c r="E1420" s="9" t="s">
        <v>33</v>
      </c>
      <c r="F1420" s="261"/>
      <c r="G1420" s="261"/>
      <c r="H1420" s="261"/>
      <c r="I1420" s="245"/>
      <c r="J1420" s="261"/>
      <c r="K1420" s="131">
        <f>J1422</f>
        <v>1.68</v>
      </c>
      <c r="L1420" s="131">
        <v>287.51</v>
      </c>
      <c r="M1420" s="131">
        <f>ROUND(L1420*(1+$Q$7),2)</f>
        <v>363.79</v>
      </c>
      <c r="N1420" s="133">
        <f>TRUNC(K1420*M1420,2)</f>
        <v>611.16</v>
      </c>
      <c r="O1420" s="286"/>
      <c r="P1420" s="146"/>
      <c r="Q1420" s="146"/>
      <c r="R1420" s="146"/>
      <c r="S1420" s="146"/>
      <c r="T1420" s="146"/>
      <c r="U1420" s="146"/>
      <c r="V1420" s="146"/>
      <c r="W1420" s="146"/>
      <c r="X1420" s="146"/>
      <c r="Y1420" s="146"/>
      <c r="Z1420" s="146"/>
      <c r="AA1420" s="146"/>
    </row>
    <row r="1421" spans="1:27" s="118" customFormat="1" x14ac:dyDescent="0.2">
      <c r="A1421" s="6"/>
      <c r="B1421" s="6"/>
      <c r="C1421" s="155"/>
      <c r="D1421" s="2" t="s">
        <v>266</v>
      </c>
      <c r="E1421" s="148"/>
      <c r="F1421" s="253"/>
      <c r="G1421" s="253">
        <v>0.8</v>
      </c>
      <c r="H1421" s="253"/>
      <c r="I1421" s="249">
        <v>2.1</v>
      </c>
      <c r="J1421" s="253">
        <f>ROUND(PRODUCT(F1421:I1421),2)</f>
        <v>1.68</v>
      </c>
      <c r="K1421" s="137"/>
      <c r="L1421" s="137"/>
      <c r="M1421" s="137"/>
      <c r="N1421" s="138"/>
      <c r="O1421" s="167"/>
      <c r="P1421" s="111"/>
      <c r="Q1421" s="111"/>
      <c r="R1421" s="111"/>
      <c r="S1421" s="111"/>
      <c r="T1421" s="111"/>
      <c r="U1421" s="111"/>
      <c r="V1421" s="111"/>
      <c r="W1421" s="111"/>
      <c r="X1421" s="111"/>
      <c r="Y1421" s="111"/>
      <c r="Z1421" s="111"/>
      <c r="AA1421" s="111"/>
    </row>
    <row r="1422" spans="1:27" s="118" customFormat="1" x14ac:dyDescent="0.2">
      <c r="A1422" s="6"/>
      <c r="B1422" s="6"/>
      <c r="C1422" s="156"/>
      <c r="D1422" s="108"/>
      <c r="E1422" s="148"/>
      <c r="F1422" s="253"/>
      <c r="G1422" s="253"/>
      <c r="H1422" s="253"/>
      <c r="I1422" s="246" t="str">
        <f>"Total item "&amp;A1420</f>
        <v>Total item 16.3.1</v>
      </c>
      <c r="J1422" s="261">
        <f>SUM(J1421:J1421)</f>
        <v>1.68</v>
      </c>
      <c r="K1422" s="137"/>
      <c r="L1422" s="137"/>
      <c r="M1422" s="137"/>
      <c r="N1422" s="138"/>
      <c r="O1422" s="167"/>
      <c r="P1422" s="111"/>
      <c r="Q1422" s="111"/>
      <c r="R1422" s="111"/>
      <c r="S1422" s="111"/>
      <c r="T1422" s="111"/>
      <c r="U1422" s="111"/>
      <c r="V1422" s="111"/>
      <c r="W1422" s="111"/>
      <c r="X1422" s="111"/>
      <c r="Y1422" s="111"/>
      <c r="Z1422" s="111"/>
      <c r="AA1422" s="111"/>
    </row>
    <row r="1423" spans="1:27" s="118" customFormat="1" x14ac:dyDescent="0.2">
      <c r="A1423" s="6"/>
      <c r="B1423" s="6"/>
      <c r="C1423" s="156"/>
      <c r="D1423" s="108"/>
      <c r="E1423" s="148"/>
      <c r="F1423" s="253"/>
      <c r="G1423" s="253"/>
      <c r="H1423" s="253"/>
      <c r="I1423" s="246"/>
      <c r="J1423" s="246"/>
      <c r="K1423" s="137"/>
      <c r="L1423" s="137"/>
      <c r="M1423" s="137"/>
      <c r="N1423" s="138"/>
      <c r="O1423" s="167"/>
      <c r="P1423" s="111"/>
      <c r="Q1423" s="111"/>
      <c r="R1423" s="111"/>
      <c r="S1423" s="111"/>
      <c r="T1423" s="111"/>
      <c r="U1423" s="111"/>
      <c r="V1423" s="111"/>
      <c r="W1423" s="111"/>
      <c r="X1423" s="111"/>
      <c r="Y1423" s="111"/>
      <c r="Z1423" s="111"/>
      <c r="AA1423" s="111"/>
    </row>
    <row r="1424" spans="1:27" s="147" customFormat="1" ht="30.6" x14ac:dyDescent="0.2">
      <c r="A1424" s="9" t="s">
        <v>855</v>
      </c>
      <c r="B1424" s="9" t="s">
        <v>89</v>
      </c>
      <c r="C1424" s="13">
        <v>91304</v>
      </c>
      <c r="D1424" s="113" t="s">
        <v>373</v>
      </c>
      <c r="E1424" s="9" t="s">
        <v>33</v>
      </c>
      <c r="F1424" s="261"/>
      <c r="G1424" s="261"/>
      <c r="H1424" s="261"/>
      <c r="I1424" s="245"/>
      <c r="J1424" s="261"/>
      <c r="K1424" s="131">
        <f>J1427</f>
        <v>1</v>
      </c>
      <c r="L1424" s="131">
        <v>60.05</v>
      </c>
      <c r="M1424" s="131">
        <f>ROUND(L1424*(1+$Q$7),2)</f>
        <v>75.98</v>
      </c>
      <c r="N1424" s="133">
        <f>TRUNC(K1424*M1424,2)</f>
        <v>75.98</v>
      </c>
      <c r="O1424" s="286"/>
      <c r="P1424" s="146"/>
      <c r="Q1424" s="146"/>
      <c r="R1424" s="146"/>
      <c r="S1424" s="146"/>
      <c r="T1424" s="146"/>
      <c r="U1424" s="146"/>
      <c r="V1424" s="146"/>
      <c r="W1424" s="146"/>
      <c r="X1424" s="146"/>
      <c r="Y1424" s="146"/>
      <c r="Z1424" s="146"/>
      <c r="AA1424" s="146"/>
    </row>
    <row r="1425" spans="1:27" s="118" customFormat="1" x14ac:dyDescent="0.2">
      <c r="A1425" s="6"/>
      <c r="B1425" s="6"/>
      <c r="C1425" s="155"/>
      <c r="D1425" s="2" t="s">
        <v>345</v>
      </c>
      <c r="E1425" s="148"/>
      <c r="F1425" s="253"/>
      <c r="G1425" s="253">
        <v>1</v>
      </c>
      <c r="H1425" s="253"/>
      <c r="I1425" s="249"/>
      <c r="J1425" s="253">
        <f>ROUND(PRODUCT(F1425:I1425),2)</f>
        <v>1</v>
      </c>
      <c r="K1425" s="137"/>
      <c r="L1425" s="137"/>
      <c r="M1425" s="137"/>
      <c r="N1425" s="138"/>
      <c r="O1425" s="167"/>
      <c r="P1425" s="111"/>
      <c r="Q1425" s="111"/>
      <c r="R1425" s="111"/>
      <c r="S1425" s="111"/>
      <c r="T1425" s="111"/>
      <c r="U1425" s="111"/>
      <c r="V1425" s="111"/>
      <c r="W1425" s="111"/>
      <c r="X1425" s="111"/>
      <c r="Y1425" s="111"/>
      <c r="Z1425" s="111"/>
      <c r="AA1425" s="111"/>
    </row>
    <row r="1426" spans="1:27" s="118" customFormat="1" x14ac:dyDescent="0.2">
      <c r="A1426" s="6"/>
      <c r="B1426" s="6"/>
      <c r="C1426" s="155"/>
      <c r="D1426" s="2"/>
      <c r="E1426" s="148"/>
      <c r="F1426" s="253"/>
      <c r="G1426" s="253"/>
      <c r="H1426" s="253"/>
      <c r="I1426" s="249"/>
      <c r="J1426" s="253">
        <f>ROUND(PRODUCT(F1426:I1426),2)</f>
        <v>0</v>
      </c>
      <c r="K1426" s="137"/>
      <c r="L1426" s="137"/>
      <c r="M1426" s="137"/>
      <c r="N1426" s="138"/>
      <c r="O1426" s="167"/>
      <c r="P1426" s="111"/>
      <c r="Q1426" s="111"/>
      <c r="R1426" s="111"/>
      <c r="S1426" s="111"/>
      <c r="T1426" s="111"/>
      <c r="U1426" s="111"/>
      <c r="V1426" s="111"/>
      <c r="W1426" s="111"/>
      <c r="X1426" s="111"/>
      <c r="Y1426" s="111"/>
      <c r="Z1426" s="111"/>
      <c r="AA1426" s="111"/>
    </row>
    <row r="1427" spans="1:27" s="118" customFormat="1" x14ac:dyDescent="0.2">
      <c r="A1427" s="6"/>
      <c r="B1427" s="6"/>
      <c r="C1427" s="156"/>
      <c r="D1427" s="108"/>
      <c r="E1427" s="148"/>
      <c r="F1427" s="253"/>
      <c r="G1427" s="253"/>
      <c r="H1427" s="253"/>
      <c r="I1427" s="246" t="str">
        <f>"Total item "&amp;A1424</f>
        <v>Total item 16.3.2</v>
      </c>
      <c r="J1427" s="261">
        <f>SUM(J1425:J1426)</f>
        <v>1</v>
      </c>
      <c r="K1427" s="137"/>
      <c r="L1427" s="137"/>
      <c r="M1427" s="137"/>
      <c r="N1427" s="138"/>
      <c r="O1427" s="167"/>
      <c r="P1427" s="111"/>
      <c r="Q1427" s="111"/>
      <c r="R1427" s="111"/>
      <c r="S1427" s="111"/>
      <c r="T1427" s="111"/>
      <c r="U1427" s="111"/>
      <c r="V1427" s="111"/>
      <c r="W1427" s="111"/>
      <c r="X1427" s="111"/>
      <c r="Y1427" s="111"/>
      <c r="Z1427" s="111"/>
      <c r="AA1427" s="111"/>
    </row>
    <row r="1428" spans="1:27" s="161" customFormat="1" x14ac:dyDescent="0.2">
      <c r="A1428" s="10"/>
      <c r="B1428" s="10"/>
      <c r="C1428" s="190"/>
      <c r="D1428" s="110"/>
      <c r="E1428" s="158"/>
      <c r="F1428" s="267"/>
      <c r="G1428" s="267"/>
      <c r="H1428" s="267"/>
      <c r="I1428" s="250"/>
      <c r="J1428" s="250"/>
      <c r="K1428" s="151"/>
      <c r="L1428" s="151"/>
      <c r="M1428" s="151"/>
      <c r="N1428" s="152"/>
      <c r="O1428" s="167"/>
      <c r="P1428" s="114"/>
      <c r="Q1428" s="114"/>
      <c r="R1428" s="114"/>
      <c r="S1428" s="114"/>
      <c r="T1428" s="114"/>
      <c r="U1428" s="114"/>
      <c r="V1428" s="114"/>
      <c r="W1428" s="114"/>
      <c r="X1428" s="114"/>
      <c r="Y1428" s="114"/>
      <c r="Z1428" s="114"/>
      <c r="AA1428" s="114"/>
    </row>
    <row r="1429" spans="1:27" s="145" customFormat="1" x14ac:dyDescent="0.2">
      <c r="A1429" s="140" t="s">
        <v>650</v>
      </c>
      <c r="B1429" s="140"/>
      <c r="C1429" s="141"/>
      <c r="D1429" s="112" t="s">
        <v>29</v>
      </c>
      <c r="E1429" s="140"/>
      <c r="F1429" s="260"/>
      <c r="G1429" s="260"/>
      <c r="H1429" s="260"/>
      <c r="I1429" s="248"/>
      <c r="J1429" s="260"/>
      <c r="K1429" s="142"/>
      <c r="L1429" s="142"/>
      <c r="M1429" s="142"/>
      <c r="N1429" s="143">
        <f>SUM(N1431:N1433)</f>
        <v>57.05</v>
      </c>
      <c r="O1429" s="285"/>
      <c r="P1429" s="144"/>
      <c r="Q1429" s="144"/>
      <c r="R1429" s="144"/>
      <c r="S1429" s="144"/>
      <c r="T1429" s="144"/>
      <c r="U1429" s="144"/>
      <c r="V1429" s="144"/>
      <c r="W1429" s="144"/>
      <c r="X1429" s="144"/>
      <c r="Y1429" s="144"/>
      <c r="Z1429" s="144"/>
      <c r="AA1429" s="144"/>
    </row>
    <row r="1430" spans="1:27" s="161" customFormat="1" x14ac:dyDescent="0.2">
      <c r="A1430" s="10"/>
      <c r="B1430" s="10"/>
      <c r="C1430" s="190"/>
      <c r="D1430" s="110"/>
      <c r="E1430" s="158"/>
      <c r="F1430" s="267"/>
      <c r="G1430" s="267"/>
      <c r="H1430" s="267"/>
      <c r="I1430" s="250"/>
      <c r="J1430" s="250"/>
      <c r="K1430" s="151"/>
      <c r="L1430" s="151"/>
      <c r="M1430" s="151"/>
      <c r="N1430" s="152"/>
      <c r="O1430" s="167"/>
      <c r="P1430" s="114"/>
      <c r="Q1430" s="114"/>
      <c r="R1430" s="114"/>
      <c r="S1430" s="114"/>
      <c r="T1430" s="114"/>
      <c r="U1430" s="114"/>
      <c r="V1430" s="114"/>
      <c r="W1430" s="114"/>
      <c r="X1430" s="114"/>
      <c r="Y1430" s="114"/>
      <c r="Z1430" s="114"/>
      <c r="AA1430" s="114"/>
    </row>
    <row r="1431" spans="1:27" s="147" customFormat="1" ht="40.799999999999997" x14ac:dyDescent="0.2">
      <c r="A1431" s="9" t="s">
        <v>651</v>
      </c>
      <c r="B1431" s="107" t="s">
        <v>163</v>
      </c>
      <c r="C1431" s="107" t="s">
        <v>176</v>
      </c>
      <c r="D1431" s="113" t="s">
        <v>269</v>
      </c>
      <c r="E1431" s="1" t="s">
        <v>9</v>
      </c>
      <c r="F1431" s="261"/>
      <c r="G1431" s="261"/>
      <c r="H1431" s="261"/>
      <c r="I1431" s="245"/>
      <c r="J1431" s="261"/>
      <c r="K1431" s="131">
        <f>J1434</f>
        <v>3.36</v>
      </c>
      <c r="L1431" s="131">
        <v>13.42</v>
      </c>
      <c r="M1431" s="131">
        <f>ROUND(L1431*(1+$Q$7),2)</f>
        <v>16.98</v>
      </c>
      <c r="N1431" s="133">
        <f>TRUNC(K1431*M1431,2)</f>
        <v>57.05</v>
      </c>
      <c r="O1431" s="286"/>
      <c r="P1431" s="146"/>
      <c r="Q1431" s="146"/>
      <c r="R1431" s="146"/>
      <c r="S1431" s="146"/>
      <c r="T1431" s="146"/>
      <c r="U1431" s="146"/>
      <c r="V1431" s="146"/>
      <c r="W1431" s="146"/>
      <c r="X1431" s="146"/>
      <c r="Y1431" s="146"/>
      <c r="Z1431" s="146"/>
      <c r="AA1431" s="146"/>
    </row>
    <row r="1432" spans="1:27" s="118" customFormat="1" x14ac:dyDescent="0.2">
      <c r="A1432" s="6"/>
      <c r="B1432" s="6"/>
      <c r="C1432" s="155"/>
      <c r="D1432" s="3" t="s">
        <v>270</v>
      </c>
      <c r="E1432" s="148"/>
      <c r="F1432" s="253"/>
      <c r="G1432" s="253"/>
      <c r="H1432" s="253"/>
      <c r="I1432" s="249"/>
      <c r="J1432" s="253"/>
      <c r="K1432" s="137"/>
      <c r="L1432" s="137"/>
      <c r="M1432" s="137"/>
      <c r="N1432" s="138"/>
      <c r="O1432" s="167"/>
      <c r="P1432" s="111"/>
      <c r="Q1432" s="111"/>
      <c r="R1432" s="111"/>
      <c r="S1432" s="111"/>
      <c r="T1432" s="111"/>
      <c r="U1432" s="111"/>
      <c r="V1432" s="111"/>
      <c r="W1432" s="111"/>
      <c r="X1432" s="111"/>
      <c r="Y1432" s="111"/>
      <c r="Z1432" s="111"/>
      <c r="AA1432" s="111"/>
    </row>
    <row r="1433" spans="1:27" s="118" customFormat="1" x14ac:dyDescent="0.2">
      <c r="A1433" s="6"/>
      <c r="B1433" s="6"/>
      <c r="C1433" s="155"/>
      <c r="D1433" s="2" t="s">
        <v>266</v>
      </c>
      <c r="E1433" s="148"/>
      <c r="F1433" s="253">
        <v>2</v>
      </c>
      <c r="G1433" s="253">
        <v>0.8</v>
      </c>
      <c r="H1433" s="253"/>
      <c r="I1433" s="249">
        <v>2.1</v>
      </c>
      <c r="J1433" s="253">
        <f>ROUND(PRODUCT(F1433:I1433),2)</f>
        <v>3.36</v>
      </c>
      <c r="K1433" s="137"/>
      <c r="L1433" s="137"/>
      <c r="M1433" s="137"/>
      <c r="N1433" s="138"/>
      <c r="O1433" s="167"/>
      <c r="P1433" s="111"/>
      <c r="Q1433" s="111"/>
      <c r="R1433" s="111"/>
      <c r="S1433" s="111"/>
      <c r="T1433" s="111"/>
      <c r="U1433" s="111"/>
      <c r="V1433" s="111"/>
      <c r="W1433" s="111"/>
      <c r="X1433" s="111"/>
      <c r="Y1433" s="111"/>
      <c r="Z1433" s="111"/>
      <c r="AA1433" s="111"/>
    </row>
    <row r="1434" spans="1:27" s="118" customFormat="1" x14ac:dyDescent="0.2">
      <c r="A1434" s="6"/>
      <c r="B1434" s="6"/>
      <c r="C1434" s="156"/>
      <c r="D1434" s="108"/>
      <c r="E1434" s="148"/>
      <c r="F1434" s="253"/>
      <c r="G1434" s="253"/>
      <c r="H1434" s="253"/>
      <c r="I1434" s="246" t="str">
        <f>"Total item "&amp;A1431</f>
        <v>Total item 16.4.1</v>
      </c>
      <c r="J1434" s="261">
        <f>SUM(J1433:J1433)</f>
        <v>3.36</v>
      </c>
      <c r="K1434" s="137"/>
      <c r="L1434" s="137"/>
      <c r="M1434" s="137"/>
      <c r="N1434" s="138"/>
      <c r="O1434" s="167"/>
      <c r="P1434" s="111"/>
      <c r="Q1434" s="111"/>
      <c r="R1434" s="111"/>
      <c r="S1434" s="111"/>
      <c r="T1434" s="111"/>
      <c r="U1434" s="111"/>
      <c r="V1434" s="111"/>
      <c r="W1434" s="111"/>
      <c r="X1434" s="111"/>
      <c r="Y1434" s="111"/>
      <c r="Z1434" s="111"/>
      <c r="AA1434" s="111"/>
    </row>
    <row r="1435" spans="1:27" s="118" customFormat="1" x14ac:dyDescent="0.2">
      <c r="A1435" s="6"/>
      <c r="B1435" s="6"/>
      <c r="C1435" s="155"/>
      <c r="D1435" s="108"/>
      <c r="E1435" s="148"/>
      <c r="F1435" s="253"/>
      <c r="G1435" s="253"/>
      <c r="H1435" s="253"/>
      <c r="I1435" s="246"/>
      <c r="J1435" s="258"/>
      <c r="K1435" s="137"/>
      <c r="L1435" s="137"/>
      <c r="M1435" s="137"/>
      <c r="N1435" s="138"/>
      <c r="O1435" s="167"/>
      <c r="P1435" s="111"/>
      <c r="Q1435" s="111"/>
      <c r="R1435" s="111"/>
      <c r="S1435" s="111"/>
      <c r="T1435" s="111"/>
      <c r="U1435" s="111"/>
      <c r="V1435" s="111"/>
      <c r="W1435" s="111"/>
      <c r="X1435" s="111"/>
      <c r="Y1435" s="111"/>
      <c r="Z1435" s="111"/>
      <c r="AA1435" s="111"/>
    </row>
    <row r="1436" spans="1:27" s="145" customFormat="1" x14ac:dyDescent="0.2">
      <c r="A1436" s="140" t="s">
        <v>652</v>
      </c>
      <c r="B1436" s="140"/>
      <c r="C1436" s="141"/>
      <c r="D1436" s="112" t="s">
        <v>80</v>
      </c>
      <c r="E1436" s="140"/>
      <c r="F1436" s="260"/>
      <c r="G1436" s="260"/>
      <c r="H1436" s="260"/>
      <c r="I1436" s="248"/>
      <c r="J1436" s="260"/>
      <c r="K1436" s="142"/>
      <c r="L1436" s="142"/>
      <c r="M1436" s="142"/>
      <c r="N1436" s="143">
        <f>SUM(N1438:N1457)</f>
        <v>35869.47</v>
      </c>
      <c r="O1436" s="285"/>
      <c r="P1436" s="144"/>
      <c r="Q1436" s="144"/>
      <c r="R1436" s="144"/>
      <c r="S1436" s="144"/>
      <c r="T1436" s="144"/>
      <c r="U1436" s="144"/>
      <c r="V1436" s="144"/>
      <c r="W1436" s="144"/>
      <c r="X1436" s="144"/>
      <c r="Y1436" s="144"/>
      <c r="Z1436" s="144"/>
      <c r="AA1436" s="144"/>
    </row>
    <row r="1437" spans="1:27" s="161" customFormat="1" x14ac:dyDescent="0.2">
      <c r="A1437" s="10"/>
      <c r="B1437" s="10"/>
      <c r="C1437" s="190"/>
      <c r="D1437" s="110"/>
      <c r="E1437" s="158"/>
      <c r="F1437" s="267"/>
      <c r="G1437" s="267"/>
      <c r="H1437" s="267"/>
      <c r="I1437" s="250"/>
      <c r="J1437" s="250"/>
      <c r="K1437" s="151"/>
      <c r="L1437" s="151"/>
      <c r="M1437" s="151"/>
      <c r="N1437" s="152"/>
      <c r="O1437" s="167"/>
      <c r="P1437" s="114"/>
      <c r="Q1437" s="114"/>
      <c r="R1437" s="114"/>
      <c r="S1437" s="114"/>
      <c r="T1437" s="114"/>
      <c r="U1437" s="114"/>
      <c r="V1437" s="114"/>
      <c r="W1437" s="114"/>
      <c r="X1437" s="114"/>
      <c r="Y1437" s="114"/>
      <c r="Z1437" s="114"/>
      <c r="AA1437" s="114"/>
    </row>
    <row r="1438" spans="1:27" s="147" customFormat="1" ht="30.6" x14ac:dyDescent="0.2">
      <c r="A1438" s="9" t="s">
        <v>653</v>
      </c>
      <c r="B1438" s="9" t="s">
        <v>89</v>
      </c>
      <c r="C1438" s="197" t="s">
        <v>437</v>
      </c>
      <c r="D1438" s="113" t="s">
        <v>714</v>
      </c>
      <c r="E1438" s="9" t="s">
        <v>9</v>
      </c>
      <c r="F1438" s="261"/>
      <c r="G1438" s="261"/>
      <c r="H1438" s="261"/>
      <c r="I1438" s="245"/>
      <c r="J1438" s="261"/>
      <c r="K1438" s="131">
        <f>J1450</f>
        <v>396.37999999999988</v>
      </c>
      <c r="L1438" s="131">
        <v>59.97</v>
      </c>
      <c r="M1438" s="131">
        <f>ROUND(L1438*(1+$Q$7),2)</f>
        <v>75.88</v>
      </c>
      <c r="N1438" s="133">
        <f>TRUNC(K1438*M1438,2)</f>
        <v>30077.31</v>
      </c>
      <c r="O1438" s="286"/>
      <c r="P1438" s="146"/>
      <c r="Q1438" s="146"/>
      <c r="R1438" s="146"/>
      <c r="S1438" s="146"/>
      <c r="T1438" s="146"/>
      <c r="U1438" s="146"/>
      <c r="V1438" s="146"/>
      <c r="W1438" s="146"/>
      <c r="X1438" s="146"/>
      <c r="Y1438" s="146"/>
      <c r="Z1438" s="146"/>
      <c r="AA1438" s="146"/>
    </row>
    <row r="1439" spans="1:27" s="118" customFormat="1" x14ac:dyDescent="0.2">
      <c r="A1439" s="6"/>
      <c r="B1439" s="6"/>
      <c r="C1439" s="155"/>
      <c r="D1439" s="2" t="s">
        <v>253</v>
      </c>
      <c r="E1439" s="148"/>
      <c r="F1439" s="253"/>
      <c r="G1439" s="253">
        <v>7.97</v>
      </c>
      <c r="H1439" s="253">
        <v>5.98</v>
      </c>
      <c r="I1439" s="249"/>
      <c r="J1439" s="253">
        <f>ROUND(PRODUCT(F1439:I1439),2)</f>
        <v>47.66</v>
      </c>
      <c r="K1439" s="137"/>
      <c r="L1439" s="137"/>
      <c r="M1439" s="137"/>
      <c r="N1439" s="138"/>
      <c r="O1439" s="167"/>
      <c r="P1439" s="111"/>
      <c r="Q1439" s="111"/>
      <c r="R1439" s="111"/>
      <c r="S1439" s="111"/>
      <c r="T1439" s="111"/>
      <c r="U1439" s="111"/>
      <c r="V1439" s="111"/>
      <c r="W1439" s="111"/>
      <c r="X1439" s="111"/>
      <c r="Y1439" s="111"/>
      <c r="Z1439" s="111"/>
      <c r="AA1439" s="111"/>
    </row>
    <row r="1440" spans="1:27" s="118" customFormat="1" x14ac:dyDescent="0.2">
      <c r="A1440" s="6"/>
      <c r="B1440" s="6"/>
      <c r="C1440" s="155"/>
      <c r="D1440" s="2" t="s">
        <v>257</v>
      </c>
      <c r="E1440" s="148"/>
      <c r="F1440" s="253"/>
      <c r="G1440" s="253">
        <v>7.98</v>
      </c>
      <c r="H1440" s="253">
        <v>5.98</v>
      </c>
      <c r="I1440" s="249"/>
      <c r="J1440" s="253">
        <f t="shared" ref="J1440:J1449" si="149">ROUND(PRODUCT(F1440:I1440),2)</f>
        <v>47.72</v>
      </c>
      <c r="K1440" s="137"/>
      <c r="L1440" s="137"/>
      <c r="M1440" s="137"/>
      <c r="N1440" s="138"/>
      <c r="O1440" s="167"/>
      <c r="P1440" s="111"/>
      <c r="Q1440" s="111"/>
      <c r="R1440" s="111"/>
      <c r="S1440" s="111"/>
      <c r="T1440" s="111"/>
      <c r="U1440" s="111"/>
      <c r="V1440" s="111"/>
      <c r="W1440" s="111"/>
      <c r="X1440" s="111"/>
      <c r="Y1440" s="111"/>
      <c r="Z1440" s="111"/>
      <c r="AA1440" s="111"/>
    </row>
    <row r="1441" spans="1:27" s="118" customFormat="1" x14ac:dyDescent="0.2">
      <c r="A1441" s="6"/>
      <c r="B1441" s="6"/>
      <c r="C1441" s="155"/>
      <c r="D1441" s="2" t="s">
        <v>242</v>
      </c>
      <c r="E1441" s="148"/>
      <c r="F1441" s="253"/>
      <c r="G1441" s="253">
        <v>7.98</v>
      </c>
      <c r="H1441" s="253">
        <v>6.02</v>
      </c>
      <c r="I1441" s="249"/>
      <c r="J1441" s="253">
        <f t="shared" si="149"/>
        <v>48.04</v>
      </c>
      <c r="K1441" s="137"/>
      <c r="L1441" s="137"/>
      <c r="M1441" s="137"/>
      <c r="N1441" s="138"/>
      <c r="O1441" s="167"/>
      <c r="P1441" s="111"/>
      <c r="Q1441" s="111"/>
      <c r="R1441" s="111"/>
      <c r="S1441" s="111"/>
      <c r="T1441" s="111"/>
      <c r="U1441" s="111"/>
      <c r="V1441" s="111"/>
      <c r="W1441" s="111"/>
      <c r="X1441" s="111"/>
      <c r="Y1441" s="111"/>
      <c r="Z1441" s="111"/>
      <c r="AA1441" s="111"/>
    </row>
    <row r="1442" spans="1:27" s="118" customFormat="1" x14ac:dyDescent="0.2">
      <c r="A1442" s="6"/>
      <c r="B1442" s="6"/>
      <c r="C1442" s="155"/>
      <c r="D1442" s="2" t="s">
        <v>243</v>
      </c>
      <c r="E1442" s="148"/>
      <c r="F1442" s="253"/>
      <c r="G1442" s="253">
        <v>8.0500000000000007</v>
      </c>
      <c r="H1442" s="253">
        <v>5.84</v>
      </c>
      <c r="I1442" s="249"/>
      <c r="J1442" s="253">
        <f t="shared" si="149"/>
        <v>47.01</v>
      </c>
      <c r="K1442" s="137"/>
      <c r="L1442" s="137"/>
      <c r="M1442" s="137"/>
      <c r="N1442" s="138"/>
      <c r="O1442" s="167"/>
      <c r="P1442" s="111"/>
      <c r="Q1442" s="111"/>
      <c r="R1442" s="111"/>
      <c r="S1442" s="111"/>
      <c r="T1442" s="111"/>
      <c r="U1442" s="111"/>
      <c r="V1442" s="111"/>
      <c r="W1442" s="111"/>
      <c r="X1442" s="111"/>
      <c r="Y1442" s="111"/>
      <c r="Z1442" s="111"/>
      <c r="AA1442" s="111"/>
    </row>
    <row r="1443" spans="1:27" s="118" customFormat="1" x14ac:dyDescent="0.2">
      <c r="A1443" s="6"/>
      <c r="B1443" s="6"/>
      <c r="C1443" s="155"/>
      <c r="D1443" s="2" t="s">
        <v>256</v>
      </c>
      <c r="E1443" s="148"/>
      <c r="F1443" s="253"/>
      <c r="G1443" s="253">
        <v>7.98</v>
      </c>
      <c r="H1443" s="253">
        <v>5.93</v>
      </c>
      <c r="I1443" s="249"/>
      <c r="J1443" s="253">
        <f t="shared" si="149"/>
        <v>47.32</v>
      </c>
      <c r="K1443" s="137"/>
      <c r="L1443" s="137"/>
      <c r="M1443" s="137"/>
      <c r="N1443" s="138"/>
      <c r="O1443" s="167"/>
      <c r="P1443" s="111"/>
      <c r="Q1443" s="111"/>
      <c r="R1443" s="111"/>
      <c r="S1443" s="111"/>
      <c r="T1443" s="111"/>
      <c r="U1443" s="111"/>
      <c r="V1443" s="111"/>
      <c r="W1443" s="111"/>
      <c r="X1443" s="111"/>
      <c r="Y1443" s="111"/>
      <c r="Z1443" s="111"/>
      <c r="AA1443" s="111"/>
    </row>
    <row r="1444" spans="1:27" s="118" customFormat="1" x14ac:dyDescent="0.2">
      <c r="A1444" s="6"/>
      <c r="B1444" s="6"/>
      <c r="C1444" s="155"/>
      <c r="D1444" s="2" t="s">
        <v>266</v>
      </c>
      <c r="E1444" s="148"/>
      <c r="F1444" s="253"/>
      <c r="G1444" s="253">
        <v>7.6</v>
      </c>
      <c r="H1444" s="253">
        <v>6.41</v>
      </c>
      <c r="I1444" s="249"/>
      <c r="J1444" s="253">
        <f t="shared" si="149"/>
        <v>48.72</v>
      </c>
      <c r="K1444" s="137"/>
      <c r="L1444" s="137"/>
      <c r="M1444" s="137"/>
      <c r="N1444" s="138"/>
      <c r="O1444" s="167"/>
      <c r="P1444" s="111"/>
      <c r="Q1444" s="111"/>
      <c r="R1444" s="111"/>
      <c r="S1444" s="111"/>
      <c r="T1444" s="111"/>
      <c r="U1444" s="111"/>
      <c r="V1444" s="111"/>
      <c r="W1444" s="111"/>
      <c r="X1444" s="111"/>
      <c r="Y1444" s="111"/>
      <c r="Z1444" s="111"/>
      <c r="AA1444" s="111"/>
    </row>
    <row r="1445" spans="1:27" s="118" customFormat="1" x14ac:dyDescent="0.2">
      <c r="A1445" s="6"/>
      <c r="B1445" s="6"/>
      <c r="C1445" s="155"/>
      <c r="D1445" s="2" t="s">
        <v>346</v>
      </c>
      <c r="E1445" s="148"/>
      <c r="F1445" s="253"/>
      <c r="G1445" s="253">
        <v>4.07</v>
      </c>
      <c r="H1445" s="253">
        <v>2.57</v>
      </c>
      <c r="I1445" s="249"/>
      <c r="J1445" s="253">
        <f t="shared" si="149"/>
        <v>10.46</v>
      </c>
      <c r="K1445" s="137"/>
      <c r="L1445" s="137"/>
      <c r="M1445" s="137"/>
      <c r="N1445" s="138"/>
      <c r="O1445" s="167"/>
      <c r="P1445" s="111"/>
      <c r="Q1445" s="111"/>
      <c r="R1445" s="111"/>
      <c r="S1445" s="111"/>
      <c r="T1445" s="111"/>
      <c r="U1445" s="111"/>
      <c r="V1445" s="111"/>
      <c r="W1445" s="111"/>
      <c r="X1445" s="111"/>
      <c r="Y1445" s="111"/>
      <c r="Z1445" s="111"/>
      <c r="AA1445" s="111"/>
    </row>
    <row r="1446" spans="1:27" s="118" customFormat="1" x14ac:dyDescent="0.2">
      <c r="A1446" s="6"/>
      <c r="B1446" s="6"/>
      <c r="C1446" s="155"/>
      <c r="D1446" s="2" t="s">
        <v>345</v>
      </c>
      <c r="E1446" s="148"/>
      <c r="F1446" s="253"/>
      <c r="G1446" s="253">
        <v>4.07</v>
      </c>
      <c r="H1446" s="253">
        <v>2.57</v>
      </c>
      <c r="I1446" s="249"/>
      <c r="J1446" s="253">
        <f t="shared" si="149"/>
        <v>10.46</v>
      </c>
      <c r="K1446" s="137"/>
      <c r="L1446" s="137"/>
      <c r="M1446" s="137"/>
      <c r="N1446" s="138"/>
      <c r="O1446" s="167"/>
      <c r="P1446" s="111"/>
      <c r="Q1446" s="111"/>
      <c r="R1446" s="111"/>
      <c r="S1446" s="111"/>
      <c r="T1446" s="111"/>
      <c r="U1446" s="111"/>
      <c r="V1446" s="111"/>
      <c r="W1446" s="111"/>
      <c r="X1446" s="111"/>
      <c r="Y1446" s="111"/>
      <c r="Z1446" s="111"/>
      <c r="AA1446" s="111"/>
    </row>
    <row r="1447" spans="1:27" s="118" customFormat="1" x14ac:dyDescent="0.2">
      <c r="A1447" s="6"/>
      <c r="B1447" s="6"/>
      <c r="C1447" s="155"/>
      <c r="D1447" s="2" t="s">
        <v>384</v>
      </c>
      <c r="E1447" s="148"/>
      <c r="F1447" s="253"/>
      <c r="G1447" s="253">
        <v>6.5</v>
      </c>
      <c r="H1447" s="253">
        <v>4.55</v>
      </c>
      <c r="I1447" s="249"/>
      <c r="J1447" s="253">
        <f t="shared" si="149"/>
        <v>29.58</v>
      </c>
      <c r="K1447" s="137"/>
      <c r="L1447" s="137"/>
      <c r="M1447" s="137"/>
      <c r="N1447" s="138"/>
      <c r="O1447" s="167"/>
      <c r="P1447" s="111"/>
      <c r="Q1447" s="111"/>
      <c r="R1447" s="111"/>
      <c r="S1447" s="111"/>
      <c r="T1447" s="111"/>
      <c r="U1447" s="111"/>
      <c r="V1447" s="111"/>
      <c r="W1447" s="111"/>
      <c r="X1447" s="111"/>
      <c r="Y1447" s="111"/>
      <c r="Z1447" s="111"/>
      <c r="AA1447" s="111"/>
    </row>
    <row r="1448" spans="1:27" s="118" customFormat="1" x14ac:dyDescent="0.2">
      <c r="A1448" s="6"/>
      <c r="B1448" s="6"/>
      <c r="C1448" s="155"/>
      <c r="D1448" s="2" t="s">
        <v>305</v>
      </c>
      <c r="E1448" s="148"/>
      <c r="F1448" s="253"/>
      <c r="G1448" s="253">
        <v>6.5</v>
      </c>
      <c r="H1448" s="253">
        <v>4.54</v>
      </c>
      <c r="I1448" s="249"/>
      <c r="J1448" s="253">
        <f t="shared" si="149"/>
        <v>29.51</v>
      </c>
      <c r="K1448" s="137"/>
      <c r="L1448" s="137"/>
      <c r="M1448" s="137"/>
      <c r="N1448" s="138"/>
      <c r="O1448" s="167"/>
      <c r="P1448" s="111"/>
      <c r="Q1448" s="111"/>
      <c r="R1448" s="111"/>
      <c r="S1448" s="111"/>
      <c r="T1448" s="111"/>
      <c r="U1448" s="111"/>
      <c r="V1448" s="111"/>
      <c r="W1448" s="111"/>
      <c r="X1448" s="111"/>
      <c r="Y1448" s="111"/>
      <c r="Z1448" s="111"/>
      <c r="AA1448" s="111"/>
    </row>
    <row r="1449" spans="1:27" s="118" customFormat="1" x14ac:dyDescent="0.2">
      <c r="A1449" s="6"/>
      <c r="B1449" s="6"/>
      <c r="C1449" s="155"/>
      <c r="D1449" s="2" t="s">
        <v>382</v>
      </c>
      <c r="E1449" s="148"/>
      <c r="F1449" s="253"/>
      <c r="G1449" s="253">
        <v>6.5</v>
      </c>
      <c r="H1449" s="253">
        <v>4.5999999999999996</v>
      </c>
      <c r="I1449" s="249"/>
      <c r="J1449" s="253">
        <f t="shared" si="149"/>
        <v>29.9</v>
      </c>
      <c r="K1449" s="137"/>
      <c r="L1449" s="137"/>
      <c r="M1449" s="137"/>
      <c r="N1449" s="138"/>
      <c r="O1449" s="167"/>
      <c r="P1449" s="111"/>
      <c r="Q1449" s="111"/>
      <c r="R1449" s="111"/>
      <c r="S1449" s="111"/>
      <c r="T1449" s="111"/>
      <c r="U1449" s="111"/>
      <c r="V1449" s="111"/>
      <c r="W1449" s="111"/>
      <c r="X1449" s="111"/>
      <c r="Y1449" s="111"/>
      <c r="Z1449" s="111"/>
      <c r="AA1449" s="111"/>
    </row>
    <row r="1450" spans="1:27" s="118" customFormat="1" x14ac:dyDescent="0.2">
      <c r="A1450" s="6"/>
      <c r="B1450" s="6"/>
      <c r="C1450" s="156"/>
      <c r="D1450" s="108"/>
      <c r="E1450" s="148"/>
      <c r="F1450" s="253"/>
      <c r="G1450" s="253"/>
      <c r="H1450" s="253"/>
      <c r="I1450" s="246" t="str">
        <f>"Total item "&amp;A1438</f>
        <v>Total item 16.5.1</v>
      </c>
      <c r="J1450" s="261">
        <f>SUM(J1439:J1449)</f>
        <v>396.37999999999988</v>
      </c>
      <c r="K1450" s="137"/>
      <c r="L1450" s="137"/>
      <c r="M1450" s="137"/>
      <c r="N1450" s="138"/>
      <c r="O1450" s="167"/>
      <c r="P1450" s="111"/>
      <c r="Q1450" s="111"/>
      <c r="R1450" s="111"/>
      <c r="S1450" s="111"/>
      <c r="T1450" s="111"/>
      <c r="U1450" s="111"/>
      <c r="V1450" s="111"/>
      <c r="W1450" s="111"/>
      <c r="X1450" s="111"/>
      <c r="Y1450" s="111"/>
      <c r="Z1450" s="111"/>
      <c r="AA1450" s="111"/>
    </row>
    <row r="1451" spans="1:27" s="118" customFormat="1" x14ac:dyDescent="0.2">
      <c r="A1451" s="6"/>
      <c r="B1451" s="6"/>
      <c r="C1451" s="155"/>
      <c r="D1451" s="108"/>
      <c r="E1451" s="148"/>
      <c r="F1451" s="253"/>
      <c r="G1451" s="253"/>
      <c r="H1451" s="253"/>
      <c r="I1451" s="246"/>
      <c r="J1451" s="258"/>
      <c r="K1451" s="137"/>
      <c r="L1451" s="137"/>
      <c r="M1451" s="137"/>
      <c r="N1451" s="138"/>
      <c r="O1451" s="167"/>
      <c r="P1451" s="111"/>
      <c r="Q1451" s="111"/>
      <c r="R1451" s="111"/>
      <c r="S1451" s="111"/>
      <c r="T1451" s="111"/>
      <c r="U1451" s="111"/>
      <c r="V1451" s="111"/>
      <c r="W1451" s="111"/>
      <c r="X1451" s="111"/>
      <c r="Y1451" s="111"/>
      <c r="Z1451" s="111"/>
      <c r="AA1451" s="111"/>
    </row>
    <row r="1452" spans="1:27" s="147" customFormat="1" x14ac:dyDescent="0.2">
      <c r="A1452" s="9" t="s">
        <v>654</v>
      </c>
      <c r="B1452" s="9" t="s">
        <v>179</v>
      </c>
      <c r="C1452" s="13" t="s">
        <v>180</v>
      </c>
      <c r="D1452" s="113" t="s">
        <v>77</v>
      </c>
      <c r="E1452" s="9" t="s">
        <v>9</v>
      </c>
      <c r="F1452" s="261"/>
      <c r="G1452" s="261"/>
      <c r="H1452" s="261"/>
      <c r="I1452" s="245"/>
      <c r="J1452" s="261"/>
      <c r="K1452" s="131">
        <f>J1457</f>
        <v>790.2</v>
      </c>
      <c r="L1452" s="131">
        <f>'COMPOSICOES - SINAPI COM DESON'!G18</f>
        <v>5.79</v>
      </c>
      <c r="M1452" s="131">
        <f>ROUND(L1452*(1+$Q$7),2)</f>
        <v>7.33</v>
      </c>
      <c r="N1452" s="133">
        <f>TRUNC(K1452*M1452,2)</f>
        <v>5792.16</v>
      </c>
      <c r="O1452" s="286"/>
      <c r="P1452" s="146"/>
      <c r="Q1452" s="146"/>
      <c r="R1452" s="146"/>
      <c r="S1452" s="146"/>
      <c r="T1452" s="146"/>
      <c r="U1452" s="146"/>
      <c r="V1452" s="146"/>
      <c r="W1452" s="146"/>
      <c r="X1452" s="146"/>
      <c r="Y1452" s="146"/>
      <c r="Z1452" s="146"/>
      <c r="AA1452" s="146"/>
    </row>
    <row r="1453" spans="1:27" s="118" customFormat="1" x14ac:dyDescent="0.2">
      <c r="A1453" s="6"/>
      <c r="B1453" s="6"/>
      <c r="C1453" s="155"/>
      <c r="D1453" s="115"/>
      <c r="E1453" s="148"/>
      <c r="F1453" s="253"/>
      <c r="G1453" s="253">
        <v>31.55</v>
      </c>
      <c r="H1453" s="253">
        <v>4.2</v>
      </c>
      <c r="I1453" s="249"/>
      <c r="J1453" s="253">
        <f>ROUND(PRODUCT(F1453:I1453),2)</f>
        <v>132.51</v>
      </c>
      <c r="K1453" s="137"/>
      <c r="L1453" s="137"/>
      <c r="M1453" s="137"/>
      <c r="N1453" s="138"/>
      <c r="O1453" s="167"/>
      <c r="P1453" s="111"/>
      <c r="Q1453" s="111"/>
      <c r="R1453" s="111"/>
      <c r="S1453" s="111"/>
      <c r="T1453" s="111"/>
      <c r="U1453" s="111"/>
      <c r="V1453" s="111"/>
      <c r="W1453" s="111"/>
      <c r="X1453" s="111"/>
      <c r="Y1453" s="111"/>
      <c r="Z1453" s="111"/>
      <c r="AA1453" s="111"/>
    </row>
    <row r="1454" spans="1:27" s="118" customFormat="1" x14ac:dyDescent="0.2">
      <c r="A1454" s="6"/>
      <c r="B1454" s="6"/>
      <c r="C1454" s="155"/>
      <c r="D1454" s="115"/>
      <c r="E1454" s="148"/>
      <c r="F1454" s="253"/>
      <c r="G1454" s="253">
        <v>24.8</v>
      </c>
      <c r="H1454" s="253">
        <v>10.8</v>
      </c>
      <c r="I1454" s="249"/>
      <c r="J1454" s="253">
        <f t="shared" ref="J1454:J1456" si="150">ROUND(PRODUCT(F1454:I1454),2)</f>
        <v>267.83999999999997</v>
      </c>
      <c r="K1454" s="137"/>
      <c r="L1454" s="137"/>
      <c r="M1454" s="137"/>
      <c r="N1454" s="138"/>
      <c r="O1454" s="167"/>
      <c r="P1454" s="111"/>
      <c r="Q1454" s="111"/>
      <c r="R1454" s="111"/>
      <c r="S1454" s="111"/>
      <c r="T1454" s="111"/>
      <c r="U1454" s="111"/>
      <c r="V1454" s="111"/>
      <c r="W1454" s="111"/>
      <c r="X1454" s="111"/>
      <c r="Y1454" s="111"/>
      <c r="Z1454" s="111"/>
      <c r="AA1454" s="111"/>
    </row>
    <row r="1455" spans="1:27" s="118" customFormat="1" x14ac:dyDescent="0.2">
      <c r="A1455" s="6"/>
      <c r="B1455" s="6"/>
      <c r="C1455" s="155"/>
      <c r="D1455" s="115"/>
      <c r="E1455" s="148"/>
      <c r="F1455" s="253"/>
      <c r="G1455" s="253">
        <v>37.299999999999997</v>
      </c>
      <c r="H1455" s="253">
        <v>8.1</v>
      </c>
      <c r="I1455" s="249"/>
      <c r="J1455" s="253">
        <f t="shared" si="150"/>
        <v>302.13</v>
      </c>
      <c r="K1455" s="137"/>
      <c r="L1455" s="137"/>
      <c r="M1455" s="137"/>
      <c r="N1455" s="138"/>
      <c r="O1455" s="167"/>
      <c r="P1455" s="111"/>
      <c r="Q1455" s="111"/>
      <c r="R1455" s="111"/>
      <c r="S1455" s="111"/>
      <c r="T1455" s="111"/>
      <c r="U1455" s="111"/>
      <c r="V1455" s="111"/>
      <c r="W1455" s="111"/>
      <c r="X1455" s="111"/>
      <c r="Y1455" s="111"/>
      <c r="Z1455" s="111"/>
      <c r="AA1455" s="111"/>
    </row>
    <row r="1456" spans="1:27" s="118" customFormat="1" x14ac:dyDescent="0.2">
      <c r="A1456" s="6"/>
      <c r="B1456" s="6"/>
      <c r="C1456" s="155"/>
      <c r="D1456" s="115"/>
      <c r="E1456" s="148"/>
      <c r="F1456" s="253"/>
      <c r="G1456" s="253">
        <v>6.8</v>
      </c>
      <c r="H1456" s="253">
        <v>12.9</v>
      </c>
      <c r="I1456" s="249"/>
      <c r="J1456" s="253">
        <f t="shared" si="150"/>
        <v>87.72</v>
      </c>
      <c r="K1456" s="137"/>
      <c r="L1456" s="137"/>
      <c r="M1456" s="137"/>
      <c r="N1456" s="138"/>
      <c r="O1456" s="167"/>
      <c r="P1456" s="111"/>
      <c r="Q1456" s="111"/>
      <c r="R1456" s="111"/>
      <c r="S1456" s="111"/>
      <c r="T1456" s="111"/>
      <c r="U1456" s="111"/>
      <c r="V1456" s="111"/>
      <c r="W1456" s="111"/>
      <c r="X1456" s="111"/>
      <c r="Y1456" s="111"/>
      <c r="Z1456" s="111"/>
      <c r="AA1456" s="111"/>
    </row>
    <row r="1457" spans="1:27" s="118" customFormat="1" x14ac:dyDescent="0.2">
      <c r="A1457" s="6"/>
      <c r="B1457" s="6"/>
      <c r="C1457" s="156"/>
      <c r="D1457" s="108"/>
      <c r="E1457" s="148"/>
      <c r="F1457" s="253"/>
      <c r="G1457" s="253"/>
      <c r="H1457" s="253"/>
      <c r="I1457" s="246" t="str">
        <f>"Total item "&amp;A1452</f>
        <v>Total item 16.5.2</v>
      </c>
      <c r="J1457" s="261">
        <f>SUM(J1453:J1456)</f>
        <v>790.2</v>
      </c>
      <c r="K1457" s="137"/>
      <c r="L1457" s="137"/>
      <c r="M1457" s="137"/>
      <c r="N1457" s="138"/>
      <c r="O1457" s="167"/>
      <c r="P1457" s="111"/>
      <c r="Q1457" s="111"/>
      <c r="R1457" s="111"/>
      <c r="S1457" s="111"/>
      <c r="T1457" s="111"/>
      <c r="U1457" s="111"/>
      <c r="V1457" s="111"/>
      <c r="W1457" s="111"/>
      <c r="X1457" s="111"/>
      <c r="Y1457" s="111"/>
      <c r="Z1457" s="111"/>
      <c r="AA1457" s="111"/>
    </row>
    <row r="1458" spans="1:27" s="118" customFormat="1" x14ac:dyDescent="0.2">
      <c r="A1458" s="6"/>
      <c r="B1458" s="6"/>
      <c r="C1458" s="155"/>
      <c r="D1458" s="108"/>
      <c r="E1458" s="148"/>
      <c r="F1458" s="253"/>
      <c r="G1458" s="253"/>
      <c r="H1458" s="253"/>
      <c r="I1458" s="246"/>
      <c r="J1458" s="258"/>
      <c r="K1458" s="137"/>
      <c r="L1458" s="137"/>
      <c r="M1458" s="137"/>
      <c r="N1458" s="138"/>
      <c r="O1458" s="167"/>
      <c r="P1458" s="111"/>
      <c r="Q1458" s="111"/>
      <c r="R1458" s="111"/>
      <c r="S1458" s="111"/>
      <c r="T1458" s="111"/>
      <c r="U1458" s="111"/>
      <c r="V1458" s="111"/>
      <c r="W1458" s="111"/>
      <c r="X1458" s="111"/>
      <c r="Y1458" s="111"/>
      <c r="Z1458" s="111"/>
      <c r="AA1458" s="111"/>
    </row>
    <row r="1459" spans="1:27" s="145" customFormat="1" x14ac:dyDescent="0.2">
      <c r="A1459" s="140" t="s">
        <v>656</v>
      </c>
      <c r="B1459" s="140"/>
      <c r="C1459" s="141"/>
      <c r="D1459" s="112" t="s">
        <v>267</v>
      </c>
      <c r="E1459" s="140"/>
      <c r="F1459" s="260"/>
      <c r="G1459" s="260"/>
      <c r="H1459" s="260"/>
      <c r="I1459" s="248"/>
      <c r="J1459" s="260"/>
      <c r="K1459" s="142"/>
      <c r="L1459" s="142"/>
      <c r="M1459" s="142"/>
      <c r="N1459" s="143">
        <f>SUM(N1461:N1465)</f>
        <v>55.32</v>
      </c>
      <c r="O1459" s="285"/>
      <c r="P1459" s="144"/>
      <c r="Q1459" s="144"/>
      <c r="R1459" s="144"/>
      <c r="S1459" s="144"/>
      <c r="T1459" s="144"/>
      <c r="U1459" s="144"/>
      <c r="V1459" s="144"/>
      <c r="W1459" s="144"/>
      <c r="X1459" s="144"/>
      <c r="Y1459" s="144"/>
      <c r="Z1459" s="144"/>
      <c r="AA1459" s="144"/>
    </row>
    <row r="1460" spans="1:27" s="118" customFormat="1" x14ac:dyDescent="0.2">
      <c r="A1460" s="6"/>
      <c r="B1460" s="6"/>
      <c r="C1460" s="155"/>
      <c r="D1460" s="108"/>
      <c r="E1460" s="148"/>
      <c r="F1460" s="253"/>
      <c r="G1460" s="253"/>
      <c r="H1460" s="253"/>
      <c r="I1460" s="246"/>
      <c r="J1460" s="258"/>
      <c r="K1460" s="137"/>
      <c r="L1460" s="137"/>
      <c r="M1460" s="137"/>
      <c r="N1460" s="138"/>
      <c r="O1460" s="167"/>
      <c r="P1460" s="111"/>
      <c r="Q1460" s="111"/>
      <c r="R1460" s="111"/>
      <c r="S1460" s="111"/>
      <c r="T1460" s="111"/>
      <c r="U1460" s="111"/>
      <c r="V1460" s="111"/>
      <c r="W1460" s="111"/>
      <c r="X1460" s="111"/>
      <c r="Y1460" s="111"/>
      <c r="Z1460" s="111"/>
      <c r="AA1460" s="111"/>
    </row>
    <row r="1461" spans="1:27" s="147" customFormat="1" x14ac:dyDescent="0.2">
      <c r="A1461" s="9" t="s">
        <v>657</v>
      </c>
      <c r="B1461" s="9" t="s">
        <v>89</v>
      </c>
      <c r="C1461" s="13">
        <v>6171</v>
      </c>
      <c r="D1461" s="113" t="s">
        <v>268</v>
      </c>
      <c r="E1461" s="9" t="s">
        <v>33</v>
      </c>
      <c r="F1461" s="261"/>
      <c r="G1461" s="261"/>
      <c r="H1461" s="261"/>
      <c r="I1461" s="245"/>
      <c r="J1461" s="261"/>
      <c r="K1461" s="131">
        <f>J1464</f>
        <v>2</v>
      </c>
      <c r="L1461" s="131">
        <v>21.86</v>
      </c>
      <c r="M1461" s="131">
        <f>ROUND(L1461*(1+$Q$7),2)</f>
        <v>27.66</v>
      </c>
      <c r="N1461" s="133">
        <f>TRUNC(K1461*M1461,2)</f>
        <v>55.32</v>
      </c>
      <c r="O1461" s="286"/>
      <c r="P1461" s="146"/>
      <c r="Q1461" s="146"/>
      <c r="R1461" s="146"/>
      <c r="S1461" s="146"/>
      <c r="T1461" s="146"/>
      <c r="U1461" s="146"/>
      <c r="V1461" s="146"/>
      <c r="W1461" s="146"/>
      <c r="X1461" s="146"/>
      <c r="Y1461" s="146"/>
      <c r="Z1461" s="146"/>
      <c r="AA1461" s="146"/>
    </row>
    <row r="1462" spans="1:27" s="118" customFormat="1" x14ac:dyDescent="0.2">
      <c r="A1462" s="6"/>
      <c r="B1462" s="6"/>
      <c r="C1462" s="155"/>
      <c r="D1462" s="2" t="s">
        <v>385</v>
      </c>
      <c r="E1462" s="148"/>
      <c r="F1462" s="253">
        <v>1</v>
      </c>
      <c r="G1462" s="253"/>
      <c r="H1462" s="253"/>
      <c r="I1462" s="249"/>
      <c r="J1462" s="253">
        <f>ROUND(PRODUCT(F1462:I1462),2)</f>
        <v>1</v>
      </c>
      <c r="K1462" s="137"/>
      <c r="L1462" s="137"/>
      <c r="M1462" s="137"/>
      <c r="N1462" s="138"/>
      <c r="O1462" s="167"/>
      <c r="P1462" s="111"/>
      <c r="Q1462" s="111"/>
      <c r="R1462" s="111"/>
      <c r="S1462" s="111"/>
      <c r="T1462" s="111"/>
      <c r="U1462" s="111"/>
      <c r="V1462" s="111"/>
      <c r="W1462" s="111"/>
      <c r="X1462" s="111"/>
      <c r="Y1462" s="111"/>
      <c r="Z1462" s="111"/>
      <c r="AA1462" s="111"/>
    </row>
    <row r="1463" spans="1:27" s="118" customFormat="1" x14ac:dyDescent="0.2">
      <c r="A1463" s="6"/>
      <c r="B1463" s="6"/>
      <c r="C1463" s="155"/>
      <c r="D1463" s="2" t="s">
        <v>201</v>
      </c>
      <c r="E1463" s="148"/>
      <c r="F1463" s="253">
        <v>1</v>
      </c>
      <c r="G1463" s="253"/>
      <c r="H1463" s="253"/>
      <c r="I1463" s="249"/>
      <c r="J1463" s="253">
        <f>ROUND(PRODUCT(F1463:I1463),2)</f>
        <v>1</v>
      </c>
      <c r="K1463" s="137"/>
      <c r="L1463" s="137"/>
      <c r="M1463" s="137"/>
      <c r="N1463" s="138"/>
      <c r="O1463" s="167"/>
      <c r="P1463" s="111"/>
      <c r="Q1463" s="111"/>
      <c r="R1463" s="111"/>
      <c r="S1463" s="111"/>
      <c r="T1463" s="111"/>
      <c r="U1463" s="111"/>
      <c r="V1463" s="111"/>
      <c r="W1463" s="111"/>
      <c r="X1463" s="111"/>
      <c r="Y1463" s="111"/>
      <c r="Z1463" s="111"/>
      <c r="AA1463" s="111"/>
    </row>
    <row r="1464" spans="1:27" s="118" customFormat="1" x14ac:dyDescent="0.2">
      <c r="A1464" s="6"/>
      <c r="B1464" s="6"/>
      <c r="C1464" s="156"/>
      <c r="D1464" s="108"/>
      <c r="E1464" s="148"/>
      <c r="F1464" s="253"/>
      <c r="G1464" s="253"/>
      <c r="H1464" s="253"/>
      <c r="I1464" s="246" t="str">
        <f>"Total item "&amp;A1461</f>
        <v>Total item 16.6.1</v>
      </c>
      <c r="J1464" s="261">
        <f>SUM(J1462:J1463)</f>
        <v>2</v>
      </c>
      <c r="K1464" s="137"/>
      <c r="L1464" s="137"/>
      <c r="M1464" s="137"/>
      <c r="N1464" s="138"/>
      <c r="O1464" s="167"/>
      <c r="P1464" s="111"/>
      <c r="Q1464" s="111"/>
      <c r="R1464" s="111"/>
      <c r="S1464" s="111"/>
      <c r="T1464" s="111"/>
      <c r="U1464" s="111"/>
      <c r="V1464" s="111"/>
      <c r="W1464" s="111"/>
      <c r="X1464" s="111"/>
      <c r="Y1464" s="111"/>
      <c r="Z1464" s="111"/>
      <c r="AA1464" s="111"/>
    </row>
    <row r="1465" spans="1:27" s="118" customFormat="1" x14ac:dyDescent="0.2">
      <c r="A1465" s="6"/>
      <c r="B1465" s="6"/>
      <c r="C1465" s="155"/>
      <c r="D1465" s="108"/>
      <c r="E1465" s="148"/>
      <c r="F1465" s="253"/>
      <c r="G1465" s="253"/>
      <c r="H1465" s="253"/>
      <c r="I1465" s="246"/>
      <c r="J1465" s="258"/>
      <c r="K1465" s="137"/>
      <c r="L1465" s="137"/>
      <c r="M1465" s="137"/>
      <c r="N1465" s="138"/>
      <c r="O1465" s="167"/>
      <c r="P1465" s="111"/>
      <c r="Q1465" s="111"/>
      <c r="R1465" s="111"/>
      <c r="S1465" s="111"/>
      <c r="T1465" s="111"/>
      <c r="U1465" s="111"/>
      <c r="V1465" s="111"/>
      <c r="W1465" s="111"/>
      <c r="X1465" s="111"/>
      <c r="Y1465" s="111"/>
      <c r="Z1465" s="111"/>
      <c r="AA1465" s="111"/>
    </row>
    <row r="1466" spans="1:27" s="154" customFormat="1" x14ac:dyDescent="0.2">
      <c r="A1466" s="10"/>
      <c r="B1466" s="10"/>
      <c r="C1466" s="15"/>
      <c r="D1466" s="117"/>
      <c r="E1466" s="10"/>
      <c r="F1466" s="263"/>
      <c r="G1466" s="263"/>
      <c r="H1466" s="263"/>
      <c r="I1466" s="250"/>
      <c r="J1466" s="263"/>
      <c r="K1466" s="151"/>
      <c r="L1466" s="151"/>
      <c r="M1466" s="151"/>
      <c r="N1466" s="152"/>
      <c r="O1466" s="283"/>
      <c r="P1466" s="153"/>
      <c r="Q1466" s="153"/>
      <c r="R1466" s="153"/>
      <c r="S1466" s="153"/>
      <c r="T1466" s="153"/>
      <c r="U1466" s="153"/>
      <c r="V1466" s="153"/>
      <c r="W1466" s="153"/>
      <c r="X1466" s="153"/>
      <c r="Y1466" s="153"/>
      <c r="Z1466" s="153"/>
      <c r="AA1466" s="153"/>
    </row>
    <row r="1467" spans="1:27" s="241" customFormat="1" ht="26.4" x14ac:dyDescent="0.25">
      <c r="A1467" s="236" t="s">
        <v>233</v>
      </c>
      <c r="B1467" s="236"/>
      <c r="C1467" s="237"/>
      <c r="D1467" s="289" t="s">
        <v>226</v>
      </c>
      <c r="E1467" s="236"/>
      <c r="F1467" s="259"/>
      <c r="G1467" s="259"/>
      <c r="H1467" s="259"/>
      <c r="I1467" s="247"/>
      <c r="J1467" s="259"/>
      <c r="K1467" s="238"/>
      <c r="L1467" s="238"/>
      <c r="M1467" s="238"/>
      <c r="N1467" s="239" t="e">
        <f>SUM(N1469,N1507,N1525,N1540)</f>
        <v>#VALUE!</v>
      </c>
      <c r="O1467" s="284" t="e">
        <f>N1467/$N$2057</f>
        <v>#VALUE!</v>
      </c>
      <c r="P1467" s="240" t="s">
        <v>533</v>
      </c>
      <c r="Q1467" s="240" t="s">
        <v>533</v>
      </c>
      <c r="R1467" s="240"/>
      <c r="S1467" s="240"/>
      <c r="T1467" s="240"/>
      <c r="U1467" s="240"/>
      <c r="V1467" s="240"/>
      <c r="W1467" s="240"/>
      <c r="X1467" s="240"/>
      <c r="Y1467" s="240"/>
      <c r="Z1467" s="240"/>
      <c r="AA1467" s="240"/>
    </row>
    <row r="1468" spans="1:27" s="154" customFormat="1" x14ac:dyDescent="0.2">
      <c r="A1468" s="10"/>
      <c r="B1468" s="10"/>
      <c r="C1468" s="15"/>
      <c r="D1468" s="117"/>
      <c r="E1468" s="10"/>
      <c r="F1468" s="263"/>
      <c r="G1468" s="263"/>
      <c r="H1468" s="263"/>
      <c r="I1468" s="250"/>
      <c r="J1468" s="263"/>
      <c r="K1468" s="151"/>
      <c r="L1468" s="151"/>
      <c r="M1468" s="151"/>
      <c r="N1468" s="152"/>
      <c r="O1468" s="283"/>
      <c r="P1468" s="153"/>
      <c r="Q1468" s="153"/>
      <c r="R1468" s="153"/>
      <c r="S1468" s="153"/>
      <c r="T1468" s="153"/>
      <c r="U1468" s="153"/>
      <c r="V1468" s="153"/>
      <c r="W1468" s="153"/>
      <c r="X1468" s="153"/>
      <c r="Y1468" s="153"/>
      <c r="Z1468" s="153"/>
      <c r="AA1468" s="153"/>
    </row>
    <row r="1469" spans="1:27" s="145" customFormat="1" x14ac:dyDescent="0.2">
      <c r="A1469" s="140" t="s">
        <v>380</v>
      </c>
      <c r="B1469" s="140"/>
      <c r="C1469" s="141"/>
      <c r="D1469" s="112" t="s">
        <v>30</v>
      </c>
      <c r="E1469" s="140"/>
      <c r="F1469" s="260"/>
      <c r="G1469" s="260"/>
      <c r="H1469" s="260"/>
      <c r="I1469" s="248"/>
      <c r="J1469" s="260"/>
      <c r="K1469" s="142"/>
      <c r="L1469" s="142"/>
      <c r="M1469" s="142"/>
      <c r="N1469" s="143" t="e">
        <f>SUM(N1471:N1506)</f>
        <v>#VALUE!</v>
      </c>
      <c r="O1469" s="285"/>
      <c r="P1469" s="144"/>
      <c r="Q1469" s="144"/>
      <c r="R1469" s="144"/>
      <c r="S1469" s="144"/>
      <c r="T1469" s="144"/>
      <c r="U1469" s="144"/>
      <c r="V1469" s="144"/>
      <c r="W1469" s="144"/>
      <c r="X1469" s="144"/>
      <c r="Y1469" s="144"/>
      <c r="Z1469" s="144"/>
      <c r="AA1469" s="144"/>
    </row>
    <row r="1470" spans="1:27" s="154" customFormat="1" x14ac:dyDescent="0.2">
      <c r="A1470" s="10"/>
      <c r="B1470" s="10"/>
      <c r="C1470" s="15"/>
      <c r="D1470" s="117"/>
      <c r="E1470" s="10"/>
      <c r="F1470" s="263"/>
      <c r="G1470" s="263"/>
      <c r="H1470" s="263"/>
      <c r="I1470" s="250"/>
      <c r="J1470" s="263"/>
      <c r="K1470" s="151"/>
      <c r="L1470" s="151"/>
      <c r="M1470" s="151"/>
      <c r="N1470" s="152"/>
      <c r="O1470" s="283"/>
      <c r="P1470" s="153"/>
      <c r="Q1470" s="153"/>
      <c r="R1470" s="153"/>
      <c r="S1470" s="153"/>
      <c r="T1470" s="153"/>
      <c r="U1470" s="153"/>
      <c r="V1470" s="153"/>
      <c r="W1470" s="153"/>
      <c r="X1470" s="153"/>
      <c r="Y1470" s="153"/>
      <c r="Z1470" s="153"/>
      <c r="AA1470" s="153"/>
    </row>
    <row r="1471" spans="1:27" s="147" customFormat="1" ht="30.6" x14ac:dyDescent="0.2">
      <c r="A1471" s="9" t="s">
        <v>381</v>
      </c>
      <c r="B1471" s="9" t="s">
        <v>163</v>
      </c>
      <c r="C1471" s="13" t="s">
        <v>240</v>
      </c>
      <c r="D1471" s="113" t="s">
        <v>241</v>
      </c>
      <c r="E1471" s="9" t="s">
        <v>31</v>
      </c>
      <c r="F1471" s="261"/>
      <c r="G1471" s="261"/>
      <c r="H1471" s="261"/>
      <c r="I1471" s="245"/>
      <c r="J1471" s="261"/>
      <c r="K1471" s="131">
        <f>J1474</f>
        <v>2</v>
      </c>
      <c r="L1471" s="131">
        <v>73.44</v>
      </c>
      <c r="M1471" s="131">
        <f>ROUND(L1471*(1+$Q$7),2)</f>
        <v>92.92</v>
      </c>
      <c r="N1471" s="133">
        <f>TRUNC(K1471*M1471,2)</f>
        <v>185.84</v>
      </c>
      <c r="O1471" s="286"/>
      <c r="P1471" s="146"/>
      <c r="Q1471" s="146"/>
      <c r="R1471" s="146"/>
      <c r="S1471" s="146"/>
      <c r="T1471" s="146"/>
      <c r="U1471" s="146"/>
      <c r="V1471" s="146"/>
      <c r="W1471" s="146"/>
      <c r="X1471" s="146"/>
      <c r="Y1471" s="146"/>
      <c r="Z1471" s="146"/>
      <c r="AA1471" s="146"/>
    </row>
    <row r="1472" spans="1:27" s="118" customFormat="1" x14ac:dyDescent="0.2">
      <c r="A1472" s="6"/>
      <c r="B1472" s="6"/>
      <c r="C1472" s="155"/>
      <c r="D1472" s="2" t="s">
        <v>284</v>
      </c>
      <c r="E1472" s="148"/>
      <c r="F1472" s="253">
        <v>1</v>
      </c>
      <c r="G1472" s="253"/>
      <c r="H1472" s="253"/>
      <c r="I1472" s="246"/>
      <c r="J1472" s="253">
        <f>ROUND(PRODUCT(F1472:I1472),2)</f>
        <v>1</v>
      </c>
      <c r="K1472" s="137"/>
      <c r="L1472" s="137"/>
      <c r="M1472" s="137"/>
      <c r="N1472" s="138"/>
      <c r="O1472" s="167"/>
      <c r="P1472" s="111"/>
      <c r="Q1472" s="111"/>
      <c r="R1472" s="111"/>
      <c r="S1472" s="111"/>
      <c r="T1472" s="111"/>
      <c r="U1472" s="111"/>
      <c r="V1472" s="111"/>
      <c r="W1472" s="111"/>
      <c r="X1472" s="111"/>
      <c r="Y1472" s="111"/>
      <c r="Z1472" s="111"/>
      <c r="AA1472" s="111"/>
    </row>
    <row r="1473" spans="1:27" s="118" customFormat="1" x14ac:dyDescent="0.2">
      <c r="A1473" s="6"/>
      <c r="B1473" s="6"/>
      <c r="C1473" s="155"/>
      <c r="D1473" s="2" t="s">
        <v>285</v>
      </c>
      <c r="E1473" s="148"/>
      <c r="F1473" s="253">
        <v>1</v>
      </c>
      <c r="G1473" s="253"/>
      <c r="H1473" s="253"/>
      <c r="I1473" s="246"/>
      <c r="J1473" s="253">
        <f>ROUND(PRODUCT(F1473:I1473),2)</f>
        <v>1</v>
      </c>
      <c r="K1473" s="137"/>
      <c r="L1473" s="137"/>
      <c r="M1473" s="137"/>
      <c r="N1473" s="138"/>
      <c r="O1473" s="167"/>
      <c r="P1473" s="111"/>
      <c r="Q1473" s="111"/>
      <c r="R1473" s="111"/>
      <c r="S1473" s="111"/>
      <c r="T1473" s="111"/>
      <c r="U1473" s="111"/>
      <c r="V1473" s="111"/>
      <c r="W1473" s="111"/>
      <c r="X1473" s="111"/>
      <c r="Y1473" s="111"/>
      <c r="Z1473" s="111"/>
      <c r="AA1473" s="111"/>
    </row>
    <row r="1474" spans="1:27" s="118" customFormat="1" x14ac:dyDescent="0.2">
      <c r="A1474" s="6"/>
      <c r="B1474" s="6"/>
      <c r="C1474" s="156"/>
      <c r="D1474" s="108"/>
      <c r="E1474" s="148"/>
      <c r="F1474" s="253"/>
      <c r="G1474" s="253"/>
      <c r="H1474" s="253"/>
      <c r="I1474" s="246" t="str">
        <f>"Total item "&amp;A1471</f>
        <v>Total item 17.1.1</v>
      </c>
      <c r="J1474" s="261">
        <f>SUM(J1472:J1473)</f>
        <v>2</v>
      </c>
      <c r="K1474" s="137"/>
      <c r="L1474" s="137"/>
      <c r="M1474" s="137"/>
      <c r="N1474" s="138"/>
      <c r="O1474" s="167"/>
      <c r="P1474" s="111"/>
      <c r="Q1474" s="111"/>
      <c r="R1474" s="111"/>
      <c r="S1474" s="111"/>
      <c r="T1474" s="111"/>
      <c r="U1474" s="111"/>
      <c r="V1474" s="111"/>
      <c r="W1474" s="111"/>
      <c r="X1474" s="111"/>
      <c r="Y1474" s="111"/>
      <c r="Z1474" s="111"/>
      <c r="AA1474" s="111"/>
    </row>
    <row r="1475" spans="1:27" s="139" customFormat="1" x14ac:dyDescent="0.2">
      <c r="A1475" s="6"/>
      <c r="B1475" s="6"/>
      <c r="C1475" s="7"/>
      <c r="D1475" s="116"/>
      <c r="E1475" s="6"/>
      <c r="F1475" s="258"/>
      <c r="G1475" s="258"/>
      <c r="H1475" s="258"/>
      <c r="I1475" s="246"/>
      <c r="J1475" s="258"/>
      <c r="K1475" s="137"/>
      <c r="L1475" s="137"/>
      <c r="M1475" s="137"/>
      <c r="N1475" s="138"/>
      <c r="O1475" s="283"/>
      <c r="P1475" s="120"/>
      <c r="Q1475" s="120"/>
      <c r="R1475" s="120"/>
      <c r="S1475" s="120"/>
      <c r="T1475" s="120"/>
      <c r="U1475" s="120"/>
      <c r="V1475" s="120"/>
      <c r="W1475" s="120"/>
      <c r="X1475" s="120"/>
      <c r="Y1475" s="120"/>
      <c r="Z1475" s="120"/>
      <c r="AA1475" s="120"/>
    </row>
    <row r="1476" spans="1:27" s="147" customFormat="1" ht="30.6" x14ac:dyDescent="0.2">
      <c r="A1476" s="9" t="s">
        <v>386</v>
      </c>
      <c r="B1476" s="9" t="s">
        <v>179</v>
      </c>
      <c r="C1476" s="13" t="s">
        <v>672</v>
      </c>
      <c r="D1476" s="113" t="s">
        <v>567</v>
      </c>
      <c r="E1476" s="9" t="s">
        <v>33</v>
      </c>
      <c r="F1476" s="261"/>
      <c r="G1476" s="261"/>
      <c r="H1476" s="261"/>
      <c r="I1476" s="245"/>
      <c r="J1476" s="261"/>
      <c r="K1476" s="131">
        <f>J1481</f>
        <v>4</v>
      </c>
      <c r="L1476" s="131">
        <f>'COMPOSICOES - SINAPI COM DESON'!G50</f>
        <v>104.48</v>
      </c>
      <c r="M1476" s="131">
        <f>ROUND(L1476*(1+$Q$7),2)</f>
        <v>132.19999999999999</v>
      </c>
      <c r="N1476" s="133">
        <f>TRUNC(K1476*M1476,2)</f>
        <v>528.79999999999995</v>
      </c>
      <c r="O1476" s="286"/>
      <c r="P1476" s="146"/>
      <c r="Q1476" s="146"/>
      <c r="R1476" s="146"/>
      <c r="S1476" s="146"/>
      <c r="T1476" s="146"/>
      <c r="U1476" s="146"/>
      <c r="V1476" s="146"/>
      <c r="W1476" s="146"/>
      <c r="X1476" s="146"/>
      <c r="Y1476" s="146"/>
      <c r="Z1476" s="146"/>
      <c r="AA1476" s="146"/>
    </row>
    <row r="1477" spans="1:27" s="118" customFormat="1" x14ac:dyDescent="0.2">
      <c r="A1477" s="6"/>
      <c r="B1477" s="6"/>
      <c r="C1477" s="155"/>
      <c r="D1477" s="2" t="s">
        <v>253</v>
      </c>
      <c r="E1477" s="148"/>
      <c r="F1477" s="253">
        <v>1</v>
      </c>
      <c r="G1477" s="253"/>
      <c r="H1477" s="253"/>
      <c r="I1477" s="246"/>
      <c r="J1477" s="253">
        <f>ROUND(PRODUCT(F1477:I1477),2)</f>
        <v>1</v>
      </c>
      <c r="K1477" s="137"/>
      <c r="L1477" s="137"/>
      <c r="M1477" s="137"/>
      <c r="N1477" s="138"/>
      <c r="O1477" s="167"/>
      <c r="P1477" s="111"/>
      <c r="Q1477" s="111"/>
      <c r="R1477" s="111"/>
      <c r="S1477" s="111"/>
      <c r="T1477" s="111"/>
      <c r="U1477" s="111"/>
      <c r="V1477" s="111"/>
      <c r="W1477" s="111"/>
      <c r="X1477" s="111"/>
      <c r="Y1477" s="111"/>
      <c r="Z1477" s="111"/>
      <c r="AA1477" s="111"/>
    </row>
    <row r="1478" spans="1:27" s="118" customFormat="1" x14ac:dyDescent="0.2">
      <c r="A1478" s="6"/>
      <c r="B1478" s="6"/>
      <c r="C1478" s="155"/>
      <c r="D1478" s="2" t="s">
        <v>242</v>
      </c>
      <c r="E1478" s="148"/>
      <c r="F1478" s="253">
        <v>1</v>
      </c>
      <c r="G1478" s="253"/>
      <c r="H1478" s="253"/>
      <c r="I1478" s="246"/>
      <c r="J1478" s="253">
        <f t="shared" ref="J1478:J1480" si="151">ROUND(PRODUCT(F1478:I1478),2)</f>
        <v>1</v>
      </c>
      <c r="K1478" s="137"/>
      <c r="L1478" s="137"/>
      <c r="M1478" s="137"/>
      <c r="N1478" s="138"/>
      <c r="O1478" s="167"/>
      <c r="P1478" s="111"/>
      <c r="Q1478" s="111"/>
      <c r="R1478" s="111"/>
      <c r="S1478" s="111"/>
      <c r="T1478" s="111"/>
      <c r="U1478" s="111"/>
      <c r="V1478" s="111"/>
      <c r="W1478" s="111"/>
      <c r="X1478" s="111"/>
      <c r="Y1478" s="111"/>
      <c r="Z1478" s="111"/>
      <c r="AA1478" s="111"/>
    </row>
    <row r="1479" spans="1:27" s="118" customFormat="1" x14ac:dyDescent="0.2">
      <c r="A1479" s="6"/>
      <c r="B1479" s="6"/>
      <c r="C1479" s="155"/>
      <c r="D1479" s="2" t="s">
        <v>283</v>
      </c>
      <c r="E1479" s="148"/>
      <c r="F1479" s="253">
        <v>1</v>
      </c>
      <c r="G1479" s="253"/>
      <c r="H1479" s="253"/>
      <c r="I1479" s="246"/>
      <c r="J1479" s="253">
        <f t="shared" si="151"/>
        <v>1</v>
      </c>
      <c r="K1479" s="137"/>
      <c r="L1479" s="137"/>
      <c r="M1479" s="137"/>
      <c r="N1479" s="138"/>
      <c r="O1479" s="167"/>
      <c r="P1479" s="111"/>
      <c r="Q1479" s="111"/>
      <c r="R1479" s="111"/>
      <c r="S1479" s="111"/>
      <c r="T1479" s="111"/>
      <c r="U1479" s="111"/>
      <c r="V1479" s="111"/>
      <c r="W1479" s="111"/>
      <c r="X1479" s="111"/>
      <c r="Y1479" s="111"/>
      <c r="Z1479" s="111"/>
      <c r="AA1479" s="111"/>
    </row>
    <row r="1480" spans="1:27" s="118" customFormat="1" x14ac:dyDescent="0.2">
      <c r="A1480" s="6"/>
      <c r="B1480" s="6"/>
      <c r="C1480" s="155"/>
      <c r="D1480" s="2" t="s">
        <v>286</v>
      </c>
      <c r="E1480" s="148"/>
      <c r="F1480" s="253">
        <v>1</v>
      </c>
      <c r="G1480" s="253"/>
      <c r="H1480" s="253"/>
      <c r="I1480" s="246"/>
      <c r="J1480" s="253">
        <f t="shared" si="151"/>
        <v>1</v>
      </c>
      <c r="K1480" s="137"/>
      <c r="L1480" s="137"/>
      <c r="M1480" s="137"/>
      <c r="N1480" s="138"/>
      <c r="O1480" s="167"/>
      <c r="P1480" s="111"/>
      <c r="Q1480" s="111"/>
      <c r="R1480" s="111"/>
      <c r="S1480" s="111"/>
      <c r="T1480" s="111"/>
      <c r="U1480" s="111"/>
      <c r="V1480" s="111"/>
      <c r="W1480" s="111"/>
      <c r="X1480" s="111"/>
      <c r="Y1480" s="111"/>
      <c r="Z1480" s="111"/>
      <c r="AA1480" s="111"/>
    </row>
    <row r="1481" spans="1:27" s="118" customFormat="1" x14ac:dyDescent="0.2">
      <c r="A1481" s="6"/>
      <c r="B1481" s="6"/>
      <c r="C1481" s="156"/>
      <c r="D1481" s="108"/>
      <c r="E1481" s="148"/>
      <c r="F1481" s="253"/>
      <c r="G1481" s="253"/>
      <c r="H1481" s="253"/>
      <c r="I1481" s="246" t="str">
        <f>"Total item "&amp;A1476</f>
        <v>Total item 17.1.2</v>
      </c>
      <c r="J1481" s="261">
        <f>SUM(J1477:J1480)</f>
        <v>4</v>
      </c>
      <c r="K1481" s="137"/>
      <c r="L1481" s="137"/>
      <c r="M1481" s="137"/>
      <c r="N1481" s="138"/>
      <c r="O1481" s="167"/>
      <c r="P1481" s="111"/>
      <c r="Q1481" s="111"/>
      <c r="R1481" s="111"/>
      <c r="S1481" s="111"/>
      <c r="T1481" s="111"/>
      <c r="U1481" s="111"/>
      <c r="V1481" s="111"/>
      <c r="W1481" s="111"/>
      <c r="X1481" s="111"/>
      <c r="Y1481" s="111"/>
      <c r="Z1481" s="111"/>
      <c r="AA1481" s="111"/>
    </row>
    <row r="1482" spans="1:27" s="139" customFormat="1" x14ac:dyDescent="0.2">
      <c r="A1482" s="6"/>
      <c r="B1482" s="6"/>
      <c r="C1482" s="7"/>
      <c r="D1482" s="116"/>
      <c r="E1482" s="6"/>
      <c r="F1482" s="258"/>
      <c r="G1482" s="258"/>
      <c r="H1482" s="258"/>
      <c r="I1482" s="246"/>
      <c r="J1482" s="258"/>
      <c r="K1482" s="137"/>
      <c r="L1482" s="137"/>
      <c r="M1482" s="137"/>
      <c r="N1482" s="138"/>
      <c r="O1482" s="283"/>
      <c r="P1482" s="120"/>
      <c r="Q1482" s="120"/>
      <c r="R1482" s="120"/>
      <c r="S1482" s="120"/>
      <c r="T1482" s="120"/>
      <c r="U1482" s="120"/>
      <c r="V1482" s="120"/>
      <c r="W1482" s="120"/>
      <c r="X1482" s="120"/>
      <c r="Y1482" s="120"/>
      <c r="Z1482" s="120"/>
      <c r="AA1482" s="120"/>
    </row>
    <row r="1483" spans="1:27" s="147" customFormat="1" ht="61.2" x14ac:dyDescent="0.2">
      <c r="A1483" s="9" t="s">
        <v>857</v>
      </c>
      <c r="B1483" s="9" t="s">
        <v>179</v>
      </c>
      <c r="C1483" s="13" t="s">
        <v>417</v>
      </c>
      <c r="D1483" s="113" t="s">
        <v>561</v>
      </c>
      <c r="E1483" s="9" t="s">
        <v>31</v>
      </c>
      <c r="F1483" s="261"/>
      <c r="G1483" s="261"/>
      <c r="H1483" s="261"/>
      <c r="I1483" s="245"/>
      <c r="J1483" s="261"/>
      <c r="K1483" s="131">
        <f>J1489</f>
        <v>11</v>
      </c>
      <c r="L1483" s="131" t="e">
        <f>'COMPOSICOES - SINAPI COM DESON'!G36</f>
        <v>#VALUE!</v>
      </c>
      <c r="M1483" s="131" t="e">
        <f>ROUND(L1483*(1+$Q$7),2)</f>
        <v>#VALUE!</v>
      </c>
      <c r="N1483" s="133" t="e">
        <f>TRUNC(K1483*M1483,2)</f>
        <v>#VALUE!</v>
      </c>
      <c r="O1483" s="286"/>
      <c r="P1483" s="146"/>
      <c r="Q1483" s="146"/>
      <c r="R1483" s="146"/>
      <c r="S1483" s="146"/>
      <c r="T1483" s="146"/>
      <c r="U1483" s="146"/>
      <c r="V1483" s="146"/>
      <c r="W1483" s="146"/>
      <c r="X1483" s="146"/>
      <c r="Y1483" s="146"/>
      <c r="Z1483" s="146"/>
      <c r="AA1483" s="146"/>
    </row>
    <row r="1484" spans="1:27" s="118" customFormat="1" x14ac:dyDescent="0.2">
      <c r="A1484" s="6"/>
      <c r="B1484" s="6"/>
      <c r="C1484" s="155"/>
      <c r="D1484" s="2" t="s">
        <v>282</v>
      </c>
      <c r="E1484" s="148"/>
      <c r="F1484" s="253">
        <v>2</v>
      </c>
      <c r="G1484" s="253"/>
      <c r="H1484" s="253"/>
      <c r="I1484" s="246"/>
      <c r="J1484" s="253">
        <f>ROUND(PRODUCT(F1484:I1484),2)</f>
        <v>2</v>
      </c>
      <c r="K1484" s="137"/>
      <c r="L1484" s="137"/>
      <c r="M1484" s="137"/>
      <c r="N1484" s="138"/>
      <c r="O1484" s="167"/>
      <c r="P1484" s="111"/>
      <c r="Q1484" s="111"/>
      <c r="R1484" s="111"/>
      <c r="S1484" s="111"/>
      <c r="T1484" s="111"/>
      <c r="U1484" s="111"/>
      <c r="V1484" s="111"/>
      <c r="W1484" s="111"/>
      <c r="X1484" s="111"/>
      <c r="Y1484" s="111"/>
      <c r="Z1484" s="111"/>
      <c r="AA1484" s="111"/>
    </row>
    <row r="1485" spans="1:27" s="118" customFormat="1" x14ac:dyDescent="0.2">
      <c r="A1485" s="6"/>
      <c r="B1485" s="6"/>
      <c r="C1485" s="155"/>
      <c r="D1485" s="2" t="s">
        <v>253</v>
      </c>
      <c r="E1485" s="148"/>
      <c r="F1485" s="253">
        <v>3</v>
      </c>
      <c r="G1485" s="253"/>
      <c r="H1485" s="253"/>
      <c r="I1485" s="246"/>
      <c r="J1485" s="253">
        <f>ROUND(PRODUCT(F1485:I1485),2)</f>
        <v>3</v>
      </c>
      <c r="K1485" s="137"/>
      <c r="L1485" s="137"/>
      <c r="M1485" s="137"/>
      <c r="N1485" s="138"/>
      <c r="O1485" s="167"/>
      <c r="P1485" s="111"/>
      <c r="Q1485" s="111"/>
      <c r="R1485" s="111"/>
      <c r="S1485" s="111"/>
      <c r="T1485" s="111"/>
      <c r="U1485" s="111"/>
      <c r="V1485" s="111"/>
      <c r="W1485" s="111"/>
      <c r="X1485" s="111"/>
      <c r="Y1485" s="111"/>
      <c r="Z1485" s="111"/>
      <c r="AA1485" s="111"/>
    </row>
    <row r="1486" spans="1:27" s="118" customFormat="1" x14ac:dyDescent="0.2">
      <c r="A1486" s="6"/>
      <c r="B1486" s="6"/>
      <c r="C1486" s="155"/>
      <c r="D1486" s="2" t="s">
        <v>257</v>
      </c>
      <c r="E1486" s="148"/>
      <c r="F1486" s="253">
        <v>2</v>
      </c>
      <c r="G1486" s="253"/>
      <c r="H1486" s="253"/>
      <c r="I1486" s="246"/>
      <c r="J1486" s="253">
        <f t="shared" ref="J1486:J1488" si="152">ROUND(PRODUCT(F1486:I1486),2)</f>
        <v>2</v>
      </c>
      <c r="K1486" s="137"/>
      <c r="L1486" s="137"/>
      <c r="M1486" s="137"/>
      <c r="N1486" s="138"/>
      <c r="O1486" s="167"/>
      <c r="P1486" s="111"/>
      <c r="Q1486" s="111"/>
      <c r="R1486" s="111"/>
      <c r="S1486" s="111"/>
      <c r="T1486" s="111"/>
      <c r="U1486" s="111"/>
      <c r="V1486" s="111"/>
      <c r="W1486" s="111"/>
      <c r="X1486" s="111"/>
      <c r="Y1486" s="111"/>
      <c r="Z1486" s="111"/>
      <c r="AA1486" s="111"/>
    </row>
    <row r="1487" spans="1:27" s="118" customFormat="1" x14ac:dyDescent="0.2">
      <c r="A1487" s="6"/>
      <c r="B1487" s="6"/>
      <c r="C1487" s="155"/>
      <c r="D1487" s="2" t="s">
        <v>242</v>
      </c>
      <c r="E1487" s="148"/>
      <c r="F1487" s="253">
        <v>2</v>
      </c>
      <c r="G1487" s="253"/>
      <c r="H1487" s="253"/>
      <c r="I1487" s="246"/>
      <c r="J1487" s="253">
        <f t="shared" si="152"/>
        <v>2</v>
      </c>
      <c r="K1487" s="137"/>
      <c r="L1487" s="137"/>
      <c r="M1487" s="137"/>
      <c r="N1487" s="138"/>
      <c r="O1487" s="167"/>
      <c r="P1487" s="111"/>
      <c r="Q1487" s="111"/>
      <c r="R1487" s="111"/>
      <c r="S1487" s="111"/>
      <c r="T1487" s="111"/>
      <c r="U1487" s="111"/>
      <c r="V1487" s="111"/>
      <c r="W1487" s="111"/>
      <c r="X1487" s="111"/>
      <c r="Y1487" s="111"/>
      <c r="Z1487" s="111"/>
      <c r="AA1487" s="111"/>
    </row>
    <row r="1488" spans="1:27" s="118" customFormat="1" x14ac:dyDescent="0.2">
      <c r="A1488" s="6"/>
      <c r="B1488" s="6"/>
      <c r="C1488" s="155"/>
      <c r="D1488" s="2" t="s">
        <v>283</v>
      </c>
      <c r="E1488" s="148"/>
      <c r="F1488" s="253">
        <v>2</v>
      </c>
      <c r="G1488" s="253"/>
      <c r="H1488" s="253"/>
      <c r="I1488" s="246"/>
      <c r="J1488" s="253">
        <f t="shared" si="152"/>
        <v>2</v>
      </c>
      <c r="K1488" s="137"/>
      <c r="L1488" s="137"/>
      <c r="M1488" s="137"/>
      <c r="N1488" s="138"/>
      <c r="O1488" s="167"/>
      <c r="P1488" s="111"/>
      <c r="Q1488" s="111"/>
      <c r="R1488" s="111"/>
      <c r="S1488" s="111"/>
      <c r="T1488" s="111"/>
      <c r="U1488" s="111"/>
      <c r="V1488" s="111"/>
      <c r="W1488" s="111"/>
      <c r="X1488" s="111"/>
      <c r="Y1488" s="111"/>
      <c r="Z1488" s="111"/>
      <c r="AA1488" s="111"/>
    </row>
    <row r="1489" spans="1:27" s="118" customFormat="1" x14ac:dyDescent="0.2">
      <c r="A1489" s="6"/>
      <c r="B1489" s="6"/>
      <c r="C1489" s="156"/>
      <c r="D1489" s="108"/>
      <c r="E1489" s="148"/>
      <c r="F1489" s="253"/>
      <c r="G1489" s="253"/>
      <c r="H1489" s="253"/>
      <c r="I1489" s="246" t="str">
        <f>"Total item "&amp;A1483</f>
        <v>Total item 17.1.3</v>
      </c>
      <c r="J1489" s="261">
        <f>SUM(J1484:J1488)</f>
        <v>11</v>
      </c>
      <c r="K1489" s="137"/>
      <c r="L1489" s="137"/>
      <c r="M1489" s="137"/>
      <c r="N1489" s="138"/>
      <c r="O1489" s="167"/>
      <c r="P1489" s="111"/>
      <c r="Q1489" s="111"/>
      <c r="R1489" s="111"/>
      <c r="S1489" s="111"/>
      <c r="T1489" s="111"/>
      <c r="U1489" s="111"/>
      <c r="V1489" s="111"/>
      <c r="W1489" s="111"/>
      <c r="X1489" s="111"/>
      <c r="Y1489" s="111"/>
      <c r="Z1489" s="111"/>
      <c r="AA1489" s="111"/>
    </row>
    <row r="1490" spans="1:27" s="139" customFormat="1" x14ac:dyDescent="0.2">
      <c r="A1490" s="6"/>
      <c r="B1490" s="6"/>
      <c r="C1490" s="7"/>
      <c r="D1490" s="116"/>
      <c r="E1490" s="6"/>
      <c r="F1490" s="258"/>
      <c r="G1490" s="258"/>
      <c r="H1490" s="258"/>
      <c r="I1490" s="246"/>
      <c r="J1490" s="258"/>
      <c r="K1490" s="137"/>
      <c r="L1490" s="137"/>
      <c r="M1490" s="137"/>
      <c r="N1490" s="138"/>
      <c r="O1490" s="283"/>
      <c r="P1490" s="120"/>
      <c r="Q1490" s="120"/>
      <c r="R1490" s="120"/>
      <c r="S1490" s="120"/>
      <c r="T1490" s="120"/>
      <c r="U1490" s="120"/>
      <c r="V1490" s="120"/>
      <c r="W1490" s="120"/>
      <c r="X1490" s="120"/>
      <c r="Y1490" s="120"/>
      <c r="Z1490" s="120"/>
      <c r="AA1490" s="120"/>
    </row>
    <row r="1491" spans="1:27" s="147" customFormat="1" ht="40.799999999999997" x14ac:dyDescent="0.2">
      <c r="A1491" s="9" t="s">
        <v>858</v>
      </c>
      <c r="B1491" s="9" t="s">
        <v>163</v>
      </c>
      <c r="C1491" s="13" t="s">
        <v>288</v>
      </c>
      <c r="D1491" s="113" t="s">
        <v>289</v>
      </c>
      <c r="E1491" s="9" t="s">
        <v>33</v>
      </c>
      <c r="F1491" s="261"/>
      <c r="G1491" s="261"/>
      <c r="H1491" s="261"/>
      <c r="I1491" s="245"/>
      <c r="J1491" s="261"/>
      <c r="K1491" s="131">
        <f>J1493</f>
        <v>1</v>
      </c>
      <c r="L1491" s="131">
        <v>54</v>
      </c>
      <c r="M1491" s="131">
        <f>ROUND(L1491*(1+$Q$7),2)</f>
        <v>68.33</v>
      </c>
      <c r="N1491" s="133">
        <f>TRUNC(K1491*M1491,2)</f>
        <v>68.33</v>
      </c>
      <c r="O1491" s="286"/>
      <c r="P1491" s="146"/>
      <c r="Q1491" s="146"/>
      <c r="R1491" s="146"/>
      <c r="S1491" s="146"/>
      <c r="T1491" s="146"/>
      <c r="U1491" s="146"/>
      <c r="V1491" s="146"/>
      <c r="W1491" s="146"/>
      <c r="X1491" s="146"/>
      <c r="Y1491" s="146"/>
      <c r="Z1491" s="146"/>
      <c r="AA1491" s="146"/>
    </row>
    <row r="1492" spans="1:27" s="118" customFormat="1" x14ac:dyDescent="0.2">
      <c r="A1492" s="6"/>
      <c r="B1492" s="6"/>
      <c r="C1492" s="155"/>
      <c r="D1492" s="2"/>
      <c r="E1492" s="148"/>
      <c r="F1492" s="253">
        <v>1</v>
      </c>
      <c r="G1492" s="253"/>
      <c r="H1492" s="253"/>
      <c r="I1492" s="246"/>
      <c r="J1492" s="253">
        <f>ROUND(PRODUCT(F1492:I1492),2)</f>
        <v>1</v>
      </c>
      <c r="K1492" s="137"/>
      <c r="L1492" s="137"/>
      <c r="M1492" s="137"/>
      <c r="N1492" s="138"/>
      <c r="O1492" s="167"/>
      <c r="P1492" s="111"/>
      <c r="Q1492" s="111"/>
      <c r="R1492" s="111"/>
      <c r="S1492" s="111"/>
      <c r="T1492" s="111"/>
      <c r="U1492" s="111"/>
      <c r="V1492" s="111"/>
      <c r="W1492" s="111"/>
      <c r="X1492" s="111"/>
      <c r="Y1492" s="111"/>
      <c r="Z1492" s="111"/>
      <c r="AA1492" s="111"/>
    </row>
    <row r="1493" spans="1:27" s="118" customFormat="1" x14ac:dyDescent="0.2">
      <c r="A1493" s="6"/>
      <c r="B1493" s="6"/>
      <c r="C1493" s="156"/>
      <c r="D1493" s="108"/>
      <c r="E1493" s="148"/>
      <c r="F1493" s="253"/>
      <c r="G1493" s="253"/>
      <c r="H1493" s="253"/>
      <c r="I1493" s="246" t="str">
        <f>"Total item "&amp;A1491</f>
        <v>Total item 17.1.4</v>
      </c>
      <c r="J1493" s="261">
        <f>SUM(J1492:J1492)</f>
        <v>1</v>
      </c>
      <c r="K1493" s="137"/>
      <c r="L1493" s="137"/>
      <c r="M1493" s="137"/>
      <c r="N1493" s="138"/>
      <c r="O1493" s="167"/>
      <c r="P1493" s="111"/>
      <c r="Q1493" s="111"/>
      <c r="R1493" s="111"/>
      <c r="S1493" s="111"/>
      <c r="T1493" s="111"/>
      <c r="U1493" s="111"/>
      <c r="V1493" s="111"/>
      <c r="W1493" s="111"/>
      <c r="X1493" s="111"/>
      <c r="Y1493" s="111"/>
      <c r="Z1493" s="111"/>
      <c r="AA1493" s="111"/>
    </row>
    <row r="1494" spans="1:27" s="118" customFormat="1" x14ac:dyDescent="0.2">
      <c r="A1494" s="6"/>
      <c r="B1494" s="6"/>
      <c r="C1494" s="155"/>
      <c r="D1494" s="108"/>
      <c r="E1494" s="148"/>
      <c r="F1494" s="253"/>
      <c r="G1494" s="253"/>
      <c r="H1494" s="253"/>
      <c r="I1494" s="246"/>
      <c r="J1494" s="258"/>
      <c r="K1494" s="137"/>
      <c r="L1494" s="137"/>
      <c r="M1494" s="137"/>
      <c r="N1494" s="138"/>
      <c r="O1494" s="167"/>
      <c r="P1494" s="111"/>
      <c r="Q1494" s="111"/>
      <c r="R1494" s="111"/>
      <c r="S1494" s="111"/>
      <c r="T1494" s="111"/>
      <c r="U1494" s="111"/>
      <c r="V1494" s="111"/>
      <c r="W1494" s="111"/>
      <c r="X1494" s="111"/>
      <c r="Y1494" s="111"/>
      <c r="Z1494" s="111"/>
      <c r="AA1494" s="111"/>
    </row>
    <row r="1495" spans="1:27" s="147" customFormat="1" ht="30.6" x14ac:dyDescent="0.2">
      <c r="A1495" s="9" t="s">
        <v>859</v>
      </c>
      <c r="B1495" s="9" t="s">
        <v>163</v>
      </c>
      <c r="C1495" s="13" t="s">
        <v>190</v>
      </c>
      <c r="D1495" s="113" t="s">
        <v>290</v>
      </c>
      <c r="E1495" s="9" t="s">
        <v>33</v>
      </c>
      <c r="F1495" s="261"/>
      <c r="G1495" s="261"/>
      <c r="H1495" s="261"/>
      <c r="I1495" s="245"/>
      <c r="J1495" s="261"/>
      <c r="K1495" s="131">
        <f>J1497</f>
        <v>3</v>
      </c>
      <c r="L1495" s="131">
        <v>14.55</v>
      </c>
      <c r="M1495" s="131">
        <f>ROUND(L1495*(1+$Q$7),2)</f>
        <v>18.41</v>
      </c>
      <c r="N1495" s="133">
        <f>TRUNC(K1495*M1495,2)</f>
        <v>55.23</v>
      </c>
      <c r="O1495" s="286"/>
      <c r="P1495" s="146"/>
      <c r="Q1495" s="146"/>
      <c r="R1495" s="146"/>
      <c r="S1495" s="146"/>
      <c r="T1495" s="146"/>
      <c r="U1495" s="146"/>
      <c r="V1495" s="146"/>
      <c r="W1495" s="146"/>
      <c r="X1495" s="146"/>
      <c r="Y1495" s="146"/>
      <c r="Z1495" s="146"/>
      <c r="AA1495" s="146"/>
    </row>
    <row r="1496" spans="1:27" s="118" customFormat="1" x14ac:dyDescent="0.2">
      <c r="A1496" s="6"/>
      <c r="B1496" s="6"/>
      <c r="C1496" s="155"/>
      <c r="D1496" s="2"/>
      <c r="E1496" s="148"/>
      <c r="F1496" s="253">
        <v>3</v>
      </c>
      <c r="G1496" s="253"/>
      <c r="H1496" s="253"/>
      <c r="I1496" s="246"/>
      <c r="J1496" s="253">
        <f>ROUND(PRODUCT(F1496:I1496),2)</f>
        <v>3</v>
      </c>
      <c r="K1496" s="137"/>
      <c r="L1496" s="137"/>
      <c r="M1496" s="137"/>
      <c r="N1496" s="138"/>
      <c r="O1496" s="167"/>
      <c r="P1496" s="111"/>
      <c r="Q1496" s="111"/>
      <c r="R1496" s="111"/>
      <c r="S1496" s="111"/>
      <c r="T1496" s="111"/>
      <c r="U1496" s="111"/>
      <c r="V1496" s="111"/>
      <c r="W1496" s="111"/>
      <c r="X1496" s="111"/>
      <c r="Y1496" s="111"/>
      <c r="Z1496" s="111"/>
      <c r="AA1496" s="111"/>
    </row>
    <row r="1497" spans="1:27" s="118" customFormat="1" x14ac:dyDescent="0.2">
      <c r="A1497" s="6"/>
      <c r="B1497" s="6"/>
      <c r="C1497" s="156"/>
      <c r="D1497" s="108"/>
      <c r="E1497" s="148"/>
      <c r="F1497" s="253"/>
      <c r="G1497" s="253"/>
      <c r="H1497" s="253"/>
      <c r="I1497" s="246" t="str">
        <f>"Total item "&amp;A1495</f>
        <v>Total item 17.1.5</v>
      </c>
      <c r="J1497" s="261">
        <f>SUM(J1496:J1496)</f>
        <v>3</v>
      </c>
      <c r="K1497" s="137"/>
      <c r="L1497" s="137"/>
      <c r="M1497" s="137"/>
      <c r="N1497" s="138"/>
      <c r="O1497" s="167"/>
      <c r="P1497" s="111"/>
      <c r="Q1497" s="111"/>
      <c r="R1497" s="111"/>
      <c r="S1497" s="111"/>
      <c r="T1497" s="111"/>
      <c r="U1497" s="111"/>
      <c r="V1497" s="111"/>
      <c r="W1497" s="111"/>
      <c r="X1497" s="111"/>
      <c r="Y1497" s="111"/>
      <c r="Z1497" s="111"/>
      <c r="AA1497" s="111"/>
    </row>
    <row r="1498" spans="1:27" s="118" customFormat="1" x14ac:dyDescent="0.2">
      <c r="A1498" s="6"/>
      <c r="B1498" s="6"/>
      <c r="C1498" s="155"/>
      <c r="D1498" s="108"/>
      <c r="E1498" s="148"/>
      <c r="F1498" s="253"/>
      <c r="G1498" s="253"/>
      <c r="H1498" s="253"/>
      <c r="I1498" s="246"/>
      <c r="J1498" s="258"/>
      <c r="K1498" s="137"/>
      <c r="L1498" s="137"/>
      <c r="M1498" s="137"/>
      <c r="N1498" s="138"/>
      <c r="O1498" s="167"/>
      <c r="P1498" s="111"/>
      <c r="Q1498" s="111"/>
      <c r="R1498" s="111"/>
      <c r="S1498" s="111"/>
      <c r="T1498" s="111"/>
      <c r="U1498" s="111"/>
      <c r="V1498" s="111"/>
      <c r="W1498" s="111"/>
      <c r="X1498" s="111"/>
      <c r="Y1498" s="111"/>
      <c r="Z1498" s="111"/>
      <c r="AA1498" s="111"/>
    </row>
    <row r="1499" spans="1:27" s="147" customFormat="1" ht="40.799999999999997" x14ac:dyDescent="0.2">
      <c r="A1499" s="9" t="s">
        <v>860</v>
      </c>
      <c r="B1499" s="9" t="s">
        <v>89</v>
      </c>
      <c r="C1499" s="13">
        <v>93144</v>
      </c>
      <c r="D1499" s="113" t="s">
        <v>295</v>
      </c>
      <c r="E1499" s="9" t="s">
        <v>33</v>
      </c>
      <c r="F1499" s="261"/>
      <c r="G1499" s="261"/>
      <c r="H1499" s="261"/>
      <c r="I1499" s="245"/>
      <c r="J1499" s="261"/>
      <c r="K1499" s="131">
        <f>J1501</f>
        <v>5</v>
      </c>
      <c r="L1499" s="131">
        <v>166.81</v>
      </c>
      <c r="M1499" s="131">
        <f>ROUND(L1499*(1+$Q$7),2)</f>
        <v>211.06</v>
      </c>
      <c r="N1499" s="133">
        <f>TRUNC(K1499*M1499,2)</f>
        <v>1055.3</v>
      </c>
      <c r="O1499" s="286"/>
      <c r="P1499" s="146"/>
      <c r="Q1499" s="146"/>
      <c r="R1499" s="146"/>
      <c r="S1499" s="146"/>
      <c r="T1499" s="146"/>
      <c r="U1499" s="146"/>
      <c r="V1499" s="146"/>
      <c r="W1499" s="146"/>
      <c r="X1499" s="146"/>
      <c r="Y1499" s="146"/>
      <c r="Z1499" s="146"/>
      <c r="AA1499" s="146"/>
    </row>
    <row r="1500" spans="1:27" s="118" customFormat="1" x14ac:dyDescent="0.2">
      <c r="A1500" s="6"/>
      <c r="B1500" s="6"/>
      <c r="C1500" s="155"/>
      <c r="D1500" s="2" t="s">
        <v>296</v>
      </c>
      <c r="E1500" s="148"/>
      <c r="F1500" s="253">
        <v>5</v>
      </c>
      <c r="G1500" s="253"/>
      <c r="H1500" s="253"/>
      <c r="I1500" s="246"/>
      <c r="J1500" s="253">
        <f>ROUND(PRODUCT(F1500:I1500),2)</f>
        <v>5</v>
      </c>
      <c r="K1500" s="137"/>
      <c r="L1500" s="137"/>
      <c r="M1500" s="137"/>
      <c r="N1500" s="138"/>
      <c r="O1500" s="167"/>
      <c r="P1500" s="111"/>
      <c r="Q1500" s="111"/>
      <c r="R1500" s="111"/>
      <c r="S1500" s="111"/>
      <c r="T1500" s="111"/>
      <c r="U1500" s="111"/>
      <c r="V1500" s="111"/>
      <c r="W1500" s="111"/>
      <c r="X1500" s="111"/>
      <c r="Y1500" s="111"/>
      <c r="Z1500" s="111"/>
      <c r="AA1500" s="111"/>
    </row>
    <row r="1501" spans="1:27" s="118" customFormat="1" x14ac:dyDescent="0.2">
      <c r="A1501" s="6"/>
      <c r="B1501" s="6"/>
      <c r="C1501" s="156"/>
      <c r="D1501" s="108"/>
      <c r="E1501" s="148"/>
      <c r="F1501" s="253"/>
      <c r="G1501" s="253"/>
      <c r="H1501" s="253"/>
      <c r="I1501" s="246" t="str">
        <f>"Total item "&amp;A1499</f>
        <v>Total item 17.1.6</v>
      </c>
      <c r="J1501" s="261">
        <f>SUM(J1500:J1500)</f>
        <v>5</v>
      </c>
      <c r="K1501" s="137"/>
      <c r="L1501" s="137"/>
      <c r="M1501" s="137"/>
      <c r="N1501" s="138"/>
      <c r="O1501" s="167"/>
      <c r="P1501" s="111"/>
      <c r="Q1501" s="111"/>
      <c r="R1501" s="111"/>
      <c r="S1501" s="111"/>
      <c r="T1501" s="111"/>
      <c r="U1501" s="111"/>
      <c r="V1501" s="111"/>
      <c r="W1501" s="111"/>
      <c r="X1501" s="111"/>
      <c r="Y1501" s="111"/>
      <c r="Z1501" s="111"/>
      <c r="AA1501" s="111"/>
    </row>
    <row r="1502" spans="1:27" s="161" customFormat="1" x14ac:dyDescent="0.2">
      <c r="A1502" s="10"/>
      <c r="B1502" s="10"/>
      <c r="C1502" s="191"/>
      <c r="D1502" s="110"/>
      <c r="E1502" s="158"/>
      <c r="F1502" s="267"/>
      <c r="G1502" s="267"/>
      <c r="H1502" s="267"/>
      <c r="I1502" s="250"/>
      <c r="J1502" s="263"/>
      <c r="K1502" s="151"/>
      <c r="L1502" s="151"/>
      <c r="M1502" s="151"/>
      <c r="N1502" s="152"/>
      <c r="O1502" s="167"/>
      <c r="P1502" s="114"/>
      <c r="Q1502" s="114"/>
      <c r="R1502" s="114"/>
      <c r="S1502" s="114"/>
      <c r="T1502" s="114"/>
      <c r="U1502" s="114"/>
      <c r="V1502" s="114"/>
      <c r="W1502" s="114"/>
      <c r="X1502" s="114"/>
      <c r="Y1502" s="114"/>
      <c r="Z1502" s="114"/>
      <c r="AA1502" s="114"/>
    </row>
    <row r="1503" spans="1:27" s="147" customFormat="1" ht="40.799999999999997" x14ac:dyDescent="0.2">
      <c r="A1503" s="9" t="s">
        <v>861</v>
      </c>
      <c r="B1503" s="9" t="s">
        <v>163</v>
      </c>
      <c r="C1503" s="197" t="s">
        <v>192</v>
      </c>
      <c r="D1503" s="113" t="s">
        <v>712</v>
      </c>
      <c r="E1503" s="9" t="s">
        <v>31</v>
      </c>
      <c r="F1503" s="261"/>
      <c r="G1503" s="261"/>
      <c r="H1503" s="261"/>
      <c r="I1503" s="245"/>
      <c r="J1503" s="261"/>
      <c r="K1503" s="131">
        <f>J1505</f>
        <v>5</v>
      </c>
      <c r="L1503" s="131">
        <v>46.44</v>
      </c>
      <c r="M1503" s="131">
        <f>ROUND(L1503*(1+$Q$7),2)</f>
        <v>58.76</v>
      </c>
      <c r="N1503" s="133">
        <f>TRUNC(K1503*M1503,2)</f>
        <v>293.8</v>
      </c>
      <c r="O1503" s="286"/>
      <c r="P1503" s="146"/>
      <c r="Q1503" s="146"/>
      <c r="R1503" s="146"/>
      <c r="S1503" s="146"/>
      <c r="T1503" s="146"/>
      <c r="U1503" s="146"/>
      <c r="V1503" s="146"/>
      <c r="W1503" s="146"/>
      <c r="X1503" s="146"/>
      <c r="Y1503" s="146"/>
      <c r="Z1503" s="146"/>
      <c r="AA1503" s="146"/>
    </row>
    <row r="1504" spans="1:27" s="118" customFormat="1" x14ac:dyDescent="0.2">
      <c r="A1504" s="6"/>
      <c r="B1504" s="6"/>
      <c r="C1504" s="155"/>
      <c r="D1504" s="2" t="s">
        <v>296</v>
      </c>
      <c r="E1504" s="148"/>
      <c r="F1504" s="253">
        <v>5</v>
      </c>
      <c r="G1504" s="253"/>
      <c r="H1504" s="253"/>
      <c r="I1504" s="246"/>
      <c r="J1504" s="253">
        <f>ROUND(PRODUCT(F1504:I1504),2)</f>
        <v>5</v>
      </c>
      <c r="K1504" s="137"/>
      <c r="L1504" s="137"/>
      <c r="M1504" s="137"/>
      <c r="N1504" s="138"/>
      <c r="O1504" s="167"/>
      <c r="P1504" s="111"/>
      <c r="Q1504" s="111"/>
      <c r="R1504" s="111"/>
      <c r="S1504" s="111"/>
      <c r="T1504" s="111"/>
      <c r="U1504" s="111"/>
      <c r="V1504" s="111"/>
      <c r="W1504" s="111"/>
      <c r="X1504" s="111"/>
      <c r="Y1504" s="111"/>
      <c r="Z1504" s="111"/>
      <c r="AA1504" s="111"/>
    </row>
    <row r="1505" spans="1:27" s="118" customFormat="1" x14ac:dyDescent="0.2">
      <c r="A1505" s="6"/>
      <c r="B1505" s="6"/>
      <c r="C1505" s="156"/>
      <c r="D1505" s="108"/>
      <c r="E1505" s="148"/>
      <c r="F1505" s="253"/>
      <c r="G1505" s="253"/>
      <c r="H1505" s="253"/>
      <c r="I1505" s="246" t="str">
        <f>"Total item "&amp;A1503</f>
        <v>Total item 17.1.7</v>
      </c>
      <c r="J1505" s="261">
        <f>SUM(J1504)</f>
        <v>5</v>
      </c>
      <c r="K1505" s="137"/>
      <c r="L1505" s="137"/>
      <c r="M1505" s="137"/>
      <c r="N1505" s="138"/>
      <c r="O1505" s="167"/>
      <c r="P1505" s="111"/>
      <c r="Q1505" s="111"/>
      <c r="R1505" s="111"/>
      <c r="S1505" s="111"/>
      <c r="T1505" s="111"/>
      <c r="U1505" s="111"/>
      <c r="V1505" s="111"/>
      <c r="W1505" s="111"/>
      <c r="X1505" s="111"/>
      <c r="Y1505" s="111"/>
      <c r="Z1505" s="111"/>
      <c r="AA1505" s="111"/>
    </row>
    <row r="1506" spans="1:27" s="118" customFormat="1" x14ac:dyDescent="0.2">
      <c r="A1506" s="6"/>
      <c r="B1506" s="6"/>
      <c r="C1506" s="155"/>
      <c r="D1506" s="108"/>
      <c r="E1506" s="148"/>
      <c r="F1506" s="253"/>
      <c r="G1506" s="253"/>
      <c r="H1506" s="253"/>
      <c r="I1506" s="246"/>
      <c r="J1506" s="258"/>
      <c r="K1506" s="137"/>
      <c r="L1506" s="137"/>
      <c r="M1506" s="137"/>
      <c r="N1506" s="138"/>
      <c r="O1506" s="167"/>
      <c r="P1506" s="111"/>
      <c r="Q1506" s="111"/>
      <c r="R1506" s="111"/>
      <c r="S1506" s="111"/>
      <c r="T1506" s="111"/>
      <c r="U1506" s="111"/>
      <c r="V1506" s="111"/>
      <c r="W1506" s="111"/>
      <c r="X1506" s="111"/>
      <c r="Y1506" s="111"/>
      <c r="Z1506" s="111"/>
      <c r="AA1506" s="111"/>
    </row>
    <row r="1507" spans="1:27" s="145" customFormat="1" x14ac:dyDescent="0.2">
      <c r="A1507" s="140" t="s">
        <v>387</v>
      </c>
      <c r="B1507" s="140"/>
      <c r="C1507" s="141"/>
      <c r="D1507" s="112" t="s">
        <v>211</v>
      </c>
      <c r="E1507" s="140"/>
      <c r="F1507" s="260"/>
      <c r="G1507" s="260"/>
      <c r="H1507" s="260"/>
      <c r="I1507" s="248"/>
      <c r="J1507" s="260"/>
      <c r="K1507" s="142"/>
      <c r="L1507" s="142"/>
      <c r="M1507" s="142"/>
      <c r="N1507" s="143">
        <f>SUM(N1509:N1524)</f>
        <v>724.47</v>
      </c>
      <c r="O1507" s="285"/>
      <c r="P1507" s="144"/>
      <c r="Q1507" s="144"/>
      <c r="R1507" s="144"/>
      <c r="S1507" s="144"/>
      <c r="T1507" s="144"/>
      <c r="U1507" s="144"/>
      <c r="V1507" s="144"/>
      <c r="W1507" s="144"/>
      <c r="X1507" s="144"/>
      <c r="Y1507" s="144"/>
      <c r="Z1507" s="144"/>
      <c r="AA1507" s="144"/>
    </row>
    <row r="1508" spans="1:27" s="118" customFormat="1" x14ac:dyDescent="0.2">
      <c r="A1508" s="6"/>
      <c r="B1508" s="6"/>
      <c r="C1508" s="155"/>
      <c r="D1508" s="108"/>
      <c r="E1508" s="148"/>
      <c r="F1508" s="253"/>
      <c r="G1508" s="253"/>
      <c r="H1508" s="253"/>
      <c r="I1508" s="246"/>
      <c r="J1508" s="258"/>
      <c r="K1508" s="137"/>
      <c r="L1508" s="137"/>
      <c r="M1508" s="137"/>
      <c r="N1508" s="138"/>
      <c r="O1508" s="167"/>
      <c r="P1508" s="111"/>
      <c r="Q1508" s="111"/>
      <c r="R1508" s="111"/>
      <c r="S1508" s="111"/>
      <c r="T1508" s="111"/>
      <c r="U1508" s="111"/>
      <c r="V1508" s="111"/>
      <c r="W1508" s="111"/>
      <c r="X1508" s="111"/>
      <c r="Y1508" s="111"/>
      <c r="Z1508" s="111"/>
      <c r="AA1508" s="111"/>
    </row>
    <row r="1509" spans="1:27" s="147" customFormat="1" ht="20.399999999999999" x14ac:dyDescent="0.2">
      <c r="A1509" s="9" t="s">
        <v>388</v>
      </c>
      <c r="B1509" s="9" t="s">
        <v>89</v>
      </c>
      <c r="C1509" s="13">
        <v>86883</v>
      </c>
      <c r="D1509" s="113" t="s">
        <v>629</v>
      </c>
      <c r="E1509" s="9" t="s">
        <v>33</v>
      </c>
      <c r="F1509" s="261"/>
      <c r="G1509" s="261"/>
      <c r="H1509" s="261"/>
      <c r="I1509" s="245"/>
      <c r="J1509" s="261"/>
      <c r="K1509" s="131">
        <f>J1511</f>
        <v>1</v>
      </c>
      <c r="L1509" s="131">
        <v>8.1199999999999992</v>
      </c>
      <c r="M1509" s="131">
        <f>ROUND(L1509*(1+$Q$7),2)</f>
        <v>10.27</v>
      </c>
      <c r="N1509" s="133">
        <f>TRUNC(K1509*M1509,2)</f>
        <v>10.27</v>
      </c>
      <c r="O1509" s="286"/>
      <c r="P1509" s="146"/>
      <c r="Q1509" s="146"/>
      <c r="R1509" s="146"/>
      <c r="S1509" s="146"/>
      <c r="T1509" s="146"/>
      <c r="U1509" s="146"/>
      <c r="V1509" s="146"/>
      <c r="W1509" s="146"/>
      <c r="X1509" s="146"/>
      <c r="Y1509" s="146"/>
      <c r="Z1509" s="146"/>
      <c r="AA1509" s="146"/>
    </row>
    <row r="1510" spans="1:27" s="118" customFormat="1" x14ac:dyDescent="0.2">
      <c r="A1510" s="6"/>
      <c r="B1510" s="6"/>
      <c r="C1510" s="155"/>
      <c r="D1510" s="2" t="s">
        <v>287</v>
      </c>
      <c r="E1510" s="148"/>
      <c r="F1510" s="253">
        <v>1</v>
      </c>
      <c r="G1510" s="253"/>
      <c r="H1510" s="253"/>
      <c r="I1510" s="246"/>
      <c r="J1510" s="253">
        <f>ROUND(PRODUCT(F1510:I1510),2)</f>
        <v>1</v>
      </c>
      <c r="K1510" s="137"/>
      <c r="L1510" s="137"/>
      <c r="M1510" s="137"/>
      <c r="N1510" s="138"/>
      <c r="O1510" s="167"/>
      <c r="P1510" s="111"/>
      <c r="Q1510" s="111"/>
      <c r="R1510" s="111"/>
      <c r="S1510" s="111"/>
      <c r="T1510" s="111"/>
      <c r="U1510" s="111"/>
      <c r="V1510" s="111"/>
      <c r="W1510" s="111"/>
      <c r="X1510" s="111"/>
      <c r="Y1510" s="111"/>
      <c r="Z1510" s="111"/>
      <c r="AA1510" s="111"/>
    </row>
    <row r="1511" spans="1:27" s="118" customFormat="1" x14ac:dyDescent="0.2">
      <c r="A1511" s="6"/>
      <c r="B1511" s="6"/>
      <c r="C1511" s="156"/>
      <c r="D1511" s="108"/>
      <c r="E1511" s="148"/>
      <c r="F1511" s="253"/>
      <c r="G1511" s="253"/>
      <c r="H1511" s="253"/>
      <c r="I1511" s="246" t="str">
        <f>"Total item "&amp;A1509</f>
        <v>Total item 17.2.1</v>
      </c>
      <c r="J1511" s="261">
        <f>SUM(J1510:J1510)</f>
        <v>1</v>
      </c>
      <c r="K1511" s="137"/>
      <c r="L1511" s="137"/>
      <c r="M1511" s="137"/>
      <c r="N1511" s="138"/>
      <c r="O1511" s="167"/>
      <c r="P1511" s="111"/>
      <c r="Q1511" s="111"/>
      <c r="R1511" s="111"/>
      <c r="S1511" s="111"/>
      <c r="T1511" s="111"/>
      <c r="U1511" s="111"/>
      <c r="V1511" s="111"/>
      <c r="W1511" s="111"/>
      <c r="X1511" s="111"/>
      <c r="Y1511" s="111"/>
      <c r="Z1511" s="111"/>
      <c r="AA1511" s="111"/>
    </row>
    <row r="1512" spans="1:27" s="139" customFormat="1" x14ac:dyDescent="0.2">
      <c r="A1512" s="6"/>
      <c r="B1512" s="6"/>
      <c r="C1512" s="7"/>
      <c r="D1512" s="116"/>
      <c r="E1512" s="6"/>
      <c r="F1512" s="258"/>
      <c r="G1512" s="258"/>
      <c r="H1512" s="258"/>
      <c r="I1512" s="246"/>
      <c r="J1512" s="258"/>
      <c r="K1512" s="137"/>
      <c r="L1512" s="137"/>
      <c r="M1512" s="137"/>
      <c r="N1512" s="138"/>
      <c r="O1512" s="283"/>
      <c r="P1512" s="120"/>
      <c r="Q1512" s="120"/>
      <c r="R1512" s="120"/>
      <c r="S1512" s="120"/>
      <c r="T1512" s="120"/>
      <c r="U1512" s="120"/>
      <c r="V1512" s="120"/>
      <c r="W1512" s="120"/>
      <c r="X1512" s="120"/>
      <c r="Y1512" s="120"/>
      <c r="Z1512" s="120"/>
      <c r="AA1512" s="120"/>
    </row>
    <row r="1513" spans="1:27" s="147" customFormat="1" ht="30.6" x14ac:dyDescent="0.2">
      <c r="A1513" s="9" t="s">
        <v>389</v>
      </c>
      <c r="B1513" s="9" t="s">
        <v>89</v>
      </c>
      <c r="C1513" s="13">
        <v>86906</v>
      </c>
      <c r="D1513" s="113" t="s">
        <v>261</v>
      </c>
      <c r="E1513" s="9" t="s">
        <v>33</v>
      </c>
      <c r="F1513" s="261"/>
      <c r="G1513" s="261"/>
      <c r="H1513" s="261"/>
      <c r="I1513" s="245"/>
      <c r="J1513" s="261"/>
      <c r="K1513" s="131">
        <f>J1515</f>
        <v>1</v>
      </c>
      <c r="L1513" s="131">
        <v>47.41</v>
      </c>
      <c r="M1513" s="131">
        <f>ROUND(L1513*(1+$Q$7),2)</f>
        <v>59.99</v>
      </c>
      <c r="N1513" s="133">
        <f>TRUNC(K1513*M1513,2)</f>
        <v>59.99</v>
      </c>
      <c r="O1513" s="286"/>
      <c r="P1513" s="146"/>
      <c r="Q1513" s="146"/>
      <c r="R1513" s="146"/>
      <c r="S1513" s="146"/>
      <c r="T1513" s="146"/>
      <c r="U1513" s="146"/>
      <c r="V1513" s="146"/>
      <c r="W1513" s="146"/>
      <c r="X1513" s="146"/>
      <c r="Y1513" s="146"/>
      <c r="Z1513" s="146"/>
      <c r="AA1513" s="146"/>
    </row>
    <row r="1514" spans="1:27" s="118" customFormat="1" x14ac:dyDescent="0.2">
      <c r="A1514" s="6"/>
      <c r="B1514" s="6"/>
      <c r="C1514" s="155"/>
      <c r="D1514" s="2" t="s">
        <v>287</v>
      </c>
      <c r="E1514" s="148"/>
      <c r="F1514" s="253">
        <v>1</v>
      </c>
      <c r="G1514" s="253"/>
      <c r="H1514" s="253"/>
      <c r="I1514" s="246"/>
      <c r="J1514" s="253">
        <f>ROUND(PRODUCT(F1514:I1514),2)</f>
        <v>1</v>
      </c>
      <c r="K1514" s="137"/>
      <c r="L1514" s="137"/>
      <c r="M1514" s="137"/>
      <c r="N1514" s="138"/>
      <c r="O1514" s="167"/>
      <c r="P1514" s="111"/>
      <c r="Q1514" s="111"/>
      <c r="R1514" s="111"/>
      <c r="S1514" s="111"/>
      <c r="T1514" s="111"/>
      <c r="U1514" s="111"/>
      <c r="V1514" s="111"/>
      <c r="W1514" s="111"/>
      <c r="X1514" s="111"/>
      <c r="Y1514" s="111"/>
      <c r="Z1514" s="111"/>
      <c r="AA1514" s="111"/>
    </row>
    <row r="1515" spans="1:27" s="118" customFormat="1" x14ac:dyDescent="0.2">
      <c r="A1515" s="6"/>
      <c r="B1515" s="6"/>
      <c r="C1515" s="156"/>
      <c r="D1515" s="108"/>
      <c r="E1515" s="148"/>
      <c r="F1515" s="253"/>
      <c r="G1515" s="253"/>
      <c r="H1515" s="253"/>
      <c r="I1515" s="246" t="str">
        <f>"Total item "&amp;A1513</f>
        <v>Total item 17.2.2</v>
      </c>
      <c r="J1515" s="261">
        <f>SUM(J1514:J1514)</f>
        <v>1</v>
      </c>
      <c r="K1515" s="137"/>
      <c r="L1515" s="137"/>
      <c r="M1515" s="137"/>
      <c r="N1515" s="138"/>
      <c r="O1515" s="167"/>
      <c r="P1515" s="111"/>
      <c r="Q1515" s="111"/>
      <c r="R1515" s="111"/>
      <c r="S1515" s="111"/>
      <c r="T1515" s="111"/>
      <c r="U1515" s="111"/>
      <c r="V1515" s="111"/>
      <c r="W1515" s="111"/>
      <c r="X1515" s="111"/>
      <c r="Y1515" s="111"/>
      <c r="Z1515" s="111"/>
      <c r="AA1515" s="111"/>
    </row>
    <row r="1516" spans="1:27" s="139" customFormat="1" x14ac:dyDescent="0.2">
      <c r="A1516" s="6"/>
      <c r="B1516" s="6"/>
      <c r="C1516" s="7"/>
      <c r="D1516" s="116"/>
      <c r="E1516" s="6"/>
      <c r="F1516" s="258"/>
      <c r="G1516" s="258"/>
      <c r="H1516" s="258"/>
      <c r="I1516" s="246"/>
      <c r="J1516" s="258"/>
      <c r="K1516" s="137"/>
      <c r="L1516" s="137"/>
      <c r="M1516" s="137"/>
      <c r="N1516" s="138"/>
      <c r="O1516" s="283"/>
      <c r="P1516" s="120"/>
      <c r="Q1516" s="120"/>
      <c r="R1516" s="120"/>
      <c r="S1516" s="120"/>
      <c r="T1516" s="120"/>
      <c r="U1516" s="120"/>
      <c r="V1516" s="120"/>
      <c r="W1516" s="120"/>
      <c r="X1516" s="120"/>
      <c r="Y1516" s="120"/>
      <c r="Z1516" s="120"/>
      <c r="AA1516" s="120"/>
    </row>
    <row r="1517" spans="1:27" s="147" customFormat="1" ht="51" x14ac:dyDescent="0.2">
      <c r="A1517" s="9" t="s">
        <v>390</v>
      </c>
      <c r="B1517" s="9" t="s">
        <v>89</v>
      </c>
      <c r="C1517" s="13">
        <v>86942</v>
      </c>
      <c r="D1517" s="113" t="s">
        <v>262</v>
      </c>
      <c r="E1517" s="9" t="s">
        <v>33</v>
      </c>
      <c r="F1517" s="261"/>
      <c r="G1517" s="261"/>
      <c r="H1517" s="261"/>
      <c r="I1517" s="245"/>
      <c r="J1517" s="261"/>
      <c r="K1517" s="131">
        <f>J1519</f>
        <v>1</v>
      </c>
      <c r="L1517" s="131">
        <v>168.74</v>
      </c>
      <c r="M1517" s="131">
        <f>ROUND(L1517*(1+$Q$7),2)</f>
        <v>213.51</v>
      </c>
      <c r="N1517" s="133">
        <f>TRUNC(K1517*M1517,2)</f>
        <v>213.51</v>
      </c>
      <c r="O1517" s="286"/>
      <c r="P1517" s="146"/>
      <c r="Q1517" s="146"/>
      <c r="R1517" s="146"/>
      <c r="S1517" s="146"/>
      <c r="T1517" s="146"/>
      <c r="U1517" s="146"/>
      <c r="V1517" s="146"/>
      <c r="W1517" s="146"/>
      <c r="X1517" s="146"/>
      <c r="Y1517" s="146"/>
      <c r="Z1517" s="146"/>
      <c r="AA1517" s="146"/>
    </row>
    <row r="1518" spans="1:27" s="118" customFormat="1" x14ac:dyDescent="0.2">
      <c r="A1518" s="6"/>
      <c r="B1518" s="6"/>
      <c r="C1518" s="155"/>
      <c r="D1518" s="2" t="s">
        <v>287</v>
      </c>
      <c r="E1518" s="148"/>
      <c r="F1518" s="253">
        <v>1</v>
      </c>
      <c r="G1518" s="253"/>
      <c r="H1518" s="253"/>
      <c r="I1518" s="246"/>
      <c r="J1518" s="253">
        <f>ROUND(PRODUCT(F1518:I1518),2)</f>
        <v>1</v>
      </c>
      <c r="K1518" s="137"/>
      <c r="L1518" s="137"/>
      <c r="M1518" s="137"/>
      <c r="N1518" s="138"/>
      <c r="O1518" s="167"/>
      <c r="P1518" s="111"/>
      <c r="Q1518" s="111"/>
      <c r="R1518" s="111"/>
      <c r="S1518" s="111"/>
      <c r="T1518" s="111"/>
      <c r="U1518" s="111"/>
      <c r="V1518" s="111"/>
      <c r="W1518" s="111"/>
      <c r="X1518" s="111"/>
      <c r="Y1518" s="111"/>
      <c r="Z1518" s="111"/>
      <c r="AA1518" s="111"/>
    </row>
    <row r="1519" spans="1:27" s="118" customFormat="1" x14ac:dyDescent="0.2">
      <c r="A1519" s="6"/>
      <c r="B1519" s="6"/>
      <c r="C1519" s="156"/>
      <c r="D1519" s="108"/>
      <c r="E1519" s="148"/>
      <c r="F1519" s="253"/>
      <c r="G1519" s="253"/>
      <c r="H1519" s="253"/>
      <c r="I1519" s="246" t="str">
        <f>"Total item "&amp;A1517</f>
        <v>Total item 17.2.3</v>
      </c>
      <c r="J1519" s="261">
        <f>SUM(J1518:J1518)</f>
        <v>1</v>
      </c>
      <c r="K1519" s="137"/>
      <c r="L1519" s="137"/>
      <c r="M1519" s="137"/>
      <c r="N1519" s="138"/>
      <c r="O1519" s="167"/>
      <c r="P1519" s="111"/>
      <c r="Q1519" s="111"/>
      <c r="R1519" s="111"/>
      <c r="S1519" s="111"/>
      <c r="T1519" s="111"/>
      <c r="U1519" s="111"/>
      <c r="V1519" s="111"/>
      <c r="W1519" s="111"/>
      <c r="X1519" s="111"/>
      <c r="Y1519" s="111"/>
      <c r="Z1519" s="111"/>
      <c r="AA1519" s="111"/>
    </row>
    <row r="1520" spans="1:27" s="139" customFormat="1" x14ac:dyDescent="0.2">
      <c r="A1520" s="6"/>
      <c r="B1520" s="6"/>
      <c r="C1520" s="7"/>
      <c r="D1520" s="116"/>
      <c r="E1520" s="6"/>
      <c r="F1520" s="258"/>
      <c r="G1520" s="258"/>
      <c r="H1520" s="258"/>
      <c r="I1520" s="246"/>
      <c r="J1520" s="258"/>
      <c r="K1520" s="137"/>
      <c r="L1520" s="137"/>
      <c r="M1520" s="137"/>
      <c r="N1520" s="138"/>
      <c r="O1520" s="283"/>
      <c r="P1520" s="120"/>
      <c r="Q1520" s="120"/>
      <c r="R1520" s="120"/>
      <c r="S1520" s="120"/>
      <c r="T1520" s="120"/>
      <c r="U1520" s="120"/>
      <c r="V1520" s="120"/>
      <c r="W1520" s="120"/>
      <c r="X1520" s="120"/>
      <c r="Y1520" s="120"/>
      <c r="Z1520" s="120"/>
      <c r="AA1520" s="120"/>
    </row>
    <row r="1521" spans="1:27" s="147" customFormat="1" ht="30.6" x14ac:dyDescent="0.2">
      <c r="A1521" s="9" t="s">
        <v>856</v>
      </c>
      <c r="B1521" s="9" t="s">
        <v>163</v>
      </c>
      <c r="C1521" s="13" t="s">
        <v>249</v>
      </c>
      <c r="D1521" s="113" t="s">
        <v>250</v>
      </c>
      <c r="E1521" s="9" t="s">
        <v>33</v>
      </c>
      <c r="F1521" s="261"/>
      <c r="G1521" s="261"/>
      <c r="H1521" s="261"/>
      <c r="I1521" s="245"/>
      <c r="J1521" s="261"/>
      <c r="K1521" s="131">
        <f>J1523</f>
        <v>3</v>
      </c>
      <c r="L1521" s="131">
        <v>116.1</v>
      </c>
      <c r="M1521" s="131">
        <f>ROUND(L1521*(1+$Q$7),2)</f>
        <v>146.9</v>
      </c>
      <c r="N1521" s="133">
        <f>TRUNC(K1521*M1521,2)</f>
        <v>440.7</v>
      </c>
      <c r="O1521" s="286"/>
      <c r="P1521" s="146"/>
      <c r="Q1521" s="146"/>
      <c r="R1521" s="146"/>
      <c r="S1521" s="146"/>
      <c r="T1521" s="146"/>
      <c r="U1521" s="146"/>
      <c r="V1521" s="146"/>
      <c r="W1521" s="146"/>
      <c r="X1521" s="146"/>
      <c r="Y1521" s="146"/>
      <c r="Z1521" s="146"/>
      <c r="AA1521" s="146"/>
    </row>
    <row r="1522" spans="1:27" s="118" customFormat="1" x14ac:dyDescent="0.2">
      <c r="A1522" s="6"/>
      <c r="B1522" s="6"/>
      <c r="C1522" s="155"/>
      <c r="D1522" s="2" t="s">
        <v>286</v>
      </c>
      <c r="E1522" s="148"/>
      <c r="F1522" s="253">
        <v>3</v>
      </c>
      <c r="G1522" s="253"/>
      <c r="H1522" s="253"/>
      <c r="I1522" s="246"/>
      <c r="J1522" s="253">
        <f>ROUND(PRODUCT(F1522:I1522),2)</f>
        <v>3</v>
      </c>
      <c r="K1522" s="137"/>
      <c r="L1522" s="137"/>
      <c r="M1522" s="137"/>
      <c r="N1522" s="138"/>
      <c r="O1522" s="167"/>
      <c r="P1522" s="111"/>
      <c r="Q1522" s="111"/>
      <c r="R1522" s="111"/>
      <c r="S1522" s="111"/>
      <c r="T1522" s="111"/>
      <c r="U1522" s="111"/>
      <c r="V1522" s="111"/>
      <c r="W1522" s="111"/>
      <c r="X1522" s="111"/>
      <c r="Y1522" s="111"/>
      <c r="Z1522" s="111"/>
      <c r="AA1522" s="111"/>
    </row>
    <row r="1523" spans="1:27" s="118" customFormat="1" x14ac:dyDescent="0.2">
      <c r="A1523" s="6"/>
      <c r="B1523" s="6"/>
      <c r="C1523" s="156"/>
      <c r="D1523" s="108"/>
      <c r="E1523" s="148"/>
      <c r="F1523" s="253"/>
      <c r="G1523" s="253"/>
      <c r="H1523" s="253"/>
      <c r="I1523" s="246" t="str">
        <f>"Total item "&amp;A1521</f>
        <v>Total item 17.2.4</v>
      </c>
      <c r="J1523" s="261">
        <f>SUM(J1522:J1522)</f>
        <v>3</v>
      </c>
      <c r="K1523" s="137"/>
      <c r="L1523" s="137"/>
      <c r="M1523" s="137"/>
      <c r="N1523" s="138"/>
      <c r="O1523" s="167"/>
      <c r="P1523" s="111"/>
      <c r="Q1523" s="111"/>
      <c r="R1523" s="111"/>
      <c r="S1523" s="111"/>
      <c r="T1523" s="111"/>
      <c r="U1523" s="111"/>
      <c r="V1523" s="111"/>
      <c r="W1523" s="111"/>
      <c r="X1523" s="111"/>
      <c r="Y1523" s="111"/>
      <c r="Z1523" s="111"/>
      <c r="AA1523" s="111"/>
    </row>
    <row r="1524" spans="1:27" s="139" customFormat="1" x14ac:dyDescent="0.2">
      <c r="A1524" s="6"/>
      <c r="B1524" s="6"/>
      <c r="C1524" s="7"/>
      <c r="D1524" s="116"/>
      <c r="E1524" s="6"/>
      <c r="F1524" s="258"/>
      <c r="G1524" s="258"/>
      <c r="H1524" s="258"/>
      <c r="I1524" s="246"/>
      <c r="J1524" s="258"/>
      <c r="K1524" s="137"/>
      <c r="L1524" s="137"/>
      <c r="M1524" s="137"/>
      <c r="N1524" s="138"/>
      <c r="O1524" s="283"/>
      <c r="P1524" s="120"/>
      <c r="Q1524" s="120"/>
      <c r="R1524" s="120"/>
      <c r="S1524" s="120"/>
      <c r="T1524" s="120"/>
      <c r="U1524" s="120"/>
      <c r="V1524" s="120"/>
      <c r="W1524" s="120"/>
      <c r="X1524" s="120"/>
      <c r="Y1524" s="120"/>
      <c r="Z1524" s="120"/>
      <c r="AA1524" s="120"/>
    </row>
    <row r="1525" spans="1:27" s="145" customFormat="1" x14ac:dyDescent="0.2">
      <c r="A1525" s="140" t="s">
        <v>391</v>
      </c>
      <c r="B1525" s="140"/>
      <c r="C1525" s="141"/>
      <c r="D1525" s="112" t="s">
        <v>80</v>
      </c>
      <c r="E1525" s="140"/>
      <c r="F1525" s="260"/>
      <c r="G1525" s="260"/>
      <c r="H1525" s="260"/>
      <c r="I1525" s="248"/>
      <c r="J1525" s="260"/>
      <c r="K1525" s="142"/>
      <c r="L1525" s="142"/>
      <c r="M1525" s="142"/>
      <c r="N1525" s="143">
        <f>SUM(N1527:N1539)</f>
        <v>8369.76</v>
      </c>
      <c r="O1525" s="285"/>
      <c r="P1525" s="144"/>
      <c r="Q1525" s="144"/>
      <c r="R1525" s="144"/>
      <c r="S1525" s="144"/>
      <c r="T1525" s="144"/>
      <c r="U1525" s="144"/>
      <c r="V1525" s="144"/>
      <c r="W1525" s="144"/>
      <c r="X1525" s="144"/>
      <c r="Y1525" s="144"/>
      <c r="Z1525" s="144"/>
      <c r="AA1525" s="144"/>
    </row>
    <row r="1526" spans="1:27" s="139" customFormat="1" x14ac:dyDescent="0.2">
      <c r="A1526" s="6"/>
      <c r="B1526" s="6"/>
      <c r="C1526" s="7"/>
      <c r="D1526" s="116"/>
      <c r="E1526" s="6"/>
      <c r="F1526" s="258"/>
      <c r="G1526" s="258"/>
      <c r="H1526" s="258"/>
      <c r="I1526" s="246"/>
      <c r="J1526" s="258"/>
      <c r="K1526" s="137"/>
      <c r="L1526" s="137"/>
      <c r="M1526" s="137"/>
      <c r="N1526" s="138"/>
      <c r="O1526" s="283"/>
      <c r="P1526" s="120"/>
      <c r="Q1526" s="120"/>
      <c r="R1526" s="120"/>
      <c r="S1526" s="120"/>
      <c r="T1526" s="120"/>
      <c r="U1526" s="120"/>
      <c r="V1526" s="120"/>
      <c r="W1526" s="120"/>
      <c r="X1526" s="120"/>
      <c r="Y1526" s="120"/>
      <c r="Z1526" s="120"/>
      <c r="AA1526" s="120"/>
    </row>
    <row r="1527" spans="1:27" s="147" customFormat="1" ht="30.6" x14ac:dyDescent="0.2">
      <c r="A1527" s="9" t="s">
        <v>392</v>
      </c>
      <c r="B1527" s="9" t="s">
        <v>89</v>
      </c>
      <c r="C1527" s="197" t="s">
        <v>437</v>
      </c>
      <c r="D1527" s="113" t="s">
        <v>714</v>
      </c>
      <c r="E1527" s="9" t="s">
        <v>9</v>
      </c>
      <c r="F1527" s="261"/>
      <c r="G1527" s="261"/>
      <c r="H1527" s="261"/>
      <c r="I1527" s="245"/>
      <c r="J1527" s="261"/>
      <c r="K1527" s="131">
        <f>J1532</f>
        <v>92.88</v>
      </c>
      <c r="L1527" s="131">
        <v>59.97</v>
      </c>
      <c r="M1527" s="131">
        <f>ROUND(L1527*(1+$Q$7),2)</f>
        <v>75.88</v>
      </c>
      <c r="N1527" s="133">
        <f>TRUNC(K1527*M1527,2)</f>
        <v>7047.73</v>
      </c>
      <c r="O1527" s="286"/>
      <c r="P1527" s="146"/>
      <c r="Q1527" s="146"/>
      <c r="R1527" s="146"/>
      <c r="S1527" s="146"/>
      <c r="T1527" s="146"/>
      <c r="U1527" s="146"/>
      <c r="V1527" s="146"/>
      <c r="W1527" s="146"/>
      <c r="X1527" s="146"/>
      <c r="Y1527" s="146"/>
      <c r="Z1527" s="146"/>
      <c r="AA1527" s="146"/>
    </row>
    <row r="1528" spans="1:27" s="118" customFormat="1" x14ac:dyDescent="0.2">
      <c r="A1528" s="6"/>
      <c r="B1528" s="6"/>
      <c r="C1528" s="155"/>
      <c r="D1528" s="2" t="s">
        <v>282</v>
      </c>
      <c r="E1528" s="148"/>
      <c r="F1528" s="253"/>
      <c r="G1528" s="253">
        <v>23.7</v>
      </c>
      <c r="H1528" s="253"/>
      <c r="I1528" s="249"/>
      <c r="J1528" s="253">
        <f>ROUND(PRODUCT(F1528:I1528),2)</f>
        <v>23.7</v>
      </c>
      <c r="K1528" s="137"/>
      <c r="L1528" s="137"/>
      <c r="M1528" s="137"/>
      <c r="N1528" s="138"/>
      <c r="O1528" s="167"/>
      <c r="P1528" s="111"/>
      <c r="Q1528" s="111"/>
      <c r="R1528" s="111"/>
      <c r="S1528" s="111"/>
      <c r="T1528" s="111"/>
      <c r="U1528" s="111"/>
      <c r="V1528" s="111"/>
      <c r="W1528" s="111"/>
      <c r="X1528" s="111"/>
      <c r="Y1528" s="111"/>
      <c r="Z1528" s="111"/>
      <c r="AA1528" s="111"/>
    </row>
    <row r="1529" spans="1:27" s="118" customFormat="1" x14ac:dyDescent="0.2">
      <c r="A1529" s="6"/>
      <c r="B1529" s="6"/>
      <c r="C1529" s="155"/>
      <c r="D1529" s="2" t="s">
        <v>253</v>
      </c>
      <c r="E1529" s="148"/>
      <c r="F1529" s="253"/>
      <c r="G1529" s="253">
        <v>22.8</v>
      </c>
      <c r="H1529" s="253"/>
      <c r="I1529" s="249"/>
      <c r="J1529" s="253">
        <f t="shared" ref="J1529:J1531" si="153">ROUND(PRODUCT(F1529:I1529),2)</f>
        <v>22.8</v>
      </c>
      <c r="K1529" s="137"/>
      <c r="L1529" s="137"/>
      <c r="M1529" s="137"/>
      <c r="N1529" s="138"/>
      <c r="O1529" s="167"/>
      <c r="P1529" s="111"/>
      <c r="Q1529" s="111"/>
      <c r="R1529" s="111"/>
      <c r="S1529" s="111"/>
      <c r="T1529" s="111"/>
      <c r="U1529" s="111"/>
      <c r="V1529" s="111"/>
      <c r="W1529" s="111"/>
      <c r="X1529" s="111"/>
      <c r="Y1529" s="111"/>
      <c r="Z1529" s="111"/>
      <c r="AA1529" s="111"/>
    </row>
    <row r="1530" spans="1:27" s="118" customFormat="1" x14ac:dyDescent="0.2">
      <c r="A1530" s="6"/>
      <c r="B1530" s="6"/>
      <c r="C1530" s="155"/>
      <c r="D1530" s="2" t="s">
        <v>257</v>
      </c>
      <c r="E1530" s="148"/>
      <c r="F1530" s="253"/>
      <c r="G1530" s="253">
        <v>23.58</v>
      </c>
      <c r="H1530" s="253"/>
      <c r="I1530" s="249"/>
      <c r="J1530" s="253">
        <f t="shared" si="153"/>
        <v>23.58</v>
      </c>
      <c r="K1530" s="137"/>
      <c r="L1530" s="137"/>
      <c r="M1530" s="137"/>
      <c r="N1530" s="138"/>
      <c r="O1530" s="167"/>
      <c r="P1530" s="111"/>
      <c r="Q1530" s="111"/>
      <c r="R1530" s="111"/>
      <c r="S1530" s="111"/>
      <c r="T1530" s="111"/>
      <c r="U1530" s="111"/>
      <c r="V1530" s="111"/>
      <c r="W1530" s="111"/>
      <c r="X1530" s="111"/>
      <c r="Y1530" s="111"/>
      <c r="Z1530" s="111"/>
      <c r="AA1530" s="111"/>
    </row>
    <row r="1531" spans="1:27" s="118" customFormat="1" x14ac:dyDescent="0.2">
      <c r="A1531" s="6"/>
      <c r="B1531" s="6"/>
      <c r="C1531" s="155"/>
      <c r="D1531" s="2" t="s">
        <v>242</v>
      </c>
      <c r="E1531" s="148"/>
      <c r="F1531" s="253"/>
      <c r="G1531" s="253">
        <v>22.8</v>
      </c>
      <c r="H1531" s="253"/>
      <c r="I1531" s="249"/>
      <c r="J1531" s="253">
        <f t="shared" si="153"/>
        <v>22.8</v>
      </c>
      <c r="K1531" s="137"/>
      <c r="L1531" s="137"/>
      <c r="M1531" s="137"/>
      <c r="N1531" s="138"/>
      <c r="O1531" s="167"/>
      <c r="P1531" s="111"/>
      <c r="Q1531" s="111"/>
      <c r="R1531" s="111"/>
      <c r="S1531" s="111"/>
      <c r="T1531" s="111"/>
      <c r="U1531" s="111"/>
      <c r="V1531" s="111"/>
      <c r="W1531" s="111"/>
      <c r="X1531" s="111"/>
      <c r="Y1531" s="111"/>
      <c r="Z1531" s="111"/>
      <c r="AA1531" s="111"/>
    </row>
    <row r="1532" spans="1:27" s="118" customFormat="1" x14ac:dyDescent="0.2">
      <c r="A1532" s="6"/>
      <c r="B1532" s="6"/>
      <c r="C1532" s="156"/>
      <c r="D1532" s="108"/>
      <c r="E1532" s="148"/>
      <c r="F1532" s="253"/>
      <c r="G1532" s="253"/>
      <c r="H1532" s="253"/>
      <c r="I1532" s="246" t="str">
        <f>"Total item "&amp;A1527</f>
        <v>Total item 17.3.1</v>
      </c>
      <c r="J1532" s="261">
        <f>SUM(J1528:J1531)</f>
        <v>92.88</v>
      </c>
      <c r="K1532" s="137"/>
      <c r="L1532" s="137"/>
      <c r="M1532" s="137"/>
      <c r="N1532" s="138"/>
      <c r="O1532" s="167"/>
      <c r="P1532" s="111"/>
      <c r="Q1532" s="111"/>
      <c r="R1532" s="111"/>
      <c r="S1532" s="111"/>
      <c r="T1532" s="111"/>
      <c r="U1532" s="111"/>
      <c r="V1532" s="111"/>
      <c r="W1532" s="111"/>
      <c r="X1532" s="111"/>
      <c r="Y1532" s="111"/>
      <c r="Z1532" s="111"/>
      <c r="AA1532" s="111"/>
    </row>
    <row r="1533" spans="1:27" s="118" customFormat="1" x14ac:dyDescent="0.2">
      <c r="A1533" s="6"/>
      <c r="B1533" s="6"/>
      <c r="C1533" s="155"/>
      <c r="D1533" s="108"/>
      <c r="E1533" s="148"/>
      <c r="F1533" s="253"/>
      <c r="G1533" s="253"/>
      <c r="H1533" s="253"/>
      <c r="I1533" s="246"/>
      <c r="J1533" s="258"/>
      <c r="K1533" s="137"/>
      <c r="L1533" s="137"/>
      <c r="M1533" s="137"/>
      <c r="N1533" s="138"/>
      <c r="O1533" s="167"/>
      <c r="P1533" s="111"/>
      <c r="Q1533" s="111"/>
      <c r="R1533" s="111"/>
      <c r="S1533" s="111"/>
      <c r="T1533" s="111"/>
      <c r="U1533" s="111"/>
      <c r="V1533" s="111"/>
      <c r="W1533" s="111"/>
      <c r="X1533" s="111"/>
      <c r="Y1533" s="111"/>
      <c r="Z1533" s="111"/>
      <c r="AA1533" s="111"/>
    </row>
    <row r="1534" spans="1:27" s="147" customFormat="1" x14ac:dyDescent="0.2">
      <c r="A1534" s="9" t="s">
        <v>393</v>
      </c>
      <c r="B1534" s="9" t="s">
        <v>179</v>
      </c>
      <c r="C1534" s="13" t="s">
        <v>180</v>
      </c>
      <c r="D1534" s="113" t="s">
        <v>77</v>
      </c>
      <c r="E1534" s="9" t="s">
        <v>9</v>
      </c>
      <c r="F1534" s="261"/>
      <c r="G1534" s="261"/>
      <c r="H1534" s="261"/>
      <c r="I1534" s="245"/>
      <c r="J1534" s="261"/>
      <c r="K1534" s="131">
        <f>J1538</f>
        <v>180.35999999999999</v>
      </c>
      <c r="L1534" s="131">
        <f>'COMPOSICOES - SINAPI COM DESON'!G18</f>
        <v>5.79</v>
      </c>
      <c r="M1534" s="131">
        <f>ROUND(L1534*(1+$Q$7),2)</f>
        <v>7.33</v>
      </c>
      <c r="N1534" s="133">
        <f>TRUNC(K1534*M1534,2)</f>
        <v>1322.03</v>
      </c>
      <c r="O1534" s="286"/>
      <c r="P1534" s="146"/>
      <c r="Q1534" s="146"/>
      <c r="R1534" s="146"/>
      <c r="S1534" s="146"/>
      <c r="T1534" s="146"/>
      <c r="U1534" s="146"/>
      <c r="V1534" s="146"/>
      <c r="W1534" s="146"/>
      <c r="X1534" s="146"/>
      <c r="Y1534" s="146"/>
      <c r="Z1534" s="146"/>
      <c r="AA1534" s="146"/>
    </row>
    <row r="1535" spans="1:27" s="118" customFormat="1" x14ac:dyDescent="0.2">
      <c r="A1535" s="6"/>
      <c r="B1535" s="6"/>
      <c r="C1535" s="155"/>
      <c r="D1535" s="115"/>
      <c r="E1535" s="148"/>
      <c r="F1535" s="253"/>
      <c r="G1535" s="253">
        <v>6.3</v>
      </c>
      <c r="H1535" s="253">
        <v>8.8000000000000007</v>
      </c>
      <c r="I1535" s="249"/>
      <c r="J1535" s="253">
        <f>ROUND(PRODUCT(F1535:I1535),2)</f>
        <v>55.44</v>
      </c>
      <c r="K1535" s="137"/>
      <c r="L1535" s="137"/>
      <c r="M1535" s="137"/>
      <c r="N1535" s="138"/>
      <c r="O1535" s="167"/>
      <c r="P1535" s="111"/>
      <c r="Q1535" s="111"/>
      <c r="R1535" s="111"/>
      <c r="S1535" s="111"/>
      <c r="T1535" s="111"/>
      <c r="U1535" s="111"/>
      <c r="V1535" s="111"/>
      <c r="W1535" s="111"/>
      <c r="X1535" s="111"/>
      <c r="Y1535" s="111"/>
      <c r="Z1535" s="111"/>
      <c r="AA1535" s="111"/>
    </row>
    <row r="1536" spans="1:27" s="118" customFormat="1" x14ac:dyDescent="0.2">
      <c r="A1536" s="6"/>
      <c r="B1536" s="6"/>
      <c r="C1536" s="155"/>
      <c r="D1536" s="2"/>
      <c r="E1536" s="148"/>
      <c r="F1536" s="253"/>
      <c r="G1536" s="253">
        <v>16.25</v>
      </c>
      <c r="H1536" s="253">
        <v>6.3</v>
      </c>
      <c r="I1536" s="249"/>
      <c r="J1536" s="253">
        <f t="shared" ref="J1536:J1537" si="154">ROUND(PRODUCT(F1536:I1536),2)</f>
        <v>102.38</v>
      </c>
      <c r="K1536" s="137"/>
      <c r="L1536" s="137"/>
      <c r="M1536" s="137"/>
      <c r="N1536" s="138"/>
      <c r="O1536" s="167"/>
      <c r="P1536" s="111"/>
      <c r="Q1536" s="111"/>
      <c r="R1536" s="111"/>
      <c r="S1536" s="111"/>
      <c r="T1536" s="111"/>
      <c r="U1536" s="111"/>
      <c r="V1536" s="111"/>
      <c r="W1536" s="111"/>
      <c r="X1536" s="111"/>
      <c r="Y1536" s="111"/>
      <c r="Z1536" s="111"/>
      <c r="AA1536" s="111"/>
    </row>
    <row r="1537" spans="1:27" s="118" customFormat="1" x14ac:dyDescent="0.2">
      <c r="A1537" s="6"/>
      <c r="B1537" s="6"/>
      <c r="C1537" s="155"/>
      <c r="D1537" s="2"/>
      <c r="E1537" s="148"/>
      <c r="F1537" s="253"/>
      <c r="G1537" s="253">
        <v>4.9000000000000004</v>
      </c>
      <c r="H1537" s="253">
        <v>4.5999999999999996</v>
      </c>
      <c r="I1537" s="249"/>
      <c r="J1537" s="253">
        <f t="shared" si="154"/>
        <v>22.54</v>
      </c>
      <c r="K1537" s="137"/>
      <c r="L1537" s="137"/>
      <c r="M1537" s="137"/>
      <c r="N1537" s="138"/>
      <c r="O1537" s="167"/>
      <c r="P1537" s="111"/>
      <c r="Q1537" s="111"/>
      <c r="R1537" s="111"/>
      <c r="S1537" s="111"/>
      <c r="T1537" s="111"/>
      <c r="U1537" s="111"/>
      <c r="V1537" s="111"/>
      <c r="W1537" s="111"/>
      <c r="X1537" s="111"/>
      <c r="Y1537" s="111"/>
      <c r="Z1537" s="111"/>
      <c r="AA1537" s="111"/>
    </row>
    <row r="1538" spans="1:27" s="118" customFormat="1" x14ac:dyDescent="0.2">
      <c r="A1538" s="6"/>
      <c r="B1538" s="6"/>
      <c r="C1538" s="156"/>
      <c r="D1538" s="108"/>
      <c r="E1538" s="148"/>
      <c r="F1538" s="253"/>
      <c r="G1538" s="253"/>
      <c r="H1538" s="253"/>
      <c r="I1538" s="246" t="str">
        <f>"Total item "&amp;A1534</f>
        <v>Total item 17.3.2</v>
      </c>
      <c r="J1538" s="261">
        <f>SUM(J1535:J1537)</f>
        <v>180.35999999999999</v>
      </c>
      <c r="K1538" s="137"/>
      <c r="L1538" s="137"/>
      <c r="M1538" s="137"/>
      <c r="N1538" s="138"/>
      <c r="O1538" s="167"/>
      <c r="P1538" s="111"/>
      <c r="Q1538" s="111"/>
      <c r="R1538" s="111"/>
      <c r="S1538" s="111"/>
      <c r="T1538" s="111"/>
      <c r="U1538" s="111"/>
      <c r="V1538" s="111"/>
      <c r="W1538" s="111"/>
      <c r="X1538" s="111"/>
      <c r="Y1538" s="111"/>
      <c r="Z1538" s="111"/>
      <c r="AA1538" s="111"/>
    </row>
    <row r="1539" spans="1:27" s="118" customFormat="1" x14ac:dyDescent="0.2">
      <c r="A1539" s="6"/>
      <c r="B1539" s="6"/>
      <c r="C1539" s="155"/>
      <c r="D1539" s="108"/>
      <c r="E1539" s="148"/>
      <c r="F1539" s="253"/>
      <c r="G1539" s="253"/>
      <c r="H1539" s="253"/>
      <c r="I1539" s="246"/>
      <c r="J1539" s="258"/>
      <c r="K1539" s="137"/>
      <c r="L1539" s="137"/>
      <c r="M1539" s="137"/>
      <c r="N1539" s="138"/>
      <c r="O1539" s="167"/>
      <c r="P1539" s="111"/>
      <c r="Q1539" s="111"/>
      <c r="R1539" s="111"/>
      <c r="S1539" s="111"/>
      <c r="T1539" s="111"/>
      <c r="U1539" s="111"/>
      <c r="V1539" s="111"/>
      <c r="W1539" s="111"/>
      <c r="X1539" s="111"/>
      <c r="Y1539" s="111"/>
      <c r="Z1539" s="111"/>
      <c r="AA1539" s="111"/>
    </row>
    <row r="1540" spans="1:27" s="145" customFormat="1" x14ac:dyDescent="0.2">
      <c r="A1540" s="140" t="s">
        <v>394</v>
      </c>
      <c r="B1540" s="140"/>
      <c r="C1540" s="141"/>
      <c r="D1540" s="112" t="s">
        <v>267</v>
      </c>
      <c r="E1540" s="140"/>
      <c r="F1540" s="260"/>
      <c r="G1540" s="260"/>
      <c r="H1540" s="260"/>
      <c r="I1540" s="248"/>
      <c r="J1540" s="260"/>
      <c r="K1540" s="142"/>
      <c r="L1540" s="142"/>
      <c r="M1540" s="142"/>
      <c r="N1540" s="143">
        <f>SUM(N1542:N1546)</f>
        <v>3990.28</v>
      </c>
      <c r="O1540" s="285"/>
      <c r="P1540" s="144"/>
      <c r="Q1540" s="144"/>
      <c r="R1540" s="144"/>
      <c r="S1540" s="144"/>
      <c r="T1540" s="144"/>
      <c r="U1540" s="144"/>
      <c r="V1540" s="144"/>
      <c r="W1540" s="144"/>
      <c r="X1540" s="144"/>
      <c r="Y1540" s="144"/>
      <c r="Z1540" s="144"/>
      <c r="AA1540" s="144"/>
    </row>
    <row r="1541" spans="1:27" s="118" customFormat="1" x14ac:dyDescent="0.2">
      <c r="A1541" s="6"/>
      <c r="B1541" s="6"/>
      <c r="C1541" s="155"/>
      <c r="D1541" s="108"/>
      <c r="E1541" s="148"/>
      <c r="F1541" s="253"/>
      <c r="G1541" s="253"/>
      <c r="H1541" s="253"/>
      <c r="I1541" s="246"/>
      <c r="J1541" s="258"/>
      <c r="K1541" s="137"/>
      <c r="L1541" s="137"/>
      <c r="M1541" s="137"/>
      <c r="N1541" s="138"/>
      <c r="O1541" s="167"/>
      <c r="P1541" s="111"/>
      <c r="Q1541" s="111"/>
      <c r="R1541" s="111"/>
      <c r="S1541" s="111"/>
      <c r="T1541" s="111"/>
      <c r="U1541" s="111"/>
      <c r="V1541" s="111"/>
      <c r="W1541" s="111"/>
      <c r="X1541" s="111"/>
      <c r="Y1541" s="111"/>
      <c r="Z1541" s="111"/>
      <c r="AA1541" s="111"/>
    </row>
    <row r="1542" spans="1:27" s="147" customFormat="1" ht="20.399999999999999" x14ac:dyDescent="0.2">
      <c r="A1542" s="9" t="s">
        <v>395</v>
      </c>
      <c r="B1542" s="9" t="s">
        <v>659</v>
      </c>
      <c r="C1542" s="13" t="s">
        <v>658</v>
      </c>
      <c r="D1542" s="113" t="s">
        <v>660</v>
      </c>
      <c r="E1542" s="9" t="s">
        <v>9</v>
      </c>
      <c r="F1542" s="261"/>
      <c r="G1542" s="261" t="s">
        <v>39</v>
      </c>
      <c r="H1542" s="261"/>
      <c r="I1542" s="245"/>
      <c r="J1542" s="261"/>
      <c r="K1542" s="131">
        <f>J1545</f>
        <v>70.8</v>
      </c>
      <c r="L1542" s="131">
        <v>44.54</v>
      </c>
      <c r="M1542" s="131">
        <f>ROUND(L1542*(1+$Q$7),2)</f>
        <v>56.36</v>
      </c>
      <c r="N1542" s="133">
        <f>TRUNC(K1542*M1542,2)</f>
        <v>3990.28</v>
      </c>
      <c r="O1542" s="286"/>
      <c r="P1542" s="146"/>
      <c r="Q1542" s="146"/>
      <c r="R1542" s="146"/>
      <c r="S1542" s="146"/>
      <c r="T1542" s="146"/>
      <c r="U1542" s="146"/>
      <c r="V1542" s="146"/>
      <c r="W1542" s="146"/>
      <c r="X1542" s="146"/>
      <c r="Y1542" s="146"/>
      <c r="Z1542" s="146"/>
      <c r="AA1542" s="146"/>
    </row>
    <row r="1543" spans="1:27" s="118" customFormat="1" x14ac:dyDescent="0.2">
      <c r="A1543" s="6"/>
      <c r="B1543" s="6"/>
      <c r="C1543" s="155"/>
      <c r="D1543" s="2" t="s">
        <v>297</v>
      </c>
      <c r="E1543" s="148"/>
      <c r="F1543" s="253"/>
      <c r="G1543" s="253">
        <v>35.4</v>
      </c>
      <c r="H1543" s="253"/>
      <c r="I1543" s="249"/>
      <c r="J1543" s="253">
        <f>ROUND(PRODUCT(F1543:I1543),2)</f>
        <v>35.4</v>
      </c>
      <c r="K1543" s="137"/>
      <c r="L1543" s="137"/>
      <c r="M1543" s="137"/>
      <c r="N1543" s="138"/>
      <c r="O1543" s="167"/>
      <c r="P1543" s="111"/>
      <c r="Q1543" s="111"/>
      <c r="R1543" s="111"/>
      <c r="S1543" s="111"/>
      <c r="T1543" s="111"/>
      <c r="U1543" s="111"/>
      <c r="V1543" s="111"/>
      <c r="W1543" s="111"/>
      <c r="X1543" s="111"/>
      <c r="Y1543" s="111"/>
      <c r="Z1543" s="111"/>
      <c r="AA1543" s="111"/>
    </row>
    <row r="1544" spans="1:27" s="118" customFormat="1" x14ac:dyDescent="0.2">
      <c r="A1544" s="6"/>
      <c r="B1544" s="6"/>
      <c r="C1544" s="155"/>
      <c r="D1544" s="2" t="s">
        <v>242</v>
      </c>
      <c r="E1544" s="148"/>
      <c r="F1544" s="253"/>
      <c r="G1544" s="253">
        <v>35.4</v>
      </c>
      <c r="H1544" s="253"/>
      <c r="I1544" s="249"/>
      <c r="J1544" s="253">
        <f>ROUND(PRODUCT(F1544:I1544),2)</f>
        <v>35.4</v>
      </c>
      <c r="K1544" s="137"/>
      <c r="L1544" s="137"/>
      <c r="M1544" s="137"/>
      <c r="N1544" s="138"/>
      <c r="O1544" s="167"/>
      <c r="P1544" s="111"/>
      <c r="Q1544" s="111"/>
      <c r="R1544" s="111"/>
      <c r="S1544" s="111"/>
      <c r="T1544" s="111"/>
      <c r="U1544" s="111"/>
      <c r="V1544" s="111"/>
      <c r="W1544" s="111"/>
      <c r="X1544" s="111"/>
      <c r="Y1544" s="111"/>
      <c r="Z1544" s="111"/>
      <c r="AA1544" s="111"/>
    </row>
    <row r="1545" spans="1:27" s="118" customFormat="1" x14ac:dyDescent="0.2">
      <c r="A1545" s="6"/>
      <c r="B1545" s="6"/>
      <c r="C1545" s="156"/>
      <c r="D1545" s="108"/>
      <c r="E1545" s="148"/>
      <c r="F1545" s="253"/>
      <c r="G1545" s="253"/>
      <c r="H1545" s="253"/>
      <c r="I1545" s="246" t="str">
        <f>"Total item "&amp;A1542</f>
        <v>Total item 17.4.1</v>
      </c>
      <c r="J1545" s="261">
        <f>SUM(J1543:J1544)</f>
        <v>70.8</v>
      </c>
      <c r="K1545" s="137"/>
      <c r="L1545" s="137"/>
      <c r="M1545" s="137"/>
      <c r="N1545" s="138"/>
      <c r="O1545" s="167"/>
      <c r="P1545" s="111"/>
      <c r="Q1545" s="111"/>
      <c r="R1545" s="111"/>
      <c r="S1545" s="111"/>
      <c r="T1545" s="111"/>
      <c r="U1545" s="111"/>
      <c r="V1545" s="111"/>
      <c r="W1545" s="111"/>
      <c r="X1545" s="111"/>
      <c r="Y1545" s="111"/>
      <c r="Z1545" s="111"/>
      <c r="AA1545" s="111"/>
    </row>
    <row r="1546" spans="1:27" s="118" customFormat="1" x14ac:dyDescent="0.2">
      <c r="A1546" s="6"/>
      <c r="B1546" s="6"/>
      <c r="C1546" s="155"/>
      <c r="D1546" s="108"/>
      <c r="E1546" s="148"/>
      <c r="F1546" s="253"/>
      <c r="G1546" s="253"/>
      <c r="H1546" s="253"/>
      <c r="I1546" s="246"/>
      <c r="J1546" s="258"/>
      <c r="K1546" s="137"/>
      <c r="L1546" s="137"/>
      <c r="M1546" s="137"/>
      <c r="N1546" s="138"/>
      <c r="O1546" s="167"/>
      <c r="P1546" s="111"/>
      <c r="Q1546" s="111"/>
      <c r="R1546" s="111"/>
      <c r="S1546" s="111"/>
      <c r="T1546" s="111"/>
      <c r="U1546" s="111"/>
      <c r="V1546" s="111"/>
      <c r="W1546" s="111"/>
      <c r="X1546" s="111"/>
      <c r="Y1546" s="111"/>
      <c r="Z1546" s="111"/>
      <c r="AA1546" s="111"/>
    </row>
    <row r="1547" spans="1:27" s="241" customFormat="1" ht="26.4" x14ac:dyDescent="0.25">
      <c r="A1547" s="236" t="s">
        <v>234</v>
      </c>
      <c r="B1547" s="236"/>
      <c r="C1547" s="237"/>
      <c r="D1547" s="289" t="s">
        <v>298</v>
      </c>
      <c r="E1547" s="236"/>
      <c r="F1547" s="259"/>
      <c r="G1547" s="259"/>
      <c r="H1547" s="259"/>
      <c r="I1547" s="247"/>
      <c r="J1547" s="259"/>
      <c r="K1547" s="238"/>
      <c r="L1547" s="238"/>
      <c r="M1547" s="238"/>
      <c r="N1547" s="239" t="e">
        <f>N1549+N1597+N1604</f>
        <v>#VALUE!</v>
      </c>
      <c r="O1547" s="284" t="e">
        <f>N1547/$N$2057</f>
        <v>#VALUE!</v>
      </c>
      <c r="P1547" s="240" t="s">
        <v>533</v>
      </c>
      <c r="Q1547" s="240" t="s">
        <v>533</v>
      </c>
      <c r="R1547" s="240"/>
      <c r="S1547" s="240"/>
      <c r="T1547" s="240"/>
      <c r="U1547" s="240"/>
      <c r="V1547" s="240"/>
      <c r="W1547" s="240"/>
      <c r="X1547" s="240"/>
      <c r="Y1547" s="240"/>
      <c r="Z1547" s="240"/>
      <c r="AA1547" s="240"/>
    </row>
    <row r="1548" spans="1:27" s="118" customFormat="1" x14ac:dyDescent="0.2">
      <c r="A1548" s="6"/>
      <c r="B1548" s="6"/>
      <c r="C1548" s="155"/>
      <c r="D1548" s="108"/>
      <c r="E1548" s="148"/>
      <c r="F1548" s="253"/>
      <c r="G1548" s="253"/>
      <c r="H1548" s="253"/>
      <c r="I1548" s="246"/>
      <c r="J1548" s="258"/>
      <c r="K1548" s="137"/>
      <c r="L1548" s="137"/>
      <c r="M1548" s="137"/>
      <c r="N1548" s="138"/>
      <c r="O1548" s="167"/>
      <c r="P1548" s="111"/>
      <c r="Q1548" s="111"/>
      <c r="R1548" s="111"/>
      <c r="S1548" s="111"/>
      <c r="T1548" s="111"/>
      <c r="U1548" s="111"/>
      <c r="V1548" s="111"/>
      <c r="W1548" s="111"/>
      <c r="X1548" s="111"/>
      <c r="Y1548" s="111"/>
      <c r="Z1548" s="111"/>
      <c r="AA1548" s="111"/>
    </row>
    <row r="1549" spans="1:27" s="145" customFormat="1" x14ac:dyDescent="0.2">
      <c r="A1549" s="140" t="s">
        <v>866</v>
      </c>
      <c r="B1549" s="140"/>
      <c r="C1549" s="141"/>
      <c r="D1549" s="112" t="s">
        <v>30</v>
      </c>
      <c r="E1549" s="140"/>
      <c r="F1549" s="260"/>
      <c r="G1549" s="260"/>
      <c r="H1549" s="260"/>
      <c r="I1549" s="248"/>
      <c r="J1549" s="260"/>
      <c r="K1549" s="142"/>
      <c r="L1549" s="142"/>
      <c r="M1549" s="142"/>
      <c r="N1549" s="143" t="e">
        <f>SUM(N1551:N1595)</f>
        <v>#VALUE!</v>
      </c>
      <c r="O1549" s="285"/>
      <c r="P1549" s="144"/>
      <c r="Q1549" s="144"/>
      <c r="R1549" s="144"/>
      <c r="S1549" s="144"/>
      <c r="T1549" s="144"/>
      <c r="U1549" s="144"/>
      <c r="V1549" s="144"/>
      <c r="W1549" s="144"/>
      <c r="X1549" s="144"/>
      <c r="Y1549" s="144"/>
      <c r="Z1549" s="144"/>
      <c r="AA1549" s="144"/>
    </row>
    <row r="1550" spans="1:27" s="118" customFormat="1" x14ac:dyDescent="0.2">
      <c r="A1550" s="6"/>
      <c r="B1550" s="6"/>
      <c r="C1550" s="155"/>
      <c r="D1550" s="108"/>
      <c r="E1550" s="148"/>
      <c r="F1550" s="253"/>
      <c r="G1550" s="253"/>
      <c r="H1550" s="253"/>
      <c r="I1550" s="246"/>
      <c r="J1550" s="258"/>
      <c r="K1550" s="137"/>
      <c r="L1550" s="137"/>
      <c r="M1550" s="137"/>
      <c r="N1550" s="138"/>
      <c r="O1550" s="167"/>
      <c r="P1550" s="111"/>
      <c r="Q1550" s="111"/>
      <c r="R1550" s="111"/>
      <c r="S1550" s="111"/>
      <c r="T1550" s="111"/>
      <c r="U1550" s="111"/>
      <c r="V1550" s="111"/>
      <c r="W1550" s="111"/>
      <c r="X1550" s="111"/>
      <c r="Y1550" s="111"/>
      <c r="Z1550" s="111"/>
      <c r="AA1550" s="111"/>
    </row>
    <row r="1551" spans="1:27" s="147" customFormat="1" ht="61.2" x14ac:dyDescent="0.2">
      <c r="A1551" s="9" t="s">
        <v>867</v>
      </c>
      <c r="B1551" s="9" t="s">
        <v>179</v>
      </c>
      <c r="C1551" s="13" t="s">
        <v>417</v>
      </c>
      <c r="D1551" s="113" t="s">
        <v>561</v>
      </c>
      <c r="E1551" s="9" t="s">
        <v>31</v>
      </c>
      <c r="F1551" s="261"/>
      <c r="G1551" s="261"/>
      <c r="H1551" s="261"/>
      <c r="I1551" s="245"/>
      <c r="J1551" s="261"/>
      <c r="K1551" s="131">
        <f>J1558</f>
        <v>12</v>
      </c>
      <c r="L1551" s="131" t="e">
        <f>'COMPOSICOES - SINAPI COM DESON'!G36</f>
        <v>#VALUE!</v>
      </c>
      <c r="M1551" s="131" t="e">
        <f>ROUND(L1551*(1+$Q$7),2)</f>
        <v>#VALUE!</v>
      </c>
      <c r="N1551" s="133" t="e">
        <f>TRUNC(K1551*M1551,2)</f>
        <v>#VALUE!</v>
      </c>
      <c r="O1551" s="286"/>
      <c r="P1551" s="146"/>
      <c r="Q1551" s="146"/>
      <c r="R1551" s="146"/>
      <c r="S1551" s="146"/>
      <c r="T1551" s="146"/>
      <c r="U1551" s="146"/>
      <c r="V1551" s="146"/>
      <c r="W1551" s="146"/>
      <c r="X1551" s="146"/>
      <c r="Y1551" s="146"/>
      <c r="Z1551" s="146"/>
      <c r="AA1551" s="146"/>
    </row>
    <row r="1552" spans="1:27" s="118" customFormat="1" x14ac:dyDescent="0.2">
      <c r="A1552" s="6"/>
      <c r="B1552" s="6"/>
      <c r="C1552" s="155"/>
      <c r="D1552" s="2" t="s">
        <v>299</v>
      </c>
      <c r="E1552" s="148"/>
      <c r="F1552" s="253">
        <v>2</v>
      </c>
      <c r="G1552" s="253"/>
      <c r="H1552" s="253"/>
      <c r="I1552" s="246"/>
      <c r="J1552" s="253">
        <f t="shared" ref="J1552:J1557" si="155">ROUND(PRODUCT(F1552:I1552),2)</f>
        <v>2</v>
      </c>
      <c r="K1552" s="137"/>
      <c r="L1552" s="137"/>
      <c r="M1552" s="137"/>
      <c r="N1552" s="138"/>
      <c r="O1552" s="167"/>
      <c r="P1552" s="111"/>
      <c r="Q1552" s="111"/>
      <c r="R1552" s="111"/>
      <c r="S1552" s="111"/>
      <c r="T1552" s="111"/>
      <c r="U1552" s="111"/>
      <c r="V1552" s="111"/>
      <c r="W1552" s="111"/>
      <c r="X1552" s="111"/>
      <c r="Y1552" s="111"/>
      <c r="Z1552" s="111"/>
      <c r="AA1552" s="111"/>
    </row>
    <row r="1553" spans="1:27" s="118" customFormat="1" x14ac:dyDescent="0.2">
      <c r="A1553" s="6"/>
      <c r="B1553" s="6"/>
      <c r="C1553" s="155"/>
      <c r="D1553" s="2" t="s">
        <v>300</v>
      </c>
      <c r="E1553" s="148"/>
      <c r="F1553" s="253">
        <v>2</v>
      </c>
      <c r="G1553" s="253"/>
      <c r="H1553" s="253"/>
      <c r="I1553" s="246"/>
      <c r="J1553" s="253">
        <f t="shared" si="155"/>
        <v>2</v>
      </c>
      <c r="K1553" s="137"/>
      <c r="L1553" s="137"/>
      <c r="M1553" s="137"/>
      <c r="N1553" s="138"/>
      <c r="O1553" s="167"/>
      <c r="P1553" s="111"/>
      <c r="Q1553" s="111"/>
      <c r="R1553" s="111"/>
      <c r="S1553" s="111"/>
      <c r="T1553" s="111"/>
      <c r="U1553" s="111"/>
      <c r="V1553" s="111"/>
      <c r="W1553" s="111"/>
      <c r="X1553" s="111"/>
      <c r="Y1553" s="111"/>
      <c r="Z1553" s="111"/>
      <c r="AA1553" s="111"/>
    </row>
    <row r="1554" spans="1:27" s="118" customFormat="1" x14ac:dyDescent="0.2">
      <c r="A1554" s="6"/>
      <c r="B1554" s="6"/>
      <c r="C1554" s="155"/>
      <c r="D1554" s="2" t="s">
        <v>301</v>
      </c>
      <c r="E1554" s="148"/>
      <c r="F1554" s="253">
        <v>2</v>
      </c>
      <c r="G1554" s="253"/>
      <c r="H1554" s="253"/>
      <c r="I1554" s="246"/>
      <c r="J1554" s="253">
        <f t="shared" si="155"/>
        <v>2</v>
      </c>
      <c r="K1554" s="137"/>
      <c r="L1554" s="137"/>
      <c r="M1554" s="137"/>
      <c r="N1554" s="138"/>
      <c r="O1554" s="167"/>
      <c r="P1554" s="111"/>
      <c r="Q1554" s="111"/>
      <c r="R1554" s="111"/>
      <c r="S1554" s="111"/>
      <c r="T1554" s="111"/>
      <c r="U1554" s="111"/>
      <c r="V1554" s="111"/>
      <c r="W1554" s="111"/>
      <c r="X1554" s="111"/>
      <c r="Y1554" s="111"/>
      <c r="Z1554" s="111"/>
      <c r="AA1554" s="111"/>
    </row>
    <row r="1555" spans="1:27" s="118" customFormat="1" x14ac:dyDescent="0.2">
      <c r="A1555" s="6"/>
      <c r="B1555" s="6"/>
      <c r="C1555" s="155"/>
      <c r="D1555" s="2" t="s">
        <v>302</v>
      </c>
      <c r="E1555" s="148"/>
      <c r="F1555" s="253">
        <v>2</v>
      </c>
      <c r="G1555" s="253"/>
      <c r="H1555" s="253"/>
      <c r="I1555" s="246"/>
      <c r="J1555" s="253">
        <f t="shared" si="155"/>
        <v>2</v>
      </c>
      <c r="K1555" s="137"/>
      <c r="L1555" s="137"/>
      <c r="M1555" s="137"/>
      <c r="N1555" s="138"/>
      <c r="O1555" s="167"/>
      <c r="P1555" s="111"/>
      <c r="Q1555" s="111"/>
      <c r="R1555" s="111"/>
      <c r="S1555" s="111"/>
      <c r="T1555" s="111"/>
      <c r="U1555" s="111"/>
      <c r="V1555" s="111"/>
      <c r="W1555" s="111"/>
      <c r="X1555" s="111"/>
      <c r="Y1555" s="111"/>
      <c r="Z1555" s="111"/>
      <c r="AA1555" s="111"/>
    </row>
    <row r="1556" spans="1:27" s="118" customFormat="1" x14ac:dyDescent="0.2">
      <c r="A1556" s="6"/>
      <c r="B1556" s="6"/>
      <c r="C1556" s="155"/>
      <c r="D1556" s="2" t="s">
        <v>303</v>
      </c>
      <c r="E1556" s="148"/>
      <c r="F1556" s="253">
        <v>2</v>
      </c>
      <c r="G1556" s="253"/>
      <c r="H1556" s="253"/>
      <c r="I1556" s="246"/>
      <c r="J1556" s="253">
        <f t="shared" si="155"/>
        <v>2</v>
      </c>
      <c r="K1556" s="137"/>
      <c r="L1556" s="137"/>
      <c r="M1556" s="137"/>
      <c r="N1556" s="138"/>
      <c r="O1556" s="167"/>
      <c r="P1556" s="111"/>
      <c r="Q1556" s="111"/>
      <c r="R1556" s="111"/>
      <c r="S1556" s="111"/>
      <c r="T1556" s="111"/>
      <c r="U1556" s="111"/>
      <c r="V1556" s="111"/>
      <c r="W1556" s="111"/>
      <c r="X1556" s="111"/>
      <c r="Y1556" s="111"/>
      <c r="Z1556" s="111"/>
      <c r="AA1556" s="111"/>
    </row>
    <row r="1557" spans="1:27" s="118" customFormat="1" x14ac:dyDescent="0.2">
      <c r="A1557" s="6"/>
      <c r="B1557" s="6"/>
      <c r="C1557" s="155"/>
      <c r="D1557" s="2" t="s">
        <v>304</v>
      </c>
      <c r="E1557" s="148"/>
      <c r="F1557" s="253">
        <v>2</v>
      </c>
      <c r="G1557" s="253"/>
      <c r="H1557" s="253"/>
      <c r="I1557" s="246"/>
      <c r="J1557" s="253">
        <f t="shared" si="155"/>
        <v>2</v>
      </c>
      <c r="K1557" s="137"/>
      <c r="L1557" s="137"/>
      <c r="M1557" s="137"/>
      <c r="N1557" s="138"/>
      <c r="O1557" s="167"/>
      <c r="P1557" s="111"/>
      <c r="Q1557" s="111"/>
      <c r="R1557" s="111"/>
      <c r="S1557" s="111"/>
      <c r="T1557" s="111"/>
      <c r="U1557" s="111"/>
      <c r="V1557" s="111"/>
      <c r="W1557" s="111"/>
      <c r="X1557" s="111"/>
      <c r="Y1557" s="111"/>
      <c r="Z1557" s="111"/>
      <c r="AA1557" s="111"/>
    </row>
    <row r="1558" spans="1:27" s="118" customFormat="1" x14ac:dyDescent="0.2">
      <c r="A1558" s="6"/>
      <c r="B1558" s="6"/>
      <c r="C1558" s="156"/>
      <c r="D1558" s="108"/>
      <c r="E1558" s="148"/>
      <c r="F1558" s="253"/>
      <c r="G1558" s="253"/>
      <c r="H1558" s="253"/>
      <c r="I1558" s="246" t="str">
        <f>"Total item "&amp;A1551</f>
        <v>Total item 18.1.1</v>
      </c>
      <c r="J1558" s="261">
        <f>SUM(J1552:J1557)</f>
        <v>12</v>
      </c>
      <c r="K1558" s="137"/>
      <c r="L1558" s="137"/>
      <c r="M1558" s="137"/>
      <c r="N1558" s="138"/>
      <c r="O1558" s="167"/>
      <c r="P1558" s="111"/>
      <c r="Q1558" s="111"/>
      <c r="R1558" s="111"/>
      <c r="S1558" s="111"/>
      <c r="T1558" s="111"/>
      <c r="U1558" s="111"/>
      <c r="V1558" s="111"/>
      <c r="W1558" s="111"/>
      <c r="X1558" s="111"/>
      <c r="Y1558" s="111"/>
      <c r="Z1558" s="111"/>
      <c r="AA1558" s="111"/>
    </row>
    <row r="1559" spans="1:27" s="139" customFormat="1" x14ac:dyDescent="0.2">
      <c r="A1559" s="6"/>
      <c r="B1559" s="6"/>
      <c r="C1559" s="7"/>
      <c r="D1559" s="116"/>
      <c r="E1559" s="6"/>
      <c r="F1559" s="258"/>
      <c r="G1559" s="258"/>
      <c r="H1559" s="258"/>
      <c r="I1559" s="246"/>
      <c r="J1559" s="258"/>
      <c r="K1559" s="137"/>
      <c r="L1559" s="137"/>
      <c r="M1559" s="137"/>
      <c r="N1559" s="138"/>
      <c r="O1559" s="283"/>
      <c r="P1559" s="120"/>
      <c r="Q1559" s="120"/>
      <c r="R1559" s="120"/>
      <c r="S1559" s="120"/>
      <c r="T1559" s="120"/>
      <c r="U1559" s="120"/>
      <c r="V1559" s="120"/>
      <c r="W1559" s="120"/>
      <c r="X1559" s="120"/>
      <c r="Y1559" s="120"/>
      <c r="Z1559" s="120"/>
      <c r="AA1559" s="120"/>
    </row>
    <row r="1560" spans="1:27" s="147" customFormat="1" ht="40.799999999999997" x14ac:dyDescent="0.2">
      <c r="A1560" s="9" t="s">
        <v>869</v>
      </c>
      <c r="B1560" s="9" t="s">
        <v>89</v>
      </c>
      <c r="C1560" s="13">
        <v>93144</v>
      </c>
      <c r="D1560" s="113" t="s">
        <v>295</v>
      </c>
      <c r="E1560" s="9" t="s">
        <v>33</v>
      </c>
      <c r="F1560" s="261"/>
      <c r="G1560" s="261"/>
      <c r="H1560" s="261"/>
      <c r="I1560" s="245"/>
      <c r="J1560" s="261"/>
      <c r="K1560" s="131">
        <f>J1568</f>
        <v>6</v>
      </c>
      <c r="L1560" s="131">
        <v>166.81</v>
      </c>
      <c r="M1560" s="131">
        <f>ROUND(L1560*(1+$Q$7),2)</f>
        <v>211.06</v>
      </c>
      <c r="N1560" s="133">
        <f>TRUNC(K1560*M1560,2)</f>
        <v>1266.3599999999999</v>
      </c>
      <c r="O1560" s="286"/>
      <c r="P1560" s="146"/>
      <c r="Q1560" s="146"/>
      <c r="R1560" s="146"/>
      <c r="S1560" s="146"/>
      <c r="T1560" s="146"/>
      <c r="U1560" s="146"/>
      <c r="V1560" s="146"/>
      <c r="W1560" s="146"/>
      <c r="X1560" s="146"/>
      <c r="Y1560" s="146"/>
      <c r="Z1560" s="146"/>
      <c r="AA1560" s="146"/>
    </row>
    <row r="1561" spans="1:27" s="118" customFormat="1" x14ac:dyDescent="0.2">
      <c r="A1561" s="6"/>
      <c r="B1561" s="6"/>
      <c r="C1561" s="155"/>
      <c r="D1561" s="3" t="s">
        <v>868</v>
      </c>
      <c r="E1561" s="148"/>
      <c r="F1561" s="253"/>
      <c r="G1561" s="253"/>
      <c r="H1561" s="253"/>
      <c r="I1561" s="246"/>
      <c r="J1561" s="253"/>
      <c r="K1561" s="137"/>
      <c r="L1561" s="137"/>
      <c r="M1561" s="137"/>
      <c r="N1561" s="138"/>
      <c r="O1561" s="167"/>
      <c r="P1561" s="111"/>
      <c r="Q1561" s="111"/>
      <c r="R1561" s="111"/>
      <c r="S1561" s="111"/>
      <c r="T1561" s="111"/>
      <c r="U1561" s="111"/>
      <c r="V1561" s="111"/>
      <c r="W1561" s="111"/>
      <c r="X1561" s="111"/>
      <c r="Y1561" s="111"/>
      <c r="Z1561" s="111"/>
      <c r="AA1561" s="111"/>
    </row>
    <row r="1562" spans="1:27" s="118" customFormat="1" x14ac:dyDescent="0.2">
      <c r="A1562" s="6"/>
      <c r="B1562" s="6"/>
      <c r="C1562" s="155"/>
      <c r="D1562" s="2" t="s">
        <v>305</v>
      </c>
      <c r="E1562" s="148"/>
      <c r="F1562" s="253">
        <v>1</v>
      </c>
      <c r="G1562" s="253"/>
      <c r="H1562" s="253"/>
      <c r="I1562" s="246"/>
      <c r="J1562" s="253">
        <f t="shared" ref="J1562:J1567" si="156">ROUND(PRODUCT(F1562:I1562),2)</f>
        <v>1</v>
      </c>
      <c r="K1562" s="137"/>
      <c r="L1562" s="137"/>
      <c r="M1562" s="137"/>
      <c r="N1562" s="138"/>
      <c r="O1562" s="167"/>
      <c r="P1562" s="111"/>
      <c r="Q1562" s="111"/>
      <c r="R1562" s="111"/>
      <c r="S1562" s="111"/>
      <c r="T1562" s="111"/>
      <c r="U1562" s="111"/>
      <c r="V1562" s="111"/>
      <c r="W1562" s="111"/>
      <c r="X1562" s="111"/>
      <c r="Y1562" s="111"/>
      <c r="Z1562" s="111"/>
      <c r="AA1562" s="111"/>
    </row>
    <row r="1563" spans="1:27" s="118" customFormat="1" x14ac:dyDescent="0.2">
      <c r="A1563" s="6"/>
      <c r="B1563" s="6"/>
      <c r="C1563" s="155"/>
      <c r="D1563" s="2" t="s">
        <v>253</v>
      </c>
      <c r="E1563" s="148"/>
      <c r="F1563" s="253">
        <v>1</v>
      </c>
      <c r="G1563" s="253"/>
      <c r="H1563" s="253"/>
      <c r="I1563" s="246"/>
      <c r="J1563" s="253">
        <f t="shared" si="156"/>
        <v>1</v>
      </c>
      <c r="K1563" s="137"/>
      <c r="L1563" s="137"/>
      <c r="M1563" s="137"/>
      <c r="N1563" s="138"/>
      <c r="O1563" s="167"/>
      <c r="P1563" s="111"/>
      <c r="Q1563" s="111"/>
      <c r="R1563" s="111"/>
      <c r="S1563" s="111"/>
      <c r="T1563" s="111"/>
      <c r="U1563" s="111"/>
      <c r="V1563" s="111"/>
      <c r="W1563" s="111"/>
      <c r="X1563" s="111"/>
      <c r="Y1563" s="111"/>
      <c r="Z1563" s="111"/>
      <c r="AA1563" s="111"/>
    </row>
    <row r="1564" spans="1:27" s="118" customFormat="1" x14ac:dyDescent="0.2">
      <c r="A1564" s="6"/>
      <c r="B1564" s="6"/>
      <c r="C1564" s="155"/>
      <c r="D1564" s="2" t="s">
        <v>257</v>
      </c>
      <c r="E1564" s="148"/>
      <c r="F1564" s="253">
        <v>1</v>
      </c>
      <c r="G1564" s="253"/>
      <c r="H1564" s="253"/>
      <c r="I1564" s="246"/>
      <c r="J1564" s="253">
        <f t="shared" si="156"/>
        <v>1</v>
      </c>
      <c r="K1564" s="137"/>
      <c r="L1564" s="137"/>
      <c r="M1564" s="137"/>
      <c r="N1564" s="138"/>
      <c r="O1564" s="167"/>
      <c r="P1564" s="111"/>
      <c r="Q1564" s="111"/>
      <c r="R1564" s="111"/>
      <c r="S1564" s="111"/>
      <c r="T1564" s="111"/>
      <c r="U1564" s="111"/>
      <c r="V1564" s="111"/>
      <c r="W1564" s="111"/>
      <c r="X1564" s="111"/>
      <c r="Y1564" s="111"/>
      <c r="Z1564" s="111"/>
      <c r="AA1564" s="111"/>
    </row>
    <row r="1565" spans="1:27" s="118" customFormat="1" x14ac:dyDescent="0.2">
      <c r="A1565" s="6"/>
      <c r="B1565" s="6"/>
      <c r="C1565" s="155"/>
      <c r="D1565" s="2" t="s">
        <v>242</v>
      </c>
      <c r="E1565" s="148"/>
      <c r="F1565" s="253">
        <v>1</v>
      </c>
      <c r="G1565" s="253"/>
      <c r="H1565" s="253"/>
      <c r="I1565" s="246"/>
      <c r="J1565" s="253">
        <f t="shared" si="156"/>
        <v>1</v>
      </c>
      <c r="K1565" s="137"/>
      <c r="L1565" s="137"/>
      <c r="M1565" s="137"/>
      <c r="N1565" s="138"/>
      <c r="O1565" s="167"/>
      <c r="P1565" s="111"/>
      <c r="Q1565" s="111"/>
      <c r="R1565" s="111"/>
      <c r="S1565" s="111"/>
      <c r="T1565" s="111"/>
      <c r="U1565" s="111"/>
      <c r="V1565" s="111"/>
      <c r="W1565" s="111"/>
      <c r="X1565" s="111"/>
      <c r="Y1565" s="111"/>
      <c r="Z1565" s="111"/>
      <c r="AA1565" s="111"/>
    </row>
    <row r="1566" spans="1:27" s="118" customFormat="1" x14ac:dyDescent="0.2">
      <c r="A1566" s="6"/>
      <c r="B1566" s="6"/>
      <c r="C1566" s="155"/>
      <c r="D1566" s="2" t="s">
        <v>246</v>
      </c>
      <c r="E1566" s="148"/>
      <c r="F1566" s="253">
        <v>1</v>
      </c>
      <c r="G1566" s="253"/>
      <c r="H1566" s="253"/>
      <c r="I1566" s="246"/>
      <c r="J1566" s="253">
        <f t="shared" si="156"/>
        <v>1</v>
      </c>
      <c r="K1566" s="137"/>
      <c r="L1566" s="137"/>
      <c r="M1566" s="137"/>
      <c r="N1566" s="138"/>
      <c r="O1566" s="167"/>
      <c r="P1566" s="111"/>
      <c r="Q1566" s="111"/>
      <c r="R1566" s="111"/>
      <c r="S1566" s="111"/>
      <c r="T1566" s="111"/>
      <c r="U1566" s="111"/>
      <c r="V1566" s="111"/>
      <c r="W1566" s="111"/>
      <c r="X1566" s="111"/>
      <c r="Y1566" s="111"/>
      <c r="Z1566" s="111"/>
      <c r="AA1566" s="111"/>
    </row>
    <row r="1567" spans="1:27" s="118" customFormat="1" x14ac:dyDescent="0.2">
      <c r="A1567" s="6"/>
      <c r="B1567" s="6"/>
      <c r="C1567" s="155"/>
      <c r="D1567" s="2" t="s">
        <v>243</v>
      </c>
      <c r="E1567" s="148"/>
      <c r="F1567" s="253">
        <v>1</v>
      </c>
      <c r="G1567" s="253"/>
      <c r="H1567" s="253"/>
      <c r="I1567" s="246"/>
      <c r="J1567" s="253">
        <f t="shared" si="156"/>
        <v>1</v>
      </c>
      <c r="K1567" s="137"/>
      <c r="L1567" s="137"/>
      <c r="M1567" s="137"/>
      <c r="N1567" s="138"/>
      <c r="O1567" s="167"/>
      <c r="P1567" s="111"/>
      <c r="Q1567" s="111"/>
      <c r="R1567" s="111"/>
      <c r="S1567" s="111"/>
      <c r="T1567" s="111"/>
      <c r="U1567" s="111"/>
      <c r="V1567" s="111"/>
      <c r="W1567" s="111"/>
      <c r="X1567" s="111"/>
      <c r="Y1567" s="111"/>
      <c r="Z1567" s="111"/>
      <c r="AA1567" s="111"/>
    </row>
    <row r="1568" spans="1:27" s="118" customFormat="1" x14ac:dyDescent="0.2">
      <c r="A1568" s="6"/>
      <c r="B1568" s="6"/>
      <c r="C1568" s="156"/>
      <c r="D1568" s="108"/>
      <c r="E1568" s="148"/>
      <c r="F1568" s="253"/>
      <c r="G1568" s="253"/>
      <c r="H1568" s="253"/>
      <c r="I1568" s="246" t="str">
        <f>"Total item "&amp;A1560</f>
        <v>Total item 18.1.2</v>
      </c>
      <c r="J1568" s="261">
        <f>SUM(J1562:J1567)</f>
        <v>6</v>
      </c>
      <c r="K1568" s="137"/>
      <c r="L1568" s="137"/>
      <c r="M1568" s="137"/>
      <c r="N1568" s="138"/>
      <c r="O1568" s="167"/>
      <c r="P1568" s="111"/>
      <c r="Q1568" s="111"/>
      <c r="R1568" s="111"/>
      <c r="S1568" s="111"/>
      <c r="T1568" s="111"/>
      <c r="U1568" s="111"/>
      <c r="V1568" s="111"/>
      <c r="W1568" s="111"/>
      <c r="X1568" s="111"/>
      <c r="Y1568" s="111"/>
      <c r="Z1568" s="111"/>
      <c r="AA1568" s="111"/>
    </row>
    <row r="1569" spans="1:27" s="161" customFormat="1" x14ac:dyDescent="0.2">
      <c r="A1569" s="10"/>
      <c r="B1569" s="10"/>
      <c r="C1569" s="191"/>
      <c r="D1569" s="110"/>
      <c r="E1569" s="158"/>
      <c r="F1569" s="267"/>
      <c r="G1569" s="267"/>
      <c r="H1569" s="267"/>
      <c r="I1569" s="250"/>
      <c r="J1569" s="263"/>
      <c r="K1569" s="151"/>
      <c r="L1569" s="151"/>
      <c r="M1569" s="151"/>
      <c r="N1569" s="152"/>
      <c r="O1569" s="167"/>
      <c r="P1569" s="114"/>
      <c r="Q1569" s="114"/>
      <c r="R1569" s="114"/>
      <c r="S1569" s="114"/>
      <c r="T1569" s="114"/>
      <c r="U1569" s="114"/>
      <c r="V1569" s="114"/>
      <c r="W1569" s="114"/>
      <c r="X1569" s="114"/>
      <c r="Y1569" s="114"/>
      <c r="Z1569" s="114"/>
      <c r="AA1569" s="114"/>
    </row>
    <row r="1570" spans="1:27" s="147" customFormat="1" ht="40.799999999999997" x14ac:dyDescent="0.2">
      <c r="A1570" s="9" t="s">
        <v>870</v>
      </c>
      <c r="B1570" s="9" t="s">
        <v>163</v>
      </c>
      <c r="C1570" s="197" t="s">
        <v>192</v>
      </c>
      <c r="D1570" s="113" t="s">
        <v>712</v>
      </c>
      <c r="E1570" s="9" t="s">
        <v>31</v>
      </c>
      <c r="F1570" s="261"/>
      <c r="G1570" s="261"/>
      <c r="H1570" s="261"/>
      <c r="I1570" s="245"/>
      <c r="J1570" s="261"/>
      <c r="K1570" s="131">
        <f>J1578</f>
        <v>6</v>
      </c>
      <c r="L1570" s="131">
        <v>46.44</v>
      </c>
      <c r="M1570" s="131">
        <f>ROUND(L1570*(1+$Q$7),2)</f>
        <v>58.76</v>
      </c>
      <c r="N1570" s="133">
        <f>TRUNC(K1570*M1570,2)</f>
        <v>352.56</v>
      </c>
      <c r="O1570" s="286"/>
      <c r="P1570" s="146"/>
      <c r="Q1570" s="146"/>
      <c r="R1570" s="146"/>
      <c r="S1570" s="146"/>
      <c r="T1570" s="146"/>
      <c r="U1570" s="146"/>
      <c r="V1570" s="146"/>
      <c r="W1570" s="146"/>
      <c r="X1570" s="146"/>
      <c r="Y1570" s="146"/>
      <c r="Z1570" s="146"/>
      <c r="AA1570" s="146"/>
    </row>
    <row r="1571" spans="1:27" s="118" customFormat="1" x14ac:dyDescent="0.2">
      <c r="A1571" s="6"/>
      <c r="B1571" s="6"/>
      <c r="C1571" s="155"/>
      <c r="D1571" s="3" t="s">
        <v>868</v>
      </c>
      <c r="E1571" s="148"/>
      <c r="F1571" s="253"/>
      <c r="G1571" s="253"/>
      <c r="H1571" s="253"/>
      <c r="I1571" s="246"/>
      <c r="J1571" s="253"/>
      <c r="K1571" s="137"/>
      <c r="L1571" s="137"/>
      <c r="M1571" s="137"/>
      <c r="N1571" s="138"/>
      <c r="O1571" s="167"/>
      <c r="P1571" s="111"/>
      <c r="Q1571" s="111"/>
      <c r="R1571" s="111"/>
      <c r="S1571" s="111"/>
      <c r="T1571" s="111"/>
      <c r="U1571" s="111"/>
      <c r="V1571" s="111"/>
      <c r="W1571" s="111"/>
      <c r="X1571" s="111"/>
      <c r="Y1571" s="111"/>
      <c r="Z1571" s="111"/>
      <c r="AA1571" s="111"/>
    </row>
    <row r="1572" spans="1:27" s="118" customFormat="1" x14ac:dyDescent="0.2">
      <c r="A1572" s="6"/>
      <c r="B1572" s="6"/>
      <c r="C1572" s="155"/>
      <c r="D1572" s="2" t="s">
        <v>305</v>
      </c>
      <c r="E1572" s="148"/>
      <c r="F1572" s="253">
        <v>1</v>
      </c>
      <c r="G1572" s="253"/>
      <c r="H1572" s="253"/>
      <c r="I1572" s="246"/>
      <c r="J1572" s="253">
        <f t="shared" ref="J1572:J1577" si="157">ROUND(PRODUCT(F1572:I1572),2)</f>
        <v>1</v>
      </c>
      <c r="K1572" s="137"/>
      <c r="L1572" s="137"/>
      <c r="M1572" s="137"/>
      <c r="N1572" s="138"/>
      <c r="O1572" s="167"/>
      <c r="P1572" s="111"/>
      <c r="Q1572" s="111"/>
      <c r="R1572" s="111"/>
      <c r="S1572" s="111"/>
      <c r="T1572" s="111"/>
      <c r="U1572" s="111"/>
      <c r="V1572" s="111"/>
      <c r="W1572" s="111"/>
      <c r="X1572" s="111"/>
      <c r="Y1572" s="111"/>
      <c r="Z1572" s="111"/>
      <c r="AA1572" s="111"/>
    </row>
    <row r="1573" spans="1:27" s="118" customFormat="1" x14ac:dyDescent="0.2">
      <c r="A1573" s="6"/>
      <c r="B1573" s="6"/>
      <c r="C1573" s="155"/>
      <c r="D1573" s="2" t="s">
        <v>253</v>
      </c>
      <c r="E1573" s="148"/>
      <c r="F1573" s="253">
        <v>1</v>
      </c>
      <c r="G1573" s="253"/>
      <c r="H1573" s="253"/>
      <c r="I1573" s="246"/>
      <c r="J1573" s="253">
        <f t="shared" si="157"/>
        <v>1</v>
      </c>
      <c r="K1573" s="137"/>
      <c r="L1573" s="137"/>
      <c r="M1573" s="137"/>
      <c r="N1573" s="138"/>
      <c r="O1573" s="167"/>
      <c r="P1573" s="111"/>
      <c r="Q1573" s="111"/>
      <c r="R1573" s="111"/>
      <c r="S1573" s="111"/>
      <c r="T1573" s="111"/>
      <c r="U1573" s="111"/>
      <c r="V1573" s="111"/>
      <c r="W1573" s="111"/>
      <c r="X1573" s="111"/>
      <c r="Y1573" s="111"/>
      <c r="Z1573" s="111"/>
      <c r="AA1573" s="111"/>
    </row>
    <row r="1574" spans="1:27" s="118" customFormat="1" x14ac:dyDescent="0.2">
      <c r="A1574" s="6"/>
      <c r="B1574" s="6"/>
      <c r="C1574" s="155"/>
      <c r="D1574" s="2" t="s">
        <v>257</v>
      </c>
      <c r="E1574" s="148"/>
      <c r="F1574" s="253">
        <v>1</v>
      </c>
      <c r="G1574" s="253"/>
      <c r="H1574" s="253"/>
      <c r="I1574" s="246"/>
      <c r="J1574" s="253">
        <f t="shared" si="157"/>
        <v>1</v>
      </c>
      <c r="K1574" s="137"/>
      <c r="L1574" s="137"/>
      <c r="M1574" s="137"/>
      <c r="N1574" s="138"/>
      <c r="O1574" s="167"/>
      <c r="P1574" s="111"/>
      <c r="Q1574" s="111"/>
      <c r="R1574" s="111"/>
      <c r="S1574" s="111"/>
      <c r="T1574" s="111"/>
      <c r="U1574" s="111"/>
      <c r="V1574" s="111"/>
      <c r="W1574" s="111"/>
      <c r="X1574" s="111"/>
      <c r="Y1574" s="111"/>
      <c r="Z1574" s="111"/>
      <c r="AA1574" s="111"/>
    </row>
    <row r="1575" spans="1:27" s="118" customFormat="1" x14ac:dyDescent="0.2">
      <c r="A1575" s="6"/>
      <c r="B1575" s="6"/>
      <c r="C1575" s="155"/>
      <c r="D1575" s="2" t="s">
        <v>242</v>
      </c>
      <c r="E1575" s="148"/>
      <c r="F1575" s="253">
        <v>1</v>
      </c>
      <c r="G1575" s="253"/>
      <c r="H1575" s="253"/>
      <c r="I1575" s="246"/>
      <c r="J1575" s="253">
        <f t="shared" si="157"/>
        <v>1</v>
      </c>
      <c r="K1575" s="137"/>
      <c r="L1575" s="137"/>
      <c r="M1575" s="137"/>
      <c r="N1575" s="138"/>
      <c r="O1575" s="167"/>
      <c r="P1575" s="111"/>
      <c r="Q1575" s="111"/>
      <c r="R1575" s="111"/>
      <c r="S1575" s="111"/>
      <c r="T1575" s="111"/>
      <c r="U1575" s="111"/>
      <c r="V1575" s="111"/>
      <c r="W1575" s="111"/>
      <c r="X1575" s="111"/>
      <c r="Y1575" s="111"/>
      <c r="Z1575" s="111"/>
      <c r="AA1575" s="111"/>
    </row>
    <row r="1576" spans="1:27" s="118" customFormat="1" x14ac:dyDescent="0.2">
      <c r="A1576" s="6"/>
      <c r="B1576" s="6"/>
      <c r="C1576" s="155"/>
      <c r="D1576" s="2" t="s">
        <v>246</v>
      </c>
      <c r="E1576" s="148"/>
      <c r="F1576" s="253">
        <v>1</v>
      </c>
      <c r="G1576" s="253"/>
      <c r="H1576" s="253"/>
      <c r="I1576" s="246"/>
      <c r="J1576" s="253">
        <f t="shared" si="157"/>
        <v>1</v>
      </c>
      <c r="K1576" s="137"/>
      <c r="L1576" s="137"/>
      <c r="M1576" s="137"/>
      <c r="N1576" s="138"/>
      <c r="O1576" s="167"/>
      <c r="P1576" s="111"/>
      <c r="Q1576" s="111"/>
      <c r="R1576" s="111"/>
      <c r="S1576" s="111"/>
      <c r="T1576" s="111"/>
      <c r="U1576" s="111"/>
      <c r="V1576" s="111"/>
      <c r="W1576" s="111"/>
      <c r="X1576" s="111"/>
      <c r="Y1576" s="111"/>
      <c r="Z1576" s="111"/>
      <c r="AA1576" s="111"/>
    </row>
    <row r="1577" spans="1:27" s="118" customFormat="1" x14ac:dyDescent="0.2">
      <c r="A1577" s="6"/>
      <c r="B1577" s="6"/>
      <c r="C1577" s="155"/>
      <c r="D1577" s="2" t="s">
        <v>243</v>
      </c>
      <c r="E1577" s="148"/>
      <c r="F1577" s="253">
        <v>1</v>
      </c>
      <c r="G1577" s="253"/>
      <c r="H1577" s="253"/>
      <c r="I1577" s="246"/>
      <c r="J1577" s="253">
        <f t="shared" si="157"/>
        <v>1</v>
      </c>
      <c r="K1577" s="137"/>
      <c r="L1577" s="137"/>
      <c r="M1577" s="137"/>
      <c r="N1577" s="138"/>
      <c r="O1577" s="167"/>
      <c r="P1577" s="111"/>
      <c r="Q1577" s="111"/>
      <c r="R1577" s="111"/>
      <c r="S1577" s="111"/>
      <c r="T1577" s="111"/>
      <c r="U1577" s="111"/>
      <c r="V1577" s="111"/>
      <c r="W1577" s="111"/>
      <c r="X1577" s="111"/>
      <c r="Y1577" s="111"/>
      <c r="Z1577" s="111"/>
      <c r="AA1577" s="111"/>
    </row>
    <row r="1578" spans="1:27" s="118" customFormat="1" x14ac:dyDescent="0.2">
      <c r="A1578" s="6"/>
      <c r="B1578" s="6"/>
      <c r="C1578" s="156"/>
      <c r="D1578" s="108"/>
      <c r="E1578" s="148"/>
      <c r="F1578" s="253"/>
      <c r="G1578" s="253"/>
      <c r="H1578" s="253"/>
      <c r="I1578" s="246" t="str">
        <f>"Total item "&amp;A1570</f>
        <v>Total item 18.1.3</v>
      </c>
      <c r="J1578" s="261">
        <f>SUM(J1571:J1577)</f>
        <v>6</v>
      </c>
      <c r="K1578" s="137"/>
      <c r="L1578" s="137"/>
      <c r="M1578" s="137"/>
      <c r="N1578" s="138"/>
      <c r="O1578" s="167"/>
      <c r="P1578" s="111"/>
      <c r="Q1578" s="111"/>
      <c r="R1578" s="111"/>
      <c r="S1578" s="111"/>
      <c r="T1578" s="111"/>
      <c r="U1578" s="111"/>
      <c r="V1578" s="111"/>
      <c r="W1578" s="111"/>
      <c r="X1578" s="111"/>
      <c r="Y1578" s="111"/>
      <c r="Z1578" s="111"/>
      <c r="AA1578" s="111"/>
    </row>
    <row r="1579" spans="1:27" s="139" customFormat="1" x14ac:dyDescent="0.2">
      <c r="A1579" s="6"/>
      <c r="B1579" s="6"/>
      <c r="C1579" s="7"/>
      <c r="D1579" s="116"/>
      <c r="E1579" s="6"/>
      <c r="F1579" s="258"/>
      <c r="G1579" s="258"/>
      <c r="H1579" s="258"/>
      <c r="I1579" s="246"/>
      <c r="J1579" s="258"/>
      <c r="K1579" s="137"/>
      <c r="L1579" s="137"/>
      <c r="M1579" s="137"/>
      <c r="N1579" s="138"/>
      <c r="O1579" s="283"/>
      <c r="P1579" s="120"/>
      <c r="Q1579" s="120"/>
      <c r="R1579" s="120"/>
      <c r="S1579" s="120"/>
      <c r="T1579" s="120"/>
      <c r="U1579" s="120"/>
      <c r="V1579" s="120"/>
      <c r="W1579" s="120"/>
      <c r="X1579" s="120"/>
      <c r="Y1579" s="120"/>
      <c r="Z1579" s="120"/>
      <c r="AA1579" s="120"/>
    </row>
    <row r="1580" spans="1:27" s="147" customFormat="1" ht="30.6" x14ac:dyDescent="0.2">
      <c r="A1580" s="9" t="s">
        <v>871</v>
      </c>
      <c r="B1580" s="9" t="s">
        <v>179</v>
      </c>
      <c r="C1580" s="13" t="s">
        <v>672</v>
      </c>
      <c r="D1580" s="113" t="s">
        <v>567</v>
      </c>
      <c r="E1580" s="9" t="s">
        <v>33</v>
      </c>
      <c r="F1580" s="261"/>
      <c r="G1580" s="261"/>
      <c r="H1580" s="261"/>
      <c r="I1580" s="245"/>
      <c r="J1580" s="261"/>
      <c r="K1580" s="131">
        <f>J1583</f>
        <v>2</v>
      </c>
      <c r="L1580" s="131">
        <f>'COMPOSICOES - SINAPI COM DESON'!G50</f>
        <v>104.48</v>
      </c>
      <c r="M1580" s="131">
        <f>ROUND(L1580*(1+$Q$7),2)</f>
        <v>132.19999999999999</v>
      </c>
      <c r="N1580" s="133">
        <f>TRUNC(K1580*M1580,2)</f>
        <v>264.39999999999998</v>
      </c>
      <c r="O1580" s="286"/>
      <c r="P1580" s="146"/>
      <c r="Q1580" s="146"/>
      <c r="R1580" s="146"/>
      <c r="S1580" s="146"/>
      <c r="T1580" s="146"/>
      <c r="U1580" s="146"/>
      <c r="V1580" s="146"/>
      <c r="W1580" s="146"/>
      <c r="X1580" s="146"/>
      <c r="Y1580" s="146"/>
      <c r="Z1580" s="146"/>
      <c r="AA1580" s="146"/>
    </row>
    <row r="1581" spans="1:27" s="174" customFormat="1" x14ac:dyDescent="0.2">
      <c r="A1581" s="170"/>
      <c r="B1581" s="170"/>
      <c r="C1581" s="171"/>
      <c r="D1581" s="2" t="s">
        <v>306</v>
      </c>
      <c r="E1581" s="170"/>
      <c r="F1581" s="253">
        <v>1</v>
      </c>
      <c r="G1581" s="253"/>
      <c r="H1581" s="253"/>
      <c r="I1581" s="249"/>
      <c r="J1581" s="253">
        <f t="shared" ref="J1581:J1582" si="158">ROUND(PRODUCT(F1581:I1581),2)</f>
        <v>1</v>
      </c>
      <c r="K1581" s="172"/>
      <c r="L1581" s="172"/>
      <c r="M1581" s="172"/>
      <c r="N1581" s="173"/>
      <c r="O1581" s="287"/>
      <c r="P1581" s="23"/>
      <c r="Q1581" s="23"/>
      <c r="R1581" s="23"/>
      <c r="S1581" s="23"/>
      <c r="T1581" s="23"/>
      <c r="U1581" s="23"/>
      <c r="V1581" s="23"/>
      <c r="W1581" s="23"/>
      <c r="X1581" s="23"/>
      <c r="Y1581" s="23"/>
      <c r="Z1581" s="23"/>
      <c r="AA1581" s="23"/>
    </row>
    <row r="1582" spans="1:27" s="174" customFormat="1" x14ac:dyDescent="0.2">
      <c r="A1582" s="170"/>
      <c r="B1582" s="170"/>
      <c r="C1582" s="171"/>
      <c r="D1582" s="2" t="s">
        <v>307</v>
      </c>
      <c r="E1582" s="170"/>
      <c r="F1582" s="253">
        <v>1</v>
      </c>
      <c r="G1582" s="253"/>
      <c r="H1582" s="253"/>
      <c r="I1582" s="249"/>
      <c r="J1582" s="253">
        <f t="shared" si="158"/>
        <v>1</v>
      </c>
      <c r="K1582" s="172"/>
      <c r="L1582" s="172"/>
      <c r="M1582" s="172"/>
      <c r="N1582" s="173"/>
      <c r="O1582" s="287"/>
      <c r="P1582" s="23"/>
      <c r="Q1582" s="23"/>
      <c r="R1582" s="23"/>
      <c r="S1582" s="23"/>
      <c r="T1582" s="23"/>
      <c r="U1582" s="23"/>
      <c r="V1582" s="23"/>
      <c r="W1582" s="23"/>
      <c r="X1582" s="23"/>
      <c r="Y1582" s="23"/>
      <c r="Z1582" s="23"/>
      <c r="AA1582" s="23"/>
    </row>
    <row r="1583" spans="1:27" s="174" customFormat="1" x14ac:dyDescent="0.2">
      <c r="A1583" s="170"/>
      <c r="B1583" s="170"/>
      <c r="C1583" s="171"/>
      <c r="D1583" s="175"/>
      <c r="E1583" s="176"/>
      <c r="F1583" s="264"/>
      <c r="G1583" s="264"/>
      <c r="H1583" s="264"/>
      <c r="I1583" s="251" t="str">
        <f>"Total item "&amp;A1580</f>
        <v>Total item 18.1.4</v>
      </c>
      <c r="J1583" s="261">
        <f>SUM(J1581:J1582)</f>
        <v>2</v>
      </c>
      <c r="K1583" s="172"/>
      <c r="L1583" s="172"/>
      <c r="M1583" s="172"/>
      <c r="N1583" s="173"/>
      <c r="O1583" s="287"/>
      <c r="P1583" s="23"/>
      <c r="Q1583" s="23"/>
      <c r="R1583" s="23"/>
      <c r="S1583" s="23"/>
      <c r="T1583" s="23"/>
      <c r="U1583" s="23"/>
      <c r="V1583" s="23"/>
      <c r="W1583" s="23"/>
      <c r="X1583" s="23"/>
      <c r="Y1583" s="23"/>
      <c r="Z1583" s="23"/>
      <c r="AA1583" s="23"/>
    </row>
    <row r="1584" spans="1:27" s="174" customFormat="1" x14ac:dyDescent="0.2">
      <c r="A1584" s="170"/>
      <c r="B1584" s="170"/>
      <c r="C1584" s="171"/>
      <c r="D1584" s="175"/>
      <c r="E1584" s="176"/>
      <c r="F1584" s="264"/>
      <c r="G1584" s="264"/>
      <c r="H1584" s="264"/>
      <c r="I1584" s="251"/>
      <c r="J1584" s="262"/>
      <c r="K1584" s="172"/>
      <c r="L1584" s="172"/>
      <c r="M1584" s="172"/>
      <c r="N1584" s="173"/>
      <c r="O1584" s="287"/>
      <c r="P1584" s="23"/>
      <c r="Q1584" s="23"/>
      <c r="R1584" s="23"/>
      <c r="S1584" s="23"/>
      <c r="T1584" s="23"/>
      <c r="U1584" s="23"/>
      <c r="V1584" s="23"/>
      <c r="W1584" s="23"/>
      <c r="X1584" s="23"/>
      <c r="Y1584" s="23"/>
      <c r="Z1584" s="23"/>
      <c r="AA1584" s="23"/>
    </row>
    <row r="1585" spans="1:27" s="147" customFormat="1" ht="20.399999999999999" x14ac:dyDescent="0.2">
      <c r="A1585" s="9" t="s">
        <v>872</v>
      </c>
      <c r="B1585" s="9" t="s">
        <v>89</v>
      </c>
      <c r="C1585" s="13">
        <v>83469</v>
      </c>
      <c r="D1585" s="113" t="s">
        <v>308</v>
      </c>
      <c r="E1585" s="9" t="s">
        <v>33</v>
      </c>
      <c r="F1585" s="261"/>
      <c r="G1585" s="261"/>
      <c r="H1585" s="261"/>
      <c r="I1585" s="245"/>
      <c r="J1585" s="261"/>
      <c r="K1585" s="131">
        <f>J1587</f>
        <v>3</v>
      </c>
      <c r="L1585" s="131">
        <v>8.1300000000000008</v>
      </c>
      <c r="M1585" s="131">
        <f>ROUND(L1585*(1+$Q$7),2)</f>
        <v>10.29</v>
      </c>
      <c r="N1585" s="133">
        <f>TRUNC(K1585*M1585,2)</f>
        <v>30.87</v>
      </c>
      <c r="O1585" s="286"/>
      <c r="P1585" s="146"/>
      <c r="Q1585" s="146"/>
      <c r="R1585" s="146"/>
      <c r="S1585" s="146"/>
      <c r="T1585" s="146"/>
      <c r="U1585" s="146"/>
      <c r="V1585" s="146"/>
      <c r="W1585" s="146"/>
      <c r="X1585" s="146"/>
      <c r="Y1585" s="146"/>
      <c r="Z1585" s="146"/>
      <c r="AA1585" s="146"/>
    </row>
    <row r="1586" spans="1:27" s="118" customFormat="1" x14ac:dyDescent="0.2">
      <c r="A1586" s="6"/>
      <c r="B1586" s="6"/>
      <c r="C1586" s="155"/>
      <c r="D1586" s="2" t="s">
        <v>309</v>
      </c>
      <c r="E1586" s="148"/>
      <c r="F1586" s="253">
        <v>3</v>
      </c>
      <c r="G1586" s="253"/>
      <c r="H1586" s="253"/>
      <c r="I1586" s="246"/>
      <c r="J1586" s="253">
        <f t="shared" ref="J1586" si="159">ROUND(PRODUCT(F1586:I1586),2)</f>
        <v>3</v>
      </c>
      <c r="K1586" s="137"/>
      <c r="L1586" s="137"/>
      <c r="M1586" s="137"/>
      <c r="N1586" s="138"/>
      <c r="O1586" s="167"/>
      <c r="P1586" s="111"/>
      <c r="Q1586" s="111"/>
      <c r="R1586" s="111"/>
      <c r="S1586" s="111"/>
      <c r="T1586" s="111"/>
      <c r="U1586" s="111"/>
      <c r="V1586" s="111"/>
      <c r="W1586" s="111"/>
      <c r="X1586" s="111"/>
      <c r="Y1586" s="111"/>
      <c r="Z1586" s="111"/>
      <c r="AA1586" s="111"/>
    </row>
    <row r="1587" spans="1:27" s="118" customFormat="1" x14ac:dyDescent="0.2">
      <c r="A1587" s="6"/>
      <c r="B1587" s="6"/>
      <c r="C1587" s="156"/>
      <c r="D1587" s="108"/>
      <c r="E1587" s="148"/>
      <c r="F1587" s="253"/>
      <c r="G1587" s="253"/>
      <c r="H1587" s="253"/>
      <c r="I1587" s="246" t="str">
        <f>"Total item "&amp;A1585</f>
        <v>Total item 18.1.5</v>
      </c>
      <c r="J1587" s="261">
        <f>SUM(J1586:J1586)</f>
        <v>3</v>
      </c>
      <c r="K1587" s="137"/>
      <c r="L1587" s="137"/>
      <c r="M1587" s="137"/>
      <c r="N1587" s="138"/>
      <c r="O1587" s="167"/>
      <c r="P1587" s="111"/>
      <c r="Q1587" s="111"/>
      <c r="R1587" s="111"/>
      <c r="S1587" s="111"/>
      <c r="T1587" s="111"/>
      <c r="U1587" s="111"/>
      <c r="V1587" s="111"/>
      <c r="W1587" s="111"/>
      <c r="X1587" s="111"/>
      <c r="Y1587" s="111"/>
      <c r="Z1587" s="111"/>
      <c r="AA1587" s="111"/>
    </row>
    <row r="1588" spans="1:27" s="139" customFormat="1" x14ac:dyDescent="0.2">
      <c r="A1588" s="6"/>
      <c r="B1588" s="6"/>
      <c r="C1588" s="7"/>
      <c r="D1588" s="116"/>
      <c r="E1588" s="6"/>
      <c r="F1588" s="258"/>
      <c r="G1588" s="258"/>
      <c r="H1588" s="258"/>
      <c r="I1588" s="246"/>
      <c r="J1588" s="258"/>
      <c r="K1588" s="137"/>
      <c r="L1588" s="137"/>
      <c r="M1588" s="137"/>
      <c r="N1588" s="138"/>
      <c r="O1588" s="283"/>
      <c r="P1588" s="120"/>
      <c r="Q1588" s="120"/>
      <c r="R1588" s="120"/>
      <c r="S1588" s="120"/>
      <c r="T1588" s="120"/>
      <c r="U1588" s="120"/>
      <c r="V1588" s="120"/>
      <c r="W1588" s="120"/>
      <c r="X1588" s="120"/>
      <c r="Y1588" s="120"/>
      <c r="Z1588" s="120"/>
      <c r="AA1588" s="120"/>
    </row>
    <row r="1589" spans="1:27" s="147" customFormat="1" ht="40.799999999999997" x14ac:dyDescent="0.2">
      <c r="A1589" s="9" t="s">
        <v>873</v>
      </c>
      <c r="B1589" s="9" t="s">
        <v>163</v>
      </c>
      <c r="C1589" s="13" t="s">
        <v>188</v>
      </c>
      <c r="D1589" s="113" t="s">
        <v>719</v>
      </c>
      <c r="E1589" s="9" t="s">
        <v>33</v>
      </c>
      <c r="F1589" s="261"/>
      <c r="G1589" s="261"/>
      <c r="H1589" s="261"/>
      <c r="I1589" s="245"/>
      <c r="J1589" s="261"/>
      <c r="K1589" s="131">
        <f>J1591</f>
        <v>1</v>
      </c>
      <c r="L1589" s="131">
        <v>65.69</v>
      </c>
      <c r="M1589" s="131">
        <f>ROUND(L1589*(1+$Q$7),2)</f>
        <v>83.12</v>
      </c>
      <c r="N1589" s="133">
        <f>TRUNC(K1589*M1589,2)</f>
        <v>83.12</v>
      </c>
      <c r="O1589" s="286"/>
      <c r="P1589" s="146"/>
      <c r="Q1589" s="146"/>
      <c r="R1589" s="146"/>
      <c r="S1589" s="146"/>
      <c r="T1589" s="146"/>
      <c r="U1589" s="146"/>
      <c r="V1589" s="146"/>
      <c r="W1589" s="146"/>
      <c r="X1589" s="146"/>
      <c r="Y1589" s="146"/>
      <c r="Z1589" s="146"/>
      <c r="AA1589" s="146"/>
    </row>
    <row r="1590" spans="1:27" s="118" customFormat="1" x14ac:dyDescent="0.2">
      <c r="A1590" s="10"/>
      <c r="B1590" s="6"/>
      <c r="C1590" s="6"/>
      <c r="D1590" s="2"/>
      <c r="E1590" s="148"/>
      <c r="F1590" s="253">
        <v>1</v>
      </c>
      <c r="G1590" s="253"/>
      <c r="H1590" s="253"/>
      <c r="I1590" s="246"/>
      <c r="J1590" s="253">
        <f>ROUND(PRODUCT(F1590:I1590),2)</f>
        <v>1</v>
      </c>
      <c r="K1590" s="137"/>
      <c r="L1590" s="137"/>
      <c r="M1590" s="137"/>
      <c r="N1590" s="138"/>
      <c r="O1590" s="167"/>
      <c r="P1590" s="111"/>
      <c r="Q1590" s="111"/>
      <c r="R1590" s="111"/>
      <c r="S1590" s="111"/>
      <c r="T1590" s="111"/>
      <c r="U1590" s="111"/>
      <c r="V1590" s="111"/>
      <c r="W1590" s="111"/>
      <c r="X1590" s="111"/>
      <c r="Y1590" s="111"/>
      <c r="Z1590" s="111"/>
      <c r="AA1590" s="111"/>
    </row>
    <row r="1591" spans="1:27" s="118" customFormat="1" x14ac:dyDescent="0.2">
      <c r="A1591" s="10"/>
      <c r="B1591" s="6"/>
      <c r="C1591" s="156"/>
      <c r="D1591" s="108"/>
      <c r="E1591" s="148"/>
      <c r="F1591" s="253"/>
      <c r="G1591" s="253"/>
      <c r="H1591" s="253"/>
      <c r="I1591" s="246" t="str">
        <f>"Total item "&amp;A1589</f>
        <v>Total item 18.1.6</v>
      </c>
      <c r="J1591" s="261">
        <f>SUM(J1590:J1590)</f>
        <v>1</v>
      </c>
      <c r="K1591" s="137"/>
      <c r="L1591" s="137"/>
      <c r="M1591" s="137"/>
      <c r="N1591" s="138"/>
      <c r="O1591" s="167"/>
      <c r="P1591" s="111"/>
      <c r="Q1591" s="111"/>
      <c r="R1591" s="111"/>
      <c r="S1591" s="111"/>
      <c r="T1591" s="111"/>
      <c r="U1591" s="111"/>
      <c r="V1591" s="111"/>
      <c r="W1591" s="111"/>
      <c r="X1591" s="111"/>
      <c r="Y1591" s="111"/>
      <c r="Z1591" s="111"/>
      <c r="AA1591" s="111"/>
    </row>
    <row r="1592" spans="1:27" s="118" customFormat="1" x14ac:dyDescent="0.2">
      <c r="A1592" s="10"/>
      <c r="B1592" s="6"/>
      <c r="C1592" s="155"/>
      <c r="D1592" s="108"/>
      <c r="E1592" s="148"/>
      <c r="F1592" s="253"/>
      <c r="G1592" s="253"/>
      <c r="H1592" s="253"/>
      <c r="I1592" s="246"/>
      <c r="J1592" s="258"/>
      <c r="K1592" s="137"/>
      <c r="L1592" s="137"/>
      <c r="M1592" s="137"/>
      <c r="N1592" s="138"/>
      <c r="O1592" s="167"/>
      <c r="P1592" s="111"/>
      <c r="Q1592" s="111"/>
      <c r="R1592" s="111"/>
      <c r="S1592" s="111"/>
      <c r="T1592" s="111"/>
      <c r="U1592" s="111"/>
      <c r="V1592" s="111"/>
      <c r="W1592" s="111"/>
      <c r="X1592" s="111"/>
      <c r="Y1592" s="111"/>
      <c r="Z1592" s="111"/>
      <c r="AA1592" s="111"/>
    </row>
    <row r="1593" spans="1:27" s="147" customFormat="1" ht="30.6" x14ac:dyDescent="0.2">
      <c r="A1593" s="9" t="s">
        <v>874</v>
      </c>
      <c r="B1593" s="9" t="s">
        <v>163</v>
      </c>
      <c r="C1593" s="13" t="s">
        <v>190</v>
      </c>
      <c r="D1593" s="113" t="s">
        <v>290</v>
      </c>
      <c r="E1593" s="9" t="s">
        <v>33</v>
      </c>
      <c r="F1593" s="261"/>
      <c r="G1593" s="261"/>
      <c r="H1593" s="261"/>
      <c r="I1593" s="245"/>
      <c r="J1593" s="261"/>
      <c r="K1593" s="131">
        <f>J1595</f>
        <v>6</v>
      </c>
      <c r="L1593" s="131">
        <v>14.55</v>
      </c>
      <c r="M1593" s="131">
        <f>ROUND(L1593*(1+$Q$7),2)</f>
        <v>18.41</v>
      </c>
      <c r="N1593" s="133">
        <f>TRUNC(K1593*M1593,2)</f>
        <v>110.46</v>
      </c>
      <c r="O1593" s="286"/>
      <c r="P1593" s="146"/>
      <c r="Q1593" s="146"/>
      <c r="R1593" s="146"/>
      <c r="S1593" s="146"/>
      <c r="T1593" s="146"/>
      <c r="U1593" s="146"/>
      <c r="V1593" s="146"/>
      <c r="W1593" s="146"/>
      <c r="X1593" s="146"/>
      <c r="Y1593" s="146"/>
      <c r="Z1593" s="146"/>
      <c r="AA1593" s="146"/>
    </row>
    <row r="1594" spans="1:27" s="118" customFormat="1" x14ac:dyDescent="0.2">
      <c r="A1594" s="6"/>
      <c r="B1594" s="6"/>
      <c r="C1594" s="6"/>
      <c r="D1594" s="2"/>
      <c r="E1594" s="148"/>
      <c r="F1594" s="253">
        <v>6</v>
      </c>
      <c r="G1594" s="253"/>
      <c r="H1594" s="253"/>
      <c r="I1594" s="246"/>
      <c r="J1594" s="253">
        <f>ROUND(PRODUCT(F1594:I1594),2)</f>
        <v>6</v>
      </c>
      <c r="K1594" s="137"/>
      <c r="L1594" s="137"/>
      <c r="M1594" s="137"/>
      <c r="N1594" s="138"/>
      <c r="O1594" s="167"/>
      <c r="P1594" s="111"/>
      <c r="Q1594" s="111"/>
      <c r="R1594" s="111"/>
      <c r="S1594" s="111"/>
      <c r="T1594" s="111"/>
      <c r="U1594" s="111"/>
      <c r="V1594" s="111"/>
      <c r="W1594" s="111"/>
      <c r="X1594" s="111"/>
      <c r="Y1594" s="111"/>
      <c r="Z1594" s="111"/>
      <c r="AA1594" s="111"/>
    </row>
    <row r="1595" spans="1:27" s="118" customFormat="1" x14ac:dyDescent="0.2">
      <c r="A1595" s="6"/>
      <c r="B1595" s="6"/>
      <c r="C1595" s="156"/>
      <c r="D1595" s="108"/>
      <c r="E1595" s="148"/>
      <c r="F1595" s="253"/>
      <c r="G1595" s="253"/>
      <c r="H1595" s="253"/>
      <c r="I1595" s="246" t="str">
        <f>"Total item "&amp;A1593</f>
        <v>Total item 18.1.7</v>
      </c>
      <c r="J1595" s="261">
        <f>SUM(J1594:J1594)</f>
        <v>6</v>
      </c>
      <c r="K1595" s="137"/>
      <c r="L1595" s="137"/>
      <c r="M1595" s="137"/>
      <c r="N1595" s="138"/>
      <c r="O1595" s="167"/>
      <c r="P1595" s="111"/>
      <c r="Q1595" s="111"/>
      <c r="R1595" s="111"/>
      <c r="S1595" s="111"/>
      <c r="T1595" s="111"/>
      <c r="U1595" s="111"/>
      <c r="V1595" s="111"/>
      <c r="W1595" s="111"/>
      <c r="X1595" s="111"/>
      <c r="Y1595" s="111"/>
      <c r="Z1595" s="111"/>
      <c r="AA1595" s="111"/>
    </row>
    <row r="1596" spans="1:27" s="118" customFormat="1" x14ac:dyDescent="0.2">
      <c r="A1596" s="6"/>
      <c r="B1596" s="6"/>
      <c r="C1596" s="155"/>
      <c r="D1596" s="108"/>
      <c r="E1596" s="148"/>
      <c r="F1596" s="253"/>
      <c r="G1596" s="253"/>
      <c r="H1596" s="253"/>
      <c r="I1596" s="246"/>
      <c r="J1596" s="258"/>
      <c r="K1596" s="137"/>
      <c r="L1596" s="137"/>
      <c r="M1596" s="137"/>
      <c r="N1596" s="138"/>
      <c r="O1596" s="167"/>
      <c r="P1596" s="111"/>
      <c r="Q1596" s="111"/>
      <c r="R1596" s="111"/>
      <c r="S1596" s="111"/>
      <c r="T1596" s="111"/>
      <c r="U1596" s="111"/>
      <c r="V1596" s="111"/>
      <c r="W1596" s="111"/>
      <c r="X1596" s="111"/>
      <c r="Y1596" s="111"/>
      <c r="Z1596" s="111"/>
      <c r="AA1596" s="111"/>
    </row>
    <row r="1597" spans="1:27" s="145" customFormat="1" x14ac:dyDescent="0.2">
      <c r="A1597" s="140" t="s">
        <v>864</v>
      </c>
      <c r="B1597" s="140"/>
      <c r="C1597" s="141"/>
      <c r="D1597" s="112" t="s">
        <v>211</v>
      </c>
      <c r="E1597" s="140"/>
      <c r="F1597" s="260"/>
      <c r="G1597" s="260"/>
      <c r="H1597" s="260"/>
      <c r="I1597" s="248"/>
      <c r="J1597" s="260"/>
      <c r="K1597" s="142"/>
      <c r="L1597" s="142"/>
      <c r="M1597" s="142"/>
      <c r="N1597" s="143">
        <f>SUM(N1599:N1603)</f>
        <v>427.02</v>
      </c>
      <c r="O1597" s="285"/>
      <c r="P1597" s="144"/>
      <c r="Q1597" s="144"/>
      <c r="R1597" s="144"/>
      <c r="S1597" s="144"/>
      <c r="T1597" s="144"/>
      <c r="U1597" s="144"/>
      <c r="V1597" s="144"/>
      <c r="W1597" s="144"/>
      <c r="X1597" s="144"/>
      <c r="Y1597" s="144"/>
      <c r="Z1597" s="144"/>
      <c r="AA1597" s="144"/>
    </row>
    <row r="1598" spans="1:27" s="118" customFormat="1" x14ac:dyDescent="0.2">
      <c r="A1598" s="6"/>
      <c r="B1598" s="6"/>
      <c r="C1598" s="155"/>
      <c r="D1598" s="108"/>
      <c r="E1598" s="148"/>
      <c r="F1598" s="253"/>
      <c r="G1598" s="253"/>
      <c r="H1598" s="253"/>
      <c r="I1598" s="246"/>
      <c r="J1598" s="258"/>
      <c r="K1598" s="137"/>
      <c r="L1598" s="137"/>
      <c r="M1598" s="137"/>
      <c r="N1598" s="138"/>
      <c r="O1598" s="167"/>
      <c r="P1598" s="111"/>
      <c r="Q1598" s="111"/>
      <c r="R1598" s="111"/>
      <c r="S1598" s="111"/>
      <c r="T1598" s="111"/>
      <c r="U1598" s="111"/>
      <c r="V1598" s="111"/>
      <c r="W1598" s="111"/>
      <c r="X1598" s="111"/>
      <c r="Y1598" s="111"/>
      <c r="Z1598" s="111"/>
      <c r="AA1598" s="111"/>
    </row>
    <row r="1599" spans="1:27" s="147" customFormat="1" ht="51" x14ac:dyDescent="0.2">
      <c r="A1599" s="9" t="s">
        <v>865</v>
      </c>
      <c r="B1599" s="9" t="s">
        <v>89</v>
      </c>
      <c r="C1599" s="13">
        <v>86942</v>
      </c>
      <c r="D1599" s="113" t="s">
        <v>661</v>
      </c>
      <c r="E1599" s="9" t="s">
        <v>33</v>
      </c>
      <c r="F1599" s="261"/>
      <c r="G1599" s="261"/>
      <c r="H1599" s="261"/>
      <c r="I1599" s="245"/>
      <c r="J1599" s="261"/>
      <c r="K1599" s="131">
        <f>J1602</f>
        <v>2</v>
      </c>
      <c r="L1599" s="106">
        <v>168.74</v>
      </c>
      <c r="M1599" s="131">
        <f>ROUND(L1599*(1+$Q$7),2)</f>
        <v>213.51</v>
      </c>
      <c r="N1599" s="133">
        <f>TRUNC(K1599*M1599,2)</f>
        <v>427.02</v>
      </c>
      <c r="O1599" s="286"/>
      <c r="P1599" s="146"/>
      <c r="Q1599" s="146"/>
      <c r="R1599" s="146"/>
      <c r="S1599" s="146"/>
      <c r="T1599" s="146"/>
      <c r="U1599" s="146"/>
      <c r="V1599" s="146"/>
      <c r="W1599" s="146"/>
      <c r="X1599" s="146"/>
      <c r="Y1599" s="146"/>
      <c r="Z1599" s="146"/>
      <c r="AA1599" s="146"/>
    </row>
    <row r="1600" spans="1:27" s="118" customFormat="1" x14ac:dyDescent="0.2">
      <c r="A1600" s="6"/>
      <c r="B1600" s="6"/>
      <c r="C1600" s="155"/>
      <c r="D1600" s="2" t="s">
        <v>306</v>
      </c>
      <c r="E1600" s="148"/>
      <c r="F1600" s="253">
        <v>1</v>
      </c>
      <c r="G1600" s="253"/>
      <c r="H1600" s="253"/>
      <c r="I1600" s="246"/>
      <c r="J1600" s="253">
        <f t="shared" ref="J1600:J1601" si="160">ROUND(PRODUCT(F1600:I1600),2)</f>
        <v>1</v>
      </c>
      <c r="K1600" s="137"/>
      <c r="L1600" s="137"/>
      <c r="M1600" s="137"/>
      <c r="N1600" s="138"/>
      <c r="O1600" s="167"/>
      <c r="P1600" s="111"/>
      <c r="Q1600" s="111"/>
      <c r="R1600" s="111"/>
      <c r="S1600" s="111"/>
      <c r="T1600" s="111"/>
      <c r="U1600" s="111"/>
      <c r="V1600" s="111"/>
      <c r="W1600" s="111"/>
      <c r="X1600" s="111"/>
      <c r="Y1600" s="111"/>
      <c r="Z1600" s="111"/>
      <c r="AA1600" s="111"/>
    </row>
    <row r="1601" spans="1:27" s="118" customFormat="1" x14ac:dyDescent="0.2">
      <c r="A1601" s="6"/>
      <c r="B1601" s="6"/>
      <c r="C1601" s="155"/>
      <c r="D1601" s="2" t="s">
        <v>307</v>
      </c>
      <c r="E1601" s="148"/>
      <c r="F1601" s="253">
        <v>1</v>
      </c>
      <c r="G1601" s="253"/>
      <c r="H1601" s="253"/>
      <c r="I1601" s="246"/>
      <c r="J1601" s="253">
        <f t="shared" si="160"/>
        <v>1</v>
      </c>
      <c r="K1601" s="137"/>
      <c r="L1601" s="137"/>
      <c r="M1601" s="137"/>
      <c r="N1601" s="138"/>
      <c r="O1601" s="167"/>
      <c r="P1601" s="111"/>
      <c r="Q1601" s="111"/>
      <c r="R1601" s="111"/>
      <c r="S1601" s="111"/>
      <c r="T1601" s="111"/>
      <c r="U1601" s="111"/>
      <c r="V1601" s="111"/>
      <c r="W1601" s="111"/>
      <c r="X1601" s="111"/>
      <c r="Y1601" s="111"/>
      <c r="Z1601" s="111"/>
      <c r="AA1601" s="111"/>
    </row>
    <row r="1602" spans="1:27" s="118" customFormat="1" x14ac:dyDescent="0.2">
      <c r="A1602" s="6"/>
      <c r="B1602" s="6"/>
      <c r="C1602" s="156"/>
      <c r="D1602" s="108"/>
      <c r="E1602" s="148"/>
      <c r="F1602" s="253"/>
      <c r="G1602" s="253"/>
      <c r="H1602" s="253"/>
      <c r="I1602" s="246" t="str">
        <f>"Total item "&amp;A1599</f>
        <v>Total item 18.2.1</v>
      </c>
      <c r="J1602" s="261">
        <f>SUM(J1600:J1601)</f>
        <v>2</v>
      </c>
      <c r="K1602" s="137"/>
      <c r="L1602" s="137"/>
      <c r="M1602" s="137"/>
      <c r="N1602" s="138"/>
      <c r="O1602" s="167"/>
      <c r="P1602" s="111"/>
      <c r="Q1602" s="111"/>
      <c r="R1602" s="111"/>
      <c r="S1602" s="111"/>
      <c r="T1602" s="111"/>
      <c r="U1602" s="111"/>
      <c r="V1602" s="111"/>
      <c r="W1602" s="111"/>
      <c r="X1602" s="111"/>
      <c r="Y1602" s="111"/>
      <c r="Z1602" s="111"/>
      <c r="AA1602" s="111"/>
    </row>
    <row r="1603" spans="1:27" s="139" customFormat="1" x14ac:dyDescent="0.2">
      <c r="A1603" s="6"/>
      <c r="B1603" s="6"/>
      <c r="C1603" s="7"/>
      <c r="D1603" s="116"/>
      <c r="E1603" s="6"/>
      <c r="F1603" s="258"/>
      <c r="G1603" s="258"/>
      <c r="H1603" s="258"/>
      <c r="I1603" s="246"/>
      <c r="J1603" s="258"/>
      <c r="K1603" s="137"/>
      <c r="L1603" s="137"/>
      <c r="M1603" s="137"/>
      <c r="N1603" s="138"/>
      <c r="O1603" s="283"/>
      <c r="P1603" s="120"/>
      <c r="Q1603" s="120"/>
      <c r="R1603" s="120"/>
      <c r="S1603" s="120"/>
      <c r="T1603" s="120"/>
      <c r="U1603" s="120"/>
      <c r="V1603" s="120"/>
      <c r="W1603" s="120"/>
      <c r="X1603" s="120"/>
      <c r="Y1603" s="120"/>
      <c r="Z1603" s="120"/>
      <c r="AA1603" s="120"/>
    </row>
    <row r="1604" spans="1:27" s="145" customFormat="1" x14ac:dyDescent="0.2">
      <c r="A1604" s="140" t="s">
        <v>862</v>
      </c>
      <c r="B1604" s="140"/>
      <c r="C1604" s="141"/>
      <c r="D1604" s="112" t="s">
        <v>80</v>
      </c>
      <c r="E1604" s="140"/>
      <c r="F1604" s="260"/>
      <c r="G1604" s="260"/>
      <c r="H1604" s="260"/>
      <c r="I1604" s="248"/>
      <c r="J1604" s="260"/>
      <c r="K1604" s="142"/>
      <c r="L1604" s="142"/>
      <c r="M1604" s="142"/>
      <c r="N1604" s="143">
        <f>SUM(N1606:N1609)</f>
        <v>5273.78</v>
      </c>
      <c r="O1604" s="285"/>
      <c r="P1604" s="144"/>
      <c r="Q1604" s="144"/>
      <c r="R1604" s="144"/>
      <c r="S1604" s="144"/>
      <c r="T1604" s="144"/>
      <c r="U1604" s="144"/>
      <c r="V1604" s="144"/>
      <c r="W1604" s="144"/>
      <c r="X1604" s="144"/>
      <c r="Y1604" s="144"/>
      <c r="Z1604" s="144"/>
      <c r="AA1604" s="144"/>
    </row>
    <row r="1605" spans="1:27" s="118" customFormat="1" x14ac:dyDescent="0.2">
      <c r="A1605" s="6"/>
      <c r="B1605" s="6"/>
      <c r="C1605" s="155"/>
      <c r="D1605" s="108"/>
      <c r="E1605" s="148"/>
      <c r="F1605" s="253"/>
      <c r="G1605" s="253"/>
      <c r="H1605" s="253"/>
      <c r="I1605" s="246"/>
      <c r="J1605" s="258"/>
      <c r="K1605" s="137"/>
      <c r="L1605" s="137"/>
      <c r="M1605" s="137"/>
      <c r="N1605" s="138"/>
      <c r="O1605" s="167"/>
      <c r="P1605" s="111"/>
      <c r="Q1605" s="111"/>
      <c r="R1605" s="111"/>
      <c r="S1605" s="111"/>
      <c r="T1605" s="111"/>
      <c r="U1605" s="111"/>
      <c r="V1605" s="111"/>
      <c r="W1605" s="111"/>
      <c r="X1605" s="111"/>
      <c r="Y1605" s="111"/>
      <c r="Z1605" s="111"/>
      <c r="AA1605" s="111"/>
    </row>
    <row r="1606" spans="1:27" s="147" customFormat="1" x14ac:dyDescent="0.2">
      <c r="A1606" s="9" t="s">
        <v>863</v>
      </c>
      <c r="B1606" s="9" t="s">
        <v>179</v>
      </c>
      <c r="C1606" s="13" t="s">
        <v>180</v>
      </c>
      <c r="D1606" s="113" t="s">
        <v>77</v>
      </c>
      <c r="E1606" s="9" t="s">
        <v>9</v>
      </c>
      <c r="F1606" s="261"/>
      <c r="G1606" s="261"/>
      <c r="H1606" s="261"/>
      <c r="I1606" s="245"/>
      <c r="J1606" s="261"/>
      <c r="K1606" s="131">
        <f>J1608</f>
        <v>719.48</v>
      </c>
      <c r="L1606" s="131">
        <f>'COMPOSICOES - SINAPI COM DESON'!G18</f>
        <v>5.79</v>
      </c>
      <c r="M1606" s="131">
        <f>ROUND(L1606*(1+$Q$7),2)</f>
        <v>7.33</v>
      </c>
      <c r="N1606" s="133">
        <f>TRUNC(K1606*M1606,2)</f>
        <v>5273.78</v>
      </c>
      <c r="O1606" s="286"/>
      <c r="P1606" s="146"/>
      <c r="Q1606" s="146"/>
      <c r="R1606" s="146"/>
      <c r="S1606" s="146"/>
      <c r="T1606" s="146"/>
      <c r="U1606" s="146"/>
      <c r="V1606" s="146"/>
      <c r="W1606" s="146"/>
      <c r="X1606" s="146"/>
      <c r="Y1606" s="146"/>
      <c r="Z1606" s="146"/>
      <c r="AA1606" s="146"/>
    </row>
    <row r="1607" spans="1:27" s="118" customFormat="1" x14ac:dyDescent="0.2">
      <c r="A1607" s="6"/>
      <c r="B1607" s="6"/>
      <c r="C1607" s="155"/>
      <c r="D1607" s="2"/>
      <c r="E1607" s="148"/>
      <c r="F1607" s="253"/>
      <c r="G1607" s="253">
        <v>54.3</v>
      </c>
      <c r="H1607" s="253">
        <v>13.25</v>
      </c>
      <c r="I1607" s="249"/>
      <c r="J1607" s="253">
        <f>ROUND(PRODUCT(F1607:I1607),2)</f>
        <v>719.48</v>
      </c>
      <c r="K1607" s="137"/>
      <c r="L1607" s="137"/>
      <c r="M1607" s="137"/>
      <c r="N1607" s="138"/>
      <c r="O1607" s="167"/>
      <c r="P1607" s="111"/>
      <c r="Q1607" s="111"/>
      <c r="R1607" s="111"/>
      <c r="S1607" s="111"/>
      <c r="T1607" s="111"/>
      <c r="U1607" s="111"/>
      <c r="V1607" s="111"/>
      <c r="W1607" s="111"/>
      <c r="X1607" s="111"/>
      <c r="Y1607" s="111"/>
      <c r="Z1607" s="111"/>
      <c r="AA1607" s="111"/>
    </row>
    <row r="1608" spans="1:27" s="118" customFormat="1" x14ac:dyDescent="0.2">
      <c r="A1608" s="6"/>
      <c r="B1608" s="6"/>
      <c r="C1608" s="156"/>
      <c r="D1608" s="108"/>
      <c r="E1608" s="148"/>
      <c r="F1608" s="253"/>
      <c r="G1608" s="253"/>
      <c r="H1608" s="253"/>
      <c r="I1608" s="246" t="str">
        <f>"Total item "&amp;A1606</f>
        <v>Total item 18.3.1</v>
      </c>
      <c r="J1608" s="261">
        <f>SUM(J1607:J1607)</f>
        <v>719.48</v>
      </c>
      <c r="K1608" s="137"/>
      <c r="L1608" s="137"/>
      <c r="M1608" s="137"/>
      <c r="N1608" s="138"/>
      <c r="O1608" s="167"/>
      <c r="P1608" s="111"/>
      <c r="Q1608" s="111"/>
      <c r="R1608" s="111"/>
      <c r="S1608" s="111"/>
      <c r="T1608" s="111"/>
      <c r="U1608" s="111"/>
      <c r="V1608" s="111"/>
      <c r="W1608" s="111"/>
      <c r="X1608" s="111"/>
      <c r="Y1608" s="111"/>
      <c r="Z1608" s="111"/>
      <c r="AA1608" s="111"/>
    </row>
    <row r="1609" spans="1:27" s="118" customFormat="1" x14ac:dyDescent="0.2">
      <c r="A1609" s="6"/>
      <c r="B1609" s="6"/>
      <c r="C1609" s="155"/>
      <c r="D1609" s="108"/>
      <c r="E1609" s="148"/>
      <c r="F1609" s="253"/>
      <c r="G1609" s="253"/>
      <c r="H1609" s="253"/>
      <c r="I1609" s="246"/>
      <c r="J1609" s="258"/>
      <c r="K1609" s="137"/>
      <c r="L1609" s="137"/>
      <c r="M1609" s="137"/>
      <c r="N1609" s="138"/>
      <c r="O1609" s="167"/>
      <c r="P1609" s="111"/>
      <c r="Q1609" s="111"/>
      <c r="R1609" s="111"/>
      <c r="S1609" s="111"/>
      <c r="T1609" s="111"/>
      <c r="U1609" s="111"/>
      <c r="V1609" s="111"/>
      <c r="W1609" s="111"/>
      <c r="X1609" s="111"/>
      <c r="Y1609" s="111"/>
      <c r="Z1609" s="111"/>
      <c r="AA1609" s="111"/>
    </row>
    <row r="1610" spans="1:27" s="241" customFormat="1" ht="26.4" x14ac:dyDescent="0.25">
      <c r="A1610" s="236" t="s">
        <v>235</v>
      </c>
      <c r="B1610" s="236"/>
      <c r="C1610" s="237"/>
      <c r="D1610" s="289" t="s">
        <v>227</v>
      </c>
      <c r="E1610" s="236"/>
      <c r="F1610" s="259"/>
      <c r="G1610" s="259"/>
      <c r="H1610" s="259"/>
      <c r="I1610" s="247"/>
      <c r="J1610" s="259"/>
      <c r="K1610" s="238"/>
      <c r="L1610" s="238"/>
      <c r="M1610" s="238"/>
      <c r="N1610" s="239" t="e">
        <f>SUM(N1612,N1656,N1670,N1679,N1689,N1706)</f>
        <v>#VALUE!</v>
      </c>
      <c r="O1610" s="284" t="e">
        <f>N1610/$N$2057</f>
        <v>#VALUE!</v>
      </c>
      <c r="P1610" s="240" t="s">
        <v>533</v>
      </c>
      <c r="Q1610" s="240" t="s">
        <v>533</v>
      </c>
      <c r="R1610" s="240"/>
      <c r="S1610" s="240"/>
      <c r="T1610" s="240"/>
      <c r="U1610" s="240"/>
      <c r="V1610" s="240"/>
      <c r="W1610" s="240"/>
      <c r="X1610" s="240"/>
      <c r="Y1610" s="240"/>
      <c r="Z1610" s="240"/>
      <c r="AA1610" s="240"/>
    </row>
    <row r="1611" spans="1:27" s="118" customFormat="1" x14ac:dyDescent="0.2">
      <c r="A1611" s="6"/>
      <c r="B1611" s="6"/>
      <c r="C1611" s="155"/>
      <c r="D1611" s="108"/>
      <c r="E1611" s="148"/>
      <c r="F1611" s="253"/>
      <c r="G1611" s="253"/>
      <c r="H1611" s="253"/>
      <c r="I1611" s="246"/>
      <c r="J1611" s="258"/>
      <c r="K1611" s="137"/>
      <c r="L1611" s="137"/>
      <c r="M1611" s="137"/>
      <c r="N1611" s="138"/>
      <c r="O1611" s="167"/>
      <c r="P1611" s="111"/>
      <c r="Q1611" s="111"/>
      <c r="R1611" s="111"/>
      <c r="S1611" s="111"/>
      <c r="T1611" s="111"/>
      <c r="U1611" s="111"/>
      <c r="V1611" s="111"/>
      <c r="W1611" s="111"/>
      <c r="X1611" s="111"/>
      <c r="Y1611" s="111"/>
      <c r="Z1611" s="111"/>
      <c r="AA1611" s="111"/>
    </row>
    <row r="1612" spans="1:27" s="145" customFormat="1" x14ac:dyDescent="0.2">
      <c r="A1612" s="140" t="s">
        <v>271</v>
      </c>
      <c r="B1612" s="140"/>
      <c r="C1612" s="141"/>
      <c r="D1612" s="112" t="s">
        <v>30</v>
      </c>
      <c r="E1612" s="140"/>
      <c r="F1612" s="260"/>
      <c r="G1612" s="260"/>
      <c r="H1612" s="260"/>
      <c r="I1612" s="248"/>
      <c r="J1612" s="260"/>
      <c r="K1612" s="142"/>
      <c r="L1612" s="142"/>
      <c r="M1612" s="142"/>
      <c r="N1612" s="143" t="e">
        <f>SUM(N1614:N1655)</f>
        <v>#VALUE!</v>
      </c>
      <c r="O1612" s="285"/>
      <c r="P1612" s="144"/>
      <c r="Q1612" s="144"/>
      <c r="R1612" s="144"/>
      <c r="S1612" s="144"/>
      <c r="T1612" s="144"/>
      <c r="U1612" s="144"/>
      <c r="V1612" s="144"/>
      <c r="W1612" s="144"/>
      <c r="X1612" s="144"/>
      <c r="Y1612" s="144"/>
      <c r="Z1612" s="144"/>
      <c r="AA1612" s="144"/>
    </row>
    <row r="1613" spans="1:27" s="118" customFormat="1" x14ac:dyDescent="0.2">
      <c r="A1613" s="6"/>
      <c r="B1613" s="6"/>
      <c r="C1613" s="155"/>
      <c r="D1613" s="108"/>
      <c r="E1613" s="148"/>
      <c r="F1613" s="253"/>
      <c r="G1613" s="253"/>
      <c r="H1613" s="253"/>
      <c r="I1613" s="246"/>
      <c r="J1613" s="258"/>
      <c r="K1613" s="137"/>
      <c r="L1613" s="137"/>
      <c r="M1613" s="137"/>
      <c r="N1613" s="138"/>
      <c r="O1613" s="167"/>
      <c r="P1613" s="111"/>
      <c r="Q1613" s="111"/>
      <c r="R1613" s="111"/>
      <c r="S1613" s="111"/>
      <c r="T1613" s="111"/>
      <c r="U1613" s="111"/>
      <c r="V1613" s="111"/>
      <c r="W1613" s="111"/>
      <c r="X1613" s="111"/>
      <c r="Y1613" s="111"/>
      <c r="Z1613" s="111"/>
      <c r="AA1613" s="111"/>
    </row>
    <row r="1614" spans="1:27" s="147" customFormat="1" ht="61.2" x14ac:dyDescent="0.2">
      <c r="A1614" s="9" t="s">
        <v>273</v>
      </c>
      <c r="B1614" s="9" t="s">
        <v>179</v>
      </c>
      <c r="C1614" s="13" t="s">
        <v>417</v>
      </c>
      <c r="D1614" s="113" t="s">
        <v>561</v>
      </c>
      <c r="E1614" s="9" t="s">
        <v>31</v>
      </c>
      <c r="F1614" s="261"/>
      <c r="G1614" s="261"/>
      <c r="H1614" s="261"/>
      <c r="I1614" s="245"/>
      <c r="J1614" s="261"/>
      <c r="K1614" s="131">
        <f>J1623</f>
        <v>16</v>
      </c>
      <c r="L1614" s="131" t="e">
        <f>'COMPOSICOES - SINAPI COM DESON'!G36</f>
        <v>#VALUE!</v>
      </c>
      <c r="M1614" s="131" t="e">
        <f>ROUND(L1614*(1+$Q$7),2)</f>
        <v>#VALUE!</v>
      </c>
      <c r="N1614" s="133" t="e">
        <f>TRUNC(K1614*M1614,2)</f>
        <v>#VALUE!</v>
      </c>
      <c r="O1614" s="286"/>
      <c r="P1614" s="146"/>
      <c r="Q1614" s="146"/>
      <c r="R1614" s="146"/>
      <c r="S1614" s="146"/>
      <c r="T1614" s="146"/>
      <c r="U1614" s="146"/>
      <c r="V1614" s="146"/>
      <c r="W1614" s="146"/>
      <c r="X1614" s="146"/>
      <c r="Y1614" s="146"/>
      <c r="Z1614" s="146"/>
      <c r="AA1614" s="146"/>
    </row>
    <row r="1615" spans="1:27" s="118" customFormat="1" x14ac:dyDescent="0.2">
      <c r="A1615" s="6"/>
      <c r="B1615" s="6"/>
      <c r="C1615" s="155"/>
      <c r="D1615" s="2" t="s">
        <v>256</v>
      </c>
      <c r="E1615" s="148"/>
      <c r="F1615" s="253">
        <v>2</v>
      </c>
      <c r="G1615" s="253"/>
      <c r="H1615" s="253"/>
      <c r="I1615" s="246"/>
      <c r="J1615" s="253">
        <f t="shared" ref="J1615:J1622" si="161">ROUND(PRODUCT(F1615:I1615),2)</f>
        <v>2</v>
      </c>
      <c r="K1615" s="137"/>
      <c r="L1615" s="137"/>
      <c r="M1615" s="137"/>
      <c r="N1615" s="138"/>
      <c r="O1615" s="167"/>
      <c r="P1615" s="111"/>
      <c r="Q1615" s="111"/>
      <c r="R1615" s="111"/>
      <c r="S1615" s="111"/>
      <c r="T1615" s="111"/>
      <c r="U1615" s="111"/>
      <c r="V1615" s="111"/>
      <c r="W1615" s="111"/>
      <c r="X1615" s="111"/>
      <c r="Y1615" s="111"/>
      <c r="Z1615" s="111"/>
      <c r="AA1615" s="111"/>
    </row>
    <row r="1616" spans="1:27" s="118" customFormat="1" x14ac:dyDescent="0.2">
      <c r="A1616" s="6"/>
      <c r="B1616" s="6"/>
      <c r="C1616" s="155"/>
      <c r="D1616" s="2" t="s">
        <v>243</v>
      </c>
      <c r="E1616" s="148"/>
      <c r="F1616" s="253">
        <v>2</v>
      </c>
      <c r="G1616" s="253"/>
      <c r="H1616" s="253"/>
      <c r="I1616" s="246"/>
      <c r="J1616" s="253">
        <f t="shared" si="161"/>
        <v>2</v>
      </c>
      <c r="K1616" s="137"/>
      <c r="L1616" s="137"/>
      <c r="M1616" s="137"/>
      <c r="N1616" s="138"/>
      <c r="O1616" s="167"/>
      <c r="P1616" s="111"/>
      <c r="Q1616" s="111"/>
      <c r="R1616" s="111"/>
      <c r="S1616" s="111"/>
      <c r="T1616" s="111"/>
      <c r="U1616" s="111"/>
      <c r="V1616" s="111"/>
      <c r="W1616" s="111"/>
      <c r="X1616" s="111"/>
      <c r="Y1616" s="111"/>
      <c r="Z1616" s="111"/>
      <c r="AA1616" s="111"/>
    </row>
    <row r="1617" spans="1:27" s="118" customFormat="1" x14ac:dyDescent="0.2">
      <c r="A1617" s="6"/>
      <c r="B1617" s="6"/>
      <c r="C1617" s="155"/>
      <c r="D1617" s="2" t="s">
        <v>257</v>
      </c>
      <c r="E1617" s="148"/>
      <c r="F1617" s="253">
        <v>2</v>
      </c>
      <c r="G1617" s="253"/>
      <c r="H1617" s="253"/>
      <c r="I1617" s="246"/>
      <c r="J1617" s="253">
        <f t="shared" si="161"/>
        <v>2</v>
      </c>
      <c r="K1617" s="137"/>
      <c r="L1617" s="137"/>
      <c r="M1617" s="137"/>
      <c r="N1617" s="138"/>
      <c r="O1617" s="167"/>
      <c r="P1617" s="111"/>
      <c r="Q1617" s="111"/>
      <c r="R1617" s="111"/>
      <c r="S1617" s="111"/>
      <c r="T1617" s="111"/>
      <c r="U1617" s="111"/>
      <c r="V1617" s="111"/>
      <c r="W1617" s="111"/>
      <c r="X1617" s="111"/>
      <c r="Y1617" s="111"/>
      <c r="Z1617" s="111"/>
      <c r="AA1617" s="111"/>
    </row>
    <row r="1618" spans="1:27" s="118" customFormat="1" x14ac:dyDescent="0.2">
      <c r="A1618" s="6"/>
      <c r="B1618" s="6"/>
      <c r="C1618" s="155"/>
      <c r="D1618" s="2" t="s">
        <v>242</v>
      </c>
      <c r="E1618" s="148"/>
      <c r="F1618" s="253">
        <v>2</v>
      </c>
      <c r="G1618" s="253"/>
      <c r="H1618" s="253"/>
      <c r="I1618" s="246"/>
      <c r="J1618" s="253">
        <f t="shared" si="161"/>
        <v>2</v>
      </c>
      <c r="K1618" s="137"/>
      <c r="L1618" s="137"/>
      <c r="M1618" s="137"/>
      <c r="N1618" s="138"/>
      <c r="O1618" s="167"/>
      <c r="P1618" s="111"/>
      <c r="Q1618" s="111"/>
      <c r="R1618" s="111"/>
      <c r="S1618" s="111"/>
      <c r="T1618" s="111"/>
      <c r="U1618" s="111"/>
      <c r="V1618" s="111"/>
      <c r="W1618" s="111"/>
      <c r="X1618" s="111"/>
      <c r="Y1618" s="111"/>
      <c r="Z1618" s="111"/>
      <c r="AA1618" s="111"/>
    </row>
    <row r="1619" spans="1:27" s="118" customFormat="1" x14ac:dyDescent="0.2">
      <c r="A1619" s="6"/>
      <c r="B1619" s="6"/>
      <c r="C1619" s="155"/>
      <c r="D1619" s="2" t="s">
        <v>246</v>
      </c>
      <c r="E1619" s="148"/>
      <c r="F1619" s="253">
        <v>2</v>
      </c>
      <c r="G1619" s="253"/>
      <c r="H1619" s="253"/>
      <c r="I1619" s="246"/>
      <c r="J1619" s="253">
        <f t="shared" si="161"/>
        <v>2</v>
      </c>
      <c r="K1619" s="137"/>
      <c r="L1619" s="137"/>
      <c r="M1619" s="137"/>
      <c r="N1619" s="138"/>
      <c r="O1619" s="167"/>
      <c r="P1619" s="111"/>
      <c r="Q1619" s="111"/>
      <c r="R1619" s="111"/>
      <c r="S1619" s="111"/>
      <c r="T1619" s="111"/>
      <c r="U1619" s="111"/>
      <c r="V1619" s="111"/>
      <c r="W1619" s="111"/>
      <c r="X1619" s="111"/>
      <c r="Y1619" s="111"/>
      <c r="Z1619" s="111"/>
      <c r="AA1619" s="111"/>
    </row>
    <row r="1620" spans="1:27" s="118" customFormat="1" x14ac:dyDescent="0.2">
      <c r="A1620" s="6"/>
      <c r="B1620" s="6"/>
      <c r="C1620" s="155"/>
      <c r="D1620" s="2" t="s">
        <v>258</v>
      </c>
      <c r="E1620" s="148"/>
      <c r="F1620" s="253">
        <v>2</v>
      </c>
      <c r="G1620" s="253"/>
      <c r="H1620" s="253"/>
      <c r="I1620" s="246"/>
      <c r="J1620" s="253">
        <f t="shared" si="161"/>
        <v>2</v>
      </c>
      <c r="K1620" s="137"/>
      <c r="L1620" s="137"/>
      <c r="M1620" s="137"/>
      <c r="N1620" s="138"/>
      <c r="O1620" s="167"/>
      <c r="P1620" s="111"/>
      <c r="Q1620" s="111"/>
      <c r="R1620" s="111"/>
      <c r="S1620" s="111"/>
      <c r="T1620" s="111"/>
      <c r="U1620" s="111"/>
      <c r="V1620" s="111"/>
      <c r="W1620" s="111"/>
      <c r="X1620" s="111"/>
      <c r="Y1620" s="111"/>
      <c r="Z1620" s="111"/>
      <c r="AA1620" s="111"/>
    </row>
    <row r="1621" spans="1:27" s="118" customFormat="1" x14ac:dyDescent="0.2">
      <c r="A1621" s="6"/>
      <c r="B1621" s="6"/>
      <c r="C1621" s="155"/>
      <c r="D1621" s="2" t="s">
        <v>259</v>
      </c>
      <c r="E1621" s="148"/>
      <c r="F1621" s="253">
        <v>2</v>
      </c>
      <c r="G1621" s="253"/>
      <c r="H1621" s="253"/>
      <c r="I1621" s="246"/>
      <c r="J1621" s="253">
        <f t="shared" si="161"/>
        <v>2</v>
      </c>
      <c r="K1621" s="137"/>
      <c r="L1621" s="137"/>
      <c r="M1621" s="137"/>
      <c r="N1621" s="138"/>
      <c r="O1621" s="167"/>
      <c r="P1621" s="111"/>
      <c r="Q1621" s="111"/>
      <c r="R1621" s="111"/>
      <c r="S1621" s="111"/>
      <c r="T1621" s="111"/>
      <c r="U1621" s="111"/>
      <c r="V1621" s="111"/>
      <c r="W1621" s="111"/>
      <c r="X1621" s="111"/>
      <c r="Y1621" s="111"/>
      <c r="Z1621" s="111"/>
      <c r="AA1621" s="111"/>
    </row>
    <row r="1622" spans="1:27" s="118" customFormat="1" x14ac:dyDescent="0.2">
      <c r="A1622" s="6"/>
      <c r="B1622" s="6"/>
      <c r="C1622" s="155"/>
      <c r="D1622" s="2" t="s">
        <v>260</v>
      </c>
      <c r="E1622" s="148"/>
      <c r="F1622" s="253">
        <v>2</v>
      </c>
      <c r="G1622" s="253"/>
      <c r="H1622" s="253"/>
      <c r="I1622" s="246"/>
      <c r="J1622" s="253">
        <f t="shared" si="161"/>
        <v>2</v>
      </c>
      <c r="K1622" s="137"/>
      <c r="L1622" s="137"/>
      <c r="M1622" s="137"/>
      <c r="N1622" s="138"/>
      <c r="O1622" s="167"/>
      <c r="P1622" s="111"/>
      <c r="Q1622" s="111"/>
      <c r="R1622" s="111"/>
      <c r="S1622" s="111"/>
      <c r="T1622" s="111"/>
      <c r="U1622" s="111"/>
      <c r="V1622" s="111"/>
      <c r="W1622" s="111"/>
      <c r="X1622" s="111"/>
      <c r="Y1622" s="111"/>
      <c r="Z1622" s="111"/>
      <c r="AA1622" s="111"/>
    </row>
    <row r="1623" spans="1:27" s="118" customFormat="1" x14ac:dyDescent="0.2">
      <c r="A1623" s="6"/>
      <c r="B1623" s="6"/>
      <c r="C1623" s="156"/>
      <c r="D1623" s="108"/>
      <c r="E1623" s="148"/>
      <c r="F1623" s="253"/>
      <c r="G1623" s="253"/>
      <c r="H1623" s="253"/>
      <c r="I1623" s="246" t="str">
        <f>"Total item "&amp;A1614</f>
        <v>Total item 19.1.1</v>
      </c>
      <c r="J1623" s="261">
        <f>SUM(J1615:J1622)</f>
        <v>16</v>
      </c>
      <c r="K1623" s="137"/>
      <c r="L1623" s="137"/>
      <c r="M1623" s="137"/>
      <c r="N1623" s="138"/>
      <c r="O1623" s="167"/>
      <c r="P1623" s="111"/>
      <c r="Q1623" s="111"/>
      <c r="R1623" s="111"/>
      <c r="S1623" s="111"/>
      <c r="T1623" s="111"/>
      <c r="U1623" s="111"/>
      <c r="V1623" s="111"/>
      <c r="W1623" s="111"/>
      <c r="X1623" s="111"/>
      <c r="Y1623" s="111"/>
      <c r="Z1623" s="111"/>
      <c r="AA1623" s="111"/>
    </row>
    <row r="1624" spans="1:27" s="139" customFormat="1" x14ac:dyDescent="0.2">
      <c r="A1624" s="6"/>
      <c r="B1624" s="6"/>
      <c r="C1624" s="7"/>
      <c r="D1624" s="116"/>
      <c r="E1624" s="6"/>
      <c r="F1624" s="258"/>
      <c r="G1624" s="258"/>
      <c r="H1624" s="258"/>
      <c r="I1624" s="246"/>
      <c r="J1624" s="258"/>
      <c r="K1624" s="137"/>
      <c r="L1624" s="137"/>
      <c r="M1624" s="137"/>
      <c r="N1624" s="138"/>
      <c r="O1624" s="283"/>
      <c r="P1624" s="120"/>
      <c r="Q1624" s="120"/>
      <c r="R1624" s="120"/>
      <c r="S1624" s="120"/>
      <c r="T1624" s="120"/>
      <c r="U1624" s="120"/>
      <c r="V1624" s="120"/>
      <c r="W1624" s="120"/>
      <c r="X1624" s="120"/>
      <c r="Y1624" s="120"/>
      <c r="Z1624" s="120"/>
      <c r="AA1624" s="120"/>
    </row>
    <row r="1625" spans="1:27" s="147" customFormat="1" ht="51" x14ac:dyDescent="0.2">
      <c r="A1625" s="9" t="s">
        <v>272</v>
      </c>
      <c r="B1625" s="9" t="s">
        <v>163</v>
      </c>
      <c r="C1625" s="13" t="s">
        <v>244</v>
      </c>
      <c r="D1625" s="113" t="s">
        <v>245</v>
      </c>
      <c r="E1625" s="9" t="s">
        <v>31</v>
      </c>
      <c r="F1625" s="261"/>
      <c r="G1625" s="261"/>
      <c r="H1625" s="261"/>
      <c r="I1625" s="245"/>
      <c r="J1625" s="261"/>
      <c r="K1625" s="131">
        <f>J1634</f>
        <v>8</v>
      </c>
      <c r="L1625" s="131">
        <v>116.08</v>
      </c>
      <c r="M1625" s="131">
        <f>ROUND(L1625*(1+$Q$7),2)</f>
        <v>146.88</v>
      </c>
      <c r="N1625" s="133">
        <f>TRUNC(K1625*M1625,2)</f>
        <v>1175.04</v>
      </c>
      <c r="O1625" s="286"/>
      <c r="P1625" s="146"/>
      <c r="Q1625" s="146"/>
      <c r="R1625" s="146"/>
      <c r="S1625" s="146"/>
      <c r="T1625" s="146"/>
      <c r="U1625" s="146"/>
      <c r="V1625" s="146"/>
      <c r="W1625" s="146"/>
      <c r="X1625" s="146"/>
      <c r="Y1625" s="146"/>
      <c r="Z1625" s="146"/>
      <c r="AA1625" s="146"/>
    </row>
    <row r="1626" spans="1:27" s="118" customFormat="1" x14ac:dyDescent="0.2">
      <c r="A1626" s="6"/>
      <c r="B1626" s="6"/>
      <c r="C1626" s="155"/>
      <c r="D1626" s="2" t="s">
        <v>256</v>
      </c>
      <c r="E1626" s="148"/>
      <c r="F1626" s="253">
        <v>1</v>
      </c>
      <c r="G1626" s="253"/>
      <c r="H1626" s="253"/>
      <c r="I1626" s="246"/>
      <c r="J1626" s="253">
        <f>ROUND(PRODUCT(F1626:I1626),2)</f>
        <v>1</v>
      </c>
      <c r="K1626" s="137"/>
      <c r="L1626" s="137"/>
      <c r="M1626" s="137"/>
      <c r="N1626" s="138"/>
      <c r="O1626" s="167"/>
      <c r="P1626" s="111"/>
      <c r="Q1626" s="111"/>
      <c r="R1626" s="111"/>
      <c r="S1626" s="111"/>
      <c r="T1626" s="111"/>
      <c r="U1626" s="111"/>
      <c r="V1626" s="111"/>
      <c r="W1626" s="111"/>
      <c r="X1626" s="111"/>
      <c r="Y1626" s="111"/>
      <c r="Z1626" s="111"/>
      <c r="AA1626" s="111"/>
    </row>
    <row r="1627" spans="1:27" s="118" customFormat="1" x14ac:dyDescent="0.2">
      <c r="A1627" s="6"/>
      <c r="B1627" s="6"/>
      <c r="C1627" s="155"/>
      <c r="D1627" s="2" t="s">
        <v>243</v>
      </c>
      <c r="E1627" s="148"/>
      <c r="F1627" s="253">
        <v>1</v>
      </c>
      <c r="G1627" s="253"/>
      <c r="H1627" s="253"/>
      <c r="I1627" s="246"/>
      <c r="J1627" s="253">
        <f t="shared" ref="J1627:J1633" si="162">ROUND(PRODUCT(F1627:I1627),2)</f>
        <v>1</v>
      </c>
      <c r="K1627" s="137"/>
      <c r="L1627" s="137"/>
      <c r="M1627" s="137"/>
      <c r="N1627" s="138"/>
      <c r="O1627" s="167"/>
      <c r="P1627" s="111"/>
      <c r="Q1627" s="111"/>
      <c r="R1627" s="111"/>
      <c r="S1627" s="111"/>
      <c r="T1627" s="111"/>
      <c r="U1627" s="111"/>
      <c r="V1627" s="111"/>
      <c r="W1627" s="111"/>
      <c r="X1627" s="111"/>
      <c r="Y1627" s="111"/>
      <c r="Z1627" s="111"/>
      <c r="AA1627" s="111"/>
    </row>
    <row r="1628" spans="1:27" s="118" customFormat="1" x14ac:dyDescent="0.2">
      <c r="A1628" s="6"/>
      <c r="B1628" s="6"/>
      <c r="C1628" s="155"/>
      <c r="D1628" s="2" t="s">
        <v>257</v>
      </c>
      <c r="E1628" s="148"/>
      <c r="F1628" s="253">
        <v>1</v>
      </c>
      <c r="G1628" s="253"/>
      <c r="H1628" s="253"/>
      <c r="I1628" s="246"/>
      <c r="J1628" s="253">
        <f t="shared" si="162"/>
        <v>1</v>
      </c>
      <c r="K1628" s="137"/>
      <c r="L1628" s="137"/>
      <c r="M1628" s="137"/>
      <c r="N1628" s="138"/>
      <c r="O1628" s="167"/>
      <c r="P1628" s="111"/>
      <c r="Q1628" s="111"/>
      <c r="R1628" s="111"/>
      <c r="S1628" s="111"/>
      <c r="T1628" s="111"/>
      <c r="U1628" s="111"/>
      <c r="V1628" s="111"/>
      <c r="W1628" s="111"/>
      <c r="X1628" s="111"/>
      <c r="Y1628" s="111"/>
      <c r="Z1628" s="111"/>
      <c r="AA1628" s="111"/>
    </row>
    <row r="1629" spans="1:27" s="118" customFormat="1" x14ac:dyDescent="0.2">
      <c r="A1629" s="6"/>
      <c r="B1629" s="6"/>
      <c r="C1629" s="155"/>
      <c r="D1629" s="2" t="s">
        <v>242</v>
      </c>
      <c r="E1629" s="148"/>
      <c r="F1629" s="253">
        <v>1</v>
      </c>
      <c r="G1629" s="253"/>
      <c r="H1629" s="253"/>
      <c r="I1629" s="246"/>
      <c r="J1629" s="253">
        <f t="shared" si="162"/>
        <v>1</v>
      </c>
      <c r="K1629" s="137"/>
      <c r="L1629" s="137"/>
      <c r="M1629" s="137"/>
      <c r="N1629" s="138"/>
      <c r="O1629" s="167"/>
      <c r="P1629" s="111"/>
      <c r="Q1629" s="111"/>
      <c r="R1629" s="111"/>
      <c r="S1629" s="111"/>
      <c r="T1629" s="111"/>
      <c r="U1629" s="111"/>
      <c r="V1629" s="111"/>
      <c r="W1629" s="111"/>
      <c r="X1629" s="111"/>
      <c r="Y1629" s="111"/>
      <c r="Z1629" s="111"/>
      <c r="AA1629" s="111"/>
    </row>
    <row r="1630" spans="1:27" s="118" customFormat="1" x14ac:dyDescent="0.2">
      <c r="A1630" s="6"/>
      <c r="B1630" s="6"/>
      <c r="C1630" s="155"/>
      <c r="D1630" s="2" t="s">
        <v>246</v>
      </c>
      <c r="E1630" s="148"/>
      <c r="F1630" s="253">
        <v>1</v>
      </c>
      <c r="G1630" s="253"/>
      <c r="H1630" s="253"/>
      <c r="I1630" s="246"/>
      <c r="J1630" s="253">
        <f t="shared" si="162"/>
        <v>1</v>
      </c>
      <c r="K1630" s="137"/>
      <c r="L1630" s="137"/>
      <c r="M1630" s="137"/>
      <c r="N1630" s="138"/>
      <c r="O1630" s="167"/>
      <c r="P1630" s="111"/>
      <c r="Q1630" s="111"/>
      <c r="R1630" s="111"/>
      <c r="S1630" s="111"/>
      <c r="T1630" s="111"/>
      <c r="U1630" s="111"/>
      <c r="V1630" s="111"/>
      <c r="W1630" s="111"/>
      <c r="X1630" s="111"/>
      <c r="Y1630" s="111"/>
      <c r="Z1630" s="111"/>
      <c r="AA1630" s="111"/>
    </row>
    <row r="1631" spans="1:27" s="118" customFormat="1" x14ac:dyDescent="0.2">
      <c r="A1631" s="6"/>
      <c r="B1631" s="6"/>
      <c r="C1631" s="155"/>
      <c r="D1631" s="2" t="s">
        <v>258</v>
      </c>
      <c r="E1631" s="148"/>
      <c r="F1631" s="253">
        <v>1</v>
      </c>
      <c r="G1631" s="253"/>
      <c r="H1631" s="253"/>
      <c r="I1631" s="246"/>
      <c r="J1631" s="253">
        <f t="shared" si="162"/>
        <v>1</v>
      </c>
      <c r="K1631" s="137"/>
      <c r="L1631" s="137"/>
      <c r="M1631" s="137"/>
      <c r="N1631" s="138"/>
      <c r="O1631" s="167"/>
      <c r="P1631" s="111"/>
      <c r="Q1631" s="111"/>
      <c r="R1631" s="111"/>
      <c r="S1631" s="111"/>
      <c r="T1631" s="111"/>
      <c r="U1631" s="111"/>
      <c r="V1631" s="111"/>
      <c r="W1631" s="111"/>
      <c r="X1631" s="111"/>
      <c r="Y1631" s="111"/>
      <c r="Z1631" s="111"/>
      <c r="AA1631" s="111"/>
    </row>
    <row r="1632" spans="1:27" s="118" customFormat="1" x14ac:dyDescent="0.2">
      <c r="A1632" s="6"/>
      <c r="B1632" s="6"/>
      <c r="C1632" s="155"/>
      <c r="D1632" s="2" t="s">
        <v>259</v>
      </c>
      <c r="E1632" s="148"/>
      <c r="F1632" s="253">
        <v>1</v>
      </c>
      <c r="G1632" s="253"/>
      <c r="H1632" s="253"/>
      <c r="I1632" s="246"/>
      <c r="J1632" s="253">
        <f t="shared" si="162"/>
        <v>1</v>
      </c>
      <c r="K1632" s="137"/>
      <c r="L1632" s="137"/>
      <c r="M1632" s="137"/>
      <c r="N1632" s="138"/>
      <c r="O1632" s="167"/>
      <c r="P1632" s="111"/>
      <c r="Q1632" s="111"/>
      <c r="R1632" s="111"/>
      <c r="S1632" s="111"/>
      <c r="T1632" s="111"/>
      <c r="U1632" s="111"/>
      <c r="V1632" s="111"/>
      <c r="W1632" s="111"/>
      <c r="X1632" s="111"/>
      <c r="Y1632" s="111"/>
      <c r="Z1632" s="111"/>
      <c r="AA1632" s="111"/>
    </row>
    <row r="1633" spans="1:27" s="118" customFormat="1" x14ac:dyDescent="0.2">
      <c r="A1633" s="6"/>
      <c r="B1633" s="6"/>
      <c r="C1633" s="155"/>
      <c r="D1633" s="2" t="s">
        <v>260</v>
      </c>
      <c r="E1633" s="148"/>
      <c r="F1633" s="253">
        <v>1</v>
      </c>
      <c r="G1633" s="253"/>
      <c r="H1633" s="253"/>
      <c r="I1633" s="246"/>
      <c r="J1633" s="253">
        <f t="shared" si="162"/>
        <v>1</v>
      </c>
      <c r="K1633" s="137"/>
      <c r="L1633" s="137"/>
      <c r="M1633" s="137"/>
      <c r="N1633" s="138"/>
      <c r="O1633" s="167"/>
      <c r="P1633" s="111"/>
      <c r="Q1633" s="111"/>
      <c r="R1633" s="111"/>
      <c r="S1633" s="111"/>
      <c r="T1633" s="111"/>
      <c r="U1633" s="111"/>
      <c r="V1633" s="111"/>
      <c r="W1633" s="111"/>
      <c r="X1633" s="111"/>
      <c r="Y1633" s="111"/>
      <c r="Z1633" s="111"/>
      <c r="AA1633" s="111"/>
    </row>
    <row r="1634" spans="1:27" s="118" customFormat="1" x14ac:dyDescent="0.2">
      <c r="A1634" s="6"/>
      <c r="B1634" s="6"/>
      <c r="C1634" s="156"/>
      <c r="D1634" s="108"/>
      <c r="E1634" s="148"/>
      <c r="F1634" s="253"/>
      <c r="G1634" s="253"/>
      <c r="H1634" s="253"/>
      <c r="I1634" s="246" t="str">
        <f>"Total item "&amp;A1625</f>
        <v>Total item 19.1.2</v>
      </c>
      <c r="J1634" s="261">
        <f>SUM(J1626:J1633)</f>
        <v>8</v>
      </c>
      <c r="K1634" s="137"/>
      <c r="L1634" s="137"/>
      <c r="M1634" s="137"/>
      <c r="N1634" s="138"/>
      <c r="O1634" s="167"/>
      <c r="P1634" s="111"/>
      <c r="Q1634" s="111"/>
      <c r="R1634" s="111"/>
      <c r="S1634" s="111"/>
      <c r="T1634" s="111"/>
      <c r="U1634" s="111"/>
      <c r="V1634" s="111"/>
      <c r="W1634" s="111"/>
      <c r="X1634" s="111"/>
      <c r="Y1634" s="111"/>
      <c r="Z1634" s="111"/>
      <c r="AA1634" s="111"/>
    </row>
    <row r="1635" spans="1:27" s="139" customFormat="1" x14ac:dyDescent="0.2">
      <c r="A1635" s="6"/>
      <c r="B1635" s="6"/>
      <c r="C1635" s="7"/>
      <c r="D1635" s="116"/>
      <c r="E1635" s="6"/>
      <c r="F1635" s="258"/>
      <c r="G1635" s="258"/>
      <c r="H1635" s="258"/>
      <c r="I1635" s="246"/>
      <c r="J1635" s="258"/>
      <c r="K1635" s="137"/>
      <c r="L1635" s="137"/>
      <c r="M1635" s="137"/>
      <c r="N1635" s="138"/>
      <c r="O1635" s="283"/>
      <c r="P1635" s="120"/>
      <c r="Q1635" s="120"/>
      <c r="R1635" s="120"/>
      <c r="S1635" s="120"/>
      <c r="T1635" s="120"/>
      <c r="U1635" s="120"/>
      <c r="V1635" s="120"/>
      <c r="W1635" s="120"/>
      <c r="X1635" s="120"/>
      <c r="Y1635" s="120"/>
      <c r="Z1635" s="120"/>
      <c r="AA1635" s="120"/>
    </row>
    <row r="1636" spans="1:27" s="147" customFormat="1" ht="30.6" x14ac:dyDescent="0.2">
      <c r="A1636" s="9" t="s">
        <v>291</v>
      </c>
      <c r="B1636" s="9" t="s">
        <v>179</v>
      </c>
      <c r="C1636" s="13" t="s">
        <v>672</v>
      </c>
      <c r="D1636" s="113" t="s">
        <v>567</v>
      </c>
      <c r="E1636" s="9" t="s">
        <v>33</v>
      </c>
      <c r="F1636" s="261"/>
      <c r="G1636" s="261"/>
      <c r="H1636" s="261"/>
      <c r="I1636" s="245"/>
      <c r="J1636" s="261"/>
      <c r="K1636" s="131">
        <f>J1638</f>
        <v>1</v>
      </c>
      <c r="L1636" s="131">
        <f>'COMPOSICOES - SINAPI COM DESON'!G50</f>
        <v>104.48</v>
      </c>
      <c r="M1636" s="131">
        <f>ROUND(L1636*(1+$Q$7),2)</f>
        <v>132.19999999999999</v>
      </c>
      <c r="N1636" s="133">
        <f>TRUNC(K1636*M1636,2)</f>
        <v>132.19999999999999</v>
      </c>
      <c r="O1636" s="286"/>
      <c r="P1636" s="146"/>
      <c r="Q1636" s="146"/>
      <c r="R1636" s="146"/>
      <c r="S1636" s="146"/>
      <c r="T1636" s="146"/>
      <c r="U1636" s="146"/>
      <c r="V1636" s="146"/>
      <c r="W1636" s="146"/>
      <c r="X1636" s="146"/>
      <c r="Y1636" s="146"/>
      <c r="Z1636" s="146"/>
      <c r="AA1636" s="146"/>
    </row>
    <row r="1637" spans="1:27" s="118" customFormat="1" x14ac:dyDescent="0.2">
      <c r="A1637" s="6"/>
      <c r="B1637" s="6"/>
      <c r="C1637" s="155"/>
      <c r="D1637" s="2" t="s">
        <v>246</v>
      </c>
      <c r="E1637" s="148"/>
      <c r="F1637" s="253">
        <v>1</v>
      </c>
      <c r="G1637" s="253"/>
      <c r="H1637" s="253"/>
      <c r="I1637" s="246"/>
      <c r="J1637" s="253">
        <f>ROUND(PRODUCT(F1637:I1637),2)</f>
        <v>1</v>
      </c>
      <c r="K1637" s="137"/>
      <c r="L1637" s="137"/>
      <c r="M1637" s="137"/>
      <c r="N1637" s="138"/>
      <c r="O1637" s="167"/>
      <c r="P1637" s="111"/>
      <c r="Q1637" s="111"/>
      <c r="R1637" s="111"/>
      <c r="S1637" s="111"/>
      <c r="T1637" s="111"/>
      <c r="U1637" s="111"/>
      <c r="V1637" s="111"/>
      <c r="W1637" s="111"/>
      <c r="X1637" s="111"/>
      <c r="Y1637" s="111"/>
      <c r="Z1637" s="111"/>
      <c r="AA1637" s="111"/>
    </row>
    <row r="1638" spans="1:27" s="118" customFormat="1" x14ac:dyDescent="0.2">
      <c r="A1638" s="6"/>
      <c r="B1638" s="6"/>
      <c r="C1638" s="156"/>
      <c r="D1638" s="108"/>
      <c r="E1638" s="148"/>
      <c r="F1638" s="253"/>
      <c r="G1638" s="253"/>
      <c r="H1638" s="253"/>
      <c r="I1638" s="246" t="str">
        <f>"Total item "&amp;A1636</f>
        <v>Total item 19.1.3</v>
      </c>
      <c r="J1638" s="261">
        <f>SUM(J1637:J1637)</f>
        <v>1</v>
      </c>
      <c r="K1638" s="137"/>
      <c r="L1638" s="137"/>
      <c r="M1638" s="137"/>
      <c r="N1638" s="138"/>
      <c r="O1638" s="167"/>
      <c r="P1638" s="111"/>
      <c r="Q1638" s="111"/>
      <c r="R1638" s="111"/>
      <c r="S1638" s="111"/>
      <c r="T1638" s="111"/>
      <c r="U1638" s="111"/>
      <c r="V1638" s="111"/>
      <c r="W1638" s="111"/>
      <c r="X1638" s="111"/>
      <c r="Y1638" s="111"/>
      <c r="Z1638" s="111"/>
      <c r="AA1638" s="111"/>
    </row>
    <row r="1639" spans="1:27" s="118" customFormat="1" x14ac:dyDescent="0.2">
      <c r="A1639" s="6"/>
      <c r="B1639" s="6"/>
      <c r="C1639" s="155"/>
      <c r="D1639" s="108"/>
      <c r="E1639" s="148"/>
      <c r="F1639" s="253"/>
      <c r="G1639" s="253"/>
      <c r="H1639" s="253"/>
      <c r="I1639" s="246"/>
      <c r="J1639" s="258"/>
      <c r="K1639" s="137"/>
      <c r="L1639" s="137"/>
      <c r="M1639" s="137"/>
      <c r="N1639" s="138"/>
      <c r="O1639" s="167"/>
      <c r="P1639" s="111"/>
      <c r="Q1639" s="111"/>
      <c r="R1639" s="111"/>
      <c r="S1639" s="111"/>
      <c r="T1639" s="111"/>
      <c r="U1639" s="111"/>
      <c r="V1639" s="111"/>
      <c r="W1639" s="111"/>
      <c r="X1639" s="111"/>
      <c r="Y1639" s="111"/>
      <c r="Z1639" s="111"/>
      <c r="AA1639" s="111"/>
    </row>
    <row r="1640" spans="1:27" s="147" customFormat="1" ht="40.799999999999997" x14ac:dyDescent="0.2">
      <c r="A1640" s="9" t="s">
        <v>292</v>
      </c>
      <c r="B1640" s="9" t="s">
        <v>89</v>
      </c>
      <c r="C1640" s="13">
        <v>93144</v>
      </c>
      <c r="D1640" s="113" t="s">
        <v>295</v>
      </c>
      <c r="E1640" s="9" t="s">
        <v>33</v>
      </c>
      <c r="F1640" s="261"/>
      <c r="G1640" s="261"/>
      <c r="H1640" s="261"/>
      <c r="I1640" s="245"/>
      <c r="J1640" s="261"/>
      <c r="K1640" s="131">
        <f>J1642</f>
        <v>10</v>
      </c>
      <c r="L1640" s="131">
        <v>166.81</v>
      </c>
      <c r="M1640" s="131">
        <f>ROUND(L1640*(1+$Q$7),2)</f>
        <v>211.06</v>
      </c>
      <c r="N1640" s="133">
        <f>TRUNC(K1640*M1640,2)</f>
        <v>2110.6</v>
      </c>
      <c r="O1640" s="286"/>
      <c r="P1640" s="146"/>
      <c r="Q1640" s="146"/>
      <c r="R1640" s="146"/>
      <c r="S1640" s="146"/>
      <c r="T1640" s="146"/>
      <c r="U1640" s="146"/>
      <c r="V1640" s="146"/>
      <c r="W1640" s="146"/>
      <c r="X1640" s="146"/>
      <c r="Y1640" s="146"/>
      <c r="Z1640" s="146"/>
      <c r="AA1640" s="146"/>
    </row>
    <row r="1641" spans="1:27" s="118" customFormat="1" x14ac:dyDescent="0.2">
      <c r="A1641" s="6"/>
      <c r="B1641" s="6"/>
      <c r="C1641" s="155"/>
      <c r="D1641" s="2" t="s">
        <v>296</v>
      </c>
      <c r="E1641" s="148"/>
      <c r="F1641" s="253">
        <v>10</v>
      </c>
      <c r="G1641" s="253"/>
      <c r="H1641" s="253"/>
      <c r="I1641" s="246"/>
      <c r="J1641" s="253">
        <f>ROUND(PRODUCT(F1641:I1641),2)</f>
        <v>10</v>
      </c>
      <c r="K1641" s="137"/>
      <c r="L1641" s="137"/>
      <c r="M1641" s="137"/>
      <c r="N1641" s="138"/>
      <c r="O1641" s="167"/>
      <c r="P1641" s="111"/>
      <c r="Q1641" s="111"/>
      <c r="R1641" s="111"/>
      <c r="S1641" s="111"/>
      <c r="T1641" s="111"/>
      <c r="U1641" s="111"/>
      <c r="V1641" s="111"/>
      <c r="W1641" s="111"/>
      <c r="X1641" s="111"/>
      <c r="Y1641" s="111"/>
      <c r="Z1641" s="111"/>
      <c r="AA1641" s="111"/>
    </row>
    <row r="1642" spans="1:27" s="118" customFormat="1" x14ac:dyDescent="0.2">
      <c r="A1642" s="6"/>
      <c r="B1642" s="6"/>
      <c r="C1642" s="156"/>
      <c r="D1642" s="108"/>
      <c r="E1642" s="148"/>
      <c r="F1642" s="253"/>
      <c r="G1642" s="253"/>
      <c r="H1642" s="253"/>
      <c r="I1642" s="246" t="str">
        <f>"Total item "&amp;A1640</f>
        <v>Total item 19.1.4</v>
      </c>
      <c r="J1642" s="261">
        <f>SUM(J1641:J1641)</f>
        <v>10</v>
      </c>
      <c r="K1642" s="137"/>
      <c r="L1642" s="137"/>
      <c r="M1642" s="137"/>
      <c r="N1642" s="138"/>
      <c r="O1642" s="167"/>
      <c r="P1642" s="111"/>
      <c r="Q1642" s="111"/>
      <c r="R1642" s="111"/>
      <c r="S1642" s="111"/>
      <c r="T1642" s="111"/>
      <c r="U1642" s="111"/>
      <c r="V1642" s="111"/>
      <c r="W1642" s="111"/>
      <c r="X1642" s="111"/>
      <c r="Y1642" s="111"/>
      <c r="Z1642" s="111"/>
      <c r="AA1642" s="111"/>
    </row>
    <row r="1643" spans="1:27" s="161" customFormat="1" x14ac:dyDescent="0.2">
      <c r="A1643" s="10"/>
      <c r="B1643" s="10"/>
      <c r="C1643" s="191"/>
      <c r="D1643" s="110"/>
      <c r="E1643" s="158"/>
      <c r="F1643" s="267"/>
      <c r="G1643" s="267"/>
      <c r="H1643" s="267"/>
      <c r="I1643" s="250"/>
      <c r="J1643" s="263"/>
      <c r="K1643" s="151"/>
      <c r="L1643" s="151"/>
      <c r="M1643" s="151"/>
      <c r="N1643" s="152"/>
      <c r="O1643" s="167"/>
      <c r="P1643" s="114"/>
      <c r="Q1643" s="114"/>
      <c r="R1643" s="114"/>
      <c r="S1643" s="114"/>
      <c r="T1643" s="114"/>
      <c r="U1643" s="114"/>
      <c r="V1643" s="114"/>
      <c r="W1643" s="114"/>
      <c r="X1643" s="114"/>
      <c r="Y1643" s="114"/>
      <c r="Z1643" s="114"/>
      <c r="AA1643" s="114"/>
    </row>
    <row r="1644" spans="1:27" s="147" customFormat="1" ht="40.799999999999997" x14ac:dyDescent="0.2">
      <c r="A1644" s="9" t="s">
        <v>293</v>
      </c>
      <c r="B1644" s="9" t="s">
        <v>163</v>
      </c>
      <c r="C1644" s="197" t="s">
        <v>192</v>
      </c>
      <c r="D1644" s="113" t="s">
        <v>712</v>
      </c>
      <c r="E1644" s="9" t="s">
        <v>31</v>
      </c>
      <c r="F1644" s="261"/>
      <c r="G1644" s="261"/>
      <c r="H1644" s="261"/>
      <c r="I1644" s="245"/>
      <c r="J1644" s="261"/>
      <c r="K1644" s="131">
        <f>J1646</f>
        <v>10</v>
      </c>
      <c r="L1644" s="131">
        <v>46.44</v>
      </c>
      <c r="M1644" s="131">
        <f>ROUND(L1644*(1+$Q$7),2)</f>
        <v>58.76</v>
      </c>
      <c r="N1644" s="133">
        <f>TRUNC(K1644*M1644,2)</f>
        <v>587.6</v>
      </c>
      <c r="O1644" s="286"/>
      <c r="P1644" s="146"/>
      <c r="Q1644" s="146"/>
      <c r="R1644" s="146"/>
      <c r="S1644" s="146"/>
      <c r="T1644" s="146"/>
      <c r="U1644" s="146"/>
      <c r="V1644" s="146"/>
      <c r="W1644" s="146"/>
      <c r="X1644" s="146"/>
      <c r="Y1644" s="146"/>
      <c r="Z1644" s="146"/>
      <c r="AA1644" s="146"/>
    </row>
    <row r="1645" spans="1:27" s="118" customFormat="1" x14ac:dyDescent="0.2">
      <c r="A1645" s="6"/>
      <c r="B1645" s="6"/>
      <c r="C1645" s="155"/>
      <c r="D1645" s="2" t="s">
        <v>296</v>
      </c>
      <c r="E1645" s="148"/>
      <c r="F1645" s="253">
        <v>10</v>
      </c>
      <c r="G1645" s="253"/>
      <c r="H1645" s="253"/>
      <c r="I1645" s="246"/>
      <c r="J1645" s="253">
        <f>ROUND(PRODUCT(F1645:I1645),2)</f>
        <v>10</v>
      </c>
      <c r="K1645" s="137"/>
      <c r="L1645" s="137"/>
      <c r="M1645" s="137"/>
      <c r="N1645" s="138"/>
      <c r="O1645" s="167"/>
      <c r="P1645" s="111"/>
      <c r="Q1645" s="111"/>
      <c r="R1645" s="111"/>
      <c r="S1645" s="111"/>
      <c r="T1645" s="111"/>
      <c r="U1645" s="111"/>
      <c r="V1645" s="111"/>
      <c r="W1645" s="111"/>
      <c r="X1645" s="111"/>
      <c r="Y1645" s="111"/>
      <c r="Z1645" s="111"/>
      <c r="AA1645" s="111"/>
    </row>
    <row r="1646" spans="1:27" s="118" customFormat="1" x14ac:dyDescent="0.2">
      <c r="A1646" s="6"/>
      <c r="B1646" s="6"/>
      <c r="C1646" s="156"/>
      <c r="D1646" s="108"/>
      <c r="E1646" s="148"/>
      <c r="F1646" s="253"/>
      <c r="G1646" s="253"/>
      <c r="H1646" s="253"/>
      <c r="I1646" s="246" t="str">
        <f>"Total item "&amp;A1644</f>
        <v>Total item 19.1.5</v>
      </c>
      <c r="J1646" s="261">
        <f>SUM(J1645:J1645)</f>
        <v>10</v>
      </c>
      <c r="K1646" s="137"/>
      <c r="L1646" s="137"/>
      <c r="M1646" s="137"/>
      <c r="N1646" s="138"/>
      <c r="O1646" s="167"/>
      <c r="P1646" s="111"/>
      <c r="Q1646" s="111"/>
      <c r="R1646" s="111"/>
      <c r="S1646" s="111"/>
      <c r="T1646" s="111"/>
      <c r="U1646" s="111"/>
      <c r="V1646" s="111"/>
      <c r="W1646" s="111"/>
      <c r="X1646" s="111"/>
      <c r="Y1646" s="111"/>
      <c r="Z1646" s="111"/>
      <c r="AA1646" s="111"/>
    </row>
    <row r="1647" spans="1:27" s="118" customFormat="1" x14ac:dyDescent="0.2">
      <c r="A1647" s="6"/>
      <c r="B1647" s="6"/>
      <c r="C1647" s="155"/>
      <c r="D1647" s="108"/>
      <c r="E1647" s="148"/>
      <c r="F1647" s="253"/>
      <c r="G1647" s="253"/>
      <c r="H1647" s="253"/>
      <c r="I1647" s="246"/>
      <c r="J1647" s="258"/>
      <c r="K1647" s="137"/>
      <c r="L1647" s="137"/>
      <c r="M1647" s="137"/>
      <c r="N1647" s="138"/>
      <c r="O1647" s="167"/>
      <c r="P1647" s="111"/>
      <c r="Q1647" s="111"/>
      <c r="R1647" s="111"/>
      <c r="S1647" s="111"/>
      <c r="T1647" s="111"/>
      <c r="U1647" s="111"/>
      <c r="V1647" s="111"/>
      <c r="W1647" s="111"/>
      <c r="X1647" s="111"/>
      <c r="Y1647" s="111"/>
      <c r="Z1647" s="111"/>
      <c r="AA1647" s="111"/>
    </row>
    <row r="1648" spans="1:27" s="147" customFormat="1" ht="40.799999999999997" x14ac:dyDescent="0.2">
      <c r="A1648" s="9" t="s">
        <v>294</v>
      </c>
      <c r="B1648" s="9" t="s">
        <v>163</v>
      </c>
      <c r="C1648" s="13" t="s">
        <v>188</v>
      </c>
      <c r="D1648" s="113" t="s">
        <v>719</v>
      </c>
      <c r="E1648" s="9" t="s">
        <v>33</v>
      </c>
      <c r="F1648" s="261"/>
      <c r="G1648" s="261"/>
      <c r="H1648" s="261"/>
      <c r="I1648" s="245"/>
      <c r="J1648" s="261"/>
      <c r="K1648" s="131">
        <f>J1650</f>
        <v>1</v>
      </c>
      <c r="L1648" s="131">
        <v>65.69</v>
      </c>
      <c r="M1648" s="131">
        <f>ROUND(L1648*(1+$Q$7),2)</f>
        <v>83.12</v>
      </c>
      <c r="N1648" s="133">
        <f>TRUNC(K1648*M1648,2)</f>
        <v>83.12</v>
      </c>
      <c r="O1648" s="286"/>
      <c r="P1648" s="146"/>
      <c r="Q1648" s="146"/>
      <c r="R1648" s="146"/>
      <c r="S1648" s="146"/>
      <c r="T1648" s="146"/>
      <c r="U1648" s="146"/>
      <c r="V1648" s="146"/>
      <c r="W1648" s="146"/>
      <c r="X1648" s="146"/>
      <c r="Y1648" s="146"/>
      <c r="Z1648" s="146"/>
      <c r="AA1648" s="146"/>
    </row>
    <row r="1649" spans="1:27" s="118" customFormat="1" x14ac:dyDescent="0.2">
      <c r="A1649" s="10"/>
      <c r="B1649" s="6"/>
      <c r="C1649" s="6"/>
      <c r="D1649" s="2"/>
      <c r="E1649" s="148"/>
      <c r="F1649" s="253">
        <v>1</v>
      </c>
      <c r="G1649" s="253"/>
      <c r="H1649" s="253"/>
      <c r="I1649" s="246"/>
      <c r="J1649" s="253">
        <f>ROUND(PRODUCT(F1649:I1649),2)</f>
        <v>1</v>
      </c>
      <c r="K1649" s="137"/>
      <c r="L1649" s="137"/>
      <c r="M1649" s="137"/>
      <c r="N1649" s="138"/>
      <c r="O1649" s="167"/>
      <c r="P1649" s="111"/>
      <c r="Q1649" s="111"/>
      <c r="R1649" s="111"/>
      <c r="S1649" s="111"/>
      <c r="T1649" s="111"/>
      <c r="U1649" s="111"/>
      <c r="V1649" s="111"/>
      <c r="W1649" s="111"/>
      <c r="X1649" s="111"/>
      <c r="Y1649" s="111"/>
      <c r="Z1649" s="111"/>
      <c r="AA1649" s="111"/>
    </row>
    <row r="1650" spans="1:27" s="118" customFormat="1" x14ac:dyDescent="0.2">
      <c r="A1650" s="10"/>
      <c r="B1650" s="6"/>
      <c r="C1650" s="156"/>
      <c r="D1650" s="108"/>
      <c r="E1650" s="148"/>
      <c r="F1650" s="253"/>
      <c r="G1650" s="253"/>
      <c r="H1650" s="253"/>
      <c r="I1650" s="246" t="str">
        <f>"Total item "&amp;A1648</f>
        <v>Total item 19.1.6</v>
      </c>
      <c r="J1650" s="261">
        <f>SUM(J1649:J1649)</f>
        <v>1</v>
      </c>
      <c r="K1650" s="137"/>
      <c r="L1650" s="137"/>
      <c r="M1650" s="137"/>
      <c r="N1650" s="138"/>
      <c r="O1650" s="167"/>
      <c r="P1650" s="111"/>
      <c r="Q1650" s="111"/>
      <c r="R1650" s="111"/>
      <c r="S1650" s="111"/>
      <c r="T1650" s="111"/>
      <c r="U1650" s="111"/>
      <c r="V1650" s="111"/>
      <c r="W1650" s="111"/>
      <c r="X1650" s="111"/>
      <c r="Y1650" s="111"/>
      <c r="Z1650" s="111"/>
      <c r="AA1650" s="111"/>
    </row>
    <row r="1651" spans="1:27" s="118" customFormat="1" x14ac:dyDescent="0.2">
      <c r="A1651" s="10"/>
      <c r="B1651" s="6"/>
      <c r="C1651" s="155"/>
      <c r="D1651" s="108"/>
      <c r="E1651" s="148"/>
      <c r="F1651" s="253"/>
      <c r="G1651" s="253"/>
      <c r="H1651" s="253"/>
      <c r="I1651" s="246"/>
      <c r="J1651" s="258"/>
      <c r="K1651" s="137"/>
      <c r="L1651" s="137"/>
      <c r="M1651" s="137"/>
      <c r="N1651" s="138"/>
      <c r="O1651" s="167"/>
      <c r="P1651" s="111"/>
      <c r="Q1651" s="111"/>
      <c r="R1651" s="111"/>
      <c r="S1651" s="111"/>
      <c r="T1651" s="111"/>
      <c r="U1651" s="111"/>
      <c r="V1651" s="111"/>
      <c r="W1651" s="111"/>
      <c r="X1651" s="111"/>
      <c r="Y1651" s="111"/>
      <c r="Z1651" s="111"/>
      <c r="AA1651" s="111"/>
    </row>
    <row r="1652" spans="1:27" s="147" customFormat="1" ht="30.6" x14ac:dyDescent="0.2">
      <c r="A1652" s="9" t="s">
        <v>878</v>
      </c>
      <c r="B1652" s="9" t="s">
        <v>163</v>
      </c>
      <c r="C1652" s="13" t="s">
        <v>190</v>
      </c>
      <c r="D1652" s="113" t="s">
        <v>290</v>
      </c>
      <c r="E1652" s="9" t="s">
        <v>33</v>
      </c>
      <c r="F1652" s="261"/>
      <c r="G1652" s="261"/>
      <c r="H1652" s="261"/>
      <c r="I1652" s="245"/>
      <c r="J1652" s="261"/>
      <c r="K1652" s="131">
        <f>J1654</f>
        <v>6</v>
      </c>
      <c r="L1652" s="131">
        <v>14.55</v>
      </c>
      <c r="M1652" s="131">
        <f>ROUND(L1652*(1+$Q$7),2)</f>
        <v>18.41</v>
      </c>
      <c r="N1652" s="133">
        <f>TRUNC(K1652*M1652,2)</f>
        <v>110.46</v>
      </c>
      <c r="O1652" s="286"/>
      <c r="P1652" s="146"/>
      <c r="Q1652" s="146"/>
      <c r="R1652" s="146"/>
      <c r="S1652" s="146"/>
      <c r="T1652" s="146"/>
      <c r="U1652" s="146"/>
      <c r="V1652" s="146"/>
      <c r="W1652" s="146"/>
      <c r="X1652" s="146"/>
      <c r="Y1652" s="146"/>
      <c r="Z1652" s="146"/>
      <c r="AA1652" s="146"/>
    </row>
    <row r="1653" spans="1:27" s="118" customFormat="1" x14ac:dyDescent="0.2">
      <c r="A1653" s="6"/>
      <c r="B1653" s="6"/>
      <c r="C1653" s="6"/>
      <c r="D1653" s="2"/>
      <c r="E1653" s="148"/>
      <c r="F1653" s="253">
        <v>6</v>
      </c>
      <c r="G1653" s="253"/>
      <c r="H1653" s="253"/>
      <c r="I1653" s="246"/>
      <c r="J1653" s="253">
        <f>ROUND(PRODUCT(F1653:I1653),2)</f>
        <v>6</v>
      </c>
      <c r="K1653" s="137"/>
      <c r="L1653" s="137"/>
      <c r="M1653" s="137"/>
      <c r="N1653" s="138"/>
      <c r="O1653" s="167"/>
      <c r="P1653" s="111"/>
      <c r="Q1653" s="111"/>
      <c r="R1653" s="111"/>
      <c r="S1653" s="111"/>
      <c r="T1653" s="111"/>
      <c r="U1653" s="111"/>
      <c r="V1653" s="111"/>
      <c r="W1653" s="111"/>
      <c r="X1653" s="111"/>
      <c r="Y1653" s="111"/>
      <c r="Z1653" s="111"/>
      <c r="AA1653" s="111"/>
    </row>
    <row r="1654" spans="1:27" s="118" customFormat="1" x14ac:dyDescent="0.2">
      <c r="A1654" s="6"/>
      <c r="B1654" s="6"/>
      <c r="C1654" s="156"/>
      <c r="D1654" s="108"/>
      <c r="E1654" s="148"/>
      <c r="F1654" s="253"/>
      <c r="G1654" s="253"/>
      <c r="H1654" s="253"/>
      <c r="I1654" s="246" t="str">
        <f>"Total item "&amp;A1652</f>
        <v>Total item 19.1.7</v>
      </c>
      <c r="J1654" s="261">
        <f>SUM(J1653:J1653)</f>
        <v>6</v>
      </c>
      <c r="K1654" s="137"/>
      <c r="L1654" s="137"/>
      <c r="M1654" s="137"/>
      <c r="N1654" s="138"/>
      <c r="O1654" s="167"/>
      <c r="P1654" s="111"/>
      <c r="Q1654" s="111"/>
      <c r="R1654" s="111"/>
      <c r="S1654" s="111"/>
      <c r="T1654" s="111"/>
      <c r="U1654" s="111"/>
      <c r="V1654" s="111"/>
      <c r="W1654" s="111"/>
      <c r="X1654" s="111"/>
      <c r="Y1654" s="111"/>
      <c r="Z1654" s="111"/>
      <c r="AA1654" s="111"/>
    </row>
    <row r="1655" spans="1:27" s="118" customFormat="1" x14ac:dyDescent="0.2">
      <c r="A1655" s="6"/>
      <c r="B1655" s="6"/>
      <c r="C1655" s="155"/>
      <c r="D1655" s="108"/>
      <c r="E1655" s="148"/>
      <c r="F1655" s="253"/>
      <c r="G1655" s="253"/>
      <c r="H1655" s="253"/>
      <c r="I1655" s="246"/>
      <c r="J1655" s="258"/>
      <c r="K1655" s="137"/>
      <c r="L1655" s="137"/>
      <c r="M1655" s="137"/>
      <c r="N1655" s="138"/>
      <c r="O1655" s="167"/>
      <c r="P1655" s="111"/>
      <c r="Q1655" s="111"/>
      <c r="R1655" s="111"/>
      <c r="S1655" s="111"/>
      <c r="T1655" s="111"/>
      <c r="U1655" s="111"/>
      <c r="V1655" s="111"/>
      <c r="W1655" s="111"/>
      <c r="X1655" s="111"/>
      <c r="Y1655" s="111"/>
      <c r="Z1655" s="111"/>
      <c r="AA1655" s="111"/>
    </row>
    <row r="1656" spans="1:27" s="145" customFormat="1" x14ac:dyDescent="0.2">
      <c r="A1656" s="140" t="s">
        <v>274</v>
      </c>
      <c r="B1656" s="140"/>
      <c r="C1656" s="141"/>
      <c r="D1656" s="112" t="s">
        <v>211</v>
      </c>
      <c r="E1656" s="140"/>
      <c r="F1656" s="260"/>
      <c r="G1656" s="260"/>
      <c r="H1656" s="260"/>
      <c r="I1656" s="248"/>
      <c r="J1656" s="260"/>
      <c r="K1656" s="142"/>
      <c r="L1656" s="142"/>
      <c r="M1656" s="142"/>
      <c r="N1656" s="143">
        <f>SUM(N1658:N1669)</f>
        <v>354.03</v>
      </c>
      <c r="O1656" s="285"/>
      <c r="P1656" s="144"/>
      <c r="Q1656" s="144"/>
      <c r="R1656" s="144"/>
      <c r="S1656" s="144"/>
      <c r="T1656" s="144"/>
      <c r="U1656" s="144"/>
      <c r="V1656" s="144"/>
      <c r="W1656" s="144"/>
      <c r="X1656" s="144"/>
      <c r="Y1656" s="144"/>
      <c r="Z1656" s="144"/>
      <c r="AA1656" s="144"/>
    </row>
    <row r="1657" spans="1:27" s="118" customFormat="1" x14ac:dyDescent="0.2">
      <c r="A1657" s="6"/>
      <c r="B1657" s="6"/>
      <c r="C1657" s="155"/>
      <c r="D1657" s="108"/>
      <c r="E1657" s="148"/>
      <c r="F1657" s="253"/>
      <c r="G1657" s="253"/>
      <c r="H1657" s="253"/>
      <c r="I1657" s="246"/>
      <c r="J1657" s="258"/>
      <c r="K1657" s="137"/>
      <c r="L1657" s="137"/>
      <c r="M1657" s="137"/>
      <c r="N1657" s="138"/>
      <c r="O1657" s="167"/>
      <c r="P1657" s="111"/>
      <c r="Q1657" s="111"/>
      <c r="R1657" s="111"/>
      <c r="S1657" s="111"/>
      <c r="T1657" s="111"/>
      <c r="U1657" s="111"/>
      <c r="V1657" s="111"/>
      <c r="W1657" s="111"/>
      <c r="X1657" s="111"/>
      <c r="Y1657" s="111"/>
      <c r="Z1657" s="111"/>
      <c r="AA1657" s="111"/>
    </row>
    <row r="1658" spans="1:27" s="147" customFormat="1" ht="20.399999999999999" x14ac:dyDescent="0.2">
      <c r="A1658" s="9" t="s">
        <v>275</v>
      </c>
      <c r="B1658" s="9" t="s">
        <v>89</v>
      </c>
      <c r="C1658" s="13">
        <v>86883</v>
      </c>
      <c r="D1658" s="113" t="s">
        <v>247</v>
      </c>
      <c r="E1658" s="9" t="s">
        <v>33</v>
      </c>
      <c r="F1658" s="261"/>
      <c r="G1658" s="261"/>
      <c r="H1658" s="261"/>
      <c r="I1658" s="245"/>
      <c r="J1658" s="261"/>
      <c r="K1658" s="131">
        <f>J1660</f>
        <v>2</v>
      </c>
      <c r="L1658" s="131">
        <v>8.1199999999999992</v>
      </c>
      <c r="M1658" s="131">
        <f>ROUND(L1658*(1+$Q$7),2)</f>
        <v>10.27</v>
      </c>
      <c r="N1658" s="133">
        <f>TRUNC(K1658*M1658,2)</f>
        <v>20.54</v>
      </c>
      <c r="O1658" s="286"/>
      <c r="P1658" s="146"/>
      <c r="Q1658" s="146"/>
      <c r="R1658" s="146"/>
      <c r="S1658" s="146"/>
      <c r="T1658" s="146"/>
      <c r="U1658" s="146"/>
      <c r="V1658" s="146"/>
      <c r="W1658" s="146"/>
      <c r="X1658" s="146"/>
      <c r="Y1658" s="146"/>
      <c r="Z1658" s="146"/>
      <c r="AA1658" s="146"/>
    </row>
    <row r="1659" spans="1:27" s="118" customFormat="1" x14ac:dyDescent="0.2">
      <c r="A1659" s="6"/>
      <c r="B1659" s="6"/>
      <c r="C1659" s="155"/>
      <c r="D1659" s="2" t="s">
        <v>248</v>
      </c>
      <c r="E1659" s="148"/>
      <c r="F1659" s="253">
        <v>2</v>
      </c>
      <c r="G1659" s="253"/>
      <c r="H1659" s="253"/>
      <c r="I1659" s="246"/>
      <c r="J1659" s="253">
        <f>ROUND(PRODUCT(F1659:I1659),2)</f>
        <v>2</v>
      </c>
      <c r="K1659" s="137"/>
      <c r="L1659" s="137"/>
      <c r="M1659" s="137"/>
      <c r="N1659" s="138"/>
      <c r="O1659" s="167"/>
      <c r="P1659" s="111"/>
      <c r="Q1659" s="111"/>
      <c r="R1659" s="111"/>
      <c r="S1659" s="111"/>
      <c r="T1659" s="111"/>
      <c r="U1659" s="111"/>
      <c r="V1659" s="111"/>
      <c r="W1659" s="111"/>
      <c r="X1659" s="111"/>
      <c r="Y1659" s="111"/>
      <c r="Z1659" s="111"/>
      <c r="AA1659" s="111"/>
    </row>
    <row r="1660" spans="1:27" s="118" customFormat="1" x14ac:dyDescent="0.2">
      <c r="A1660" s="6"/>
      <c r="B1660" s="6"/>
      <c r="C1660" s="156"/>
      <c r="D1660" s="108"/>
      <c r="E1660" s="148"/>
      <c r="F1660" s="253"/>
      <c r="G1660" s="253"/>
      <c r="H1660" s="253"/>
      <c r="I1660" s="246" t="str">
        <f>"Total item "&amp;A1658</f>
        <v>Total item 19.2.1</v>
      </c>
      <c r="J1660" s="261">
        <f>SUM(J1659:J1659)</f>
        <v>2</v>
      </c>
      <c r="K1660" s="137"/>
      <c r="L1660" s="137"/>
      <c r="M1660" s="137"/>
      <c r="N1660" s="138"/>
      <c r="O1660" s="167"/>
      <c r="P1660" s="111"/>
      <c r="Q1660" s="111"/>
      <c r="R1660" s="111"/>
      <c r="S1660" s="111"/>
      <c r="T1660" s="111"/>
      <c r="U1660" s="111"/>
      <c r="V1660" s="111"/>
      <c r="W1660" s="111"/>
      <c r="X1660" s="111"/>
      <c r="Y1660" s="111"/>
      <c r="Z1660" s="111"/>
      <c r="AA1660" s="111"/>
    </row>
    <row r="1661" spans="1:27" s="139" customFormat="1" x14ac:dyDescent="0.2">
      <c r="A1661" s="6"/>
      <c r="B1661" s="6"/>
      <c r="C1661" s="7"/>
      <c r="D1661" s="116"/>
      <c r="E1661" s="6"/>
      <c r="F1661" s="258"/>
      <c r="G1661" s="258"/>
      <c r="H1661" s="258"/>
      <c r="I1661" s="246"/>
      <c r="J1661" s="258"/>
      <c r="K1661" s="137"/>
      <c r="L1661" s="137"/>
      <c r="M1661" s="137"/>
      <c r="N1661" s="138"/>
      <c r="O1661" s="283"/>
      <c r="P1661" s="120"/>
      <c r="Q1661" s="120"/>
      <c r="R1661" s="120"/>
      <c r="S1661" s="120"/>
      <c r="T1661" s="120"/>
      <c r="U1661" s="120"/>
      <c r="V1661" s="120"/>
      <c r="W1661" s="120"/>
      <c r="X1661" s="120"/>
      <c r="Y1661" s="120"/>
      <c r="Z1661" s="120"/>
      <c r="AA1661" s="120"/>
    </row>
    <row r="1662" spans="1:27" s="147" customFormat="1" ht="30.6" x14ac:dyDescent="0.2">
      <c r="A1662" s="9" t="s">
        <v>276</v>
      </c>
      <c r="B1662" s="9" t="s">
        <v>89</v>
      </c>
      <c r="C1662" s="13">
        <v>86906</v>
      </c>
      <c r="D1662" s="113" t="s">
        <v>261</v>
      </c>
      <c r="E1662" s="9" t="s">
        <v>33</v>
      </c>
      <c r="F1662" s="261"/>
      <c r="G1662" s="261"/>
      <c r="H1662" s="261"/>
      <c r="I1662" s="245"/>
      <c r="J1662" s="261"/>
      <c r="K1662" s="131">
        <f>J1664</f>
        <v>2</v>
      </c>
      <c r="L1662" s="131">
        <v>47.41</v>
      </c>
      <c r="M1662" s="131">
        <f>ROUND(L1662*(1+$Q$7),2)</f>
        <v>59.99</v>
      </c>
      <c r="N1662" s="133">
        <f>TRUNC(K1662*M1662,2)</f>
        <v>119.98</v>
      </c>
      <c r="O1662" s="286"/>
      <c r="P1662" s="146"/>
      <c r="Q1662" s="146"/>
      <c r="R1662" s="146"/>
      <c r="S1662" s="146"/>
      <c r="T1662" s="146"/>
      <c r="U1662" s="146"/>
      <c r="V1662" s="146"/>
      <c r="W1662" s="146"/>
      <c r="X1662" s="146"/>
      <c r="Y1662" s="146"/>
      <c r="Z1662" s="146"/>
      <c r="AA1662" s="146"/>
    </row>
    <row r="1663" spans="1:27" s="118" customFormat="1" x14ac:dyDescent="0.2">
      <c r="A1663" s="6"/>
      <c r="B1663" s="6"/>
      <c r="C1663" s="155"/>
      <c r="D1663" s="2" t="s">
        <v>248</v>
      </c>
      <c r="E1663" s="148"/>
      <c r="F1663" s="253">
        <v>2</v>
      </c>
      <c r="G1663" s="253"/>
      <c r="H1663" s="253"/>
      <c r="I1663" s="246"/>
      <c r="J1663" s="253">
        <f>ROUND(PRODUCT(F1663:I1663),2)</f>
        <v>2</v>
      </c>
      <c r="K1663" s="137"/>
      <c r="L1663" s="137"/>
      <c r="M1663" s="137"/>
      <c r="N1663" s="138"/>
      <c r="O1663" s="167"/>
      <c r="P1663" s="111"/>
      <c r="Q1663" s="111"/>
      <c r="R1663" s="111"/>
      <c r="S1663" s="111"/>
      <c r="T1663" s="111"/>
      <c r="U1663" s="111"/>
      <c r="V1663" s="111"/>
      <c r="W1663" s="111"/>
      <c r="X1663" s="111"/>
      <c r="Y1663" s="111"/>
      <c r="Z1663" s="111"/>
      <c r="AA1663" s="111"/>
    </row>
    <row r="1664" spans="1:27" s="118" customFormat="1" x14ac:dyDescent="0.2">
      <c r="A1664" s="6"/>
      <c r="B1664" s="6"/>
      <c r="C1664" s="156"/>
      <c r="D1664" s="108"/>
      <c r="E1664" s="148"/>
      <c r="F1664" s="253"/>
      <c r="G1664" s="253"/>
      <c r="H1664" s="253"/>
      <c r="I1664" s="246" t="str">
        <f>"Total item "&amp;A1662</f>
        <v>Total item 19.2.2</v>
      </c>
      <c r="J1664" s="261">
        <f>SUM(J1663:J1663)</f>
        <v>2</v>
      </c>
      <c r="K1664" s="137"/>
      <c r="L1664" s="137"/>
      <c r="M1664" s="137"/>
      <c r="N1664" s="138"/>
      <c r="O1664" s="167"/>
      <c r="P1664" s="111"/>
      <c r="Q1664" s="111"/>
      <c r="R1664" s="111"/>
      <c r="S1664" s="111"/>
      <c r="T1664" s="111"/>
      <c r="U1664" s="111"/>
      <c r="V1664" s="111"/>
      <c r="W1664" s="111"/>
      <c r="X1664" s="111"/>
      <c r="Y1664" s="111"/>
      <c r="Z1664" s="111"/>
      <c r="AA1664" s="111"/>
    </row>
    <row r="1665" spans="1:27" s="139" customFormat="1" x14ac:dyDescent="0.2">
      <c r="A1665" s="6"/>
      <c r="B1665" s="6"/>
      <c r="C1665" s="7"/>
      <c r="D1665" s="116"/>
      <c r="E1665" s="6"/>
      <c r="F1665" s="258"/>
      <c r="G1665" s="258"/>
      <c r="H1665" s="258"/>
      <c r="I1665" s="246"/>
      <c r="J1665" s="258"/>
      <c r="K1665" s="137"/>
      <c r="L1665" s="137"/>
      <c r="M1665" s="137"/>
      <c r="N1665" s="138"/>
      <c r="O1665" s="283"/>
      <c r="P1665" s="120"/>
      <c r="Q1665" s="120"/>
      <c r="R1665" s="120"/>
      <c r="S1665" s="120"/>
      <c r="T1665" s="120"/>
      <c r="U1665" s="120"/>
      <c r="V1665" s="120"/>
      <c r="W1665" s="120"/>
      <c r="X1665" s="120"/>
      <c r="Y1665" s="120"/>
      <c r="Z1665" s="120"/>
      <c r="AA1665" s="120"/>
    </row>
    <row r="1666" spans="1:27" s="147" customFormat="1" ht="51" x14ac:dyDescent="0.2">
      <c r="A1666" s="9" t="s">
        <v>277</v>
      </c>
      <c r="B1666" s="9" t="s">
        <v>89</v>
      </c>
      <c r="C1666" s="13">
        <v>86942</v>
      </c>
      <c r="D1666" s="113" t="s">
        <v>262</v>
      </c>
      <c r="E1666" s="9" t="s">
        <v>33</v>
      </c>
      <c r="F1666" s="261"/>
      <c r="G1666" s="261"/>
      <c r="H1666" s="261"/>
      <c r="I1666" s="245"/>
      <c r="J1666" s="261"/>
      <c r="K1666" s="131">
        <f>J1668</f>
        <v>1</v>
      </c>
      <c r="L1666" s="131">
        <v>168.74</v>
      </c>
      <c r="M1666" s="131">
        <f>ROUND(L1666*(1+$Q$7),2)</f>
        <v>213.51</v>
      </c>
      <c r="N1666" s="133">
        <f>TRUNC(K1666*M1666,2)</f>
        <v>213.51</v>
      </c>
      <c r="O1666" s="286"/>
      <c r="P1666" s="146"/>
      <c r="Q1666" s="146"/>
      <c r="R1666" s="146"/>
      <c r="S1666" s="146"/>
      <c r="T1666" s="146"/>
      <c r="U1666" s="146"/>
      <c r="V1666" s="146"/>
      <c r="W1666" s="146"/>
      <c r="X1666" s="146"/>
      <c r="Y1666" s="146"/>
      <c r="Z1666" s="146"/>
      <c r="AA1666" s="146"/>
    </row>
    <row r="1667" spans="1:27" s="118" customFormat="1" x14ac:dyDescent="0.2">
      <c r="A1667" s="6"/>
      <c r="B1667" s="6"/>
      <c r="C1667" s="155"/>
      <c r="D1667" s="2" t="s">
        <v>251</v>
      </c>
      <c r="E1667" s="148"/>
      <c r="F1667" s="253">
        <v>1</v>
      </c>
      <c r="G1667" s="253"/>
      <c r="H1667" s="253"/>
      <c r="I1667" s="246"/>
      <c r="J1667" s="253">
        <f>ROUND(PRODUCT(F1667:I1667),2)</f>
        <v>1</v>
      </c>
      <c r="K1667" s="137"/>
      <c r="L1667" s="137"/>
      <c r="M1667" s="137"/>
      <c r="N1667" s="138"/>
      <c r="O1667" s="167"/>
      <c r="P1667" s="111"/>
      <c r="Q1667" s="111"/>
      <c r="R1667" s="111"/>
      <c r="S1667" s="111"/>
      <c r="T1667" s="111"/>
      <c r="U1667" s="111"/>
      <c r="V1667" s="111"/>
      <c r="W1667" s="111"/>
      <c r="X1667" s="111"/>
      <c r="Y1667" s="111"/>
      <c r="Z1667" s="111"/>
      <c r="AA1667" s="111"/>
    </row>
    <row r="1668" spans="1:27" s="118" customFormat="1" x14ac:dyDescent="0.2">
      <c r="A1668" s="6"/>
      <c r="B1668" s="6"/>
      <c r="C1668" s="156"/>
      <c r="D1668" s="108"/>
      <c r="E1668" s="148"/>
      <c r="F1668" s="253"/>
      <c r="G1668" s="253"/>
      <c r="H1668" s="253"/>
      <c r="I1668" s="246" t="str">
        <f>"Total item "&amp;A1666</f>
        <v>Total item 19.2.3</v>
      </c>
      <c r="J1668" s="261">
        <f>SUM(J1667:J1667)</f>
        <v>1</v>
      </c>
      <c r="K1668" s="137"/>
      <c r="L1668" s="137"/>
      <c r="M1668" s="137"/>
      <c r="N1668" s="138"/>
      <c r="O1668" s="167"/>
      <c r="P1668" s="111"/>
      <c r="Q1668" s="111"/>
      <c r="R1668" s="111"/>
      <c r="S1668" s="111"/>
      <c r="T1668" s="111"/>
      <c r="U1668" s="111"/>
      <c r="V1668" s="111"/>
      <c r="W1668" s="111"/>
      <c r="X1668" s="111"/>
      <c r="Y1668" s="111"/>
      <c r="Z1668" s="111"/>
      <c r="AA1668" s="111"/>
    </row>
    <row r="1669" spans="1:27" s="139" customFormat="1" x14ac:dyDescent="0.2">
      <c r="A1669" s="6"/>
      <c r="B1669" s="6"/>
      <c r="C1669" s="7"/>
      <c r="D1669" s="116"/>
      <c r="E1669" s="6"/>
      <c r="F1669" s="258"/>
      <c r="G1669" s="258"/>
      <c r="H1669" s="258"/>
      <c r="I1669" s="246"/>
      <c r="J1669" s="258"/>
      <c r="K1669" s="137"/>
      <c r="L1669" s="137"/>
      <c r="M1669" s="137"/>
      <c r="N1669" s="138"/>
      <c r="O1669" s="283"/>
      <c r="P1669" s="120"/>
      <c r="Q1669" s="120"/>
      <c r="R1669" s="120"/>
      <c r="S1669" s="120"/>
      <c r="T1669" s="120"/>
      <c r="U1669" s="120"/>
      <c r="V1669" s="120"/>
      <c r="W1669" s="120"/>
      <c r="X1669" s="120"/>
      <c r="Y1669" s="120"/>
      <c r="Z1669" s="120"/>
      <c r="AA1669" s="120"/>
    </row>
    <row r="1670" spans="1:27" s="145" customFormat="1" x14ac:dyDescent="0.2">
      <c r="A1670" s="140" t="s">
        <v>278</v>
      </c>
      <c r="B1670" s="140"/>
      <c r="C1670" s="141"/>
      <c r="D1670" s="112" t="s">
        <v>28</v>
      </c>
      <c r="E1670" s="140"/>
      <c r="F1670" s="260"/>
      <c r="G1670" s="260"/>
      <c r="H1670" s="260"/>
      <c r="I1670" s="248"/>
      <c r="J1670" s="260"/>
      <c r="K1670" s="142"/>
      <c r="L1670" s="142"/>
      <c r="M1670" s="142"/>
      <c r="N1670" s="143">
        <f>SUM(N1672:N1678)</f>
        <v>2302.79</v>
      </c>
      <c r="O1670" s="285"/>
      <c r="P1670" s="144"/>
      <c r="Q1670" s="144"/>
      <c r="R1670" s="144"/>
      <c r="S1670" s="144"/>
      <c r="T1670" s="144"/>
      <c r="U1670" s="144"/>
      <c r="V1670" s="144"/>
      <c r="W1670" s="144"/>
      <c r="X1670" s="144"/>
      <c r="Y1670" s="144"/>
      <c r="Z1670" s="144"/>
      <c r="AA1670" s="144"/>
    </row>
    <row r="1671" spans="1:27" s="139" customFormat="1" x14ac:dyDescent="0.2">
      <c r="A1671" s="6"/>
      <c r="B1671" s="6"/>
      <c r="C1671" s="7"/>
      <c r="D1671" s="116"/>
      <c r="E1671" s="6"/>
      <c r="F1671" s="258"/>
      <c r="G1671" s="258"/>
      <c r="H1671" s="258"/>
      <c r="I1671" s="246"/>
      <c r="J1671" s="258"/>
      <c r="K1671" s="137"/>
      <c r="L1671" s="137"/>
      <c r="M1671" s="137"/>
      <c r="N1671" s="138"/>
      <c r="O1671" s="283"/>
      <c r="P1671" s="120"/>
      <c r="Q1671" s="120"/>
      <c r="R1671" s="120"/>
      <c r="S1671" s="120"/>
      <c r="T1671" s="120"/>
      <c r="U1671" s="120"/>
      <c r="V1671" s="120"/>
      <c r="W1671" s="120"/>
      <c r="X1671" s="120"/>
      <c r="Y1671" s="120"/>
      <c r="Z1671" s="120"/>
      <c r="AA1671" s="120"/>
    </row>
    <row r="1672" spans="1:27" s="147" customFormat="1" ht="30.6" x14ac:dyDescent="0.2">
      <c r="A1672" s="9" t="s">
        <v>279</v>
      </c>
      <c r="B1672" s="9" t="s">
        <v>163</v>
      </c>
      <c r="C1672" s="13" t="s">
        <v>263</v>
      </c>
      <c r="D1672" s="113" t="s">
        <v>264</v>
      </c>
      <c r="E1672" s="9" t="s">
        <v>33</v>
      </c>
      <c r="F1672" s="261"/>
      <c r="G1672" s="261"/>
      <c r="H1672" s="261"/>
      <c r="I1672" s="245"/>
      <c r="J1672" s="261"/>
      <c r="K1672" s="131">
        <f>J1677</f>
        <v>6.3299999999999992</v>
      </c>
      <c r="L1672" s="131">
        <v>287.51</v>
      </c>
      <c r="M1672" s="131">
        <f>ROUND(L1672*(1+$Q$7),2)</f>
        <v>363.79</v>
      </c>
      <c r="N1672" s="133">
        <f>TRUNC(K1672*M1672,2)</f>
        <v>2302.79</v>
      </c>
      <c r="O1672" s="286"/>
      <c r="P1672" s="146"/>
      <c r="Q1672" s="146"/>
      <c r="R1672" s="146"/>
      <c r="S1672" s="146"/>
      <c r="T1672" s="146"/>
      <c r="U1672" s="146"/>
      <c r="V1672" s="146"/>
      <c r="W1672" s="146"/>
      <c r="X1672" s="146"/>
      <c r="Y1672" s="146"/>
      <c r="Z1672" s="146"/>
      <c r="AA1672" s="146"/>
    </row>
    <row r="1673" spans="1:27" s="118" customFormat="1" x14ac:dyDescent="0.2">
      <c r="A1673" s="6"/>
      <c r="B1673" s="6"/>
      <c r="C1673" s="155"/>
      <c r="D1673" s="2" t="s">
        <v>265</v>
      </c>
      <c r="E1673" s="148"/>
      <c r="F1673" s="253"/>
      <c r="G1673" s="253">
        <v>0.6</v>
      </c>
      <c r="H1673" s="253"/>
      <c r="I1673" s="249">
        <v>1.8</v>
      </c>
      <c r="J1673" s="253">
        <f>ROUND(PRODUCT(F1673:I1673),2)</f>
        <v>1.08</v>
      </c>
      <c r="K1673" s="137"/>
      <c r="L1673" s="137"/>
      <c r="M1673" s="137"/>
      <c r="N1673" s="138"/>
      <c r="O1673" s="167"/>
      <c r="P1673" s="111"/>
      <c r="Q1673" s="111"/>
      <c r="R1673" s="111"/>
      <c r="S1673" s="111"/>
      <c r="T1673" s="111"/>
      <c r="U1673" s="111"/>
      <c r="V1673" s="111"/>
      <c r="W1673" s="111"/>
      <c r="X1673" s="111"/>
      <c r="Y1673" s="111"/>
      <c r="Z1673" s="111"/>
      <c r="AA1673" s="111"/>
    </row>
    <row r="1674" spans="1:27" s="118" customFormat="1" x14ac:dyDescent="0.2">
      <c r="A1674" s="6"/>
      <c r="B1674" s="6"/>
      <c r="C1674" s="155"/>
      <c r="D1674" s="2" t="s">
        <v>242</v>
      </c>
      <c r="E1674" s="148"/>
      <c r="F1674" s="253"/>
      <c r="G1674" s="253">
        <v>0.9</v>
      </c>
      <c r="H1674" s="253"/>
      <c r="I1674" s="249">
        <v>2.1</v>
      </c>
      <c r="J1674" s="253">
        <f>ROUND(PRODUCT(F1674:I1674),2)</f>
        <v>1.89</v>
      </c>
      <c r="K1674" s="137"/>
      <c r="L1674" s="137"/>
      <c r="M1674" s="137"/>
      <c r="N1674" s="138"/>
      <c r="O1674" s="167"/>
      <c r="P1674" s="111"/>
      <c r="Q1674" s="111"/>
      <c r="R1674" s="111"/>
      <c r="S1674" s="111"/>
      <c r="T1674" s="111"/>
      <c r="U1674" s="111"/>
      <c r="V1674" s="111"/>
      <c r="W1674" s="111"/>
      <c r="X1674" s="111"/>
      <c r="Y1674" s="111"/>
      <c r="Z1674" s="111"/>
      <c r="AA1674" s="111"/>
    </row>
    <row r="1675" spans="1:27" s="118" customFormat="1" x14ac:dyDescent="0.2">
      <c r="A1675" s="6"/>
      <c r="B1675" s="6"/>
      <c r="C1675" s="155"/>
      <c r="D1675" s="2" t="s">
        <v>266</v>
      </c>
      <c r="E1675" s="148"/>
      <c r="F1675" s="253"/>
      <c r="G1675" s="253">
        <v>0.8</v>
      </c>
      <c r="H1675" s="253"/>
      <c r="I1675" s="249">
        <v>2.1</v>
      </c>
      <c r="J1675" s="253">
        <f>ROUND(PRODUCT(F1675:I1675),2)</f>
        <v>1.68</v>
      </c>
      <c r="K1675" s="137"/>
      <c r="L1675" s="137"/>
      <c r="M1675" s="137"/>
      <c r="N1675" s="138"/>
      <c r="O1675" s="167"/>
      <c r="P1675" s="111"/>
      <c r="Q1675" s="111"/>
      <c r="R1675" s="111"/>
      <c r="S1675" s="111"/>
      <c r="T1675" s="111"/>
      <c r="U1675" s="111"/>
      <c r="V1675" s="111"/>
      <c r="W1675" s="111"/>
      <c r="X1675" s="111"/>
      <c r="Y1675" s="111"/>
      <c r="Z1675" s="111"/>
      <c r="AA1675" s="111"/>
    </row>
    <row r="1676" spans="1:27" s="118" customFormat="1" x14ac:dyDescent="0.2">
      <c r="A1676" s="6"/>
      <c r="B1676" s="6"/>
      <c r="C1676" s="155"/>
      <c r="D1676" s="2" t="s">
        <v>259</v>
      </c>
      <c r="E1676" s="148"/>
      <c r="F1676" s="253"/>
      <c r="G1676" s="253">
        <v>0.8</v>
      </c>
      <c r="H1676" s="253"/>
      <c r="I1676" s="249">
        <v>2.1</v>
      </c>
      <c r="J1676" s="253">
        <f>ROUND(PRODUCT(F1676:I1676),2)</f>
        <v>1.68</v>
      </c>
      <c r="K1676" s="137"/>
      <c r="L1676" s="137"/>
      <c r="M1676" s="137"/>
      <c r="N1676" s="138"/>
      <c r="O1676" s="167"/>
      <c r="P1676" s="111"/>
      <c r="Q1676" s="111"/>
      <c r="R1676" s="111"/>
      <c r="S1676" s="111"/>
      <c r="T1676" s="111"/>
      <c r="U1676" s="111"/>
      <c r="V1676" s="111"/>
      <c r="W1676" s="111"/>
      <c r="X1676" s="111"/>
      <c r="Y1676" s="111"/>
      <c r="Z1676" s="111"/>
      <c r="AA1676" s="111"/>
    </row>
    <row r="1677" spans="1:27" s="118" customFormat="1" x14ac:dyDescent="0.2">
      <c r="A1677" s="6"/>
      <c r="B1677" s="6"/>
      <c r="C1677" s="156"/>
      <c r="D1677" s="108"/>
      <c r="E1677" s="148"/>
      <c r="F1677" s="253"/>
      <c r="G1677" s="253"/>
      <c r="H1677" s="253"/>
      <c r="I1677" s="246" t="str">
        <f>"Total item "&amp;A1672</f>
        <v>Total item 19.3.1</v>
      </c>
      <c r="J1677" s="261">
        <f>SUM(J1673:J1676)</f>
        <v>6.3299999999999992</v>
      </c>
      <c r="K1677" s="137"/>
      <c r="L1677" s="137"/>
      <c r="M1677" s="137"/>
      <c r="N1677" s="138"/>
      <c r="O1677" s="167"/>
      <c r="P1677" s="111"/>
      <c r="Q1677" s="111"/>
      <c r="R1677" s="111"/>
      <c r="S1677" s="111"/>
      <c r="T1677" s="111"/>
      <c r="U1677" s="111"/>
      <c r="V1677" s="111"/>
      <c r="W1677" s="111"/>
      <c r="X1677" s="111"/>
      <c r="Y1677" s="111"/>
      <c r="Z1677" s="111"/>
      <c r="AA1677" s="111"/>
    </row>
    <row r="1678" spans="1:27" s="118" customFormat="1" x14ac:dyDescent="0.2">
      <c r="A1678" s="6"/>
      <c r="B1678" s="6"/>
      <c r="C1678" s="156"/>
      <c r="D1678" s="108"/>
      <c r="E1678" s="148"/>
      <c r="F1678" s="253"/>
      <c r="G1678" s="253"/>
      <c r="H1678" s="253"/>
      <c r="I1678" s="246"/>
      <c r="J1678" s="246"/>
      <c r="K1678" s="137"/>
      <c r="L1678" s="137"/>
      <c r="M1678" s="137"/>
      <c r="N1678" s="138"/>
      <c r="O1678" s="167"/>
      <c r="P1678" s="111"/>
      <c r="Q1678" s="111"/>
      <c r="R1678" s="111"/>
      <c r="S1678" s="111"/>
      <c r="T1678" s="111"/>
      <c r="U1678" s="111"/>
      <c r="V1678" s="111"/>
      <c r="W1678" s="111"/>
      <c r="X1678" s="111"/>
      <c r="Y1678" s="111"/>
      <c r="Z1678" s="111"/>
      <c r="AA1678" s="111"/>
    </row>
    <row r="1679" spans="1:27" s="145" customFormat="1" x14ac:dyDescent="0.2">
      <c r="A1679" s="140" t="s">
        <v>280</v>
      </c>
      <c r="B1679" s="140"/>
      <c r="C1679" s="141"/>
      <c r="D1679" s="112" t="s">
        <v>29</v>
      </c>
      <c r="E1679" s="140"/>
      <c r="F1679" s="260"/>
      <c r="G1679" s="260"/>
      <c r="H1679" s="260"/>
      <c r="I1679" s="248"/>
      <c r="J1679" s="260"/>
      <c r="K1679" s="142"/>
      <c r="L1679" s="142"/>
      <c r="M1679" s="142"/>
      <c r="N1679" s="143">
        <f>SUM(N1681:N1688)</f>
        <v>214.96</v>
      </c>
      <c r="O1679" s="285"/>
      <c r="P1679" s="144"/>
      <c r="Q1679" s="144"/>
      <c r="R1679" s="144"/>
      <c r="S1679" s="144"/>
      <c r="T1679" s="144"/>
      <c r="U1679" s="144"/>
      <c r="V1679" s="144"/>
      <c r="W1679" s="144"/>
      <c r="X1679" s="144"/>
      <c r="Y1679" s="144"/>
      <c r="Z1679" s="144"/>
      <c r="AA1679" s="144"/>
    </row>
    <row r="1680" spans="1:27" s="118" customFormat="1" x14ac:dyDescent="0.2">
      <c r="A1680" s="6"/>
      <c r="B1680" s="6"/>
      <c r="C1680" s="156"/>
      <c r="D1680" s="108"/>
      <c r="E1680" s="148"/>
      <c r="F1680" s="253"/>
      <c r="G1680" s="253"/>
      <c r="H1680" s="253"/>
      <c r="I1680" s="246"/>
      <c r="J1680" s="246"/>
      <c r="K1680" s="137"/>
      <c r="L1680" s="137"/>
      <c r="M1680" s="137"/>
      <c r="N1680" s="138"/>
      <c r="O1680" s="167"/>
      <c r="P1680" s="111"/>
      <c r="Q1680" s="111"/>
      <c r="R1680" s="111"/>
      <c r="S1680" s="111"/>
      <c r="T1680" s="111"/>
      <c r="U1680" s="111"/>
      <c r="V1680" s="111"/>
      <c r="W1680" s="111"/>
      <c r="X1680" s="111"/>
      <c r="Y1680" s="111"/>
      <c r="Z1680" s="111"/>
      <c r="AA1680" s="111"/>
    </row>
    <row r="1681" spans="1:27" s="147" customFormat="1" ht="40.799999999999997" x14ac:dyDescent="0.2">
      <c r="A1681" s="9" t="s">
        <v>281</v>
      </c>
      <c r="B1681" s="9" t="s">
        <v>163</v>
      </c>
      <c r="C1681" s="13" t="s">
        <v>176</v>
      </c>
      <c r="D1681" s="113" t="s">
        <v>269</v>
      </c>
      <c r="E1681" s="1" t="s">
        <v>9</v>
      </c>
      <c r="F1681" s="261"/>
      <c r="G1681" s="261"/>
      <c r="H1681" s="261"/>
      <c r="I1681" s="245"/>
      <c r="J1681" s="261"/>
      <c r="K1681" s="131">
        <f>J1687</f>
        <v>12.659999999999998</v>
      </c>
      <c r="L1681" s="131">
        <v>13.42</v>
      </c>
      <c r="M1681" s="131">
        <f>ROUND(L1681*(1+$Q$7),2)</f>
        <v>16.98</v>
      </c>
      <c r="N1681" s="133">
        <f>TRUNC(K1681*M1681,2)</f>
        <v>214.96</v>
      </c>
      <c r="O1681" s="286"/>
      <c r="P1681" s="146"/>
      <c r="Q1681" s="146"/>
      <c r="R1681" s="146"/>
      <c r="S1681" s="146"/>
      <c r="T1681" s="146"/>
      <c r="U1681" s="146"/>
      <c r="V1681" s="146"/>
      <c r="W1681" s="146"/>
      <c r="X1681" s="146"/>
      <c r="Y1681" s="146"/>
      <c r="Z1681" s="146"/>
      <c r="AA1681" s="146"/>
    </row>
    <row r="1682" spans="1:27" s="118" customFormat="1" x14ac:dyDescent="0.2">
      <c r="A1682" s="6"/>
      <c r="B1682" s="6"/>
      <c r="C1682" s="155"/>
      <c r="D1682" s="3" t="s">
        <v>270</v>
      </c>
      <c r="E1682" s="148"/>
      <c r="F1682" s="253"/>
      <c r="G1682" s="253"/>
      <c r="H1682" s="253"/>
      <c r="I1682" s="249"/>
      <c r="J1682" s="253"/>
      <c r="K1682" s="137"/>
      <c r="L1682" s="137"/>
      <c r="M1682" s="137"/>
      <c r="N1682" s="138"/>
      <c r="O1682" s="167"/>
      <c r="P1682" s="111"/>
      <c r="Q1682" s="111"/>
      <c r="R1682" s="111"/>
      <c r="S1682" s="111"/>
      <c r="T1682" s="111"/>
      <c r="U1682" s="111"/>
      <c r="V1682" s="111"/>
      <c r="W1682" s="111"/>
      <c r="X1682" s="111"/>
      <c r="Y1682" s="111"/>
      <c r="Z1682" s="111"/>
      <c r="AA1682" s="111"/>
    </row>
    <row r="1683" spans="1:27" s="118" customFormat="1" x14ac:dyDescent="0.2">
      <c r="A1683" s="6"/>
      <c r="B1683" s="6"/>
      <c r="C1683" s="155"/>
      <c r="D1683" s="2" t="s">
        <v>265</v>
      </c>
      <c r="E1683" s="148"/>
      <c r="F1683" s="253">
        <v>2</v>
      </c>
      <c r="G1683" s="253">
        <v>0.6</v>
      </c>
      <c r="H1683" s="253"/>
      <c r="I1683" s="249">
        <v>1.8</v>
      </c>
      <c r="J1683" s="253">
        <f>ROUND(PRODUCT(F1683:I1683),2)</f>
        <v>2.16</v>
      </c>
      <c r="K1683" s="137"/>
      <c r="L1683" s="137"/>
      <c r="M1683" s="137"/>
      <c r="N1683" s="138"/>
      <c r="O1683" s="167"/>
      <c r="P1683" s="111"/>
      <c r="Q1683" s="111"/>
      <c r="R1683" s="111"/>
      <c r="S1683" s="111"/>
      <c r="T1683" s="111"/>
      <c r="U1683" s="111"/>
      <c r="V1683" s="111"/>
      <c r="W1683" s="111"/>
      <c r="X1683" s="111"/>
      <c r="Y1683" s="111"/>
      <c r="Z1683" s="111"/>
      <c r="AA1683" s="111"/>
    </row>
    <row r="1684" spans="1:27" s="118" customFormat="1" x14ac:dyDescent="0.2">
      <c r="A1684" s="6"/>
      <c r="B1684" s="6"/>
      <c r="C1684" s="155"/>
      <c r="D1684" s="2" t="s">
        <v>242</v>
      </c>
      <c r="E1684" s="148"/>
      <c r="F1684" s="253">
        <v>2</v>
      </c>
      <c r="G1684" s="253">
        <v>0.9</v>
      </c>
      <c r="H1684" s="253"/>
      <c r="I1684" s="249">
        <v>2.1</v>
      </c>
      <c r="J1684" s="253">
        <f>ROUND(PRODUCT(F1684:I1684),2)</f>
        <v>3.78</v>
      </c>
      <c r="K1684" s="137"/>
      <c r="L1684" s="137"/>
      <c r="M1684" s="137"/>
      <c r="N1684" s="138"/>
      <c r="O1684" s="167"/>
      <c r="P1684" s="111"/>
      <c r="Q1684" s="111"/>
      <c r="R1684" s="111"/>
      <c r="S1684" s="111"/>
      <c r="T1684" s="111"/>
      <c r="U1684" s="111"/>
      <c r="V1684" s="111"/>
      <c r="W1684" s="111"/>
      <c r="X1684" s="111"/>
      <c r="Y1684" s="111"/>
      <c r="Z1684" s="111"/>
      <c r="AA1684" s="111"/>
    </row>
    <row r="1685" spans="1:27" s="118" customFormat="1" x14ac:dyDescent="0.2">
      <c r="A1685" s="6"/>
      <c r="B1685" s="6"/>
      <c r="C1685" s="155"/>
      <c r="D1685" s="2" t="s">
        <v>266</v>
      </c>
      <c r="E1685" s="148"/>
      <c r="F1685" s="253">
        <v>2</v>
      </c>
      <c r="G1685" s="253">
        <v>0.8</v>
      </c>
      <c r="H1685" s="253"/>
      <c r="I1685" s="249">
        <v>2.1</v>
      </c>
      <c r="J1685" s="253">
        <f>ROUND(PRODUCT(F1685:I1685),2)</f>
        <v>3.36</v>
      </c>
      <c r="K1685" s="137"/>
      <c r="L1685" s="137"/>
      <c r="M1685" s="137"/>
      <c r="N1685" s="138"/>
      <c r="O1685" s="167"/>
      <c r="P1685" s="111"/>
      <c r="Q1685" s="111"/>
      <c r="R1685" s="111"/>
      <c r="S1685" s="111"/>
      <c r="T1685" s="111"/>
      <c r="U1685" s="111"/>
      <c r="V1685" s="111"/>
      <c r="W1685" s="111"/>
      <c r="X1685" s="111"/>
      <c r="Y1685" s="111"/>
      <c r="Z1685" s="111"/>
      <c r="AA1685" s="111"/>
    </row>
    <row r="1686" spans="1:27" s="118" customFormat="1" x14ac:dyDescent="0.2">
      <c r="A1686" s="6"/>
      <c r="B1686" s="6"/>
      <c r="C1686" s="155"/>
      <c r="D1686" s="2" t="s">
        <v>259</v>
      </c>
      <c r="E1686" s="148"/>
      <c r="F1686" s="253">
        <v>2</v>
      </c>
      <c r="G1686" s="253">
        <v>0.8</v>
      </c>
      <c r="H1686" s="253"/>
      <c r="I1686" s="249">
        <v>2.1</v>
      </c>
      <c r="J1686" s="253">
        <f>ROUND(PRODUCT(F1686:I1686),2)</f>
        <v>3.36</v>
      </c>
      <c r="K1686" s="137"/>
      <c r="L1686" s="137"/>
      <c r="M1686" s="137"/>
      <c r="N1686" s="138"/>
      <c r="O1686" s="167"/>
      <c r="P1686" s="111"/>
      <c r="Q1686" s="111"/>
      <c r="R1686" s="111"/>
      <c r="S1686" s="111"/>
      <c r="T1686" s="111"/>
      <c r="U1686" s="111"/>
      <c r="V1686" s="111"/>
      <c r="W1686" s="111"/>
      <c r="X1686" s="111"/>
      <c r="Y1686" s="111"/>
      <c r="Z1686" s="111"/>
      <c r="AA1686" s="111"/>
    </row>
    <row r="1687" spans="1:27" s="118" customFormat="1" x14ac:dyDescent="0.2">
      <c r="A1687" s="6"/>
      <c r="B1687" s="6"/>
      <c r="C1687" s="156"/>
      <c r="D1687" s="108"/>
      <c r="E1687" s="148"/>
      <c r="F1687" s="253"/>
      <c r="G1687" s="253"/>
      <c r="H1687" s="253"/>
      <c r="I1687" s="246" t="str">
        <f>"Total item "&amp;A1681</f>
        <v>Total item 19.4.1</v>
      </c>
      <c r="J1687" s="261">
        <f>SUM(J1682:J1686)</f>
        <v>12.659999999999998</v>
      </c>
      <c r="K1687" s="137"/>
      <c r="L1687" s="137"/>
      <c r="M1687" s="137"/>
      <c r="N1687" s="138"/>
      <c r="O1687" s="167"/>
      <c r="P1687" s="111"/>
      <c r="Q1687" s="111"/>
      <c r="R1687" s="111"/>
      <c r="S1687" s="111"/>
      <c r="T1687" s="111"/>
      <c r="U1687" s="111"/>
      <c r="V1687" s="111"/>
      <c r="W1687" s="111"/>
      <c r="X1687" s="111"/>
      <c r="Y1687" s="111"/>
      <c r="Z1687" s="111"/>
      <c r="AA1687" s="111"/>
    </row>
    <row r="1688" spans="1:27" s="118" customFormat="1" x14ac:dyDescent="0.2">
      <c r="A1688" s="6"/>
      <c r="B1688" s="6"/>
      <c r="C1688" s="156"/>
      <c r="D1688" s="108"/>
      <c r="E1688" s="148"/>
      <c r="F1688" s="253"/>
      <c r="G1688" s="253"/>
      <c r="H1688" s="253"/>
      <c r="I1688" s="246"/>
      <c r="J1688" s="246"/>
      <c r="K1688" s="137"/>
      <c r="L1688" s="137"/>
      <c r="M1688" s="137"/>
      <c r="N1688" s="138"/>
      <c r="O1688" s="167"/>
      <c r="P1688" s="111"/>
      <c r="Q1688" s="111"/>
      <c r="R1688" s="111"/>
      <c r="S1688" s="111"/>
      <c r="T1688" s="111"/>
      <c r="U1688" s="111"/>
      <c r="V1688" s="111"/>
      <c r="W1688" s="111"/>
      <c r="X1688" s="111"/>
      <c r="Y1688" s="111"/>
      <c r="Z1688" s="111"/>
      <c r="AA1688" s="111"/>
    </row>
    <row r="1689" spans="1:27" s="145" customFormat="1" x14ac:dyDescent="0.2">
      <c r="A1689" s="140" t="s">
        <v>875</v>
      </c>
      <c r="B1689" s="140"/>
      <c r="C1689" s="141"/>
      <c r="D1689" s="112" t="s">
        <v>80</v>
      </c>
      <c r="E1689" s="140"/>
      <c r="F1689" s="260"/>
      <c r="G1689" s="260"/>
      <c r="H1689" s="260"/>
      <c r="I1689" s="248"/>
      <c r="J1689" s="260"/>
      <c r="K1689" s="142"/>
      <c r="L1689" s="142"/>
      <c r="M1689" s="142"/>
      <c r="N1689" s="143">
        <f>SUM(N1691:N1705)</f>
        <v>23288.22</v>
      </c>
      <c r="O1689" s="285"/>
      <c r="P1689" s="144"/>
      <c r="Q1689" s="144"/>
      <c r="R1689" s="144"/>
      <c r="S1689" s="144"/>
      <c r="T1689" s="144"/>
      <c r="U1689" s="144"/>
      <c r="V1689" s="144"/>
      <c r="W1689" s="144"/>
      <c r="X1689" s="144"/>
      <c r="Y1689" s="144"/>
      <c r="Z1689" s="144"/>
      <c r="AA1689" s="144"/>
    </row>
    <row r="1690" spans="1:27" s="118" customFormat="1" x14ac:dyDescent="0.2">
      <c r="A1690" s="6"/>
      <c r="B1690" s="6"/>
      <c r="C1690" s="156"/>
      <c r="D1690" s="108"/>
      <c r="E1690" s="148"/>
      <c r="F1690" s="253"/>
      <c r="G1690" s="253"/>
      <c r="H1690" s="253"/>
      <c r="I1690" s="246"/>
      <c r="J1690" s="246"/>
      <c r="K1690" s="137"/>
      <c r="L1690" s="137"/>
      <c r="M1690" s="137"/>
      <c r="N1690" s="138"/>
      <c r="O1690" s="167"/>
      <c r="P1690" s="111"/>
      <c r="Q1690" s="111"/>
      <c r="R1690" s="111"/>
      <c r="S1690" s="111"/>
      <c r="T1690" s="111"/>
      <c r="U1690" s="111"/>
      <c r="V1690" s="111"/>
      <c r="W1690" s="111"/>
      <c r="X1690" s="111"/>
      <c r="Y1690" s="111"/>
      <c r="Z1690" s="111"/>
      <c r="AA1690" s="111"/>
    </row>
    <row r="1691" spans="1:27" s="147" customFormat="1" ht="30.6" x14ac:dyDescent="0.2">
      <c r="A1691" s="9" t="s">
        <v>879</v>
      </c>
      <c r="B1691" s="9" t="s">
        <v>89</v>
      </c>
      <c r="C1691" s="197" t="s">
        <v>437</v>
      </c>
      <c r="D1691" s="113" t="s">
        <v>714</v>
      </c>
      <c r="E1691" s="9" t="s">
        <v>9</v>
      </c>
      <c r="F1691" s="261"/>
      <c r="G1691" s="261"/>
      <c r="H1691" s="261"/>
      <c r="I1691" s="245"/>
      <c r="J1691" s="261"/>
      <c r="K1691" s="131">
        <f>J1699</f>
        <v>215.89</v>
      </c>
      <c r="L1691" s="131">
        <v>59.97</v>
      </c>
      <c r="M1691" s="131">
        <f>ROUND(L1691*(1+$Q$7),2)</f>
        <v>75.88</v>
      </c>
      <c r="N1691" s="133">
        <f>TRUNC(K1691*M1691,2)</f>
        <v>16381.73</v>
      </c>
      <c r="O1691" s="286"/>
      <c r="P1691" s="146"/>
      <c r="Q1691" s="146"/>
      <c r="R1691" s="146"/>
      <c r="S1691" s="146"/>
      <c r="T1691" s="146"/>
      <c r="U1691" s="146"/>
      <c r="V1691" s="146"/>
      <c r="W1691" s="146"/>
      <c r="X1691" s="146"/>
      <c r="Y1691" s="146"/>
      <c r="Z1691" s="146"/>
      <c r="AA1691" s="146"/>
    </row>
    <row r="1692" spans="1:27" s="118" customFormat="1" x14ac:dyDescent="0.2">
      <c r="A1692" s="6"/>
      <c r="B1692" s="6"/>
      <c r="C1692" s="155"/>
      <c r="D1692" s="2" t="s">
        <v>243</v>
      </c>
      <c r="E1692" s="148"/>
      <c r="F1692" s="253"/>
      <c r="G1692" s="253">
        <v>31.81</v>
      </c>
      <c r="H1692" s="253"/>
      <c r="I1692" s="249"/>
      <c r="J1692" s="253">
        <f t="shared" ref="J1692:J1698" si="163">ROUND(PRODUCT(F1692:I1692),2)</f>
        <v>31.81</v>
      </c>
      <c r="K1692" s="137"/>
      <c r="L1692" s="137"/>
      <c r="M1692" s="137"/>
      <c r="N1692" s="138"/>
      <c r="O1692" s="167"/>
      <c r="P1692" s="111"/>
      <c r="Q1692" s="111"/>
      <c r="R1692" s="111"/>
      <c r="S1692" s="111"/>
      <c r="T1692" s="111"/>
      <c r="U1692" s="111"/>
      <c r="V1692" s="111"/>
      <c r="W1692" s="111"/>
      <c r="X1692" s="111"/>
      <c r="Y1692" s="111"/>
      <c r="Z1692" s="111"/>
      <c r="AA1692" s="111"/>
    </row>
    <row r="1693" spans="1:27" s="118" customFormat="1" x14ac:dyDescent="0.2">
      <c r="A1693" s="6"/>
      <c r="B1693" s="6"/>
      <c r="C1693" s="155"/>
      <c r="D1693" s="2" t="s">
        <v>257</v>
      </c>
      <c r="E1693" s="148"/>
      <c r="F1693" s="253"/>
      <c r="G1693" s="253">
        <v>30.81</v>
      </c>
      <c r="H1693" s="253"/>
      <c r="I1693" s="249"/>
      <c r="J1693" s="253">
        <f t="shared" si="163"/>
        <v>30.81</v>
      </c>
      <c r="K1693" s="137"/>
      <c r="L1693" s="137"/>
      <c r="M1693" s="137"/>
      <c r="N1693" s="138"/>
      <c r="O1693" s="167"/>
      <c r="P1693" s="111"/>
      <c r="Q1693" s="111"/>
      <c r="R1693" s="111"/>
      <c r="S1693" s="111"/>
      <c r="T1693" s="111"/>
      <c r="U1693" s="111"/>
      <c r="V1693" s="111"/>
      <c r="W1693" s="111"/>
      <c r="X1693" s="111"/>
      <c r="Y1693" s="111"/>
      <c r="Z1693" s="111"/>
      <c r="AA1693" s="111"/>
    </row>
    <row r="1694" spans="1:27" s="118" customFormat="1" x14ac:dyDescent="0.2">
      <c r="A1694" s="6"/>
      <c r="B1694" s="6"/>
      <c r="C1694" s="155"/>
      <c r="D1694" s="2" t="s">
        <v>253</v>
      </c>
      <c r="E1694" s="148"/>
      <c r="F1694" s="253"/>
      <c r="G1694" s="253">
        <v>30.81</v>
      </c>
      <c r="H1694" s="253"/>
      <c r="I1694" s="249"/>
      <c r="J1694" s="253">
        <f t="shared" si="163"/>
        <v>30.81</v>
      </c>
      <c r="K1694" s="137"/>
      <c r="L1694" s="137"/>
      <c r="M1694" s="137"/>
      <c r="N1694" s="138"/>
      <c r="O1694" s="167"/>
      <c r="P1694" s="111"/>
      <c r="Q1694" s="111"/>
      <c r="R1694" s="111"/>
      <c r="S1694" s="111"/>
      <c r="T1694" s="111"/>
      <c r="U1694" s="111"/>
      <c r="V1694" s="111"/>
      <c r="W1694" s="111"/>
      <c r="X1694" s="111"/>
      <c r="Y1694" s="111"/>
      <c r="Z1694" s="111"/>
      <c r="AA1694" s="111"/>
    </row>
    <row r="1695" spans="1:27" s="118" customFormat="1" x14ac:dyDescent="0.2">
      <c r="A1695" s="6"/>
      <c r="B1695" s="6"/>
      <c r="C1695" s="155"/>
      <c r="D1695" s="2" t="s">
        <v>242</v>
      </c>
      <c r="E1695" s="148"/>
      <c r="F1695" s="253"/>
      <c r="G1695" s="253">
        <v>30.81</v>
      </c>
      <c r="H1695" s="253"/>
      <c r="I1695" s="249"/>
      <c r="J1695" s="253">
        <f t="shared" si="163"/>
        <v>30.81</v>
      </c>
      <c r="K1695" s="137"/>
      <c r="L1695" s="137"/>
      <c r="M1695" s="137"/>
      <c r="N1695" s="138"/>
      <c r="O1695" s="167"/>
      <c r="P1695" s="111"/>
      <c r="Q1695" s="111"/>
      <c r="R1695" s="111"/>
      <c r="S1695" s="111"/>
      <c r="T1695" s="111"/>
      <c r="U1695" s="111"/>
      <c r="V1695" s="111"/>
      <c r="W1695" s="111"/>
      <c r="X1695" s="111"/>
      <c r="Y1695" s="111"/>
      <c r="Z1695" s="111"/>
      <c r="AA1695" s="111"/>
    </row>
    <row r="1696" spans="1:27" s="118" customFormat="1" x14ac:dyDescent="0.2">
      <c r="A1696" s="6"/>
      <c r="B1696" s="6"/>
      <c r="C1696" s="155"/>
      <c r="D1696" s="2" t="s">
        <v>266</v>
      </c>
      <c r="E1696" s="148"/>
      <c r="F1696" s="253"/>
      <c r="G1696" s="253">
        <v>30.81</v>
      </c>
      <c r="H1696" s="253"/>
      <c r="I1696" s="249"/>
      <c r="J1696" s="253">
        <f t="shared" si="163"/>
        <v>30.81</v>
      </c>
      <c r="K1696" s="137"/>
      <c r="L1696" s="137"/>
      <c r="M1696" s="137"/>
      <c r="N1696" s="138"/>
      <c r="O1696" s="167"/>
      <c r="P1696" s="111"/>
      <c r="Q1696" s="111"/>
      <c r="R1696" s="111"/>
      <c r="S1696" s="111"/>
      <c r="T1696" s="111"/>
      <c r="U1696" s="111"/>
      <c r="V1696" s="111"/>
      <c r="W1696" s="111"/>
      <c r="X1696" s="111"/>
      <c r="Y1696" s="111"/>
      <c r="Z1696" s="111"/>
      <c r="AA1696" s="111"/>
    </row>
    <row r="1697" spans="1:27" s="118" customFormat="1" x14ac:dyDescent="0.2">
      <c r="A1697" s="6"/>
      <c r="B1697" s="6"/>
      <c r="C1697" s="155"/>
      <c r="D1697" s="2" t="s">
        <v>258</v>
      </c>
      <c r="E1697" s="148"/>
      <c r="F1697" s="253"/>
      <c r="G1697" s="253">
        <v>7.9</v>
      </c>
      <c r="H1697" s="253">
        <v>3.85</v>
      </c>
      <c r="I1697" s="249"/>
      <c r="J1697" s="253">
        <f t="shared" si="163"/>
        <v>30.42</v>
      </c>
      <c r="K1697" s="137"/>
      <c r="L1697" s="137"/>
      <c r="M1697" s="137"/>
      <c r="N1697" s="138"/>
      <c r="O1697" s="167"/>
      <c r="P1697" s="111"/>
      <c r="Q1697" s="111"/>
      <c r="R1697" s="111"/>
      <c r="S1697" s="111"/>
      <c r="T1697" s="111"/>
      <c r="U1697" s="111"/>
      <c r="V1697" s="111"/>
      <c r="W1697" s="111"/>
      <c r="X1697" s="111"/>
      <c r="Y1697" s="111"/>
      <c r="Z1697" s="111"/>
      <c r="AA1697" s="111"/>
    </row>
    <row r="1698" spans="1:27" s="118" customFormat="1" x14ac:dyDescent="0.2">
      <c r="A1698" s="6"/>
      <c r="B1698" s="6"/>
      <c r="C1698" s="155"/>
      <c r="D1698" s="2" t="s">
        <v>259</v>
      </c>
      <c r="E1698" s="148"/>
      <c r="F1698" s="253"/>
      <c r="G1698" s="253">
        <v>7.9</v>
      </c>
      <c r="H1698" s="253">
        <v>3.85</v>
      </c>
      <c r="I1698" s="249"/>
      <c r="J1698" s="253">
        <f t="shared" si="163"/>
        <v>30.42</v>
      </c>
      <c r="K1698" s="137"/>
      <c r="L1698" s="137"/>
      <c r="M1698" s="137"/>
      <c r="N1698" s="138"/>
      <c r="O1698" s="167"/>
      <c r="P1698" s="111"/>
      <c r="Q1698" s="111"/>
      <c r="R1698" s="111"/>
      <c r="S1698" s="111"/>
      <c r="T1698" s="111"/>
      <c r="U1698" s="111"/>
      <c r="V1698" s="111"/>
      <c r="W1698" s="111"/>
      <c r="X1698" s="111"/>
      <c r="Y1698" s="111"/>
      <c r="Z1698" s="111"/>
      <c r="AA1698" s="111"/>
    </row>
    <row r="1699" spans="1:27" s="118" customFormat="1" x14ac:dyDescent="0.2">
      <c r="A1699" s="6"/>
      <c r="B1699" s="6"/>
      <c r="C1699" s="156"/>
      <c r="D1699" s="108"/>
      <c r="E1699" s="148"/>
      <c r="F1699" s="253"/>
      <c r="G1699" s="253"/>
      <c r="H1699" s="253"/>
      <c r="I1699" s="246" t="str">
        <f>"Total item "&amp;A1691</f>
        <v>Total item 19.5.1</v>
      </c>
      <c r="J1699" s="261">
        <f>SUM(J1692:J1698)</f>
        <v>215.89</v>
      </c>
      <c r="K1699" s="137"/>
      <c r="L1699" s="137"/>
      <c r="M1699" s="137"/>
      <c r="N1699" s="138"/>
      <c r="O1699" s="167"/>
      <c r="P1699" s="111"/>
      <c r="Q1699" s="111"/>
      <c r="R1699" s="111"/>
      <c r="S1699" s="111"/>
      <c r="T1699" s="111"/>
      <c r="U1699" s="111"/>
      <c r="V1699" s="111"/>
      <c r="W1699" s="111"/>
      <c r="X1699" s="111"/>
      <c r="Y1699" s="111"/>
      <c r="Z1699" s="111"/>
      <c r="AA1699" s="111"/>
    </row>
    <row r="1700" spans="1:27" s="118" customFormat="1" x14ac:dyDescent="0.2">
      <c r="A1700" s="6"/>
      <c r="B1700" s="6"/>
      <c r="C1700" s="155"/>
      <c r="D1700" s="108"/>
      <c r="E1700" s="148"/>
      <c r="F1700" s="253"/>
      <c r="G1700" s="253"/>
      <c r="H1700" s="253"/>
      <c r="I1700" s="246"/>
      <c r="J1700" s="258"/>
      <c r="K1700" s="137"/>
      <c r="L1700" s="137"/>
      <c r="M1700" s="137"/>
      <c r="N1700" s="138"/>
      <c r="O1700" s="167"/>
      <c r="P1700" s="111"/>
      <c r="Q1700" s="111"/>
      <c r="R1700" s="111"/>
      <c r="S1700" s="111"/>
      <c r="T1700" s="111"/>
      <c r="U1700" s="111"/>
      <c r="V1700" s="111"/>
      <c r="W1700" s="111"/>
      <c r="X1700" s="111"/>
      <c r="Y1700" s="111"/>
      <c r="Z1700" s="111"/>
      <c r="AA1700" s="111"/>
    </row>
    <row r="1701" spans="1:27" s="147" customFormat="1" x14ac:dyDescent="0.2">
      <c r="A1701" s="9" t="s">
        <v>880</v>
      </c>
      <c r="B1701" s="9" t="s">
        <v>179</v>
      </c>
      <c r="C1701" s="13" t="s">
        <v>316</v>
      </c>
      <c r="D1701" s="109" t="s">
        <v>317</v>
      </c>
      <c r="E1701" s="9" t="s">
        <v>9</v>
      </c>
      <c r="F1701" s="261"/>
      <c r="G1701" s="261"/>
      <c r="H1701" s="261"/>
      <c r="I1701" s="245"/>
      <c r="J1701" s="261"/>
      <c r="K1701" s="131">
        <f>J1704</f>
        <v>940.94</v>
      </c>
      <c r="L1701" s="131">
        <v>5.8</v>
      </c>
      <c r="M1701" s="131">
        <f>ROUND(L1701*(1+$Q$7),2)</f>
        <v>7.34</v>
      </c>
      <c r="N1701" s="133">
        <f>TRUNC(K1701*M1701,2)</f>
        <v>6906.49</v>
      </c>
      <c r="O1701" s="286"/>
      <c r="P1701" s="146"/>
      <c r="Q1701" s="146"/>
      <c r="R1701" s="146"/>
      <c r="S1701" s="146"/>
      <c r="T1701" s="146"/>
      <c r="U1701" s="146"/>
      <c r="V1701" s="146"/>
      <c r="W1701" s="146"/>
      <c r="X1701" s="146"/>
      <c r="Y1701" s="146"/>
      <c r="Z1701" s="146"/>
      <c r="AA1701" s="146"/>
    </row>
    <row r="1702" spans="1:27" s="118" customFormat="1" x14ac:dyDescent="0.2">
      <c r="A1702" s="6"/>
      <c r="B1702" s="6"/>
      <c r="C1702" s="155"/>
      <c r="D1702" s="2"/>
      <c r="E1702" s="148"/>
      <c r="F1702" s="253"/>
      <c r="G1702" s="253">
        <v>40.4</v>
      </c>
      <c r="H1702" s="253">
        <v>13</v>
      </c>
      <c r="I1702" s="246"/>
      <c r="J1702" s="253">
        <f t="shared" ref="J1702:J1703" si="164">ROUND(PRODUCT(F1702:I1702),2)</f>
        <v>525.20000000000005</v>
      </c>
      <c r="K1702" s="137"/>
      <c r="L1702" s="137"/>
      <c r="M1702" s="137"/>
      <c r="N1702" s="138"/>
      <c r="O1702" s="167"/>
      <c r="P1702" s="111"/>
      <c r="Q1702" s="111"/>
      <c r="R1702" s="111"/>
      <c r="S1702" s="111"/>
      <c r="T1702" s="111"/>
      <c r="U1702" s="111"/>
      <c r="V1702" s="111"/>
      <c r="W1702" s="111"/>
      <c r="X1702" s="111"/>
      <c r="Y1702" s="111"/>
      <c r="Z1702" s="111"/>
      <c r="AA1702" s="111"/>
    </row>
    <row r="1703" spans="1:27" s="118" customFormat="1" x14ac:dyDescent="0.2">
      <c r="A1703" s="6"/>
      <c r="B1703" s="6"/>
      <c r="C1703" s="155"/>
      <c r="D1703" s="2"/>
      <c r="E1703" s="148"/>
      <c r="F1703" s="253">
        <v>6</v>
      </c>
      <c r="G1703" s="253">
        <v>8.4499999999999993</v>
      </c>
      <c r="H1703" s="253">
        <v>8.1999999999999993</v>
      </c>
      <c r="I1703" s="246"/>
      <c r="J1703" s="253">
        <f t="shared" si="164"/>
        <v>415.74</v>
      </c>
      <c r="K1703" s="137"/>
      <c r="L1703" s="137"/>
      <c r="M1703" s="137"/>
      <c r="N1703" s="138"/>
      <c r="O1703" s="167"/>
      <c r="P1703" s="111"/>
      <c r="Q1703" s="111"/>
      <c r="R1703" s="111"/>
      <c r="S1703" s="111"/>
      <c r="T1703" s="111"/>
      <c r="U1703" s="111"/>
      <c r="V1703" s="111"/>
      <c r="W1703" s="111"/>
      <c r="X1703" s="111"/>
      <c r="Y1703" s="111"/>
      <c r="Z1703" s="111"/>
      <c r="AA1703" s="111"/>
    </row>
    <row r="1704" spans="1:27" s="118" customFormat="1" x14ac:dyDescent="0.2">
      <c r="A1704" s="6"/>
      <c r="B1704" s="6"/>
      <c r="C1704" s="156"/>
      <c r="D1704" s="108"/>
      <c r="E1704" s="148"/>
      <c r="F1704" s="253"/>
      <c r="G1704" s="253"/>
      <c r="H1704" s="253"/>
      <c r="I1704" s="246" t="str">
        <f>"Total item "&amp;A1701</f>
        <v>Total item 19.5.2</v>
      </c>
      <c r="J1704" s="261">
        <f>SUM(J1702:J1703)</f>
        <v>940.94</v>
      </c>
      <c r="K1704" s="137"/>
      <c r="L1704" s="137"/>
      <c r="M1704" s="137"/>
      <c r="N1704" s="138"/>
      <c r="O1704" s="167"/>
      <c r="P1704" s="111"/>
      <c r="Q1704" s="111"/>
      <c r="R1704" s="111"/>
      <c r="S1704" s="111"/>
      <c r="T1704" s="111"/>
      <c r="U1704" s="111"/>
      <c r="V1704" s="111"/>
      <c r="W1704" s="111"/>
      <c r="X1704" s="111"/>
      <c r="Y1704" s="111"/>
      <c r="Z1704" s="111"/>
      <c r="AA1704" s="111"/>
    </row>
    <row r="1705" spans="1:27" s="118" customFormat="1" x14ac:dyDescent="0.2">
      <c r="A1705" s="6"/>
      <c r="B1705" s="6"/>
      <c r="C1705" s="14"/>
      <c r="D1705" s="108"/>
      <c r="E1705" s="148"/>
      <c r="F1705" s="253"/>
      <c r="G1705" s="253"/>
      <c r="H1705" s="253"/>
      <c r="I1705" s="246"/>
      <c r="J1705" s="262"/>
      <c r="K1705" s="137"/>
      <c r="L1705" s="137"/>
      <c r="M1705" s="137"/>
      <c r="N1705" s="138"/>
      <c r="O1705" s="167"/>
      <c r="P1705" s="111"/>
      <c r="Q1705" s="111"/>
      <c r="R1705" s="111"/>
      <c r="S1705" s="111"/>
      <c r="T1705" s="111"/>
      <c r="U1705" s="111"/>
      <c r="V1705" s="111"/>
      <c r="W1705" s="111"/>
      <c r="X1705" s="111"/>
      <c r="Y1705" s="111"/>
      <c r="Z1705" s="111"/>
      <c r="AA1705" s="111"/>
    </row>
    <row r="1706" spans="1:27" s="145" customFormat="1" x14ac:dyDescent="0.2">
      <c r="A1706" s="140" t="s">
        <v>876</v>
      </c>
      <c r="B1706" s="140"/>
      <c r="C1706" s="141"/>
      <c r="D1706" s="112" t="s">
        <v>267</v>
      </c>
      <c r="E1706" s="140"/>
      <c r="F1706" s="260"/>
      <c r="G1706" s="260"/>
      <c r="H1706" s="260"/>
      <c r="I1706" s="248"/>
      <c r="J1706" s="260"/>
      <c r="K1706" s="142"/>
      <c r="L1706" s="142"/>
      <c r="M1706" s="142"/>
      <c r="N1706" s="143">
        <f>SUM(N1707:N1748)</f>
        <v>2655.02</v>
      </c>
      <c r="O1706" s="285"/>
      <c r="P1706" s="144"/>
      <c r="Q1706" s="144"/>
      <c r="R1706" s="144"/>
      <c r="S1706" s="144"/>
      <c r="T1706" s="144"/>
      <c r="U1706" s="144"/>
      <c r="V1706" s="144"/>
      <c r="W1706" s="144"/>
      <c r="X1706" s="144"/>
      <c r="Y1706" s="144"/>
      <c r="Z1706" s="144"/>
      <c r="AA1706" s="144"/>
    </row>
    <row r="1707" spans="1:27" s="118" customFormat="1" x14ac:dyDescent="0.2">
      <c r="A1707" s="6"/>
      <c r="B1707" s="6"/>
      <c r="C1707" s="14"/>
      <c r="D1707" s="108"/>
      <c r="E1707" s="148"/>
      <c r="F1707" s="253"/>
      <c r="G1707" s="253"/>
      <c r="H1707" s="253"/>
      <c r="I1707" s="246"/>
      <c r="J1707" s="262"/>
      <c r="K1707" s="137"/>
      <c r="L1707" s="137"/>
      <c r="M1707" s="137"/>
      <c r="N1707" s="138"/>
      <c r="O1707" s="123"/>
      <c r="P1707" s="111"/>
      <c r="Q1707" s="111"/>
      <c r="R1707" s="111"/>
      <c r="S1707" s="111"/>
      <c r="T1707" s="111"/>
      <c r="U1707" s="111"/>
      <c r="V1707" s="111"/>
      <c r="W1707" s="111"/>
      <c r="X1707" s="111"/>
      <c r="Y1707" s="111"/>
      <c r="Z1707" s="111"/>
      <c r="AA1707" s="111"/>
    </row>
    <row r="1708" spans="1:27" s="233" customFormat="1" x14ac:dyDescent="0.2">
      <c r="A1708" s="227" t="s">
        <v>877</v>
      </c>
      <c r="B1708" s="227"/>
      <c r="C1708" s="228"/>
      <c r="D1708" s="229" t="s">
        <v>884</v>
      </c>
      <c r="E1708" s="227"/>
      <c r="F1708" s="270"/>
      <c r="G1708" s="270"/>
      <c r="H1708" s="270"/>
      <c r="I1708" s="255"/>
      <c r="J1708" s="270"/>
      <c r="K1708" s="230"/>
      <c r="L1708" s="230"/>
      <c r="M1708" s="230"/>
      <c r="N1708" s="231"/>
      <c r="O1708" s="290"/>
      <c r="P1708" s="232"/>
      <c r="Q1708" s="232"/>
      <c r="R1708" s="232"/>
      <c r="S1708" s="232"/>
      <c r="T1708" s="232"/>
      <c r="U1708" s="232"/>
      <c r="V1708" s="232"/>
      <c r="W1708" s="232"/>
      <c r="X1708" s="232"/>
      <c r="Y1708" s="232"/>
      <c r="Z1708" s="232"/>
      <c r="AA1708" s="232"/>
    </row>
    <row r="1709" spans="1:27" s="118" customFormat="1" x14ac:dyDescent="0.2">
      <c r="A1709" s="6"/>
      <c r="B1709" s="6"/>
      <c r="C1709" s="14"/>
      <c r="D1709" s="108"/>
      <c r="E1709" s="148"/>
      <c r="F1709" s="253"/>
      <c r="G1709" s="253"/>
      <c r="H1709" s="253"/>
      <c r="I1709" s="246"/>
      <c r="J1709" s="262"/>
      <c r="K1709" s="137"/>
      <c r="L1709" s="137"/>
      <c r="M1709" s="137"/>
      <c r="N1709" s="138"/>
      <c r="O1709" s="123"/>
      <c r="P1709" s="111"/>
      <c r="Q1709" s="111"/>
      <c r="R1709" s="111"/>
      <c r="S1709" s="111"/>
      <c r="T1709" s="111"/>
      <c r="U1709" s="111"/>
      <c r="V1709" s="111"/>
      <c r="W1709" s="111"/>
      <c r="X1709" s="111"/>
      <c r="Y1709" s="111"/>
      <c r="Z1709" s="111"/>
      <c r="AA1709" s="111"/>
    </row>
    <row r="1710" spans="1:27" s="147" customFormat="1" ht="20.399999999999999" x14ac:dyDescent="0.2">
      <c r="A1710" s="9" t="s">
        <v>885</v>
      </c>
      <c r="B1710" s="9" t="s">
        <v>163</v>
      </c>
      <c r="C1710" s="13" t="s">
        <v>168</v>
      </c>
      <c r="D1710" s="113" t="s">
        <v>679</v>
      </c>
      <c r="E1710" s="9" t="s">
        <v>42</v>
      </c>
      <c r="F1710" s="261"/>
      <c r="G1710" s="261"/>
      <c r="H1710" s="261"/>
      <c r="I1710" s="245"/>
      <c r="J1710" s="261"/>
      <c r="K1710" s="131">
        <f>J1712</f>
        <v>1.87</v>
      </c>
      <c r="L1710" s="106">
        <v>18.440000000000001</v>
      </c>
      <c r="M1710" s="131">
        <f>ROUND(L1710*(1+$Q$7),2)</f>
        <v>23.33</v>
      </c>
      <c r="N1710" s="133">
        <f>TRUNC(K1710*M1710,2)</f>
        <v>43.62</v>
      </c>
      <c r="O1710" s="291"/>
      <c r="P1710" s="146"/>
      <c r="Q1710" s="146"/>
      <c r="R1710" s="146"/>
      <c r="S1710" s="146"/>
      <c r="T1710" s="146"/>
      <c r="U1710" s="146"/>
      <c r="V1710" s="146"/>
      <c r="W1710" s="146"/>
      <c r="X1710" s="146"/>
      <c r="Y1710" s="146"/>
      <c r="Z1710" s="146"/>
      <c r="AA1710" s="146"/>
    </row>
    <row r="1711" spans="1:27" s="118" customFormat="1" x14ac:dyDescent="0.2">
      <c r="A1711" s="6"/>
      <c r="B1711" s="6"/>
      <c r="C1711" s="155"/>
      <c r="D1711" s="2" t="s">
        <v>684</v>
      </c>
      <c r="E1711" s="148"/>
      <c r="F1711" s="253">
        <v>8</v>
      </c>
      <c r="G1711" s="253">
        <v>0.6</v>
      </c>
      <c r="H1711" s="253">
        <v>0.6</v>
      </c>
      <c r="I1711" s="249">
        <v>0.65</v>
      </c>
      <c r="J1711" s="253">
        <f t="shared" ref="J1711" si="165">ROUND(PRODUCT(F1711:I1711),2)</f>
        <v>1.87</v>
      </c>
      <c r="K1711" s="137"/>
      <c r="L1711" s="137"/>
      <c r="M1711" s="137"/>
      <c r="N1711" s="138"/>
      <c r="O1711" s="123"/>
      <c r="P1711" s="111"/>
      <c r="Q1711" s="111"/>
      <c r="R1711" s="111"/>
      <c r="S1711" s="111"/>
      <c r="T1711" s="111"/>
      <c r="U1711" s="111"/>
      <c r="V1711" s="111"/>
      <c r="W1711" s="111"/>
      <c r="X1711" s="111"/>
      <c r="Y1711" s="111"/>
      <c r="Z1711" s="111"/>
      <c r="AA1711" s="111"/>
    </row>
    <row r="1712" spans="1:27" s="118" customFormat="1" x14ac:dyDescent="0.2">
      <c r="A1712" s="6"/>
      <c r="B1712" s="6"/>
      <c r="C1712" s="156"/>
      <c r="D1712" s="108"/>
      <c r="E1712" s="148"/>
      <c r="F1712" s="253"/>
      <c r="G1712" s="253"/>
      <c r="H1712" s="253"/>
      <c r="I1712" s="246" t="str">
        <f>"Total item "&amp;A1710</f>
        <v>Total item 19.6.1.1</v>
      </c>
      <c r="J1712" s="261">
        <f>SUM(J1711:J1711)</f>
        <v>1.87</v>
      </c>
      <c r="K1712" s="137"/>
      <c r="L1712" s="137"/>
      <c r="M1712" s="137"/>
      <c r="N1712" s="138"/>
      <c r="O1712" s="123"/>
      <c r="P1712" s="111"/>
      <c r="Q1712" s="111"/>
      <c r="R1712" s="111"/>
      <c r="S1712" s="111"/>
      <c r="T1712" s="111"/>
      <c r="U1712" s="111"/>
      <c r="V1712" s="111"/>
      <c r="W1712" s="111"/>
      <c r="X1712" s="111"/>
      <c r="Y1712" s="111"/>
      <c r="Z1712" s="111"/>
      <c r="AA1712" s="111"/>
    </row>
    <row r="1713" spans="1:27" s="118" customFormat="1" x14ac:dyDescent="0.2">
      <c r="A1713" s="6"/>
      <c r="B1713" s="6"/>
      <c r="C1713" s="14"/>
      <c r="D1713" s="108"/>
      <c r="E1713" s="148"/>
      <c r="F1713" s="253"/>
      <c r="G1713" s="253"/>
      <c r="H1713" s="253"/>
      <c r="I1713" s="246"/>
      <c r="J1713" s="262"/>
      <c r="K1713" s="137"/>
      <c r="L1713" s="137"/>
      <c r="M1713" s="137"/>
      <c r="N1713" s="138"/>
      <c r="O1713" s="123"/>
      <c r="P1713" s="111"/>
      <c r="Q1713" s="111"/>
      <c r="R1713" s="111"/>
      <c r="S1713" s="111"/>
      <c r="T1713" s="111"/>
      <c r="U1713" s="111"/>
      <c r="V1713" s="111"/>
      <c r="W1713" s="111"/>
      <c r="X1713" s="111"/>
      <c r="Y1713" s="111"/>
      <c r="Z1713" s="111"/>
      <c r="AA1713" s="111"/>
    </row>
    <row r="1714" spans="1:27" s="147" customFormat="1" ht="30.6" x14ac:dyDescent="0.2">
      <c r="A1714" s="9" t="s">
        <v>886</v>
      </c>
      <c r="B1714" s="9" t="s">
        <v>163</v>
      </c>
      <c r="C1714" s="13" t="s">
        <v>169</v>
      </c>
      <c r="D1714" s="113" t="s">
        <v>683</v>
      </c>
      <c r="E1714" s="9" t="s">
        <v>42</v>
      </c>
      <c r="F1714" s="261"/>
      <c r="G1714" s="261" t="s">
        <v>39</v>
      </c>
      <c r="H1714" s="261"/>
      <c r="I1714" s="245"/>
      <c r="J1714" s="261"/>
      <c r="K1714" s="131">
        <f>J1718</f>
        <v>1.24</v>
      </c>
      <c r="L1714" s="106">
        <v>25.14</v>
      </c>
      <c r="M1714" s="131">
        <f>ROUND(L1714*(1+$Q$7),2)</f>
        <v>31.81</v>
      </c>
      <c r="N1714" s="133">
        <f>TRUNC(K1714*M1714,2)</f>
        <v>39.44</v>
      </c>
      <c r="O1714" s="291"/>
      <c r="P1714" s="146"/>
      <c r="Q1714" s="146"/>
      <c r="R1714" s="146"/>
      <c r="S1714" s="146"/>
      <c r="T1714" s="146"/>
      <c r="U1714" s="146"/>
      <c r="V1714" s="146"/>
      <c r="W1714" s="146"/>
      <c r="X1714" s="146"/>
      <c r="Y1714" s="146"/>
      <c r="Z1714" s="146"/>
      <c r="AA1714" s="146"/>
    </row>
    <row r="1715" spans="1:27" s="118" customFormat="1" x14ac:dyDescent="0.2">
      <c r="A1715" s="6"/>
      <c r="B1715" s="6"/>
      <c r="C1715" s="155"/>
      <c r="D1715" s="2" t="s">
        <v>945</v>
      </c>
      <c r="E1715" s="148"/>
      <c r="F1715" s="253"/>
      <c r="G1715" s="253">
        <f>J1712</f>
        <v>1.87</v>
      </c>
      <c r="H1715" s="253"/>
      <c r="I1715" s="249"/>
      <c r="J1715" s="253">
        <f t="shared" ref="J1715:J1717" si="166">ROUND(PRODUCT(F1715:I1715),2)</f>
        <v>1.87</v>
      </c>
      <c r="K1715" s="137"/>
      <c r="L1715" s="137"/>
      <c r="M1715" s="137"/>
      <c r="N1715" s="138"/>
      <c r="O1715" s="123"/>
      <c r="P1715" s="111"/>
      <c r="Q1715" s="111"/>
      <c r="R1715" s="111"/>
      <c r="S1715" s="111"/>
      <c r="T1715" s="111"/>
      <c r="U1715" s="111"/>
      <c r="V1715" s="111"/>
      <c r="W1715" s="111"/>
      <c r="X1715" s="111"/>
      <c r="Y1715" s="111"/>
      <c r="Z1715" s="111"/>
      <c r="AA1715" s="111"/>
    </row>
    <row r="1716" spans="1:27" s="118" customFormat="1" x14ac:dyDescent="0.2">
      <c r="A1716" s="6"/>
      <c r="B1716" s="6"/>
      <c r="C1716" s="155"/>
      <c r="D1716" s="2" t="s">
        <v>685</v>
      </c>
      <c r="E1716" s="148"/>
      <c r="F1716" s="253">
        <v>-1</v>
      </c>
      <c r="G1716" s="253">
        <f>J1722</f>
        <v>0.14000000000000001</v>
      </c>
      <c r="H1716" s="253"/>
      <c r="I1716" s="249"/>
      <c r="J1716" s="253">
        <f t="shared" si="166"/>
        <v>-0.14000000000000001</v>
      </c>
      <c r="K1716" s="137"/>
      <c r="L1716" s="137"/>
      <c r="M1716" s="137"/>
      <c r="N1716" s="138"/>
      <c r="O1716" s="123"/>
      <c r="P1716" s="111"/>
      <c r="Q1716" s="111"/>
      <c r="R1716" s="111"/>
      <c r="S1716" s="111"/>
      <c r="T1716" s="111"/>
      <c r="U1716" s="111"/>
      <c r="V1716" s="111"/>
      <c r="W1716" s="111"/>
      <c r="X1716" s="111"/>
      <c r="Y1716" s="111"/>
      <c r="Z1716" s="111"/>
      <c r="AA1716" s="111"/>
    </row>
    <row r="1717" spans="1:27" s="118" customFormat="1" x14ac:dyDescent="0.2">
      <c r="A1717" s="6"/>
      <c r="B1717" s="6"/>
      <c r="C1717" s="155"/>
      <c r="D1717" s="2" t="s">
        <v>686</v>
      </c>
      <c r="E1717" s="148"/>
      <c r="F1717" s="253">
        <v>-1</v>
      </c>
      <c r="G1717" s="253">
        <f>J1727</f>
        <v>0.49</v>
      </c>
      <c r="H1717" s="253"/>
      <c r="I1717" s="249"/>
      <c r="J1717" s="253">
        <f t="shared" si="166"/>
        <v>-0.49</v>
      </c>
      <c r="K1717" s="137"/>
      <c r="L1717" s="137"/>
      <c r="M1717" s="137"/>
      <c r="N1717" s="138"/>
      <c r="O1717" s="123"/>
      <c r="P1717" s="111"/>
      <c r="Q1717" s="111"/>
      <c r="R1717" s="111"/>
      <c r="S1717" s="111"/>
      <c r="T1717" s="111"/>
      <c r="U1717" s="111"/>
      <c r="V1717" s="111"/>
      <c r="W1717" s="111"/>
      <c r="X1717" s="111"/>
      <c r="Y1717" s="111"/>
      <c r="Z1717" s="111"/>
      <c r="AA1717" s="111"/>
    </row>
    <row r="1718" spans="1:27" s="118" customFormat="1" x14ac:dyDescent="0.2">
      <c r="A1718" s="6"/>
      <c r="B1718" s="6"/>
      <c r="C1718" s="156"/>
      <c r="D1718" s="108"/>
      <c r="E1718" s="148"/>
      <c r="F1718" s="253"/>
      <c r="G1718" s="253"/>
      <c r="H1718" s="253"/>
      <c r="I1718" s="246" t="str">
        <f>"Total item "&amp;A1714</f>
        <v>Total item 19.6.1.2</v>
      </c>
      <c r="J1718" s="261">
        <f>SUM(J1715:J1717)</f>
        <v>1.24</v>
      </c>
      <c r="K1718" s="137"/>
      <c r="L1718" s="137"/>
      <c r="M1718" s="137"/>
      <c r="N1718" s="138"/>
      <c r="O1718" s="123"/>
      <c r="P1718" s="111"/>
      <c r="Q1718" s="111"/>
      <c r="R1718" s="111"/>
      <c r="S1718" s="111"/>
      <c r="T1718" s="111"/>
      <c r="U1718" s="111"/>
      <c r="V1718" s="111"/>
      <c r="W1718" s="111"/>
      <c r="X1718" s="111"/>
      <c r="Y1718" s="111"/>
      <c r="Z1718" s="111"/>
      <c r="AA1718" s="111"/>
    </row>
    <row r="1719" spans="1:27" s="118" customFormat="1" x14ac:dyDescent="0.2">
      <c r="A1719" s="6"/>
      <c r="B1719" s="6"/>
      <c r="C1719" s="14"/>
      <c r="D1719" s="108"/>
      <c r="E1719" s="148"/>
      <c r="F1719" s="253"/>
      <c r="G1719" s="253"/>
      <c r="H1719" s="253"/>
      <c r="I1719" s="246"/>
      <c r="J1719" s="262"/>
      <c r="K1719" s="137"/>
      <c r="L1719" s="137"/>
      <c r="M1719" s="137"/>
      <c r="N1719" s="138"/>
      <c r="O1719" s="123"/>
      <c r="P1719" s="111"/>
      <c r="Q1719" s="111"/>
      <c r="R1719" s="111"/>
      <c r="S1719" s="111"/>
      <c r="T1719" s="111"/>
      <c r="U1719" s="111"/>
      <c r="V1719" s="111"/>
      <c r="W1719" s="111"/>
      <c r="X1719" s="111"/>
      <c r="Y1719" s="111"/>
      <c r="Z1719" s="111"/>
      <c r="AA1719" s="111"/>
    </row>
    <row r="1720" spans="1:27" s="147" customFormat="1" ht="20.399999999999999" x14ac:dyDescent="0.2">
      <c r="A1720" s="9" t="s">
        <v>887</v>
      </c>
      <c r="B1720" s="9" t="s">
        <v>163</v>
      </c>
      <c r="C1720" s="13" t="s">
        <v>170</v>
      </c>
      <c r="D1720" s="113" t="s">
        <v>680</v>
      </c>
      <c r="E1720" s="9" t="s">
        <v>42</v>
      </c>
      <c r="F1720" s="261"/>
      <c r="G1720" s="261"/>
      <c r="H1720" s="261"/>
      <c r="I1720" s="245"/>
      <c r="J1720" s="261"/>
      <c r="K1720" s="131">
        <f>J1722</f>
        <v>0.14000000000000001</v>
      </c>
      <c r="L1720" s="106">
        <v>375.94</v>
      </c>
      <c r="M1720" s="131">
        <f>ROUND(L1720*(1+$Q$7),2)</f>
        <v>475.68</v>
      </c>
      <c r="N1720" s="133">
        <f>TRUNC(K1720*M1720,2)</f>
        <v>66.59</v>
      </c>
      <c r="O1720" s="291"/>
      <c r="P1720" s="146"/>
      <c r="Q1720" s="146"/>
      <c r="R1720" s="146"/>
      <c r="S1720" s="146"/>
      <c r="T1720" s="146"/>
      <c r="U1720" s="146"/>
      <c r="V1720" s="146"/>
      <c r="W1720" s="146"/>
      <c r="X1720" s="146"/>
      <c r="Y1720" s="146"/>
      <c r="Z1720" s="146"/>
      <c r="AA1720" s="146"/>
    </row>
    <row r="1721" spans="1:27" s="118" customFormat="1" x14ac:dyDescent="0.2">
      <c r="A1721" s="6"/>
      <c r="B1721" s="6"/>
      <c r="C1721" s="155"/>
      <c r="D1721" s="2"/>
      <c r="E1721" s="148"/>
      <c r="F1721" s="253">
        <v>8</v>
      </c>
      <c r="G1721" s="253">
        <v>0.6</v>
      </c>
      <c r="H1721" s="253">
        <v>0.6</v>
      </c>
      <c r="I1721" s="249">
        <v>0.05</v>
      </c>
      <c r="J1721" s="253">
        <f t="shared" ref="J1721" si="167">ROUND(PRODUCT(F1721:I1721),2)</f>
        <v>0.14000000000000001</v>
      </c>
      <c r="K1721" s="137"/>
      <c r="L1721" s="137"/>
      <c r="M1721" s="137"/>
      <c r="N1721" s="138"/>
      <c r="O1721" s="123"/>
      <c r="P1721" s="111"/>
      <c r="Q1721" s="111"/>
      <c r="R1721" s="111"/>
      <c r="S1721" s="111"/>
      <c r="T1721" s="111"/>
      <c r="U1721" s="111"/>
      <c r="V1721" s="111"/>
      <c r="W1721" s="111"/>
      <c r="X1721" s="111"/>
      <c r="Y1721" s="111"/>
      <c r="Z1721" s="111"/>
      <c r="AA1721" s="111"/>
    </row>
    <row r="1722" spans="1:27" s="118" customFormat="1" x14ac:dyDescent="0.2">
      <c r="A1722" s="6"/>
      <c r="B1722" s="6"/>
      <c r="C1722" s="156"/>
      <c r="D1722" s="108"/>
      <c r="E1722" s="148"/>
      <c r="F1722" s="253"/>
      <c r="G1722" s="253"/>
      <c r="H1722" s="253"/>
      <c r="I1722" s="246" t="str">
        <f>"Total item "&amp;A1720</f>
        <v>Total item 19.6.1.3</v>
      </c>
      <c r="J1722" s="261">
        <f>SUM(J1721:J1721)</f>
        <v>0.14000000000000001</v>
      </c>
      <c r="K1722" s="137"/>
      <c r="L1722" s="137"/>
      <c r="M1722" s="137"/>
      <c r="N1722" s="138"/>
      <c r="O1722" s="123"/>
      <c r="P1722" s="111"/>
      <c r="Q1722" s="111"/>
      <c r="R1722" s="111"/>
      <c r="S1722" s="111"/>
      <c r="T1722" s="111"/>
      <c r="U1722" s="111"/>
      <c r="V1722" s="111"/>
      <c r="W1722" s="111"/>
      <c r="X1722" s="111"/>
      <c r="Y1722" s="111"/>
      <c r="Z1722" s="111"/>
      <c r="AA1722" s="111"/>
    </row>
    <row r="1723" spans="1:27" s="118" customFormat="1" x14ac:dyDescent="0.2">
      <c r="A1723" s="6"/>
      <c r="B1723" s="6"/>
      <c r="C1723" s="14"/>
      <c r="D1723" s="108"/>
      <c r="E1723" s="148"/>
      <c r="F1723" s="253"/>
      <c r="G1723" s="253"/>
      <c r="H1723" s="253"/>
      <c r="I1723" s="246"/>
      <c r="J1723" s="262"/>
      <c r="K1723" s="137"/>
      <c r="L1723" s="137"/>
      <c r="M1723" s="137"/>
      <c r="N1723" s="138"/>
      <c r="O1723" s="123"/>
      <c r="P1723" s="111"/>
      <c r="Q1723" s="111"/>
      <c r="R1723" s="111"/>
      <c r="S1723" s="111"/>
      <c r="T1723" s="111"/>
      <c r="U1723" s="111"/>
      <c r="V1723" s="111"/>
      <c r="W1723" s="111"/>
      <c r="X1723" s="111"/>
      <c r="Y1723" s="111"/>
      <c r="Z1723" s="111"/>
      <c r="AA1723" s="111"/>
    </row>
    <row r="1724" spans="1:27" s="147" customFormat="1" ht="35.25" customHeight="1" x14ac:dyDescent="0.2">
      <c r="A1724" s="9" t="s">
        <v>889</v>
      </c>
      <c r="B1724" s="9" t="s">
        <v>163</v>
      </c>
      <c r="C1724" s="13" t="s">
        <v>171</v>
      </c>
      <c r="D1724" s="113" t="s">
        <v>678</v>
      </c>
      <c r="E1724" s="9" t="s">
        <v>42</v>
      </c>
      <c r="F1724" s="261"/>
      <c r="G1724" s="261"/>
      <c r="H1724" s="261"/>
      <c r="I1724" s="245"/>
      <c r="J1724" s="261"/>
      <c r="K1724" s="131">
        <f>J1727</f>
        <v>0.49</v>
      </c>
      <c r="L1724" s="106">
        <v>1396.31</v>
      </c>
      <c r="M1724" s="131">
        <f>ROUND(L1724*(1+$Q$7),2)</f>
        <v>1766.75</v>
      </c>
      <c r="N1724" s="133">
        <f>TRUNC(K1724*M1724,2)</f>
        <v>865.7</v>
      </c>
      <c r="O1724" s="291"/>
      <c r="P1724" s="146"/>
      <c r="Q1724" s="146"/>
      <c r="R1724" s="146"/>
      <c r="S1724" s="146"/>
      <c r="T1724" s="146"/>
      <c r="U1724" s="146"/>
      <c r="V1724" s="146"/>
      <c r="W1724" s="146"/>
      <c r="X1724" s="146"/>
      <c r="Y1724" s="146"/>
      <c r="Z1724" s="146"/>
      <c r="AA1724" s="146"/>
    </row>
    <row r="1725" spans="1:27" s="118" customFormat="1" x14ac:dyDescent="0.2">
      <c r="A1725" s="6"/>
      <c r="B1725" s="6"/>
      <c r="C1725" s="155"/>
      <c r="D1725" s="2" t="s">
        <v>78</v>
      </c>
      <c r="E1725" s="148"/>
      <c r="F1725" s="253">
        <v>8</v>
      </c>
      <c r="G1725" s="253">
        <v>0.5</v>
      </c>
      <c r="H1725" s="253">
        <v>0.5</v>
      </c>
      <c r="I1725" s="249">
        <v>0.2</v>
      </c>
      <c r="J1725" s="253">
        <f t="shared" ref="J1725:J1726" si="168">ROUND(PRODUCT(F1725:I1725),2)</f>
        <v>0.4</v>
      </c>
      <c r="K1725" s="137"/>
      <c r="L1725" s="137"/>
      <c r="M1725" s="137"/>
      <c r="N1725" s="138"/>
      <c r="O1725" s="123"/>
      <c r="P1725" s="111"/>
      <c r="Q1725" s="111"/>
      <c r="R1725" s="111"/>
      <c r="S1725" s="111"/>
      <c r="T1725" s="111"/>
      <c r="U1725" s="111"/>
      <c r="V1725" s="111"/>
      <c r="W1725" s="111"/>
      <c r="X1725" s="111"/>
      <c r="Y1725" s="111"/>
      <c r="Z1725" s="111"/>
      <c r="AA1725" s="111"/>
    </row>
    <row r="1726" spans="1:27" s="118" customFormat="1" x14ac:dyDescent="0.2">
      <c r="A1726" s="6"/>
      <c r="B1726" s="6"/>
      <c r="C1726" s="155"/>
      <c r="D1726" s="2" t="s">
        <v>888</v>
      </c>
      <c r="E1726" s="148"/>
      <c r="F1726" s="253">
        <v>8</v>
      </c>
      <c r="G1726" s="253">
        <v>0.2</v>
      </c>
      <c r="H1726" s="253">
        <v>0.14000000000000001</v>
      </c>
      <c r="I1726" s="249">
        <v>0.4</v>
      </c>
      <c r="J1726" s="253">
        <f t="shared" si="168"/>
        <v>0.09</v>
      </c>
      <c r="K1726" s="137"/>
      <c r="L1726" s="137"/>
      <c r="M1726" s="137"/>
      <c r="N1726" s="138"/>
      <c r="O1726" s="123"/>
      <c r="P1726" s="111"/>
      <c r="Q1726" s="111"/>
      <c r="R1726" s="111"/>
      <c r="S1726" s="111"/>
      <c r="T1726" s="111"/>
      <c r="U1726" s="111"/>
      <c r="V1726" s="111"/>
      <c r="W1726" s="111"/>
      <c r="X1726" s="111"/>
      <c r="Y1726" s="111"/>
      <c r="Z1726" s="111"/>
      <c r="AA1726" s="111"/>
    </row>
    <row r="1727" spans="1:27" s="118" customFormat="1" x14ac:dyDescent="0.2">
      <c r="A1727" s="6"/>
      <c r="B1727" s="6"/>
      <c r="C1727" s="156"/>
      <c r="D1727" s="108"/>
      <c r="E1727" s="148"/>
      <c r="F1727" s="253"/>
      <c r="G1727" s="253"/>
      <c r="H1727" s="253"/>
      <c r="I1727" s="246" t="str">
        <f>"Total item "&amp;A1724</f>
        <v>Total item 19.6.1.4</v>
      </c>
      <c r="J1727" s="261">
        <f>SUM(J1725:J1726)</f>
        <v>0.49</v>
      </c>
      <c r="K1727" s="137"/>
      <c r="L1727" s="137"/>
      <c r="M1727" s="137"/>
      <c r="N1727" s="138"/>
      <c r="O1727" s="123"/>
      <c r="P1727" s="111"/>
      <c r="Q1727" s="111"/>
      <c r="R1727" s="111"/>
      <c r="S1727" s="111"/>
      <c r="T1727" s="111"/>
      <c r="U1727" s="111"/>
      <c r="V1727" s="111"/>
      <c r="W1727" s="111"/>
      <c r="X1727" s="111"/>
      <c r="Y1727" s="111"/>
      <c r="Z1727" s="111"/>
      <c r="AA1727" s="111"/>
    </row>
    <row r="1728" spans="1:27" s="118" customFormat="1" x14ac:dyDescent="0.2">
      <c r="A1728" s="6"/>
      <c r="B1728" s="6"/>
      <c r="C1728" s="14"/>
      <c r="D1728" s="108"/>
      <c r="E1728" s="148"/>
      <c r="F1728" s="253"/>
      <c r="G1728" s="253"/>
      <c r="H1728" s="253"/>
      <c r="I1728" s="246"/>
      <c r="J1728" s="262"/>
      <c r="K1728" s="137"/>
      <c r="L1728" s="137"/>
      <c r="M1728" s="137"/>
      <c r="N1728" s="138"/>
      <c r="O1728" s="123"/>
      <c r="P1728" s="111"/>
      <c r="Q1728" s="111"/>
      <c r="R1728" s="111"/>
      <c r="S1728" s="111"/>
      <c r="T1728" s="111"/>
      <c r="U1728" s="111"/>
      <c r="V1728" s="111"/>
      <c r="W1728" s="111"/>
      <c r="X1728" s="111"/>
      <c r="Y1728" s="111"/>
      <c r="Z1728" s="111"/>
      <c r="AA1728" s="111"/>
    </row>
    <row r="1729" spans="1:27" s="147" customFormat="1" ht="35.25" customHeight="1" x14ac:dyDescent="0.2">
      <c r="A1729" s="9" t="s">
        <v>890</v>
      </c>
      <c r="B1729" s="9" t="s">
        <v>163</v>
      </c>
      <c r="C1729" s="13" t="s">
        <v>172</v>
      </c>
      <c r="D1729" s="113" t="s">
        <v>677</v>
      </c>
      <c r="E1729" s="9" t="s">
        <v>42</v>
      </c>
      <c r="F1729" s="261"/>
      <c r="G1729" s="261"/>
      <c r="H1729" s="261"/>
      <c r="I1729" s="245"/>
      <c r="J1729" s="261"/>
      <c r="K1729" s="131">
        <f>J1731</f>
        <v>0.45</v>
      </c>
      <c r="L1729" s="106">
        <v>2349.37</v>
      </c>
      <c r="M1729" s="131">
        <f>ROUND(L1729*(1+$Q$7),2)</f>
        <v>2972.66</v>
      </c>
      <c r="N1729" s="133">
        <f>TRUNC(K1729*M1729,2)</f>
        <v>1337.69</v>
      </c>
      <c r="O1729" s="291"/>
      <c r="P1729" s="146"/>
      <c r="Q1729" s="146"/>
      <c r="R1729" s="146"/>
      <c r="S1729" s="146"/>
      <c r="T1729" s="146"/>
      <c r="U1729" s="146"/>
      <c r="V1729" s="146"/>
      <c r="W1729" s="146"/>
      <c r="X1729" s="146"/>
      <c r="Y1729" s="146"/>
      <c r="Z1729" s="146"/>
      <c r="AA1729" s="146"/>
    </row>
    <row r="1730" spans="1:27" s="118" customFormat="1" x14ac:dyDescent="0.2">
      <c r="A1730" s="6"/>
      <c r="B1730" s="6"/>
      <c r="C1730" s="155"/>
      <c r="D1730" s="2" t="s">
        <v>62</v>
      </c>
      <c r="E1730" s="148"/>
      <c r="F1730" s="253">
        <v>8</v>
      </c>
      <c r="G1730" s="253">
        <v>0.2</v>
      </c>
      <c r="H1730" s="253">
        <v>0.14000000000000001</v>
      </c>
      <c r="I1730" s="249">
        <v>2</v>
      </c>
      <c r="J1730" s="253">
        <f t="shared" ref="J1730" si="169">ROUND(PRODUCT(F1730:I1730),2)</f>
        <v>0.45</v>
      </c>
      <c r="K1730" s="137"/>
      <c r="L1730" s="137"/>
      <c r="M1730" s="137"/>
      <c r="N1730" s="138"/>
      <c r="O1730" s="123"/>
      <c r="P1730" s="111"/>
      <c r="Q1730" s="111"/>
      <c r="R1730" s="111"/>
      <c r="S1730" s="111"/>
      <c r="T1730" s="111"/>
      <c r="U1730" s="111"/>
      <c r="V1730" s="111"/>
      <c r="W1730" s="111"/>
      <c r="X1730" s="111"/>
      <c r="Y1730" s="111"/>
      <c r="Z1730" s="111"/>
      <c r="AA1730" s="111"/>
    </row>
    <row r="1731" spans="1:27" s="118" customFormat="1" x14ac:dyDescent="0.2">
      <c r="A1731" s="6"/>
      <c r="B1731" s="6"/>
      <c r="C1731" s="156"/>
      <c r="D1731" s="108"/>
      <c r="E1731" s="148"/>
      <c r="F1731" s="253"/>
      <c r="G1731" s="253"/>
      <c r="H1731" s="253"/>
      <c r="I1731" s="246" t="str">
        <f>"Total item "&amp;A1729</f>
        <v>Total item 19.6.1.5</v>
      </c>
      <c r="J1731" s="261">
        <f>SUM(J1730:J1730)</f>
        <v>0.45</v>
      </c>
      <c r="K1731" s="137"/>
      <c r="L1731" s="137"/>
      <c r="M1731" s="137"/>
      <c r="N1731" s="138"/>
      <c r="O1731" s="123"/>
      <c r="P1731" s="111"/>
      <c r="Q1731" s="111"/>
      <c r="R1731" s="111"/>
      <c r="S1731" s="111"/>
      <c r="T1731" s="111"/>
      <c r="U1731" s="111"/>
      <c r="V1731" s="111"/>
      <c r="W1731" s="111"/>
      <c r="X1731" s="111"/>
      <c r="Y1731" s="111"/>
      <c r="Z1731" s="111"/>
      <c r="AA1731" s="111"/>
    </row>
    <row r="1732" spans="1:27" s="118" customFormat="1" x14ac:dyDescent="0.2">
      <c r="A1732" s="6"/>
      <c r="B1732" s="6"/>
      <c r="C1732" s="14"/>
      <c r="D1732" s="108"/>
      <c r="E1732" s="148"/>
      <c r="F1732" s="253"/>
      <c r="G1732" s="253"/>
      <c r="H1732" s="253"/>
      <c r="I1732" s="246"/>
      <c r="J1732" s="262"/>
      <c r="K1732" s="137"/>
      <c r="L1732" s="137"/>
      <c r="M1732" s="137"/>
      <c r="N1732" s="138"/>
      <c r="O1732" s="123"/>
      <c r="P1732" s="111"/>
      <c r="Q1732" s="111"/>
      <c r="R1732" s="111"/>
      <c r="S1732" s="111"/>
      <c r="T1732" s="111"/>
      <c r="U1732" s="111"/>
      <c r="V1732" s="111"/>
      <c r="W1732" s="111"/>
      <c r="X1732" s="111"/>
      <c r="Y1732" s="111"/>
      <c r="Z1732" s="111"/>
      <c r="AA1732" s="111"/>
    </row>
    <row r="1733" spans="1:27" s="147" customFormat="1" ht="20.399999999999999" x14ac:dyDescent="0.2">
      <c r="A1733" s="9" t="s">
        <v>891</v>
      </c>
      <c r="B1733" s="9" t="s">
        <v>163</v>
      </c>
      <c r="C1733" s="13" t="s">
        <v>186</v>
      </c>
      <c r="D1733" s="109" t="s">
        <v>510</v>
      </c>
      <c r="E1733" s="9" t="s">
        <v>9</v>
      </c>
      <c r="F1733" s="261"/>
      <c r="G1733" s="261"/>
      <c r="H1733" s="261"/>
      <c r="I1733" s="245"/>
      <c r="J1733" s="261"/>
      <c r="K1733" s="131">
        <f>J1736</f>
        <v>7.6800000000000006</v>
      </c>
      <c r="L1733" s="106">
        <v>5.98</v>
      </c>
      <c r="M1733" s="131">
        <f>ROUND(L1733*(1+$Q$7),2)</f>
        <v>7.57</v>
      </c>
      <c r="N1733" s="133">
        <f>TRUNC(K1733*M1733,2)</f>
        <v>58.13</v>
      </c>
      <c r="O1733" s="291"/>
      <c r="P1733" s="146"/>
      <c r="Q1733" s="146"/>
      <c r="R1733" s="146"/>
      <c r="S1733" s="146"/>
      <c r="T1733" s="146"/>
      <c r="U1733" s="146"/>
      <c r="V1733" s="146"/>
      <c r="W1733" s="146"/>
      <c r="X1733" s="146"/>
      <c r="Y1733" s="146"/>
      <c r="Z1733" s="146"/>
      <c r="AA1733" s="146"/>
    </row>
    <row r="1734" spans="1:27" s="118" customFormat="1" x14ac:dyDescent="0.2">
      <c r="A1734" s="6"/>
      <c r="B1734" s="6"/>
      <c r="C1734" s="155"/>
      <c r="D1734" s="2" t="s">
        <v>893</v>
      </c>
      <c r="E1734" s="148"/>
      <c r="F1734" s="253">
        <f>8*2</f>
        <v>16</v>
      </c>
      <c r="G1734" s="253">
        <v>0.2</v>
      </c>
      <c r="H1734" s="253"/>
      <c r="I1734" s="249">
        <f>I1730</f>
        <v>2</v>
      </c>
      <c r="J1734" s="253">
        <f t="shared" ref="J1734:J1735" si="170">ROUND(PRODUCT(F1734:I1734),2)</f>
        <v>6.4</v>
      </c>
      <c r="K1734" s="137"/>
      <c r="L1734" s="137"/>
      <c r="M1734" s="137"/>
      <c r="N1734" s="138"/>
      <c r="O1734" s="123"/>
      <c r="P1734" s="111"/>
      <c r="Q1734" s="111"/>
      <c r="R1734" s="111"/>
      <c r="S1734" s="111"/>
      <c r="T1734" s="111"/>
      <c r="U1734" s="111"/>
      <c r="V1734" s="111"/>
      <c r="W1734" s="111"/>
      <c r="X1734" s="111"/>
      <c r="Y1734" s="111"/>
      <c r="Z1734" s="111"/>
      <c r="AA1734" s="111"/>
    </row>
    <row r="1735" spans="1:27" s="118" customFormat="1" x14ac:dyDescent="0.2">
      <c r="A1735" s="6"/>
      <c r="B1735" s="6"/>
      <c r="C1735" s="155"/>
      <c r="D1735" s="2"/>
      <c r="E1735" s="148"/>
      <c r="F1735" s="253">
        <f>F1734</f>
        <v>16</v>
      </c>
      <c r="G1735" s="253">
        <f>H1730-0.1</f>
        <v>4.0000000000000008E-2</v>
      </c>
      <c r="H1735" s="253"/>
      <c r="I1735" s="249">
        <v>2</v>
      </c>
      <c r="J1735" s="253">
        <f t="shared" si="170"/>
        <v>1.28</v>
      </c>
      <c r="K1735" s="137"/>
      <c r="L1735" s="137"/>
      <c r="M1735" s="137"/>
      <c r="N1735" s="138"/>
      <c r="O1735" s="123"/>
      <c r="P1735" s="111"/>
      <c r="Q1735" s="111"/>
      <c r="R1735" s="111"/>
      <c r="S1735" s="111"/>
      <c r="T1735" s="111"/>
      <c r="U1735" s="111"/>
      <c r="V1735" s="111"/>
      <c r="W1735" s="111"/>
      <c r="X1735" s="111"/>
      <c r="Y1735" s="111"/>
      <c r="Z1735" s="111"/>
      <c r="AA1735" s="111"/>
    </row>
    <row r="1736" spans="1:27" s="118" customFormat="1" x14ac:dyDescent="0.2">
      <c r="A1736" s="6"/>
      <c r="B1736" s="6"/>
      <c r="C1736" s="156"/>
      <c r="D1736" s="108"/>
      <c r="E1736" s="148"/>
      <c r="F1736" s="253"/>
      <c r="G1736" s="253"/>
      <c r="H1736" s="253"/>
      <c r="I1736" s="246" t="str">
        <f>"Total item "&amp;A1733</f>
        <v>Total item 19.6.1.6</v>
      </c>
      <c r="J1736" s="261">
        <f>SUM(J1734:J1735)</f>
        <v>7.6800000000000006</v>
      </c>
      <c r="K1736" s="137"/>
      <c r="L1736" s="137"/>
      <c r="M1736" s="137"/>
      <c r="N1736" s="138"/>
      <c r="O1736" s="123"/>
      <c r="P1736" s="111"/>
      <c r="Q1736" s="111"/>
      <c r="R1736" s="111"/>
      <c r="S1736" s="111"/>
      <c r="T1736" s="111"/>
      <c r="U1736" s="111"/>
      <c r="V1736" s="111"/>
      <c r="W1736" s="111"/>
      <c r="X1736" s="111"/>
      <c r="Y1736" s="111"/>
      <c r="Z1736" s="111"/>
      <c r="AA1736" s="111"/>
    </row>
    <row r="1737" spans="1:27" s="118" customFormat="1" x14ac:dyDescent="0.2">
      <c r="A1737" s="6"/>
      <c r="B1737" s="6"/>
      <c r="C1737" s="14"/>
      <c r="D1737" s="108"/>
      <c r="E1737" s="148"/>
      <c r="F1737" s="253"/>
      <c r="G1737" s="253"/>
      <c r="H1737" s="253"/>
      <c r="I1737" s="246"/>
      <c r="J1737" s="262"/>
      <c r="K1737" s="137"/>
      <c r="L1737" s="137"/>
      <c r="M1737" s="137"/>
      <c r="N1737" s="138"/>
      <c r="O1737" s="123"/>
      <c r="P1737" s="111"/>
      <c r="Q1737" s="111"/>
      <c r="R1737" s="111"/>
      <c r="S1737" s="111"/>
      <c r="T1737" s="111"/>
      <c r="U1737" s="111"/>
      <c r="V1737" s="111"/>
      <c r="W1737" s="111"/>
      <c r="X1737" s="111"/>
      <c r="Y1737" s="111"/>
      <c r="Z1737" s="111"/>
      <c r="AA1737" s="111"/>
    </row>
    <row r="1738" spans="1:27" s="147" customFormat="1" ht="20.399999999999999" x14ac:dyDescent="0.2">
      <c r="A1738" s="9" t="s">
        <v>892</v>
      </c>
      <c r="B1738" s="9" t="s">
        <v>163</v>
      </c>
      <c r="C1738" s="13" t="s">
        <v>173</v>
      </c>
      <c r="D1738" s="109" t="s">
        <v>511</v>
      </c>
      <c r="E1738" s="9" t="s">
        <v>9</v>
      </c>
      <c r="F1738" s="261"/>
      <c r="G1738" s="261"/>
      <c r="H1738" s="261"/>
      <c r="I1738" s="245"/>
      <c r="J1738" s="261"/>
      <c r="K1738" s="131">
        <f>J1741</f>
        <v>7.6800000000000006</v>
      </c>
      <c r="L1738" s="106">
        <v>22.25</v>
      </c>
      <c r="M1738" s="131">
        <f>ROUND(L1738*(1+$Q$7),2)</f>
        <v>28.15</v>
      </c>
      <c r="N1738" s="133">
        <f>TRUNC(K1738*M1738,2)</f>
        <v>216.19</v>
      </c>
      <c r="O1738" s="291"/>
      <c r="P1738" s="146"/>
      <c r="Q1738" s="146"/>
      <c r="R1738" s="146"/>
      <c r="S1738" s="146"/>
      <c r="T1738" s="146"/>
      <c r="U1738" s="146"/>
      <c r="V1738" s="146"/>
      <c r="W1738" s="146"/>
      <c r="X1738" s="146"/>
      <c r="Y1738" s="146"/>
      <c r="Z1738" s="146"/>
      <c r="AA1738" s="146"/>
    </row>
    <row r="1739" spans="1:27" s="118" customFormat="1" x14ac:dyDescent="0.2">
      <c r="A1739" s="6"/>
      <c r="B1739" s="6"/>
      <c r="C1739" s="155"/>
      <c r="D1739" s="2" t="s">
        <v>893</v>
      </c>
      <c r="E1739" s="148"/>
      <c r="F1739" s="253">
        <f>8*2</f>
        <v>16</v>
      </c>
      <c r="G1739" s="253">
        <v>0.2</v>
      </c>
      <c r="H1739" s="253"/>
      <c r="I1739" s="249">
        <f>I1735</f>
        <v>2</v>
      </c>
      <c r="J1739" s="253">
        <f t="shared" ref="J1739:J1740" si="171">ROUND(PRODUCT(F1739:I1739),2)</f>
        <v>6.4</v>
      </c>
      <c r="K1739" s="137"/>
      <c r="L1739" s="137"/>
      <c r="M1739" s="137"/>
      <c r="N1739" s="138"/>
      <c r="O1739" s="123"/>
      <c r="P1739" s="111"/>
      <c r="Q1739" s="111"/>
      <c r="R1739" s="111"/>
      <c r="S1739" s="111"/>
      <c r="T1739" s="111"/>
      <c r="U1739" s="111"/>
      <c r="V1739" s="111"/>
      <c r="W1739" s="111"/>
      <c r="X1739" s="111"/>
      <c r="Y1739" s="111"/>
      <c r="Z1739" s="111"/>
      <c r="AA1739" s="111"/>
    </row>
    <row r="1740" spans="1:27" s="118" customFormat="1" x14ac:dyDescent="0.2">
      <c r="A1740" s="6"/>
      <c r="B1740" s="6"/>
      <c r="C1740" s="155"/>
      <c r="D1740" s="2"/>
      <c r="E1740" s="148"/>
      <c r="F1740" s="253">
        <f>F1739</f>
        <v>16</v>
      </c>
      <c r="G1740" s="253">
        <f>H1730-0.1</f>
        <v>4.0000000000000008E-2</v>
      </c>
      <c r="H1740" s="253"/>
      <c r="I1740" s="249">
        <v>2</v>
      </c>
      <c r="J1740" s="253">
        <f t="shared" si="171"/>
        <v>1.28</v>
      </c>
      <c r="K1740" s="137"/>
      <c r="L1740" s="137"/>
      <c r="M1740" s="137"/>
      <c r="N1740" s="138"/>
      <c r="O1740" s="123"/>
      <c r="P1740" s="111"/>
      <c r="Q1740" s="111"/>
      <c r="R1740" s="111"/>
      <c r="S1740" s="111"/>
      <c r="T1740" s="111"/>
      <c r="U1740" s="111"/>
      <c r="V1740" s="111"/>
      <c r="W1740" s="111"/>
      <c r="X1740" s="111"/>
      <c r="Y1740" s="111"/>
      <c r="Z1740" s="111"/>
      <c r="AA1740" s="111"/>
    </row>
    <row r="1741" spans="1:27" s="118" customFormat="1" x14ac:dyDescent="0.2">
      <c r="A1741" s="6"/>
      <c r="B1741" s="6"/>
      <c r="C1741" s="156"/>
      <c r="D1741" s="108"/>
      <c r="E1741" s="148"/>
      <c r="F1741" s="253"/>
      <c r="G1741" s="253"/>
      <c r="H1741" s="253"/>
      <c r="I1741" s="246" t="str">
        <f>"Total item "&amp;A1738</f>
        <v>Total item 19.6.1.7</v>
      </c>
      <c r="J1741" s="261">
        <f>SUM(J1739:J1740)</f>
        <v>7.6800000000000006</v>
      </c>
      <c r="K1741" s="137"/>
      <c r="L1741" s="137"/>
      <c r="M1741" s="137"/>
      <c r="N1741" s="138"/>
      <c r="O1741" s="123"/>
      <c r="P1741" s="111"/>
      <c r="Q1741" s="111"/>
      <c r="R1741" s="111"/>
      <c r="S1741" s="111"/>
      <c r="T1741" s="111"/>
      <c r="U1741" s="111"/>
      <c r="V1741" s="111"/>
      <c r="W1741" s="111"/>
      <c r="X1741" s="111"/>
      <c r="Y1741" s="111"/>
      <c r="Z1741" s="111"/>
      <c r="AA1741" s="111"/>
    </row>
    <row r="1742" spans="1:27" s="118" customFormat="1" x14ac:dyDescent="0.2">
      <c r="A1742" s="6"/>
      <c r="B1742" s="6"/>
      <c r="C1742" s="14"/>
      <c r="D1742" s="108"/>
      <c r="E1742" s="148"/>
      <c r="F1742" s="253"/>
      <c r="G1742" s="253"/>
      <c r="H1742" s="253"/>
      <c r="I1742" s="246"/>
      <c r="J1742" s="262"/>
      <c r="K1742" s="137"/>
      <c r="L1742" s="137"/>
      <c r="M1742" s="137"/>
      <c r="N1742" s="138"/>
      <c r="O1742" s="123"/>
      <c r="P1742" s="111"/>
      <c r="Q1742" s="111"/>
      <c r="R1742" s="111"/>
      <c r="S1742" s="111"/>
      <c r="T1742" s="111"/>
      <c r="U1742" s="111"/>
      <c r="V1742" s="111"/>
      <c r="W1742" s="111"/>
      <c r="X1742" s="111"/>
      <c r="Y1742" s="111"/>
      <c r="Z1742" s="111"/>
      <c r="AA1742" s="111"/>
    </row>
    <row r="1743" spans="1:27" s="233" customFormat="1" x14ac:dyDescent="0.2">
      <c r="A1743" s="227" t="s">
        <v>881</v>
      </c>
      <c r="B1743" s="227"/>
      <c r="C1743" s="228"/>
      <c r="D1743" s="229" t="s">
        <v>883</v>
      </c>
      <c r="E1743" s="227"/>
      <c r="F1743" s="270"/>
      <c r="G1743" s="270"/>
      <c r="H1743" s="270"/>
      <c r="I1743" s="255"/>
      <c r="J1743" s="270"/>
      <c r="K1743" s="230"/>
      <c r="L1743" s="230"/>
      <c r="M1743" s="230"/>
      <c r="N1743" s="231"/>
      <c r="O1743" s="290"/>
      <c r="P1743" s="232"/>
      <c r="Q1743" s="232"/>
      <c r="R1743" s="232"/>
      <c r="S1743" s="232"/>
      <c r="T1743" s="232"/>
      <c r="U1743" s="232"/>
      <c r="V1743" s="232"/>
      <c r="W1743" s="232"/>
      <c r="X1743" s="232"/>
      <c r="Y1743" s="232"/>
      <c r="Z1743" s="232"/>
      <c r="AA1743" s="232"/>
    </row>
    <row r="1744" spans="1:27" s="118" customFormat="1" x14ac:dyDescent="0.2">
      <c r="A1744" s="6"/>
      <c r="B1744" s="6"/>
      <c r="C1744" s="14"/>
      <c r="D1744" s="108"/>
      <c r="E1744" s="148"/>
      <c r="F1744" s="253"/>
      <c r="G1744" s="253"/>
      <c r="H1744" s="253"/>
      <c r="I1744" s="246"/>
      <c r="J1744" s="262"/>
      <c r="K1744" s="137"/>
      <c r="L1744" s="137"/>
      <c r="M1744" s="137"/>
      <c r="N1744" s="138"/>
      <c r="O1744" s="123"/>
      <c r="P1744" s="111"/>
      <c r="Q1744" s="111"/>
      <c r="R1744" s="111"/>
      <c r="S1744" s="111"/>
      <c r="T1744" s="111"/>
      <c r="U1744" s="111"/>
      <c r="V1744" s="111"/>
      <c r="W1744" s="111"/>
      <c r="X1744" s="111"/>
      <c r="Y1744" s="111"/>
      <c r="Z1744" s="111"/>
      <c r="AA1744" s="111"/>
    </row>
    <row r="1745" spans="1:27" s="147" customFormat="1" x14ac:dyDescent="0.2">
      <c r="A1745" s="9" t="s">
        <v>882</v>
      </c>
      <c r="B1745" s="9" t="s">
        <v>89</v>
      </c>
      <c r="C1745" s="13">
        <v>6171</v>
      </c>
      <c r="D1745" s="113" t="s">
        <v>268</v>
      </c>
      <c r="E1745" s="9" t="s">
        <v>33</v>
      </c>
      <c r="F1745" s="261"/>
      <c r="G1745" s="261"/>
      <c r="H1745" s="261"/>
      <c r="I1745" s="245"/>
      <c r="J1745" s="261"/>
      <c r="K1745" s="131">
        <f>J1747</f>
        <v>1</v>
      </c>
      <c r="L1745" s="131">
        <v>21.86</v>
      </c>
      <c r="M1745" s="131">
        <f>ROUND(L1745*(1+$Q$7),2)</f>
        <v>27.66</v>
      </c>
      <c r="N1745" s="133">
        <f>TRUNC(K1745*M1745,2)</f>
        <v>27.66</v>
      </c>
      <c r="O1745" s="291"/>
      <c r="P1745" s="146"/>
      <c r="Q1745" s="146"/>
      <c r="R1745" s="146"/>
      <c r="S1745" s="146"/>
      <c r="T1745" s="146"/>
      <c r="U1745" s="146"/>
      <c r="V1745" s="146"/>
      <c r="W1745" s="146"/>
      <c r="X1745" s="146"/>
      <c r="Y1745" s="146"/>
      <c r="Z1745" s="146"/>
      <c r="AA1745" s="146"/>
    </row>
    <row r="1746" spans="1:27" s="118" customFormat="1" x14ac:dyDescent="0.2">
      <c r="A1746" s="6"/>
      <c r="B1746" s="6"/>
      <c r="C1746" s="155"/>
      <c r="D1746" s="2"/>
      <c r="E1746" s="148"/>
      <c r="F1746" s="253">
        <v>1</v>
      </c>
      <c r="G1746" s="253"/>
      <c r="H1746" s="253"/>
      <c r="I1746" s="249"/>
      <c r="J1746" s="253">
        <f>ROUND(PRODUCT(F1746:I1746),2)</f>
        <v>1</v>
      </c>
      <c r="K1746" s="137"/>
      <c r="L1746" s="137"/>
      <c r="M1746" s="137"/>
      <c r="N1746" s="138"/>
      <c r="O1746" s="167"/>
      <c r="P1746" s="111"/>
      <c r="Q1746" s="111"/>
      <c r="R1746" s="111"/>
      <c r="S1746" s="111"/>
      <c r="T1746" s="111"/>
      <c r="U1746" s="111"/>
      <c r="V1746" s="111"/>
      <c r="W1746" s="111"/>
      <c r="X1746" s="111"/>
      <c r="Y1746" s="111"/>
      <c r="Z1746" s="111"/>
      <c r="AA1746" s="111"/>
    </row>
    <row r="1747" spans="1:27" s="118" customFormat="1" x14ac:dyDescent="0.2">
      <c r="A1747" s="6"/>
      <c r="B1747" s="6"/>
      <c r="C1747" s="156"/>
      <c r="D1747" s="108"/>
      <c r="E1747" s="148"/>
      <c r="F1747" s="253"/>
      <c r="G1747" s="253"/>
      <c r="H1747" s="253"/>
      <c r="I1747" s="246" t="str">
        <f>"Total item "&amp;A1745</f>
        <v>Total item 19.6.2.1</v>
      </c>
      <c r="J1747" s="261">
        <f>SUM(J1746:J1746)</f>
        <v>1</v>
      </c>
      <c r="K1747" s="137"/>
      <c r="L1747" s="137"/>
      <c r="M1747" s="137"/>
      <c r="N1747" s="138"/>
      <c r="O1747" s="167"/>
      <c r="P1747" s="111"/>
      <c r="Q1747" s="111"/>
      <c r="R1747" s="111"/>
      <c r="S1747" s="111"/>
      <c r="T1747" s="111"/>
      <c r="U1747" s="111"/>
      <c r="V1747" s="111"/>
      <c r="W1747" s="111"/>
      <c r="X1747" s="111"/>
      <c r="Y1747" s="111"/>
      <c r="Z1747" s="111"/>
      <c r="AA1747" s="111"/>
    </row>
    <row r="1748" spans="1:27" s="118" customFormat="1" x14ac:dyDescent="0.2">
      <c r="A1748" s="6"/>
      <c r="B1748" s="6"/>
      <c r="C1748" s="155"/>
      <c r="D1748" s="108"/>
      <c r="E1748" s="148"/>
      <c r="F1748" s="253"/>
      <c r="G1748" s="253"/>
      <c r="H1748" s="253"/>
      <c r="I1748" s="246"/>
      <c r="J1748" s="258"/>
      <c r="K1748" s="137"/>
      <c r="L1748" s="137"/>
      <c r="M1748" s="137"/>
      <c r="N1748" s="138"/>
      <c r="O1748" s="167"/>
      <c r="P1748" s="111"/>
      <c r="Q1748" s="111"/>
      <c r="R1748" s="111"/>
      <c r="S1748" s="111"/>
      <c r="T1748" s="111"/>
      <c r="U1748" s="111"/>
      <c r="V1748" s="111"/>
      <c r="W1748" s="111"/>
      <c r="X1748" s="111"/>
      <c r="Y1748" s="111"/>
      <c r="Z1748" s="111"/>
      <c r="AA1748" s="111"/>
    </row>
    <row r="1749" spans="1:27" s="241" customFormat="1" ht="26.4" x14ac:dyDescent="0.25">
      <c r="A1749" s="236" t="s">
        <v>236</v>
      </c>
      <c r="B1749" s="236"/>
      <c r="C1749" s="237"/>
      <c r="D1749" s="289" t="s">
        <v>228</v>
      </c>
      <c r="E1749" s="236"/>
      <c r="F1749" s="259"/>
      <c r="G1749" s="259"/>
      <c r="H1749" s="259"/>
      <c r="I1749" s="247"/>
      <c r="J1749" s="259"/>
      <c r="K1749" s="238"/>
      <c r="L1749" s="238"/>
      <c r="M1749" s="238"/>
      <c r="N1749" s="239">
        <f>N1751+N1767+N1773</f>
        <v>6081.85</v>
      </c>
      <c r="O1749" s="284" t="e">
        <f>N1749/$N$2057</f>
        <v>#VALUE!</v>
      </c>
      <c r="P1749" s="240"/>
      <c r="Q1749" s="240" t="s">
        <v>533</v>
      </c>
      <c r="R1749" s="240"/>
      <c r="S1749" s="240"/>
      <c r="T1749" s="240"/>
      <c r="U1749" s="240"/>
      <c r="V1749" s="240"/>
      <c r="W1749" s="240"/>
      <c r="X1749" s="240"/>
      <c r="Y1749" s="240"/>
      <c r="Z1749" s="240"/>
      <c r="AA1749" s="240"/>
    </row>
    <row r="1750" spans="1:27" s="118" customFormat="1" x14ac:dyDescent="0.2">
      <c r="A1750" s="6"/>
      <c r="B1750" s="6"/>
      <c r="C1750" s="155"/>
      <c r="D1750" s="108"/>
      <c r="E1750" s="148"/>
      <c r="F1750" s="253"/>
      <c r="G1750" s="253"/>
      <c r="H1750" s="253"/>
      <c r="I1750" s="246"/>
      <c r="J1750" s="258"/>
      <c r="K1750" s="137"/>
      <c r="L1750" s="137"/>
      <c r="M1750" s="137"/>
      <c r="N1750" s="138"/>
      <c r="O1750" s="167"/>
      <c r="P1750" s="111"/>
      <c r="Q1750" s="111"/>
      <c r="R1750" s="111"/>
      <c r="S1750" s="111"/>
      <c r="T1750" s="111"/>
      <c r="U1750" s="111"/>
      <c r="V1750" s="111"/>
      <c r="W1750" s="111"/>
      <c r="X1750" s="111"/>
      <c r="Y1750" s="111"/>
      <c r="Z1750" s="111"/>
      <c r="AA1750" s="111"/>
    </row>
    <row r="1751" spans="1:27" s="145" customFormat="1" x14ac:dyDescent="0.2">
      <c r="A1751" s="140" t="s">
        <v>894</v>
      </c>
      <c r="B1751" s="140"/>
      <c r="C1751" s="141"/>
      <c r="D1751" s="112" t="s">
        <v>211</v>
      </c>
      <c r="E1751" s="140"/>
      <c r="F1751" s="260"/>
      <c r="G1751" s="260"/>
      <c r="H1751" s="260"/>
      <c r="I1751" s="248"/>
      <c r="J1751" s="260"/>
      <c r="K1751" s="142"/>
      <c r="L1751" s="142"/>
      <c r="M1751" s="142"/>
      <c r="N1751" s="143">
        <f>SUM(N1753:N1766)</f>
        <v>2992.98</v>
      </c>
      <c r="O1751" s="285"/>
      <c r="P1751" s="144"/>
      <c r="Q1751" s="144"/>
      <c r="R1751" s="144"/>
      <c r="S1751" s="144"/>
      <c r="T1751" s="144"/>
      <c r="U1751" s="144"/>
      <c r="V1751" s="144"/>
      <c r="W1751" s="144"/>
      <c r="X1751" s="144"/>
      <c r="Y1751" s="144"/>
      <c r="Z1751" s="144"/>
      <c r="AA1751" s="144"/>
    </row>
    <row r="1752" spans="1:27" s="118" customFormat="1" x14ac:dyDescent="0.2">
      <c r="A1752" s="6"/>
      <c r="B1752" s="6"/>
      <c r="C1752" s="155"/>
      <c r="D1752" s="108"/>
      <c r="E1752" s="148"/>
      <c r="F1752" s="253"/>
      <c r="G1752" s="253"/>
      <c r="H1752" s="253"/>
      <c r="I1752" s="246"/>
      <c r="J1752" s="258"/>
      <c r="K1752" s="137"/>
      <c r="L1752" s="137"/>
      <c r="M1752" s="137"/>
      <c r="N1752" s="138"/>
      <c r="O1752" s="167"/>
      <c r="P1752" s="111"/>
      <c r="Q1752" s="111"/>
      <c r="R1752" s="111"/>
      <c r="S1752" s="111"/>
      <c r="T1752" s="111"/>
      <c r="U1752" s="111"/>
      <c r="V1752" s="111"/>
      <c r="W1752" s="111"/>
      <c r="X1752" s="111"/>
      <c r="Y1752" s="111"/>
      <c r="Z1752" s="111"/>
      <c r="AA1752" s="111"/>
    </row>
    <row r="1753" spans="1:27" s="147" customFormat="1" ht="51" x14ac:dyDescent="0.2">
      <c r="A1753" s="9" t="s">
        <v>895</v>
      </c>
      <c r="B1753" s="9" t="s">
        <v>89</v>
      </c>
      <c r="C1753" s="13">
        <v>72739</v>
      </c>
      <c r="D1753" s="113" t="s">
        <v>311</v>
      </c>
      <c r="E1753" s="9" t="s">
        <v>33</v>
      </c>
      <c r="F1753" s="261"/>
      <c r="G1753" s="261"/>
      <c r="H1753" s="261"/>
      <c r="I1753" s="245"/>
      <c r="J1753" s="261"/>
      <c r="K1753" s="131">
        <f>J1756</f>
        <v>4</v>
      </c>
      <c r="L1753" s="106">
        <v>410.89</v>
      </c>
      <c r="M1753" s="131">
        <f>ROUND(L1753*(1+$Q$7),2)</f>
        <v>519.9</v>
      </c>
      <c r="N1753" s="133">
        <f>TRUNC(K1753*M1753,2)</f>
        <v>2079.6</v>
      </c>
      <c r="O1753" s="286"/>
      <c r="P1753" s="146"/>
      <c r="Q1753" s="146"/>
      <c r="R1753" s="146"/>
      <c r="S1753" s="146"/>
      <c r="T1753" s="146"/>
      <c r="U1753" s="146"/>
      <c r="V1753" s="146"/>
      <c r="W1753" s="146"/>
      <c r="X1753" s="146"/>
      <c r="Y1753" s="146"/>
      <c r="Z1753" s="146"/>
      <c r="AA1753" s="146"/>
    </row>
    <row r="1754" spans="1:27" s="118" customFormat="1" x14ac:dyDescent="0.2">
      <c r="A1754" s="6"/>
      <c r="B1754" s="6"/>
      <c r="C1754" s="155"/>
      <c r="D1754" s="2" t="s">
        <v>312</v>
      </c>
      <c r="E1754" s="148"/>
      <c r="F1754" s="253">
        <v>1</v>
      </c>
      <c r="G1754" s="253"/>
      <c r="H1754" s="253"/>
      <c r="I1754" s="246"/>
      <c r="J1754" s="253">
        <f t="shared" ref="J1754:J1755" si="172">ROUND(PRODUCT(F1754:I1754),2)</f>
        <v>1</v>
      </c>
      <c r="K1754" s="137"/>
      <c r="L1754" s="137"/>
      <c r="M1754" s="137"/>
      <c r="N1754" s="138"/>
      <c r="O1754" s="167"/>
      <c r="P1754" s="111"/>
      <c r="Q1754" s="111" t="s">
        <v>313</v>
      </c>
      <c r="R1754" s="111"/>
      <c r="S1754" s="111"/>
      <c r="T1754" s="111"/>
      <c r="U1754" s="111"/>
      <c r="V1754" s="111"/>
      <c r="W1754" s="111"/>
      <c r="X1754" s="111"/>
      <c r="Y1754" s="111"/>
      <c r="Z1754" s="111"/>
      <c r="AA1754" s="111"/>
    </row>
    <row r="1755" spans="1:27" s="118" customFormat="1" x14ac:dyDescent="0.2">
      <c r="A1755" s="6"/>
      <c r="B1755" s="6"/>
      <c r="C1755" s="155"/>
      <c r="D1755" s="2" t="s">
        <v>314</v>
      </c>
      <c r="E1755" s="148"/>
      <c r="F1755" s="253">
        <v>3</v>
      </c>
      <c r="G1755" s="253"/>
      <c r="H1755" s="253"/>
      <c r="I1755" s="246"/>
      <c r="J1755" s="253">
        <f t="shared" si="172"/>
        <v>3</v>
      </c>
      <c r="K1755" s="137"/>
      <c r="L1755" s="137"/>
      <c r="M1755" s="137"/>
      <c r="N1755" s="138"/>
      <c r="O1755" s="167"/>
      <c r="P1755" s="111"/>
      <c r="Q1755" s="111"/>
      <c r="R1755" s="111"/>
      <c r="S1755" s="111"/>
      <c r="T1755" s="111"/>
      <c r="U1755" s="111"/>
      <c r="V1755" s="111"/>
      <c r="W1755" s="111"/>
      <c r="X1755" s="111"/>
      <c r="Y1755" s="111"/>
      <c r="Z1755" s="111"/>
      <c r="AA1755" s="111"/>
    </row>
    <row r="1756" spans="1:27" s="118" customFormat="1" x14ac:dyDescent="0.2">
      <c r="A1756" s="6"/>
      <c r="B1756" s="6"/>
      <c r="C1756" s="156"/>
      <c r="D1756" s="108"/>
      <c r="E1756" s="148"/>
      <c r="F1756" s="253"/>
      <c r="G1756" s="253"/>
      <c r="H1756" s="253"/>
      <c r="I1756" s="246" t="str">
        <f>"Total item "&amp;A1753</f>
        <v>Total item 20.1.1</v>
      </c>
      <c r="J1756" s="261">
        <f>SUM(J1754:J1755)</f>
        <v>4</v>
      </c>
      <c r="K1756" s="137"/>
      <c r="L1756" s="137"/>
      <c r="M1756" s="137"/>
      <c r="N1756" s="138"/>
      <c r="O1756" s="167"/>
      <c r="P1756" s="111"/>
      <c r="Q1756" s="111"/>
      <c r="R1756" s="111"/>
      <c r="S1756" s="111"/>
      <c r="T1756" s="111"/>
      <c r="U1756" s="111"/>
      <c r="V1756" s="111"/>
      <c r="W1756" s="111"/>
      <c r="X1756" s="111"/>
      <c r="Y1756" s="111"/>
      <c r="Z1756" s="111"/>
      <c r="AA1756" s="111"/>
    </row>
    <row r="1757" spans="1:27" s="139" customFormat="1" x14ac:dyDescent="0.2">
      <c r="A1757" s="6"/>
      <c r="B1757" s="6"/>
      <c r="C1757" s="7"/>
      <c r="D1757" s="116"/>
      <c r="E1757" s="6"/>
      <c r="F1757" s="258"/>
      <c r="G1757" s="258"/>
      <c r="H1757" s="258"/>
      <c r="I1757" s="246"/>
      <c r="J1757" s="258"/>
      <c r="K1757" s="137"/>
      <c r="L1757" s="137"/>
      <c r="M1757" s="137"/>
      <c r="N1757" s="138"/>
      <c r="O1757" s="283"/>
      <c r="P1757" s="120"/>
      <c r="Q1757" s="120"/>
      <c r="R1757" s="120"/>
      <c r="S1757" s="120"/>
      <c r="T1757" s="120"/>
      <c r="U1757" s="120"/>
      <c r="V1757" s="120"/>
      <c r="W1757" s="120"/>
      <c r="X1757" s="120"/>
      <c r="Y1757" s="120"/>
      <c r="Z1757" s="120"/>
      <c r="AA1757" s="120"/>
    </row>
    <row r="1758" spans="1:27" s="147" customFormat="1" ht="30.6" x14ac:dyDescent="0.2">
      <c r="A1758" s="9" t="s">
        <v>896</v>
      </c>
      <c r="B1758" s="9" t="s">
        <v>163</v>
      </c>
      <c r="C1758" s="13" t="s">
        <v>194</v>
      </c>
      <c r="D1758" s="113" t="s">
        <v>315</v>
      </c>
      <c r="E1758" s="9" t="s">
        <v>31</v>
      </c>
      <c r="F1758" s="261"/>
      <c r="G1758" s="261"/>
      <c r="H1758" s="261"/>
      <c r="I1758" s="245"/>
      <c r="J1758" s="261"/>
      <c r="K1758" s="131">
        <f>J1761</f>
        <v>6</v>
      </c>
      <c r="L1758" s="131">
        <v>64.06</v>
      </c>
      <c r="M1758" s="131">
        <f>ROUND(L1758*(1+$Q$7),2)</f>
        <v>81.06</v>
      </c>
      <c r="N1758" s="133">
        <f>TRUNC(K1758*M1758,2)</f>
        <v>486.36</v>
      </c>
      <c r="O1758" s="286"/>
      <c r="P1758" s="146"/>
      <c r="Q1758" s="146"/>
      <c r="R1758" s="146"/>
      <c r="S1758" s="146"/>
      <c r="T1758" s="146"/>
      <c r="U1758" s="146"/>
      <c r="V1758" s="146"/>
      <c r="W1758" s="146"/>
      <c r="X1758" s="146"/>
      <c r="Y1758" s="146"/>
      <c r="Z1758" s="146"/>
      <c r="AA1758" s="146"/>
    </row>
    <row r="1759" spans="1:27" s="118" customFormat="1" x14ac:dyDescent="0.2">
      <c r="A1759" s="6"/>
      <c r="B1759" s="6"/>
      <c r="C1759" s="155"/>
      <c r="D1759" s="2" t="s">
        <v>314</v>
      </c>
      <c r="E1759" s="148"/>
      <c r="F1759" s="253">
        <v>3</v>
      </c>
      <c r="G1759" s="253"/>
      <c r="H1759" s="253"/>
      <c r="I1759" s="246"/>
      <c r="J1759" s="253">
        <f t="shared" ref="J1759:J1760" si="173">ROUND(PRODUCT(F1759:I1759),2)</f>
        <v>3</v>
      </c>
      <c r="K1759" s="137"/>
      <c r="L1759" s="137"/>
      <c r="M1759" s="137"/>
      <c r="N1759" s="138"/>
      <c r="O1759" s="167"/>
      <c r="P1759" s="111"/>
      <c r="Q1759" s="111"/>
      <c r="R1759" s="111"/>
      <c r="S1759" s="111"/>
      <c r="T1759" s="111"/>
      <c r="U1759" s="111"/>
      <c r="V1759" s="111"/>
      <c r="W1759" s="111"/>
      <c r="X1759" s="111"/>
      <c r="Y1759" s="111"/>
      <c r="Z1759" s="111"/>
      <c r="AA1759" s="111"/>
    </row>
    <row r="1760" spans="1:27" s="118" customFormat="1" x14ac:dyDescent="0.2">
      <c r="A1760" s="6"/>
      <c r="B1760" s="6"/>
      <c r="C1760" s="155"/>
      <c r="D1760" s="2" t="s">
        <v>312</v>
      </c>
      <c r="E1760" s="148"/>
      <c r="F1760" s="253">
        <v>3</v>
      </c>
      <c r="G1760" s="253"/>
      <c r="H1760" s="253"/>
      <c r="I1760" s="246"/>
      <c r="J1760" s="253">
        <f t="shared" si="173"/>
        <v>3</v>
      </c>
      <c r="K1760" s="137"/>
      <c r="L1760" s="137"/>
      <c r="M1760" s="137"/>
      <c r="N1760" s="138"/>
      <c r="O1760" s="167"/>
      <c r="P1760" s="111"/>
      <c r="Q1760" s="111"/>
      <c r="R1760" s="111"/>
      <c r="S1760" s="111"/>
      <c r="T1760" s="111"/>
      <c r="U1760" s="111"/>
      <c r="V1760" s="111"/>
      <c r="W1760" s="111"/>
      <c r="X1760" s="111"/>
      <c r="Y1760" s="111"/>
      <c r="Z1760" s="111"/>
      <c r="AA1760" s="111"/>
    </row>
    <row r="1761" spans="1:27" s="118" customFormat="1" x14ac:dyDescent="0.2">
      <c r="A1761" s="6"/>
      <c r="B1761" s="6"/>
      <c r="C1761" s="156"/>
      <c r="D1761" s="108"/>
      <c r="E1761" s="148"/>
      <c r="F1761" s="253"/>
      <c r="G1761" s="253"/>
      <c r="H1761" s="253"/>
      <c r="I1761" s="246" t="str">
        <f>"Total item "&amp;A1758</f>
        <v>Total item 20.1.2</v>
      </c>
      <c r="J1761" s="261">
        <f>SUM(J1759:J1760)</f>
        <v>6</v>
      </c>
      <c r="K1761" s="137"/>
      <c r="L1761" s="137"/>
      <c r="M1761" s="137"/>
      <c r="N1761" s="138"/>
      <c r="O1761" s="167"/>
      <c r="P1761" s="111"/>
      <c r="Q1761" s="111"/>
      <c r="R1761" s="111"/>
      <c r="S1761" s="111"/>
      <c r="T1761" s="111"/>
      <c r="U1761" s="111"/>
      <c r="V1761" s="111"/>
      <c r="W1761" s="111"/>
      <c r="X1761" s="111"/>
      <c r="Y1761" s="111"/>
      <c r="Z1761" s="111"/>
      <c r="AA1761" s="111"/>
    </row>
    <row r="1762" spans="1:27" s="139" customFormat="1" x14ac:dyDescent="0.2">
      <c r="A1762" s="6"/>
      <c r="B1762" s="6"/>
      <c r="C1762" s="7"/>
      <c r="D1762" s="116"/>
      <c r="E1762" s="6"/>
      <c r="F1762" s="258"/>
      <c r="G1762" s="258"/>
      <c r="H1762" s="258"/>
      <c r="I1762" s="246"/>
      <c r="J1762" s="258"/>
      <c r="K1762" s="137"/>
      <c r="L1762" s="137"/>
      <c r="M1762" s="137"/>
      <c r="N1762" s="138"/>
      <c r="O1762" s="283"/>
      <c r="P1762" s="120"/>
      <c r="Q1762" s="120"/>
      <c r="R1762" s="120"/>
      <c r="S1762" s="120"/>
      <c r="T1762" s="120"/>
      <c r="U1762" s="120"/>
      <c r="V1762" s="120"/>
      <c r="W1762" s="120"/>
      <c r="X1762" s="120"/>
      <c r="Y1762" s="120"/>
      <c r="Z1762" s="120"/>
      <c r="AA1762" s="120"/>
    </row>
    <row r="1763" spans="1:27" s="147" customFormat="1" ht="51" x14ac:dyDescent="0.2">
      <c r="A1763" s="9" t="s">
        <v>897</v>
      </c>
      <c r="B1763" s="9" t="s">
        <v>89</v>
      </c>
      <c r="C1763" s="13">
        <v>86942</v>
      </c>
      <c r="D1763" s="113" t="s">
        <v>661</v>
      </c>
      <c r="E1763" s="9" t="s">
        <v>33</v>
      </c>
      <c r="F1763" s="261"/>
      <c r="G1763" s="261"/>
      <c r="H1763" s="261"/>
      <c r="I1763" s="245"/>
      <c r="J1763" s="261"/>
      <c r="K1763" s="131">
        <f>J1765</f>
        <v>2</v>
      </c>
      <c r="L1763" s="106">
        <v>168.74</v>
      </c>
      <c r="M1763" s="131">
        <f>ROUND(L1763*(1+$Q$7),2)</f>
        <v>213.51</v>
      </c>
      <c r="N1763" s="133">
        <f>TRUNC(K1763*M1763,2)</f>
        <v>427.02</v>
      </c>
      <c r="O1763" s="286"/>
      <c r="P1763" s="146"/>
      <c r="Q1763" s="146"/>
      <c r="R1763" s="146"/>
      <c r="S1763" s="146"/>
      <c r="T1763" s="146"/>
      <c r="U1763" s="146"/>
      <c r="V1763" s="146"/>
      <c r="W1763" s="146"/>
      <c r="X1763" s="146"/>
      <c r="Y1763" s="146"/>
      <c r="Z1763" s="146"/>
      <c r="AA1763" s="146"/>
    </row>
    <row r="1764" spans="1:27" s="118" customFormat="1" x14ac:dyDescent="0.2">
      <c r="A1764" s="6"/>
      <c r="B1764" s="6"/>
      <c r="C1764" s="155"/>
      <c r="D1764" s="2" t="s">
        <v>314</v>
      </c>
      <c r="E1764" s="148"/>
      <c r="F1764" s="253">
        <v>2</v>
      </c>
      <c r="G1764" s="253"/>
      <c r="H1764" s="253"/>
      <c r="I1764" s="246"/>
      <c r="J1764" s="253">
        <f t="shared" ref="J1764" si="174">ROUND(PRODUCT(F1764:I1764),2)</f>
        <v>2</v>
      </c>
      <c r="K1764" s="137"/>
      <c r="L1764" s="137"/>
      <c r="M1764" s="137"/>
      <c r="N1764" s="138"/>
      <c r="O1764" s="167"/>
      <c r="P1764" s="111"/>
      <c r="Q1764" s="111"/>
      <c r="R1764" s="111"/>
      <c r="S1764" s="111"/>
      <c r="T1764" s="111"/>
      <c r="U1764" s="111"/>
      <c r="V1764" s="111"/>
      <c r="W1764" s="111"/>
      <c r="X1764" s="111"/>
      <c r="Y1764" s="111"/>
      <c r="Z1764" s="111"/>
      <c r="AA1764" s="111"/>
    </row>
    <row r="1765" spans="1:27" s="118" customFormat="1" x14ac:dyDescent="0.2">
      <c r="A1765" s="6"/>
      <c r="B1765" s="6"/>
      <c r="C1765" s="156"/>
      <c r="D1765" s="108"/>
      <c r="E1765" s="148"/>
      <c r="F1765" s="253"/>
      <c r="G1765" s="253"/>
      <c r="H1765" s="253"/>
      <c r="I1765" s="246" t="str">
        <f>"Total item "&amp;A1763</f>
        <v>Total item 20.1.3</v>
      </c>
      <c r="J1765" s="261">
        <f>SUM(J1764:J1764)</f>
        <v>2</v>
      </c>
      <c r="K1765" s="137"/>
      <c r="L1765" s="137"/>
      <c r="M1765" s="137"/>
      <c r="N1765" s="138"/>
      <c r="O1765" s="167"/>
      <c r="P1765" s="111"/>
      <c r="Q1765" s="111"/>
      <c r="R1765" s="111"/>
      <c r="S1765" s="111"/>
      <c r="T1765" s="111"/>
      <c r="U1765" s="111"/>
      <c r="V1765" s="111"/>
      <c r="W1765" s="111"/>
      <c r="X1765" s="111"/>
      <c r="Y1765" s="111"/>
      <c r="Z1765" s="111"/>
      <c r="AA1765" s="111"/>
    </row>
    <row r="1766" spans="1:27" s="139" customFormat="1" x14ac:dyDescent="0.2">
      <c r="A1766" s="6"/>
      <c r="B1766" s="6"/>
      <c r="C1766" s="7"/>
      <c r="D1766" s="116"/>
      <c r="E1766" s="6"/>
      <c r="F1766" s="258"/>
      <c r="G1766" s="258"/>
      <c r="H1766" s="258"/>
      <c r="I1766" s="246"/>
      <c r="J1766" s="258"/>
      <c r="K1766" s="137"/>
      <c r="L1766" s="137"/>
      <c r="M1766" s="137"/>
      <c r="N1766" s="138"/>
      <c r="O1766" s="283"/>
      <c r="P1766" s="120"/>
      <c r="Q1766" s="120"/>
      <c r="R1766" s="120"/>
      <c r="S1766" s="120"/>
      <c r="T1766" s="120"/>
      <c r="U1766" s="120"/>
      <c r="V1766" s="120"/>
      <c r="W1766" s="120"/>
      <c r="X1766" s="120"/>
      <c r="Y1766" s="120"/>
      <c r="Z1766" s="120"/>
      <c r="AA1766" s="120"/>
    </row>
    <row r="1767" spans="1:27" s="145" customFormat="1" x14ac:dyDescent="0.2">
      <c r="A1767" s="140" t="s">
        <v>898</v>
      </c>
      <c r="B1767" s="140"/>
      <c r="C1767" s="141"/>
      <c r="D1767" s="112" t="s">
        <v>80</v>
      </c>
      <c r="E1767" s="140"/>
      <c r="F1767" s="260"/>
      <c r="G1767" s="260"/>
      <c r="H1767" s="260"/>
      <c r="I1767" s="248"/>
      <c r="J1767" s="260"/>
      <c r="K1767" s="142"/>
      <c r="L1767" s="142"/>
      <c r="M1767" s="142"/>
      <c r="N1767" s="143">
        <f>SUM(N1769:N1772)</f>
        <v>3002.06</v>
      </c>
      <c r="O1767" s="285"/>
      <c r="P1767" s="144"/>
      <c r="Q1767" s="144"/>
      <c r="R1767" s="144"/>
      <c r="S1767" s="144"/>
      <c r="T1767" s="144"/>
      <c r="U1767" s="144"/>
      <c r="V1767" s="144"/>
      <c r="W1767" s="144"/>
      <c r="X1767" s="144"/>
      <c r="Y1767" s="144"/>
      <c r="Z1767" s="144"/>
      <c r="AA1767" s="144"/>
    </row>
    <row r="1768" spans="1:27" s="118" customFormat="1" x14ac:dyDescent="0.2">
      <c r="A1768" s="6"/>
      <c r="B1768" s="6"/>
      <c r="C1768" s="155"/>
      <c r="D1768" s="108"/>
      <c r="E1768" s="148"/>
      <c r="F1768" s="253"/>
      <c r="G1768" s="253"/>
      <c r="H1768" s="253"/>
      <c r="I1768" s="246"/>
      <c r="J1768" s="258"/>
      <c r="K1768" s="137"/>
      <c r="L1768" s="137"/>
      <c r="M1768" s="137"/>
      <c r="N1768" s="138"/>
      <c r="O1768" s="167"/>
      <c r="P1768" s="111"/>
      <c r="Q1768" s="111"/>
      <c r="R1768" s="111"/>
      <c r="S1768" s="111"/>
      <c r="T1768" s="111"/>
      <c r="U1768" s="111"/>
      <c r="V1768" s="111"/>
      <c r="W1768" s="111"/>
      <c r="X1768" s="111"/>
      <c r="Y1768" s="111"/>
      <c r="Z1768" s="111"/>
      <c r="AA1768" s="111"/>
    </row>
    <row r="1769" spans="1:27" s="147" customFormat="1" x14ac:dyDescent="0.2">
      <c r="A1769" s="9" t="s">
        <v>899</v>
      </c>
      <c r="B1769" s="9" t="s">
        <v>89</v>
      </c>
      <c r="C1769" s="13" t="s">
        <v>316</v>
      </c>
      <c r="D1769" s="109" t="s">
        <v>317</v>
      </c>
      <c r="E1769" s="9" t="s">
        <v>9</v>
      </c>
      <c r="F1769" s="261"/>
      <c r="G1769" s="261" t="s">
        <v>39</v>
      </c>
      <c r="H1769" s="261"/>
      <c r="I1769" s="245"/>
      <c r="J1769" s="261"/>
      <c r="K1769" s="131">
        <f>J1771</f>
        <v>409</v>
      </c>
      <c r="L1769" s="131">
        <v>5.8</v>
      </c>
      <c r="M1769" s="131">
        <f>ROUND(L1769*(1+$Q$7),2)</f>
        <v>7.34</v>
      </c>
      <c r="N1769" s="133">
        <f>TRUNC(K1769*M1769,2)</f>
        <v>3002.06</v>
      </c>
      <c r="O1769" s="286"/>
      <c r="P1769" s="146"/>
      <c r="Q1769" s="146"/>
      <c r="R1769" s="146"/>
      <c r="S1769" s="146"/>
      <c r="T1769" s="146"/>
      <c r="U1769" s="146"/>
      <c r="V1769" s="146"/>
      <c r="W1769" s="146"/>
      <c r="X1769" s="146"/>
      <c r="Y1769" s="146"/>
      <c r="Z1769" s="146"/>
      <c r="AA1769" s="146"/>
    </row>
    <row r="1770" spans="1:27" s="118" customFormat="1" x14ac:dyDescent="0.2">
      <c r="A1770" s="6"/>
      <c r="B1770" s="6"/>
      <c r="C1770" s="155"/>
      <c r="D1770" s="2"/>
      <c r="E1770" s="148"/>
      <c r="F1770" s="253"/>
      <c r="G1770" s="253">
        <v>409</v>
      </c>
      <c r="H1770" s="253"/>
      <c r="I1770" s="246"/>
      <c r="J1770" s="253">
        <f t="shared" ref="J1770" si="175">ROUND(PRODUCT(F1770:I1770),2)</f>
        <v>409</v>
      </c>
      <c r="K1770" s="137"/>
      <c r="L1770" s="137"/>
      <c r="M1770" s="137"/>
      <c r="N1770" s="138"/>
      <c r="O1770" s="167"/>
      <c r="P1770" s="111"/>
      <c r="Q1770" s="111"/>
      <c r="R1770" s="111"/>
      <c r="S1770" s="111"/>
      <c r="T1770" s="111"/>
      <c r="U1770" s="111"/>
      <c r="V1770" s="111"/>
      <c r="W1770" s="111"/>
      <c r="X1770" s="111"/>
      <c r="Y1770" s="111"/>
      <c r="Z1770" s="111"/>
      <c r="AA1770" s="111"/>
    </row>
    <row r="1771" spans="1:27" s="118" customFormat="1" x14ac:dyDescent="0.2">
      <c r="A1771" s="6"/>
      <c r="B1771" s="6"/>
      <c r="C1771" s="156"/>
      <c r="D1771" s="108"/>
      <c r="E1771" s="148"/>
      <c r="F1771" s="253"/>
      <c r="G1771" s="253"/>
      <c r="H1771" s="253"/>
      <c r="I1771" s="246" t="str">
        <f>"Total item "&amp;A1769</f>
        <v>Total item 20.2.1</v>
      </c>
      <c r="J1771" s="261">
        <f>SUM(J1770:J1770)</f>
        <v>409</v>
      </c>
      <c r="K1771" s="137"/>
      <c r="L1771" s="137"/>
      <c r="M1771" s="137"/>
      <c r="N1771" s="138"/>
      <c r="O1771" s="167"/>
      <c r="P1771" s="111"/>
      <c r="Q1771" s="111"/>
      <c r="R1771" s="111"/>
      <c r="S1771" s="111"/>
      <c r="T1771" s="111"/>
      <c r="U1771" s="111"/>
      <c r="V1771" s="111"/>
      <c r="W1771" s="111"/>
      <c r="X1771" s="111"/>
      <c r="Y1771" s="111"/>
      <c r="Z1771" s="111"/>
      <c r="AA1771" s="111"/>
    </row>
    <row r="1772" spans="1:27" s="118" customFormat="1" x14ac:dyDescent="0.2">
      <c r="A1772" s="6"/>
      <c r="B1772" s="6"/>
      <c r="C1772" s="14"/>
      <c r="D1772" s="108"/>
      <c r="E1772" s="148"/>
      <c r="F1772" s="253"/>
      <c r="G1772" s="253"/>
      <c r="H1772" s="253"/>
      <c r="I1772" s="246"/>
      <c r="J1772" s="262"/>
      <c r="K1772" s="137"/>
      <c r="L1772" s="137"/>
      <c r="M1772" s="137"/>
      <c r="N1772" s="138"/>
      <c r="O1772" s="167"/>
      <c r="P1772" s="111"/>
      <c r="Q1772" s="111"/>
      <c r="R1772" s="111"/>
      <c r="S1772" s="111"/>
      <c r="T1772" s="111"/>
      <c r="U1772" s="111"/>
      <c r="V1772" s="111"/>
      <c r="W1772" s="111"/>
      <c r="X1772" s="111"/>
      <c r="Y1772" s="111"/>
      <c r="Z1772" s="111"/>
      <c r="AA1772" s="111"/>
    </row>
    <row r="1773" spans="1:27" s="145" customFormat="1" x14ac:dyDescent="0.2">
      <c r="A1773" s="140" t="s">
        <v>900</v>
      </c>
      <c r="B1773" s="140"/>
      <c r="C1773" s="141"/>
      <c r="D1773" s="112" t="s">
        <v>318</v>
      </c>
      <c r="E1773" s="140"/>
      <c r="F1773" s="260"/>
      <c r="G1773" s="260"/>
      <c r="H1773" s="260"/>
      <c r="I1773" s="248"/>
      <c r="J1773" s="260"/>
      <c r="K1773" s="142"/>
      <c r="L1773" s="142"/>
      <c r="M1773" s="142"/>
      <c r="N1773" s="143">
        <f>SUM(N1775:N1778)</f>
        <v>86.81</v>
      </c>
      <c r="O1773" s="285"/>
      <c r="P1773" s="144"/>
      <c r="Q1773" s="144"/>
      <c r="R1773" s="144"/>
      <c r="S1773" s="144"/>
      <c r="T1773" s="144"/>
      <c r="U1773" s="144"/>
      <c r="V1773" s="144"/>
      <c r="W1773" s="144"/>
      <c r="X1773" s="144"/>
      <c r="Y1773" s="144"/>
      <c r="Z1773" s="144"/>
      <c r="AA1773" s="144"/>
    </row>
    <row r="1774" spans="1:27" s="118" customFormat="1" x14ac:dyDescent="0.2">
      <c r="A1774" s="6"/>
      <c r="B1774" s="6"/>
      <c r="C1774" s="155"/>
      <c r="D1774" s="108"/>
      <c r="E1774" s="148"/>
      <c r="F1774" s="253"/>
      <c r="G1774" s="253"/>
      <c r="H1774" s="253"/>
      <c r="I1774" s="246"/>
      <c r="J1774" s="258"/>
      <c r="K1774" s="137"/>
      <c r="L1774" s="137"/>
      <c r="M1774" s="137"/>
      <c r="N1774" s="138"/>
      <c r="O1774" s="167"/>
      <c r="P1774" s="111"/>
      <c r="Q1774" s="111"/>
      <c r="R1774" s="111"/>
      <c r="S1774" s="111"/>
      <c r="T1774" s="111"/>
      <c r="U1774" s="111"/>
      <c r="V1774" s="111"/>
      <c r="W1774" s="111"/>
      <c r="X1774" s="111"/>
      <c r="Y1774" s="111"/>
      <c r="Z1774" s="111"/>
      <c r="AA1774" s="111"/>
    </row>
    <row r="1775" spans="1:27" s="147" customFormat="1" ht="30.6" x14ac:dyDescent="0.2">
      <c r="A1775" s="9" t="s">
        <v>901</v>
      </c>
      <c r="B1775" s="9" t="s">
        <v>89</v>
      </c>
      <c r="C1775" s="13">
        <v>72144</v>
      </c>
      <c r="D1775" s="109" t="s">
        <v>319</v>
      </c>
      <c r="E1775" s="9" t="s">
        <v>33</v>
      </c>
      <c r="F1775" s="261"/>
      <c r="G1775" s="261"/>
      <c r="H1775" s="261"/>
      <c r="I1775" s="245"/>
      <c r="J1775" s="261"/>
      <c r="K1775" s="131">
        <f>J1777</f>
        <v>1</v>
      </c>
      <c r="L1775" s="131">
        <v>68.61</v>
      </c>
      <c r="M1775" s="131">
        <f>ROUND(L1775*(1+$Q$7),2)</f>
        <v>86.81</v>
      </c>
      <c r="N1775" s="133">
        <f>TRUNC(K1775*M1775,2)</f>
        <v>86.81</v>
      </c>
      <c r="O1775" s="286"/>
      <c r="P1775" s="146"/>
      <c r="Q1775" s="146"/>
      <c r="R1775" s="146"/>
      <c r="S1775" s="146"/>
      <c r="T1775" s="146"/>
      <c r="U1775" s="146"/>
      <c r="V1775" s="146"/>
      <c r="W1775" s="146"/>
      <c r="X1775" s="146"/>
      <c r="Y1775" s="146"/>
      <c r="Z1775" s="146"/>
      <c r="AA1775" s="146"/>
    </row>
    <row r="1776" spans="1:27" s="118" customFormat="1" x14ac:dyDescent="0.2">
      <c r="A1776" s="6"/>
      <c r="B1776" s="6"/>
      <c r="C1776" s="155"/>
      <c r="D1776" s="2" t="s">
        <v>320</v>
      </c>
      <c r="E1776" s="148"/>
      <c r="F1776" s="253">
        <v>1</v>
      </c>
      <c r="G1776" s="253"/>
      <c r="H1776" s="253"/>
      <c r="I1776" s="246"/>
      <c r="J1776" s="253">
        <f t="shared" ref="J1776" si="176">ROUND(PRODUCT(F1776:I1776),2)</f>
        <v>1</v>
      </c>
      <c r="K1776" s="137"/>
      <c r="L1776" s="137"/>
      <c r="M1776" s="137"/>
      <c r="N1776" s="138"/>
      <c r="O1776" s="167"/>
      <c r="P1776" s="111"/>
      <c r="Q1776" s="111"/>
      <c r="R1776" s="111"/>
      <c r="S1776" s="111"/>
      <c r="T1776" s="111"/>
      <c r="U1776" s="111"/>
      <c r="V1776" s="111"/>
      <c r="W1776" s="111"/>
      <c r="X1776" s="111"/>
      <c r="Y1776" s="111"/>
      <c r="Z1776" s="111"/>
      <c r="AA1776" s="111"/>
    </row>
    <row r="1777" spans="1:27" s="118" customFormat="1" x14ac:dyDescent="0.2">
      <c r="A1777" s="6"/>
      <c r="B1777" s="6"/>
      <c r="C1777" s="156"/>
      <c r="D1777" s="108"/>
      <c r="E1777" s="148"/>
      <c r="F1777" s="253"/>
      <c r="G1777" s="253"/>
      <c r="H1777" s="253"/>
      <c r="I1777" s="246" t="str">
        <f>"Total item "&amp;A1775</f>
        <v>Total item 20.3.1</v>
      </c>
      <c r="J1777" s="261">
        <f>SUM(J1776:J1776)</f>
        <v>1</v>
      </c>
      <c r="K1777" s="137"/>
      <c r="L1777" s="137"/>
      <c r="M1777" s="137"/>
      <c r="N1777" s="138"/>
      <c r="O1777" s="167"/>
      <c r="P1777" s="111"/>
      <c r="Q1777" s="111"/>
      <c r="R1777" s="111"/>
      <c r="S1777" s="111"/>
      <c r="T1777" s="111"/>
      <c r="U1777" s="111"/>
      <c r="V1777" s="111"/>
      <c r="W1777" s="111"/>
      <c r="X1777" s="111"/>
      <c r="Y1777" s="111"/>
      <c r="Z1777" s="111"/>
      <c r="AA1777" s="111"/>
    </row>
    <row r="1778" spans="1:27" s="118" customFormat="1" x14ac:dyDescent="0.2">
      <c r="A1778" s="6"/>
      <c r="B1778" s="6"/>
      <c r="C1778" s="14"/>
      <c r="D1778" s="108"/>
      <c r="E1778" s="148"/>
      <c r="F1778" s="253"/>
      <c r="G1778" s="253"/>
      <c r="H1778" s="253"/>
      <c r="I1778" s="246"/>
      <c r="J1778" s="262"/>
      <c r="K1778" s="137"/>
      <c r="L1778" s="137"/>
      <c r="M1778" s="137"/>
      <c r="N1778" s="138"/>
      <c r="O1778" s="167"/>
      <c r="P1778" s="111"/>
      <c r="Q1778" s="111"/>
      <c r="R1778" s="111"/>
      <c r="S1778" s="111"/>
      <c r="T1778" s="111"/>
      <c r="U1778" s="111"/>
      <c r="V1778" s="111"/>
      <c r="W1778" s="111"/>
      <c r="X1778" s="111"/>
      <c r="Y1778" s="111"/>
      <c r="Z1778" s="111"/>
      <c r="AA1778" s="111"/>
    </row>
    <row r="1779" spans="1:27" s="241" customFormat="1" ht="26.4" x14ac:dyDescent="0.25">
      <c r="A1779" s="236" t="s">
        <v>237</v>
      </c>
      <c r="B1779" s="236"/>
      <c r="C1779" s="237"/>
      <c r="D1779" s="289" t="s">
        <v>329</v>
      </c>
      <c r="E1779" s="236"/>
      <c r="F1779" s="259"/>
      <c r="G1779" s="259"/>
      <c r="H1779" s="259"/>
      <c r="I1779" s="247"/>
      <c r="J1779" s="259"/>
      <c r="K1779" s="238"/>
      <c r="L1779" s="238"/>
      <c r="M1779" s="238"/>
      <c r="N1779" s="239">
        <f>N1781+N1815+N1860+N1807+N1851</f>
        <v>14973.65</v>
      </c>
      <c r="O1779" s="284" t="e">
        <f>N1779/$N$2057</f>
        <v>#VALUE!</v>
      </c>
      <c r="P1779" s="240" t="s">
        <v>533</v>
      </c>
      <c r="Q1779" s="240" t="s">
        <v>533</v>
      </c>
      <c r="R1779" s="240"/>
      <c r="S1779" s="240"/>
      <c r="T1779" s="240"/>
      <c r="U1779" s="240"/>
      <c r="V1779" s="240"/>
      <c r="W1779" s="240"/>
      <c r="X1779" s="240"/>
      <c r="Y1779" s="240"/>
      <c r="Z1779" s="240"/>
      <c r="AA1779" s="240"/>
    </row>
    <row r="1780" spans="1:27" s="118" customFormat="1" x14ac:dyDescent="0.2">
      <c r="A1780" s="6"/>
      <c r="B1780" s="6"/>
      <c r="C1780" s="155"/>
      <c r="D1780" s="108"/>
      <c r="E1780" s="148"/>
      <c r="F1780" s="253"/>
      <c r="G1780" s="253"/>
      <c r="H1780" s="253"/>
      <c r="I1780" s="246"/>
      <c r="J1780" s="258"/>
      <c r="K1780" s="137"/>
      <c r="L1780" s="137"/>
      <c r="M1780" s="137"/>
      <c r="N1780" s="138"/>
      <c r="O1780" s="167"/>
      <c r="P1780" s="111"/>
      <c r="Q1780" s="111"/>
      <c r="R1780" s="111"/>
      <c r="S1780" s="111"/>
      <c r="T1780" s="111"/>
      <c r="U1780" s="111"/>
      <c r="V1780" s="111"/>
      <c r="W1780" s="111"/>
      <c r="X1780" s="111"/>
      <c r="Y1780" s="111"/>
      <c r="Z1780" s="111"/>
      <c r="AA1780" s="111"/>
    </row>
    <row r="1781" spans="1:27" s="145" customFormat="1" x14ac:dyDescent="0.2">
      <c r="A1781" s="140" t="s">
        <v>902</v>
      </c>
      <c r="B1781" s="140"/>
      <c r="C1781" s="141"/>
      <c r="D1781" s="112" t="s">
        <v>30</v>
      </c>
      <c r="E1781" s="140"/>
      <c r="F1781" s="260"/>
      <c r="G1781" s="260"/>
      <c r="H1781" s="260"/>
      <c r="I1781" s="248"/>
      <c r="J1781" s="260"/>
      <c r="K1781" s="142"/>
      <c r="L1781" s="142"/>
      <c r="M1781" s="142"/>
      <c r="N1781" s="143">
        <f>SUM(N1783:N1806)</f>
        <v>1814.12</v>
      </c>
      <c r="O1781" s="285"/>
      <c r="P1781" s="144"/>
      <c r="Q1781" s="144"/>
      <c r="R1781" s="144"/>
      <c r="S1781" s="144"/>
      <c r="T1781" s="144"/>
      <c r="U1781" s="144"/>
      <c r="V1781" s="144"/>
      <c r="W1781" s="144"/>
      <c r="X1781" s="144"/>
      <c r="Y1781" s="144"/>
      <c r="Z1781" s="144"/>
      <c r="AA1781" s="144"/>
    </row>
    <row r="1782" spans="1:27" s="118" customFormat="1" x14ac:dyDescent="0.2">
      <c r="A1782" s="6"/>
      <c r="B1782" s="6"/>
      <c r="C1782" s="155"/>
      <c r="D1782" s="108"/>
      <c r="E1782" s="148"/>
      <c r="F1782" s="253"/>
      <c r="G1782" s="253"/>
      <c r="H1782" s="253"/>
      <c r="I1782" s="246"/>
      <c r="J1782" s="258"/>
      <c r="K1782" s="137"/>
      <c r="L1782" s="137"/>
      <c r="M1782" s="137"/>
      <c r="N1782" s="138"/>
      <c r="O1782" s="167"/>
      <c r="P1782" s="111"/>
      <c r="Q1782" s="111"/>
      <c r="R1782" s="111"/>
      <c r="S1782" s="111"/>
      <c r="T1782" s="111"/>
      <c r="U1782" s="111"/>
      <c r="V1782" s="111"/>
      <c r="W1782" s="111"/>
      <c r="X1782" s="111"/>
      <c r="Y1782" s="111"/>
      <c r="Z1782" s="111"/>
      <c r="AA1782" s="111"/>
    </row>
    <row r="1783" spans="1:27" s="147" customFormat="1" ht="30.6" x14ac:dyDescent="0.2">
      <c r="A1783" s="9" t="s">
        <v>917</v>
      </c>
      <c r="B1783" s="9" t="s">
        <v>163</v>
      </c>
      <c r="C1783" s="13" t="s">
        <v>240</v>
      </c>
      <c r="D1783" s="113" t="s">
        <v>403</v>
      </c>
      <c r="E1783" s="9" t="s">
        <v>31</v>
      </c>
      <c r="F1783" s="261"/>
      <c r="G1783" s="261"/>
      <c r="H1783" s="261"/>
      <c r="I1783" s="245"/>
      <c r="J1783" s="261"/>
      <c r="K1783" s="131">
        <f>J1785</f>
        <v>6</v>
      </c>
      <c r="L1783" s="131">
        <v>73.44</v>
      </c>
      <c r="M1783" s="131">
        <f>ROUND(L1783*(1+$Q$7),2)</f>
        <v>92.92</v>
      </c>
      <c r="N1783" s="133">
        <f>TRUNC(K1783*M1783,2)</f>
        <v>557.52</v>
      </c>
      <c r="O1783" s="286"/>
      <c r="P1783" s="146"/>
      <c r="Q1783" s="146"/>
      <c r="R1783" s="146"/>
      <c r="S1783" s="146"/>
      <c r="T1783" s="146"/>
      <c r="U1783" s="146"/>
      <c r="V1783" s="146"/>
      <c r="W1783" s="146"/>
      <c r="X1783" s="146"/>
      <c r="Y1783" s="146"/>
      <c r="Z1783" s="146"/>
      <c r="AA1783" s="146"/>
    </row>
    <row r="1784" spans="1:27" s="174" customFormat="1" x14ac:dyDescent="0.2">
      <c r="A1784" s="170"/>
      <c r="B1784" s="170"/>
      <c r="C1784" s="171"/>
      <c r="D1784" s="2" t="s">
        <v>512</v>
      </c>
      <c r="E1784" s="6"/>
      <c r="F1784" s="253">
        <v>6</v>
      </c>
      <c r="G1784" s="253"/>
      <c r="H1784" s="253"/>
      <c r="I1784" s="249"/>
      <c r="J1784" s="253">
        <f t="shared" ref="J1784" si="177">ROUND(PRODUCT(F1784:I1784),2)</f>
        <v>6</v>
      </c>
      <c r="K1784" s="172"/>
      <c r="L1784" s="172"/>
      <c r="M1784" s="172"/>
      <c r="N1784" s="173"/>
      <c r="O1784" s="287"/>
      <c r="P1784" s="23"/>
      <c r="Q1784" s="23"/>
      <c r="R1784" s="23"/>
      <c r="S1784" s="23"/>
      <c r="T1784" s="23"/>
      <c r="U1784" s="23"/>
      <c r="V1784" s="23"/>
      <c r="W1784" s="23"/>
      <c r="X1784" s="23"/>
      <c r="Y1784" s="23"/>
      <c r="Z1784" s="23"/>
      <c r="AA1784" s="23"/>
    </row>
    <row r="1785" spans="1:27" s="174" customFormat="1" x14ac:dyDescent="0.2">
      <c r="A1785" s="170"/>
      <c r="B1785" s="170"/>
      <c r="C1785" s="171"/>
      <c r="D1785" s="175"/>
      <c r="E1785" s="176"/>
      <c r="F1785" s="264"/>
      <c r="G1785" s="264"/>
      <c r="H1785" s="264"/>
      <c r="I1785" s="251" t="str">
        <f>"Total item "&amp;A1783</f>
        <v>Total item 21.1.1</v>
      </c>
      <c r="J1785" s="261">
        <f>SUM(J1784:J1784)</f>
        <v>6</v>
      </c>
      <c r="K1785" s="172"/>
      <c r="L1785" s="172"/>
      <c r="M1785" s="172"/>
      <c r="N1785" s="173"/>
      <c r="O1785" s="287"/>
      <c r="P1785" s="23"/>
      <c r="Q1785" s="23"/>
      <c r="R1785" s="23"/>
      <c r="S1785" s="23"/>
      <c r="T1785" s="23"/>
      <c r="U1785" s="23"/>
      <c r="V1785" s="23"/>
      <c r="W1785" s="23"/>
      <c r="X1785" s="23"/>
      <c r="Y1785" s="23"/>
      <c r="Z1785" s="23"/>
      <c r="AA1785" s="23"/>
    </row>
    <row r="1786" spans="1:27" s="174" customFormat="1" x14ac:dyDescent="0.2">
      <c r="A1786" s="170"/>
      <c r="B1786" s="170"/>
      <c r="C1786" s="171"/>
      <c r="D1786" s="175"/>
      <c r="E1786" s="176"/>
      <c r="F1786" s="264"/>
      <c r="G1786" s="264"/>
      <c r="H1786" s="264"/>
      <c r="I1786" s="251"/>
      <c r="J1786" s="262"/>
      <c r="K1786" s="172"/>
      <c r="L1786" s="172"/>
      <c r="M1786" s="172"/>
      <c r="N1786" s="173"/>
      <c r="O1786" s="287"/>
      <c r="P1786" s="23"/>
      <c r="Q1786" s="23"/>
      <c r="R1786" s="23"/>
      <c r="S1786" s="23"/>
      <c r="T1786" s="23"/>
      <c r="U1786" s="23"/>
      <c r="V1786" s="23"/>
      <c r="W1786" s="23"/>
      <c r="X1786" s="23"/>
      <c r="Y1786" s="23"/>
      <c r="Z1786" s="23"/>
      <c r="AA1786" s="23"/>
    </row>
    <row r="1787" spans="1:27" s="147" customFormat="1" ht="30.6" x14ac:dyDescent="0.2">
      <c r="A1787" s="9" t="s">
        <v>919</v>
      </c>
      <c r="B1787" s="9" t="s">
        <v>179</v>
      </c>
      <c r="C1787" s="13" t="s">
        <v>672</v>
      </c>
      <c r="D1787" s="113" t="s">
        <v>567</v>
      </c>
      <c r="E1787" s="9" t="s">
        <v>33</v>
      </c>
      <c r="F1787" s="261"/>
      <c r="G1787" s="261"/>
      <c r="H1787" s="261"/>
      <c r="I1787" s="245"/>
      <c r="J1787" s="261"/>
      <c r="K1787" s="131">
        <f>J1789</f>
        <v>6</v>
      </c>
      <c r="L1787" s="131">
        <f>'COMPOSICOES - SINAPI COM DESON'!G50</f>
        <v>104.48</v>
      </c>
      <c r="M1787" s="131">
        <f>ROUND(L1787*(1+$Q$7),2)</f>
        <v>132.19999999999999</v>
      </c>
      <c r="N1787" s="133">
        <f>TRUNC(K1787*M1787,2)</f>
        <v>793.2</v>
      </c>
      <c r="O1787" s="286"/>
      <c r="P1787" s="146"/>
      <c r="Q1787" s="146"/>
      <c r="R1787" s="146"/>
      <c r="S1787" s="146"/>
      <c r="T1787" s="146"/>
      <c r="U1787" s="146"/>
      <c r="V1787" s="146"/>
      <c r="W1787" s="146"/>
      <c r="X1787" s="146"/>
      <c r="Y1787" s="146"/>
      <c r="Z1787" s="146"/>
      <c r="AA1787" s="146"/>
    </row>
    <row r="1788" spans="1:27" s="174" customFormat="1" x14ac:dyDescent="0.2">
      <c r="A1788" s="170"/>
      <c r="B1788" s="170"/>
      <c r="C1788" s="171"/>
      <c r="D1788" s="2" t="s">
        <v>512</v>
      </c>
      <c r="E1788" s="6"/>
      <c r="F1788" s="253">
        <v>6</v>
      </c>
      <c r="G1788" s="253"/>
      <c r="H1788" s="253"/>
      <c r="I1788" s="249"/>
      <c r="J1788" s="253">
        <f t="shared" ref="J1788" si="178">ROUND(PRODUCT(F1788:I1788),2)</f>
        <v>6</v>
      </c>
      <c r="K1788" s="172"/>
      <c r="L1788" s="172"/>
      <c r="M1788" s="172"/>
      <c r="N1788" s="173"/>
      <c r="O1788" s="287"/>
      <c r="P1788" s="23"/>
      <c r="Q1788" s="23"/>
      <c r="R1788" s="23"/>
      <c r="S1788" s="23"/>
      <c r="T1788" s="23"/>
      <c r="U1788" s="23"/>
      <c r="V1788" s="23"/>
      <c r="W1788" s="23"/>
      <c r="X1788" s="23"/>
      <c r="Y1788" s="23"/>
      <c r="Z1788" s="23"/>
      <c r="AA1788" s="23"/>
    </row>
    <row r="1789" spans="1:27" s="174" customFormat="1" x14ac:dyDescent="0.2">
      <c r="A1789" s="170"/>
      <c r="B1789" s="170"/>
      <c r="C1789" s="171"/>
      <c r="D1789" s="175"/>
      <c r="E1789" s="176"/>
      <c r="F1789" s="264"/>
      <c r="G1789" s="264"/>
      <c r="H1789" s="264"/>
      <c r="I1789" s="251" t="str">
        <f>"Total item "&amp;A1787</f>
        <v>Total item 21.1.2</v>
      </c>
      <c r="J1789" s="261">
        <f>SUM(J1788:J1788)</f>
        <v>6</v>
      </c>
      <c r="K1789" s="172"/>
      <c r="L1789" s="172"/>
      <c r="M1789" s="172"/>
      <c r="N1789" s="173"/>
      <c r="O1789" s="287"/>
      <c r="P1789" s="23"/>
      <c r="Q1789" s="23"/>
      <c r="R1789" s="23"/>
      <c r="S1789" s="23"/>
      <c r="T1789" s="23"/>
      <c r="U1789" s="23"/>
      <c r="V1789" s="23"/>
      <c r="W1789" s="23"/>
      <c r="X1789" s="23"/>
      <c r="Y1789" s="23"/>
      <c r="Z1789" s="23"/>
      <c r="AA1789" s="23"/>
    </row>
    <row r="1790" spans="1:27" s="118" customFormat="1" x14ac:dyDescent="0.2">
      <c r="A1790" s="6"/>
      <c r="B1790" s="6"/>
      <c r="C1790" s="7"/>
      <c r="D1790" s="149"/>
      <c r="E1790" s="148"/>
      <c r="F1790" s="253"/>
      <c r="G1790" s="253"/>
      <c r="H1790" s="253"/>
      <c r="I1790" s="246"/>
      <c r="J1790" s="258"/>
      <c r="K1790" s="137"/>
      <c r="L1790" s="137"/>
      <c r="M1790" s="137"/>
      <c r="N1790" s="138"/>
      <c r="O1790" s="167"/>
      <c r="P1790" s="111"/>
      <c r="Q1790" s="111"/>
      <c r="R1790" s="111"/>
      <c r="S1790" s="111"/>
      <c r="T1790" s="111"/>
      <c r="U1790" s="111"/>
      <c r="V1790" s="111"/>
      <c r="W1790" s="111"/>
      <c r="X1790" s="111"/>
      <c r="Y1790" s="111"/>
      <c r="Z1790" s="111"/>
      <c r="AA1790" s="111"/>
    </row>
    <row r="1791" spans="1:27" s="147" customFormat="1" ht="40.799999999999997" x14ac:dyDescent="0.2">
      <c r="A1791" s="9" t="s">
        <v>920</v>
      </c>
      <c r="B1791" s="9" t="s">
        <v>89</v>
      </c>
      <c r="C1791" s="13">
        <v>93144</v>
      </c>
      <c r="D1791" s="113" t="s">
        <v>295</v>
      </c>
      <c r="E1791" s="9" t="s">
        <v>33</v>
      </c>
      <c r="F1791" s="261"/>
      <c r="G1791" s="261"/>
      <c r="H1791" s="261"/>
      <c r="I1791" s="245"/>
      <c r="J1791" s="261"/>
      <c r="K1791" s="131">
        <f>J1793</f>
        <v>1</v>
      </c>
      <c r="L1791" s="131">
        <v>166.81</v>
      </c>
      <c r="M1791" s="131">
        <f>ROUND(L1791*(1+$Q$7),2)</f>
        <v>211.06</v>
      </c>
      <c r="N1791" s="133">
        <f>TRUNC(K1791*M1791,2)</f>
        <v>211.06</v>
      </c>
      <c r="O1791" s="286"/>
      <c r="P1791" s="146"/>
      <c r="Q1791" s="146"/>
      <c r="R1791" s="146"/>
      <c r="S1791" s="146"/>
      <c r="T1791" s="146"/>
      <c r="U1791" s="146"/>
      <c r="V1791" s="146"/>
      <c r="W1791" s="146"/>
      <c r="X1791" s="146"/>
      <c r="Y1791" s="146"/>
      <c r="Z1791" s="146"/>
      <c r="AA1791" s="146"/>
    </row>
    <row r="1792" spans="1:27" s="118" customFormat="1" x14ac:dyDescent="0.2">
      <c r="A1792" s="6"/>
      <c r="B1792" s="6"/>
      <c r="C1792" s="155"/>
      <c r="D1792" s="2" t="s">
        <v>918</v>
      </c>
      <c r="E1792" s="148"/>
      <c r="F1792" s="253">
        <v>1</v>
      </c>
      <c r="G1792" s="253"/>
      <c r="H1792" s="253"/>
      <c r="I1792" s="246"/>
      <c r="J1792" s="253">
        <f t="shared" ref="J1792" si="179">ROUND(PRODUCT(F1792:I1792),2)</f>
        <v>1</v>
      </c>
      <c r="K1792" s="137"/>
      <c r="L1792" s="137"/>
      <c r="M1792" s="137"/>
      <c r="N1792" s="138"/>
      <c r="O1792" s="167"/>
      <c r="P1792" s="111"/>
      <c r="Q1792" s="111"/>
      <c r="R1792" s="111"/>
      <c r="S1792" s="111"/>
      <c r="T1792" s="111"/>
      <c r="U1792" s="111"/>
      <c r="V1792" s="111"/>
      <c r="W1792" s="111"/>
      <c r="X1792" s="111"/>
      <c r="Y1792" s="111"/>
      <c r="Z1792" s="111"/>
      <c r="AA1792" s="111"/>
    </row>
    <row r="1793" spans="1:27" s="118" customFormat="1" x14ac:dyDescent="0.2">
      <c r="A1793" s="6"/>
      <c r="B1793" s="6"/>
      <c r="C1793" s="156"/>
      <c r="D1793" s="108"/>
      <c r="E1793" s="148"/>
      <c r="F1793" s="253"/>
      <c r="G1793" s="253"/>
      <c r="H1793" s="253"/>
      <c r="I1793" s="246" t="str">
        <f>"Total item "&amp;A1791</f>
        <v>Total item 21.1.3</v>
      </c>
      <c r="J1793" s="261">
        <f>SUM(J1792:J1792)</f>
        <v>1</v>
      </c>
      <c r="K1793" s="137"/>
      <c r="L1793" s="137"/>
      <c r="M1793" s="137"/>
      <c r="N1793" s="138"/>
      <c r="O1793" s="167"/>
      <c r="P1793" s="111"/>
      <c r="Q1793" s="111"/>
      <c r="R1793" s="111"/>
      <c r="S1793" s="111"/>
      <c r="T1793" s="111"/>
      <c r="U1793" s="111"/>
      <c r="V1793" s="111"/>
      <c r="W1793" s="111"/>
      <c r="X1793" s="111"/>
      <c r="Y1793" s="111"/>
      <c r="Z1793" s="111"/>
      <c r="AA1793" s="111"/>
    </row>
    <row r="1794" spans="1:27" s="161" customFormat="1" x14ac:dyDescent="0.2">
      <c r="A1794" s="10"/>
      <c r="B1794" s="10"/>
      <c r="C1794" s="191"/>
      <c r="D1794" s="110"/>
      <c r="E1794" s="158"/>
      <c r="F1794" s="267"/>
      <c r="G1794" s="267"/>
      <c r="H1794" s="267"/>
      <c r="I1794" s="250"/>
      <c r="J1794" s="263"/>
      <c r="K1794" s="151"/>
      <c r="L1794" s="151"/>
      <c r="M1794" s="151"/>
      <c r="N1794" s="152"/>
      <c r="O1794" s="167"/>
      <c r="P1794" s="114"/>
      <c r="Q1794" s="114"/>
      <c r="R1794" s="114"/>
      <c r="S1794" s="114"/>
      <c r="T1794" s="114"/>
      <c r="U1794" s="114"/>
      <c r="V1794" s="114"/>
      <c r="W1794" s="114"/>
      <c r="X1794" s="114"/>
      <c r="Y1794" s="114"/>
      <c r="Z1794" s="114"/>
      <c r="AA1794" s="114"/>
    </row>
    <row r="1795" spans="1:27" s="147" customFormat="1" ht="40.799999999999997" x14ac:dyDescent="0.2">
      <c r="A1795" s="9" t="s">
        <v>921</v>
      </c>
      <c r="B1795" s="9" t="s">
        <v>163</v>
      </c>
      <c r="C1795" s="197" t="s">
        <v>192</v>
      </c>
      <c r="D1795" s="113" t="s">
        <v>712</v>
      </c>
      <c r="E1795" s="9" t="s">
        <v>31</v>
      </c>
      <c r="F1795" s="261"/>
      <c r="G1795" s="261"/>
      <c r="H1795" s="261"/>
      <c r="I1795" s="245"/>
      <c r="J1795" s="261"/>
      <c r="K1795" s="131">
        <f>J1797</f>
        <v>1</v>
      </c>
      <c r="L1795" s="131">
        <v>46.44</v>
      </c>
      <c r="M1795" s="131">
        <f>ROUND(L1795*(1+$Q$7),2)</f>
        <v>58.76</v>
      </c>
      <c r="N1795" s="133">
        <f>TRUNC(K1795*M1795,2)</f>
        <v>58.76</v>
      </c>
      <c r="O1795" s="286"/>
      <c r="P1795" s="146"/>
      <c r="Q1795" s="146"/>
      <c r="R1795" s="146"/>
      <c r="S1795" s="146"/>
      <c r="T1795" s="146"/>
      <c r="U1795" s="146"/>
      <c r="V1795" s="146"/>
      <c r="W1795" s="146"/>
      <c r="X1795" s="146"/>
      <c r="Y1795" s="146"/>
      <c r="Z1795" s="146"/>
      <c r="AA1795" s="146"/>
    </row>
    <row r="1796" spans="1:27" s="118" customFormat="1" x14ac:dyDescent="0.2">
      <c r="A1796" s="6"/>
      <c r="B1796" s="6"/>
      <c r="C1796" s="155"/>
      <c r="D1796" s="2" t="s">
        <v>918</v>
      </c>
      <c r="E1796" s="148"/>
      <c r="F1796" s="253">
        <v>1</v>
      </c>
      <c r="G1796" s="253"/>
      <c r="H1796" s="253"/>
      <c r="I1796" s="246"/>
      <c r="J1796" s="253">
        <f>ROUND(PRODUCT(F1796:I1796),2)</f>
        <v>1</v>
      </c>
      <c r="K1796" s="137"/>
      <c r="L1796" s="137"/>
      <c r="M1796" s="137"/>
      <c r="N1796" s="138"/>
      <c r="O1796" s="167"/>
      <c r="P1796" s="111"/>
      <c r="Q1796" s="111"/>
      <c r="R1796" s="111"/>
      <c r="S1796" s="111"/>
      <c r="T1796" s="111"/>
      <c r="U1796" s="111"/>
      <c r="V1796" s="111"/>
      <c r="W1796" s="111"/>
      <c r="X1796" s="111"/>
      <c r="Y1796" s="111"/>
      <c r="Z1796" s="111"/>
      <c r="AA1796" s="111"/>
    </row>
    <row r="1797" spans="1:27" s="118" customFormat="1" x14ac:dyDescent="0.2">
      <c r="A1797" s="6"/>
      <c r="B1797" s="6"/>
      <c r="C1797" s="156"/>
      <c r="D1797" s="108"/>
      <c r="E1797" s="148"/>
      <c r="F1797" s="253"/>
      <c r="G1797" s="253"/>
      <c r="H1797" s="253"/>
      <c r="I1797" s="246" t="str">
        <f>"Total item "&amp;A1795</f>
        <v>Total item 21.1.4</v>
      </c>
      <c r="J1797" s="261">
        <f>SUM(J1796:J1796)</f>
        <v>1</v>
      </c>
      <c r="K1797" s="137"/>
      <c r="L1797" s="137"/>
      <c r="M1797" s="137"/>
      <c r="N1797" s="138"/>
      <c r="O1797" s="167"/>
      <c r="P1797" s="111"/>
      <c r="Q1797" s="111"/>
      <c r="R1797" s="111"/>
      <c r="S1797" s="111"/>
      <c r="T1797" s="111"/>
      <c r="U1797" s="111"/>
      <c r="V1797" s="111"/>
      <c r="W1797" s="111"/>
      <c r="X1797" s="111"/>
      <c r="Y1797" s="111"/>
      <c r="Z1797" s="111"/>
      <c r="AA1797" s="111"/>
    </row>
    <row r="1798" spans="1:27" s="139" customFormat="1" x14ac:dyDescent="0.2">
      <c r="A1798" s="6"/>
      <c r="B1798" s="6"/>
      <c r="C1798" s="7"/>
      <c r="D1798" s="116"/>
      <c r="E1798" s="6"/>
      <c r="F1798" s="258"/>
      <c r="G1798" s="258"/>
      <c r="H1798" s="258"/>
      <c r="I1798" s="246"/>
      <c r="J1798" s="258"/>
      <c r="K1798" s="137"/>
      <c r="L1798" s="137"/>
      <c r="M1798" s="137"/>
      <c r="N1798" s="138"/>
      <c r="O1798" s="283"/>
      <c r="P1798" s="120"/>
      <c r="Q1798" s="120"/>
      <c r="R1798" s="120"/>
      <c r="S1798" s="120"/>
      <c r="T1798" s="120"/>
      <c r="U1798" s="120"/>
      <c r="V1798" s="120"/>
      <c r="W1798" s="120"/>
      <c r="X1798" s="120"/>
      <c r="Y1798" s="120"/>
      <c r="Z1798" s="120"/>
      <c r="AA1798" s="120"/>
    </row>
    <row r="1799" spans="1:27" s="147" customFormat="1" ht="40.799999999999997" x14ac:dyDescent="0.2">
      <c r="A1799" s="9" t="s">
        <v>922</v>
      </c>
      <c r="B1799" s="9" t="s">
        <v>163</v>
      </c>
      <c r="C1799" s="13" t="s">
        <v>188</v>
      </c>
      <c r="D1799" s="113" t="s">
        <v>719</v>
      </c>
      <c r="E1799" s="9" t="s">
        <v>33</v>
      </c>
      <c r="F1799" s="261"/>
      <c r="G1799" s="261"/>
      <c r="H1799" s="261"/>
      <c r="I1799" s="245"/>
      <c r="J1799" s="261"/>
      <c r="K1799" s="131">
        <f>J1801</f>
        <v>1</v>
      </c>
      <c r="L1799" s="131">
        <v>65.69</v>
      </c>
      <c r="M1799" s="131">
        <f>ROUND(L1799*(1+$Q$7),2)</f>
        <v>83.12</v>
      </c>
      <c r="N1799" s="133">
        <f>TRUNC(K1799*M1799,2)</f>
        <v>83.12</v>
      </c>
      <c r="O1799" s="286"/>
      <c r="P1799" s="146"/>
      <c r="Q1799" s="146"/>
      <c r="R1799" s="146"/>
      <c r="S1799" s="146"/>
      <c r="T1799" s="146"/>
      <c r="U1799" s="146"/>
      <c r="V1799" s="146"/>
      <c r="W1799" s="146"/>
      <c r="X1799" s="146"/>
      <c r="Y1799" s="146"/>
      <c r="Z1799" s="146"/>
      <c r="AA1799" s="146"/>
    </row>
    <row r="1800" spans="1:27" s="118" customFormat="1" x14ac:dyDescent="0.2">
      <c r="A1800" s="10"/>
      <c r="B1800" s="6"/>
      <c r="C1800" s="6"/>
      <c r="D1800" s="2"/>
      <c r="E1800" s="148"/>
      <c r="F1800" s="253">
        <v>1</v>
      </c>
      <c r="G1800" s="253"/>
      <c r="H1800" s="253"/>
      <c r="I1800" s="246"/>
      <c r="J1800" s="253">
        <f>ROUND(PRODUCT(F1800:I1800),2)</f>
        <v>1</v>
      </c>
      <c r="K1800" s="137"/>
      <c r="L1800" s="137"/>
      <c r="M1800" s="137"/>
      <c r="N1800" s="138"/>
      <c r="O1800" s="167"/>
      <c r="P1800" s="111"/>
      <c r="Q1800" s="111"/>
      <c r="R1800" s="111"/>
      <c r="S1800" s="111"/>
      <c r="T1800" s="111"/>
      <c r="U1800" s="111"/>
      <c r="V1800" s="111"/>
      <c r="W1800" s="111"/>
      <c r="X1800" s="111"/>
      <c r="Y1800" s="111"/>
      <c r="Z1800" s="111"/>
      <c r="AA1800" s="111"/>
    </row>
    <row r="1801" spans="1:27" s="118" customFormat="1" x14ac:dyDescent="0.2">
      <c r="A1801" s="10"/>
      <c r="B1801" s="6"/>
      <c r="C1801" s="156"/>
      <c r="D1801" s="108"/>
      <c r="E1801" s="148"/>
      <c r="F1801" s="253"/>
      <c r="G1801" s="253"/>
      <c r="H1801" s="253"/>
      <c r="I1801" s="246" t="str">
        <f>"Total item "&amp;A1799</f>
        <v>Total item 21.1.5</v>
      </c>
      <c r="J1801" s="261">
        <f>SUM(J1800:J1800)</f>
        <v>1</v>
      </c>
      <c r="K1801" s="137"/>
      <c r="L1801" s="137"/>
      <c r="M1801" s="137"/>
      <c r="N1801" s="138"/>
      <c r="O1801" s="167"/>
      <c r="P1801" s="111"/>
      <c r="Q1801" s="111"/>
      <c r="R1801" s="111"/>
      <c r="S1801" s="111"/>
      <c r="T1801" s="111"/>
      <c r="U1801" s="111"/>
      <c r="V1801" s="111"/>
      <c r="W1801" s="111"/>
      <c r="X1801" s="111"/>
      <c r="Y1801" s="111"/>
      <c r="Z1801" s="111"/>
      <c r="AA1801" s="111"/>
    </row>
    <row r="1802" spans="1:27" s="118" customFormat="1" x14ac:dyDescent="0.2">
      <c r="A1802" s="10"/>
      <c r="B1802" s="6"/>
      <c r="C1802" s="155"/>
      <c r="D1802" s="108"/>
      <c r="E1802" s="148"/>
      <c r="F1802" s="253"/>
      <c r="G1802" s="253"/>
      <c r="H1802" s="253"/>
      <c r="I1802" s="246"/>
      <c r="J1802" s="258"/>
      <c r="K1802" s="137"/>
      <c r="L1802" s="137"/>
      <c r="M1802" s="137"/>
      <c r="N1802" s="138"/>
      <c r="O1802" s="167"/>
      <c r="P1802" s="111"/>
      <c r="Q1802" s="111"/>
      <c r="R1802" s="111"/>
      <c r="S1802" s="111"/>
      <c r="T1802" s="111"/>
      <c r="U1802" s="111"/>
      <c r="V1802" s="111"/>
      <c r="W1802" s="111"/>
      <c r="X1802" s="111"/>
      <c r="Y1802" s="111"/>
      <c r="Z1802" s="111"/>
      <c r="AA1802" s="111"/>
    </row>
    <row r="1803" spans="1:27" s="147" customFormat="1" ht="30.6" x14ac:dyDescent="0.2">
      <c r="A1803" s="9" t="s">
        <v>923</v>
      </c>
      <c r="B1803" s="9" t="s">
        <v>163</v>
      </c>
      <c r="C1803" s="13" t="s">
        <v>190</v>
      </c>
      <c r="D1803" s="113" t="s">
        <v>290</v>
      </c>
      <c r="E1803" s="9" t="s">
        <v>33</v>
      </c>
      <c r="F1803" s="261"/>
      <c r="G1803" s="261"/>
      <c r="H1803" s="261"/>
      <c r="I1803" s="245"/>
      <c r="J1803" s="261"/>
      <c r="K1803" s="131">
        <f>J1805</f>
        <v>6</v>
      </c>
      <c r="L1803" s="131">
        <v>14.55</v>
      </c>
      <c r="M1803" s="131">
        <f>ROUND(L1803*(1+$Q$7),2)</f>
        <v>18.41</v>
      </c>
      <c r="N1803" s="133">
        <f>TRUNC(K1803*M1803,2)</f>
        <v>110.46</v>
      </c>
      <c r="O1803" s="286"/>
      <c r="P1803" s="146"/>
      <c r="Q1803" s="146"/>
      <c r="R1803" s="146"/>
      <c r="S1803" s="146"/>
      <c r="T1803" s="146"/>
      <c r="U1803" s="146"/>
      <c r="V1803" s="146"/>
      <c r="W1803" s="146"/>
      <c r="X1803" s="146"/>
      <c r="Y1803" s="146"/>
      <c r="Z1803" s="146"/>
      <c r="AA1803" s="146"/>
    </row>
    <row r="1804" spans="1:27" s="118" customFormat="1" x14ac:dyDescent="0.2">
      <c r="A1804" s="6"/>
      <c r="B1804" s="6"/>
      <c r="C1804" s="6"/>
      <c r="D1804" s="2"/>
      <c r="E1804" s="148"/>
      <c r="F1804" s="253">
        <v>6</v>
      </c>
      <c r="G1804" s="253"/>
      <c r="H1804" s="253"/>
      <c r="I1804" s="246"/>
      <c r="J1804" s="253">
        <f>ROUND(PRODUCT(F1804:I1804),2)</f>
        <v>6</v>
      </c>
      <c r="K1804" s="137"/>
      <c r="L1804" s="137"/>
      <c r="M1804" s="137"/>
      <c r="N1804" s="138"/>
      <c r="O1804" s="167"/>
      <c r="P1804" s="111"/>
      <c r="Q1804" s="111"/>
      <c r="R1804" s="111"/>
      <c r="S1804" s="111"/>
      <c r="T1804" s="111"/>
      <c r="U1804" s="111"/>
      <c r="V1804" s="111"/>
      <c r="W1804" s="111"/>
      <c r="X1804" s="111"/>
      <c r="Y1804" s="111"/>
      <c r="Z1804" s="111"/>
      <c r="AA1804" s="111"/>
    </row>
    <row r="1805" spans="1:27" s="118" customFormat="1" x14ac:dyDescent="0.2">
      <c r="A1805" s="6"/>
      <c r="B1805" s="6"/>
      <c r="C1805" s="156"/>
      <c r="D1805" s="108"/>
      <c r="E1805" s="148"/>
      <c r="F1805" s="253"/>
      <c r="G1805" s="253"/>
      <c r="H1805" s="253"/>
      <c r="I1805" s="246" t="str">
        <f>"Total item "&amp;A1803</f>
        <v>Total item 21.1.6</v>
      </c>
      <c r="J1805" s="261">
        <f>SUM(J1804:J1804)</f>
        <v>6</v>
      </c>
      <c r="K1805" s="137"/>
      <c r="L1805" s="137"/>
      <c r="M1805" s="137"/>
      <c r="N1805" s="138"/>
      <c r="O1805" s="167"/>
      <c r="P1805" s="111"/>
      <c r="Q1805" s="111"/>
      <c r="R1805" s="111"/>
      <c r="S1805" s="111"/>
      <c r="T1805" s="111"/>
      <c r="U1805" s="111"/>
      <c r="V1805" s="111"/>
      <c r="W1805" s="111"/>
      <c r="X1805" s="111"/>
      <c r="Y1805" s="111"/>
      <c r="Z1805" s="111"/>
      <c r="AA1805" s="111"/>
    </row>
    <row r="1806" spans="1:27" s="118" customFormat="1" x14ac:dyDescent="0.2">
      <c r="A1806" s="6"/>
      <c r="B1806" s="6"/>
      <c r="C1806" s="155"/>
      <c r="D1806" s="108"/>
      <c r="E1806" s="148"/>
      <c r="F1806" s="253"/>
      <c r="G1806" s="253"/>
      <c r="H1806" s="253"/>
      <c r="I1806" s="246"/>
      <c r="J1806" s="258"/>
      <c r="K1806" s="137"/>
      <c r="L1806" s="137"/>
      <c r="M1806" s="137"/>
      <c r="N1806" s="138"/>
      <c r="O1806" s="167"/>
      <c r="P1806" s="111"/>
      <c r="Q1806" s="111"/>
      <c r="R1806" s="111"/>
      <c r="S1806" s="111"/>
      <c r="T1806" s="111"/>
      <c r="U1806" s="111"/>
      <c r="V1806" s="111"/>
      <c r="W1806" s="111"/>
      <c r="X1806" s="111"/>
      <c r="Y1806" s="111"/>
      <c r="Z1806" s="111"/>
      <c r="AA1806" s="111"/>
    </row>
    <row r="1807" spans="1:27" s="145" customFormat="1" x14ac:dyDescent="0.2">
      <c r="A1807" s="140" t="s">
        <v>903</v>
      </c>
      <c r="B1807" s="140"/>
      <c r="C1807" s="141"/>
      <c r="D1807" s="112" t="s">
        <v>28</v>
      </c>
      <c r="E1807" s="140"/>
      <c r="F1807" s="260"/>
      <c r="G1807" s="260"/>
      <c r="H1807" s="260"/>
      <c r="I1807" s="248"/>
      <c r="J1807" s="260"/>
      <c r="K1807" s="142"/>
      <c r="L1807" s="142"/>
      <c r="M1807" s="142"/>
      <c r="N1807" s="143">
        <f>SUM(N1809:N1814)</f>
        <v>2368.27</v>
      </c>
      <c r="O1807" s="285"/>
      <c r="P1807" s="144"/>
      <c r="Q1807" s="144"/>
      <c r="R1807" s="144"/>
      <c r="S1807" s="144"/>
      <c r="T1807" s="144"/>
      <c r="U1807" s="144"/>
      <c r="V1807" s="144"/>
      <c r="W1807" s="144"/>
      <c r="X1807" s="144"/>
      <c r="Y1807" s="144"/>
      <c r="Z1807" s="144"/>
      <c r="AA1807" s="144"/>
    </row>
    <row r="1808" spans="1:27" s="118" customFormat="1" x14ac:dyDescent="0.2">
      <c r="A1808" s="6"/>
      <c r="B1808" s="6"/>
      <c r="C1808" s="155"/>
      <c r="D1808" s="108"/>
      <c r="E1808" s="148"/>
      <c r="F1808" s="253"/>
      <c r="G1808" s="253"/>
      <c r="H1808" s="253"/>
      <c r="I1808" s="246"/>
      <c r="J1808" s="258"/>
      <c r="K1808" s="137"/>
      <c r="L1808" s="137"/>
      <c r="M1808" s="137"/>
      <c r="N1808" s="138"/>
      <c r="O1808" s="167"/>
      <c r="P1808" s="111"/>
      <c r="Q1808" s="111"/>
      <c r="R1808" s="111"/>
      <c r="S1808" s="111"/>
      <c r="T1808" s="111"/>
      <c r="U1808" s="111"/>
      <c r="V1808" s="111"/>
      <c r="W1808" s="111"/>
      <c r="X1808" s="111"/>
      <c r="Y1808" s="111"/>
      <c r="Z1808" s="111"/>
      <c r="AA1808" s="111"/>
    </row>
    <row r="1809" spans="1:27" s="147" customFormat="1" ht="30.6" x14ac:dyDescent="0.2">
      <c r="A1809" s="9" t="s">
        <v>904</v>
      </c>
      <c r="B1809" s="9" t="s">
        <v>163</v>
      </c>
      <c r="C1809" s="13" t="s">
        <v>263</v>
      </c>
      <c r="D1809" s="113" t="s">
        <v>264</v>
      </c>
      <c r="E1809" s="9" t="s">
        <v>33</v>
      </c>
      <c r="F1809" s="261"/>
      <c r="G1809" s="261"/>
      <c r="H1809" s="261"/>
      <c r="I1809" s="245"/>
      <c r="J1809" s="261"/>
      <c r="K1809" s="131">
        <f>J1813</f>
        <v>6.51</v>
      </c>
      <c r="L1809" s="131">
        <v>287.51</v>
      </c>
      <c r="M1809" s="131">
        <f>ROUND(L1809*(1+$Q$7),2)</f>
        <v>363.79</v>
      </c>
      <c r="N1809" s="133">
        <f>TRUNC(K1809*M1809,2)</f>
        <v>2368.27</v>
      </c>
      <c r="O1809" s="286"/>
      <c r="P1809" s="146"/>
      <c r="Q1809" s="146"/>
      <c r="R1809" s="146"/>
      <c r="S1809" s="146"/>
      <c r="T1809" s="146"/>
      <c r="U1809" s="146"/>
      <c r="V1809" s="146"/>
      <c r="W1809" s="146"/>
      <c r="X1809" s="146"/>
      <c r="Y1809" s="146"/>
      <c r="Z1809" s="146"/>
      <c r="AA1809" s="146"/>
    </row>
    <row r="1810" spans="1:27" s="118" customFormat="1" x14ac:dyDescent="0.2">
      <c r="A1810" s="6"/>
      <c r="B1810" s="6"/>
      <c r="C1810" s="155"/>
      <c r="D1810" s="2" t="s">
        <v>512</v>
      </c>
      <c r="E1810" s="148"/>
      <c r="F1810" s="253">
        <v>2</v>
      </c>
      <c r="G1810" s="253">
        <v>0.7</v>
      </c>
      <c r="H1810" s="253"/>
      <c r="I1810" s="249">
        <v>2.1</v>
      </c>
      <c r="J1810" s="253">
        <f>ROUND(PRODUCT(F1810:I1810),2)</f>
        <v>2.94</v>
      </c>
      <c r="K1810" s="137"/>
      <c r="L1810" s="137"/>
      <c r="M1810" s="137"/>
      <c r="N1810" s="138"/>
      <c r="O1810" s="167"/>
      <c r="P1810" s="111"/>
      <c r="Q1810" s="111"/>
      <c r="R1810" s="111"/>
      <c r="S1810" s="111"/>
      <c r="T1810" s="111"/>
      <c r="U1810" s="111"/>
      <c r="V1810" s="111"/>
      <c r="W1810" s="111"/>
      <c r="X1810" s="111"/>
      <c r="Y1810" s="111"/>
      <c r="Z1810" s="111"/>
      <c r="AA1810" s="111"/>
    </row>
    <row r="1811" spans="1:27" s="118" customFormat="1" x14ac:dyDescent="0.2">
      <c r="A1811" s="6"/>
      <c r="B1811" s="6"/>
      <c r="C1811" s="155"/>
      <c r="D1811" s="2"/>
      <c r="E1811" s="148"/>
      <c r="F1811" s="253"/>
      <c r="G1811" s="253">
        <v>0.8</v>
      </c>
      <c r="H1811" s="253"/>
      <c r="I1811" s="249">
        <v>2.1</v>
      </c>
      <c r="J1811" s="253">
        <f>ROUND(PRODUCT(F1811:I1811),2)</f>
        <v>1.68</v>
      </c>
      <c r="K1811" s="137"/>
      <c r="L1811" s="137"/>
      <c r="M1811" s="137"/>
      <c r="N1811" s="138"/>
      <c r="O1811" s="167"/>
      <c r="P1811" s="111"/>
      <c r="Q1811" s="111"/>
      <c r="R1811" s="111"/>
      <c r="S1811" s="111"/>
      <c r="T1811" s="111"/>
      <c r="U1811" s="111"/>
      <c r="V1811" s="111"/>
      <c r="W1811" s="111"/>
      <c r="X1811" s="111"/>
      <c r="Y1811" s="111"/>
      <c r="Z1811" s="111"/>
      <c r="AA1811" s="111"/>
    </row>
    <row r="1812" spans="1:27" s="118" customFormat="1" x14ac:dyDescent="0.2">
      <c r="A1812" s="6"/>
      <c r="B1812" s="6"/>
      <c r="C1812" s="155"/>
      <c r="D1812" s="2"/>
      <c r="E1812" s="148"/>
      <c r="F1812" s="253"/>
      <c r="G1812" s="253">
        <v>0.9</v>
      </c>
      <c r="H1812" s="253"/>
      <c r="I1812" s="249">
        <v>2.1</v>
      </c>
      <c r="J1812" s="253">
        <f>ROUND(PRODUCT(F1812:I1812),2)</f>
        <v>1.89</v>
      </c>
      <c r="K1812" s="137"/>
      <c r="L1812" s="137"/>
      <c r="M1812" s="137"/>
      <c r="N1812" s="138"/>
      <c r="O1812" s="167"/>
      <c r="P1812" s="111"/>
      <c r="Q1812" s="111"/>
      <c r="R1812" s="111"/>
      <c r="S1812" s="111"/>
      <c r="T1812" s="111"/>
      <c r="U1812" s="111"/>
      <c r="V1812" s="111"/>
      <c r="W1812" s="111"/>
      <c r="X1812" s="111"/>
      <c r="Y1812" s="111"/>
      <c r="Z1812" s="111"/>
      <c r="AA1812" s="111"/>
    </row>
    <row r="1813" spans="1:27" s="118" customFormat="1" x14ac:dyDescent="0.2">
      <c r="A1813" s="6"/>
      <c r="B1813" s="6"/>
      <c r="C1813" s="156"/>
      <c r="D1813" s="108"/>
      <c r="E1813" s="148"/>
      <c r="F1813" s="253"/>
      <c r="G1813" s="253"/>
      <c r="H1813" s="253"/>
      <c r="I1813" s="246" t="str">
        <f>"Total item "&amp;A1809</f>
        <v>Total item 21.2.1</v>
      </c>
      <c r="J1813" s="261">
        <f>SUM(J1810:J1812)</f>
        <v>6.51</v>
      </c>
      <c r="K1813" s="137"/>
      <c r="L1813" s="137"/>
      <c r="M1813" s="137"/>
      <c r="N1813" s="138"/>
      <c r="O1813" s="167"/>
      <c r="P1813" s="111"/>
      <c r="Q1813" s="111"/>
      <c r="R1813" s="111"/>
      <c r="S1813" s="111"/>
      <c r="T1813" s="111"/>
      <c r="U1813" s="111"/>
      <c r="V1813" s="111"/>
      <c r="W1813" s="111"/>
      <c r="X1813" s="111"/>
      <c r="Y1813" s="111"/>
      <c r="Z1813" s="111"/>
      <c r="AA1813" s="111"/>
    </row>
    <row r="1814" spans="1:27" s="118" customFormat="1" x14ac:dyDescent="0.2">
      <c r="A1814" s="6"/>
      <c r="B1814" s="6"/>
      <c r="C1814" s="156"/>
      <c r="D1814" s="108"/>
      <c r="E1814" s="148"/>
      <c r="F1814" s="253"/>
      <c r="G1814" s="253"/>
      <c r="H1814" s="253"/>
      <c r="I1814" s="246"/>
      <c r="J1814" s="246"/>
      <c r="K1814" s="137"/>
      <c r="L1814" s="137"/>
      <c r="M1814" s="137"/>
      <c r="N1814" s="138"/>
      <c r="O1814" s="167"/>
      <c r="P1814" s="111"/>
      <c r="Q1814" s="111"/>
      <c r="R1814" s="111"/>
      <c r="S1814" s="111"/>
      <c r="T1814" s="111"/>
      <c r="U1814" s="111"/>
      <c r="V1814" s="111"/>
      <c r="W1814" s="111"/>
      <c r="X1814" s="111"/>
      <c r="Y1814" s="111"/>
      <c r="Z1814" s="111"/>
      <c r="AA1814" s="111"/>
    </row>
    <row r="1815" spans="1:27" s="145" customFormat="1" x14ac:dyDescent="0.2">
      <c r="A1815" s="140" t="s">
        <v>905</v>
      </c>
      <c r="B1815" s="140"/>
      <c r="C1815" s="141"/>
      <c r="D1815" s="112" t="s">
        <v>211</v>
      </c>
      <c r="E1815" s="140"/>
      <c r="F1815" s="260"/>
      <c r="G1815" s="260"/>
      <c r="H1815" s="260"/>
      <c r="I1815" s="248"/>
      <c r="J1815" s="260"/>
      <c r="K1815" s="142"/>
      <c r="L1815" s="142"/>
      <c r="M1815" s="142"/>
      <c r="N1815" s="143">
        <f>SUM(N1817:N1850)</f>
        <v>6363.6399999999994</v>
      </c>
      <c r="O1815" s="285"/>
      <c r="P1815" s="144"/>
      <c r="Q1815" s="144"/>
      <c r="R1815" s="144"/>
      <c r="S1815" s="144"/>
      <c r="T1815" s="144"/>
      <c r="U1815" s="144"/>
      <c r="V1815" s="144"/>
      <c r="W1815" s="144"/>
      <c r="X1815" s="144"/>
      <c r="Y1815" s="144"/>
      <c r="Z1815" s="144"/>
      <c r="AA1815" s="144"/>
    </row>
    <row r="1816" spans="1:27" s="118" customFormat="1" x14ac:dyDescent="0.2">
      <c r="A1816" s="6"/>
      <c r="B1816" s="6"/>
      <c r="C1816" s="156"/>
      <c r="D1816" s="108"/>
      <c r="E1816" s="148"/>
      <c r="F1816" s="253"/>
      <c r="G1816" s="253"/>
      <c r="H1816" s="253"/>
      <c r="I1816" s="246"/>
      <c r="J1816" s="246"/>
      <c r="K1816" s="137"/>
      <c r="L1816" s="137"/>
      <c r="M1816" s="137"/>
      <c r="N1816" s="138"/>
      <c r="O1816" s="167"/>
      <c r="P1816" s="111"/>
      <c r="Q1816" s="111"/>
      <c r="R1816" s="111"/>
      <c r="S1816" s="111"/>
      <c r="T1816" s="111"/>
      <c r="U1816" s="111"/>
      <c r="V1816" s="111"/>
      <c r="W1816" s="111"/>
      <c r="X1816" s="111"/>
      <c r="Y1816" s="111"/>
      <c r="Z1816" s="111"/>
      <c r="AA1816" s="111"/>
    </row>
    <row r="1817" spans="1:27" s="147" customFormat="1" ht="51" x14ac:dyDescent="0.2">
      <c r="A1817" s="9" t="s">
        <v>906</v>
      </c>
      <c r="B1817" s="9" t="s">
        <v>89</v>
      </c>
      <c r="C1817" s="13">
        <v>86942</v>
      </c>
      <c r="D1817" s="113" t="s">
        <v>661</v>
      </c>
      <c r="E1817" s="9" t="s">
        <v>33</v>
      </c>
      <c r="F1817" s="261"/>
      <c r="G1817" s="261"/>
      <c r="H1817" s="261"/>
      <c r="I1817" s="245"/>
      <c r="J1817" s="261"/>
      <c r="K1817" s="131">
        <f>J1821</f>
        <v>8</v>
      </c>
      <c r="L1817" s="106">
        <v>168.74</v>
      </c>
      <c r="M1817" s="131">
        <f>ROUND(L1817*(1+$Q$7),2)</f>
        <v>213.51</v>
      </c>
      <c r="N1817" s="133">
        <f>TRUNC(K1817*M1817,2)</f>
        <v>1708.08</v>
      </c>
      <c r="O1817" s="286"/>
      <c r="P1817" s="146"/>
      <c r="Q1817" s="146"/>
      <c r="R1817" s="146"/>
      <c r="S1817" s="146"/>
      <c r="T1817" s="146"/>
      <c r="U1817" s="146"/>
      <c r="V1817" s="146"/>
      <c r="W1817" s="146"/>
      <c r="X1817" s="146"/>
      <c r="Y1817" s="146"/>
      <c r="Z1817" s="146"/>
      <c r="AA1817" s="146"/>
    </row>
    <row r="1818" spans="1:27" s="118" customFormat="1" x14ac:dyDescent="0.2">
      <c r="A1818" s="6"/>
      <c r="B1818" s="6"/>
      <c r="C1818" s="155"/>
      <c r="D1818" s="2" t="s">
        <v>314</v>
      </c>
      <c r="E1818" s="148"/>
      <c r="F1818" s="253">
        <v>3</v>
      </c>
      <c r="G1818" s="253"/>
      <c r="H1818" s="253"/>
      <c r="I1818" s="246"/>
      <c r="J1818" s="253">
        <f t="shared" ref="J1818:J1820" si="180">ROUND(PRODUCT(F1818:I1818),2)</f>
        <v>3</v>
      </c>
      <c r="K1818" s="137"/>
      <c r="L1818" s="137"/>
      <c r="M1818" s="137"/>
      <c r="N1818" s="138"/>
      <c r="O1818" s="167"/>
      <c r="P1818" s="111"/>
      <c r="Q1818" s="111"/>
      <c r="R1818" s="111"/>
      <c r="S1818" s="111"/>
      <c r="T1818" s="111"/>
      <c r="U1818" s="111"/>
      <c r="V1818" s="111"/>
      <c r="W1818" s="111"/>
      <c r="X1818" s="111"/>
      <c r="Y1818" s="111"/>
      <c r="Z1818" s="111"/>
      <c r="AA1818" s="111"/>
    </row>
    <row r="1819" spans="1:27" s="118" customFormat="1" x14ac:dyDescent="0.2">
      <c r="A1819" s="6"/>
      <c r="B1819" s="6"/>
      <c r="C1819" s="155"/>
      <c r="D1819" s="2" t="s">
        <v>312</v>
      </c>
      <c r="E1819" s="148"/>
      <c r="F1819" s="253">
        <v>3</v>
      </c>
      <c r="G1819" s="253"/>
      <c r="H1819" s="253"/>
      <c r="I1819" s="246"/>
      <c r="J1819" s="253">
        <f t="shared" si="180"/>
        <v>3</v>
      </c>
      <c r="K1819" s="137"/>
      <c r="L1819" s="137"/>
      <c r="M1819" s="137"/>
      <c r="N1819" s="138"/>
      <c r="O1819" s="167"/>
      <c r="P1819" s="111"/>
      <c r="Q1819" s="111"/>
      <c r="R1819" s="111"/>
      <c r="S1819" s="111"/>
      <c r="T1819" s="111"/>
      <c r="U1819" s="111"/>
      <c r="V1819" s="111"/>
      <c r="W1819" s="111"/>
      <c r="X1819" s="111"/>
      <c r="Y1819" s="111"/>
      <c r="Z1819" s="111"/>
      <c r="AA1819" s="111"/>
    </row>
    <row r="1820" spans="1:27" s="118" customFormat="1" x14ac:dyDescent="0.2">
      <c r="A1820" s="6"/>
      <c r="B1820" s="6"/>
      <c r="C1820" s="155"/>
      <c r="D1820" s="2" t="s">
        <v>512</v>
      </c>
      <c r="E1820" s="148"/>
      <c r="F1820" s="253">
        <v>2</v>
      </c>
      <c r="G1820" s="253"/>
      <c r="H1820" s="253"/>
      <c r="I1820" s="246"/>
      <c r="J1820" s="253">
        <f t="shared" si="180"/>
        <v>2</v>
      </c>
      <c r="K1820" s="137"/>
      <c r="L1820" s="137"/>
      <c r="M1820" s="137"/>
      <c r="N1820" s="138"/>
      <c r="O1820" s="167"/>
      <c r="P1820" s="111"/>
      <c r="Q1820" s="111"/>
      <c r="R1820" s="111"/>
      <c r="S1820" s="111"/>
      <c r="T1820" s="111"/>
      <c r="U1820" s="111"/>
      <c r="V1820" s="111"/>
      <c r="W1820" s="111"/>
      <c r="X1820" s="111"/>
      <c r="Y1820" s="111"/>
      <c r="Z1820" s="111"/>
      <c r="AA1820" s="111"/>
    </row>
    <row r="1821" spans="1:27" s="118" customFormat="1" x14ac:dyDescent="0.2">
      <c r="A1821" s="6"/>
      <c r="B1821" s="6"/>
      <c r="C1821" s="156"/>
      <c r="D1821" s="108"/>
      <c r="E1821" s="148"/>
      <c r="F1821" s="253"/>
      <c r="G1821" s="253"/>
      <c r="H1821" s="253"/>
      <c r="I1821" s="246" t="str">
        <f>"Total item "&amp;A1817</f>
        <v>Total item 21.3.1</v>
      </c>
      <c r="J1821" s="261">
        <f>SUM(J1818:J1820)</f>
        <v>8</v>
      </c>
      <c r="K1821" s="137"/>
      <c r="L1821" s="137"/>
      <c r="M1821" s="137"/>
      <c r="N1821" s="138"/>
      <c r="O1821" s="167"/>
      <c r="P1821" s="111"/>
      <c r="Q1821" s="111"/>
      <c r="R1821" s="111"/>
      <c r="S1821" s="111"/>
      <c r="T1821" s="111"/>
      <c r="U1821" s="111"/>
      <c r="V1821" s="111"/>
      <c r="W1821" s="111"/>
      <c r="X1821" s="111"/>
      <c r="Y1821" s="111"/>
      <c r="Z1821" s="111"/>
      <c r="AA1821" s="111"/>
    </row>
    <row r="1822" spans="1:27" s="139" customFormat="1" x14ac:dyDescent="0.2">
      <c r="A1822" s="6"/>
      <c r="B1822" s="6"/>
      <c r="C1822" s="7"/>
      <c r="D1822" s="116"/>
      <c r="E1822" s="6"/>
      <c r="F1822" s="258"/>
      <c r="G1822" s="258"/>
      <c r="H1822" s="258"/>
      <c r="I1822" s="246"/>
      <c r="J1822" s="258"/>
      <c r="K1822" s="137"/>
      <c r="L1822" s="137"/>
      <c r="M1822" s="137"/>
      <c r="N1822" s="138"/>
      <c r="O1822" s="283"/>
      <c r="P1822" s="120"/>
      <c r="Q1822" s="120"/>
      <c r="R1822" s="120"/>
      <c r="S1822" s="120"/>
      <c r="T1822" s="120"/>
      <c r="U1822" s="120"/>
      <c r="V1822" s="120"/>
      <c r="W1822" s="120"/>
      <c r="X1822" s="120"/>
      <c r="Y1822" s="120"/>
      <c r="Z1822" s="120"/>
      <c r="AA1822" s="120"/>
    </row>
    <row r="1823" spans="1:27" s="147" customFormat="1" ht="20.399999999999999" x14ac:dyDescent="0.2">
      <c r="A1823" s="9" t="s">
        <v>907</v>
      </c>
      <c r="B1823" s="9" t="s">
        <v>163</v>
      </c>
      <c r="C1823" s="197" t="s">
        <v>349</v>
      </c>
      <c r="D1823" s="113" t="s">
        <v>350</v>
      </c>
      <c r="E1823" s="9" t="s">
        <v>33</v>
      </c>
      <c r="F1823" s="261"/>
      <c r="G1823" s="261"/>
      <c r="H1823" s="261"/>
      <c r="I1823" s="245"/>
      <c r="J1823" s="261"/>
      <c r="K1823" s="131">
        <f>J1825</f>
        <v>4</v>
      </c>
      <c r="L1823" s="131">
        <v>12.45</v>
      </c>
      <c r="M1823" s="131">
        <f>ROUND(L1823*(1+$Q$7),2)</f>
        <v>15.75</v>
      </c>
      <c r="N1823" s="133">
        <f>TRUNC(K1823*M1823,2)</f>
        <v>63</v>
      </c>
      <c r="O1823" s="286"/>
      <c r="P1823" s="146"/>
      <c r="Q1823" s="146"/>
      <c r="R1823" s="146"/>
      <c r="S1823" s="146"/>
      <c r="T1823" s="146"/>
      <c r="U1823" s="146"/>
      <c r="V1823" s="146"/>
      <c r="W1823" s="146"/>
      <c r="X1823" s="146"/>
      <c r="Y1823" s="146"/>
      <c r="Z1823" s="146"/>
      <c r="AA1823" s="146"/>
    </row>
    <row r="1824" spans="1:27" s="118" customFormat="1" x14ac:dyDescent="0.2">
      <c r="A1824" s="6"/>
      <c r="B1824" s="6"/>
      <c r="C1824" s="155"/>
      <c r="D1824" s="2" t="s">
        <v>512</v>
      </c>
      <c r="E1824" s="148"/>
      <c r="F1824" s="253">
        <v>4</v>
      </c>
      <c r="G1824" s="253"/>
      <c r="H1824" s="253"/>
      <c r="I1824" s="246"/>
      <c r="J1824" s="253">
        <f>ROUND(PRODUCT(F1824:I1824),2)</f>
        <v>4</v>
      </c>
      <c r="K1824" s="137"/>
      <c r="L1824" s="137"/>
      <c r="M1824" s="137"/>
      <c r="N1824" s="138"/>
      <c r="O1824" s="167"/>
      <c r="P1824" s="111"/>
      <c r="Q1824" s="111"/>
      <c r="R1824" s="111"/>
      <c r="S1824" s="111"/>
      <c r="T1824" s="111"/>
      <c r="U1824" s="111"/>
      <c r="V1824" s="111"/>
      <c r="W1824" s="111"/>
      <c r="X1824" s="111"/>
      <c r="Y1824" s="111"/>
      <c r="Z1824" s="111"/>
      <c r="AA1824" s="111"/>
    </row>
    <row r="1825" spans="1:27" s="118" customFormat="1" x14ac:dyDescent="0.2">
      <c r="A1825" s="6"/>
      <c r="B1825" s="6"/>
      <c r="C1825" s="156"/>
      <c r="D1825" s="108"/>
      <c r="E1825" s="148"/>
      <c r="F1825" s="253"/>
      <c r="G1825" s="253"/>
      <c r="H1825" s="253"/>
      <c r="I1825" s="246" t="str">
        <f>"Total item "&amp;A1823</f>
        <v>Total item 21.3.2</v>
      </c>
      <c r="J1825" s="261">
        <f>SUM(J1824:J1824)</f>
        <v>4</v>
      </c>
      <c r="K1825" s="137"/>
      <c r="L1825" s="137"/>
      <c r="M1825" s="137"/>
      <c r="N1825" s="138"/>
      <c r="O1825" s="167"/>
      <c r="P1825" s="111"/>
      <c r="Q1825" s="111"/>
      <c r="R1825" s="111"/>
      <c r="S1825" s="111"/>
      <c r="T1825" s="111"/>
      <c r="U1825" s="111"/>
      <c r="V1825" s="111"/>
      <c r="W1825" s="111"/>
      <c r="X1825" s="111"/>
      <c r="Y1825" s="111"/>
      <c r="Z1825" s="111"/>
      <c r="AA1825" s="111"/>
    </row>
    <row r="1826" spans="1:27" s="161" customFormat="1" x14ac:dyDescent="0.2">
      <c r="A1826" s="10"/>
      <c r="B1826" s="10"/>
      <c r="C1826" s="191"/>
      <c r="D1826" s="110"/>
      <c r="E1826" s="158"/>
      <c r="F1826" s="267"/>
      <c r="G1826" s="267"/>
      <c r="H1826" s="267"/>
      <c r="I1826" s="250"/>
      <c r="J1826" s="263"/>
      <c r="K1826" s="151"/>
      <c r="L1826" s="151"/>
      <c r="M1826" s="151"/>
      <c r="N1826" s="152"/>
      <c r="O1826" s="167"/>
      <c r="P1826" s="114"/>
      <c r="Q1826" s="114"/>
      <c r="R1826" s="114"/>
      <c r="S1826" s="114"/>
      <c r="T1826" s="114"/>
      <c r="U1826" s="114"/>
      <c r="V1826" s="114"/>
      <c r="W1826" s="114"/>
      <c r="X1826" s="114"/>
      <c r="Y1826" s="114"/>
      <c r="Z1826" s="114"/>
      <c r="AA1826" s="114"/>
    </row>
    <row r="1827" spans="1:27" s="147" customFormat="1" ht="30.6" x14ac:dyDescent="0.2">
      <c r="A1827" s="9" t="s">
        <v>908</v>
      </c>
      <c r="B1827" s="9" t="s">
        <v>89</v>
      </c>
      <c r="C1827" s="13">
        <v>86906</v>
      </c>
      <c r="D1827" s="113" t="s">
        <v>261</v>
      </c>
      <c r="E1827" s="9" t="s">
        <v>33</v>
      </c>
      <c r="F1827" s="261"/>
      <c r="G1827" s="261"/>
      <c r="H1827" s="261"/>
      <c r="I1827" s="245"/>
      <c r="J1827" s="261"/>
      <c r="K1827" s="131">
        <f>J1831</f>
        <v>8</v>
      </c>
      <c r="L1827" s="131">
        <v>47.41</v>
      </c>
      <c r="M1827" s="131">
        <f>ROUND(L1827*(1+$Q$7),2)</f>
        <v>59.99</v>
      </c>
      <c r="N1827" s="133">
        <f>TRUNC(K1827*M1827,2)</f>
        <v>479.92</v>
      </c>
      <c r="O1827" s="286"/>
      <c r="P1827" s="146"/>
      <c r="Q1827" s="146"/>
      <c r="R1827" s="146"/>
      <c r="S1827" s="146"/>
      <c r="T1827" s="146"/>
      <c r="U1827" s="146"/>
      <c r="V1827" s="146"/>
      <c r="W1827" s="146"/>
      <c r="X1827" s="146"/>
      <c r="Y1827" s="146"/>
      <c r="Z1827" s="146"/>
      <c r="AA1827" s="146"/>
    </row>
    <row r="1828" spans="1:27" s="118" customFormat="1" x14ac:dyDescent="0.2">
      <c r="A1828" s="6"/>
      <c r="B1828" s="6"/>
      <c r="C1828" s="155"/>
      <c r="D1828" s="2" t="s">
        <v>314</v>
      </c>
      <c r="E1828" s="148"/>
      <c r="F1828" s="253">
        <v>3</v>
      </c>
      <c r="G1828" s="253"/>
      <c r="H1828" s="253"/>
      <c r="I1828" s="246"/>
      <c r="J1828" s="253">
        <f t="shared" ref="J1828:J1830" si="181">ROUND(PRODUCT(F1828:I1828),2)</f>
        <v>3</v>
      </c>
      <c r="K1828" s="137"/>
      <c r="L1828" s="137"/>
      <c r="M1828" s="137"/>
      <c r="N1828" s="138"/>
      <c r="O1828" s="167"/>
      <c r="P1828" s="111"/>
      <c r="Q1828" s="111"/>
      <c r="R1828" s="111"/>
      <c r="S1828" s="111"/>
      <c r="T1828" s="111"/>
      <c r="U1828" s="111"/>
      <c r="V1828" s="111"/>
      <c r="W1828" s="111"/>
      <c r="X1828" s="111"/>
      <c r="Y1828" s="111"/>
      <c r="Z1828" s="111"/>
      <c r="AA1828" s="111"/>
    </row>
    <row r="1829" spans="1:27" s="118" customFormat="1" x14ac:dyDescent="0.2">
      <c r="A1829" s="6"/>
      <c r="B1829" s="6"/>
      <c r="C1829" s="155"/>
      <c r="D1829" s="2" t="s">
        <v>312</v>
      </c>
      <c r="E1829" s="148"/>
      <c r="F1829" s="253">
        <v>3</v>
      </c>
      <c r="G1829" s="253"/>
      <c r="H1829" s="253"/>
      <c r="I1829" s="246"/>
      <c r="J1829" s="253">
        <f t="shared" si="181"/>
        <v>3</v>
      </c>
      <c r="K1829" s="137"/>
      <c r="L1829" s="137"/>
      <c r="M1829" s="137"/>
      <c r="N1829" s="138"/>
      <c r="O1829" s="167"/>
      <c r="P1829" s="111"/>
      <c r="Q1829" s="111"/>
      <c r="R1829" s="111"/>
      <c r="S1829" s="111"/>
      <c r="T1829" s="111"/>
      <c r="U1829" s="111"/>
      <c r="V1829" s="111"/>
      <c r="W1829" s="111"/>
      <c r="X1829" s="111"/>
      <c r="Y1829" s="111"/>
      <c r="Z1829" s="111"/>
      <c r="AA1829" s="111"/>
    </row>
    <row r="1830" spans="1:27" s="118" customFormat="1" x14ac:dyDescent="0.2">
      <c r="A1830" s="6"/>
      <c r="B1830" s="6"/>
      <c r="C1830" s="155"/>
      <c r="D1830" s="2" t="s">
        <v>512</v>
      </c>
      <c r="E1830" s="148"/>
      <c r="F1830" s="253">
        <v>2</v>
      </c>
      <c r="G1830" s="253"/>
      <c r="H1830" s="253"/>
      <c r="I1830" s="246"/>
      <c r="J1830" s="253">
        <f t="shared" si="181"/>
        <v>2</v>
      </c>
      <c r="K1830" s="137"/>
      <c r="L1830" s="137"/>
      <c r="M1830" s="137"/>
      <c r="N1830" s="138"/>
      <c r="O1830" s="167"/>
      <c r="P1830" s="111"/>
      <c r="Q1830" s="111"/>
      <c r="R1830" s="111"/>
      <c r="S1830" s="111"/>
      <c r="T1830" s="111"/>
      <c r="U1830" s="111"/>
      <c r="V1830" s="111"/>
      <c r="W1830" s="111"/>
      <c r="X1830" s="111"/>
      <c r="Y1830" s="111"/>
      <c r="Z1830" s="111"/>
      <c r="AA1830" s="111"/>
    </row>
    <row r="1831" spans="1:27" s="118" customFormat="1" x14ac:dyDescent="0.2">
      <c r="A1831" s="6"/>
      <c r="B1831" s="6"/>
      <c r="C1831" s="156"/>
      <c r="D1831" s="108"/>
      <c r="E1831" s="148"/>
      <c r="F1831" s="253"/>
      <c r="G1831" s="253"/>
      <c r="H1831" s="253"/>
      <c r="I1831" s="246" t="str">
        <f>"Total item "&amp;A1827</f>
        <v>Total item 21.3.3</v>
      </c>
      <c r="J1831" s="261">
        <f>SUM(J1828:J1830)</f>
        <v>8</v>
      </c>
      <c r="K1831" s="137"/>
      <c r="L1831" s="137"/>
      <c r="M1831" s="137"/>
      <c r="N1831" s="138"/>
      <c r="O1831" s="167"/>
      <c r="P1831" s="111"/>
      <c r="Q1831" s="111"/>
      <c r="R1831" s="111"/>
      <c r="S1831" s="111"/>
      <c r="T1831" s="111"/>
      <c r="U1831" s="111"/>
      <c r="V1831" s="111"/>
      <c r="W1831" s="111"/>
      <c r="X1831" s="111"/>
      <c r="Y1831" s="111"/>
      <c r="Z1831" s="111"/>
      <c r="AA1831" s="111"/>
    </row>
    <row r="1832" spans="1:27" s="118" customFormat="1" x14ac:dyDescent="0.2">
      <c r="A1832" s="6"/>
      <c r="B1832" s="6"/>
      <c r="C1832" s="155"/>
      <c r="D1832" s="108"/>
      <c r="E1832" s="148"/>
      <c r="F1832" s="253"/>
      <c r="G1832" s="253"/>
      <c r="H1832" s="253"/>
      <c r="I1832" s="246"/>
      <c r="J1832" s="258"/>
      <c r="K1832" s="137"/>
      <c r="L1832" s="137"/>
      <c r="M1832" s="137"/>
      <c r="N1832" s="138"/>
      <c r="O1832" s="167"/>
      <c r="P1832" s="111"/>
      <c r="Q1832" s="111"/>
      <c r="R1832" s="111"/>
      <c r="S1832" s="111"/>
      <c r="T1832" s="111"/>
      <c r="U1832" s="111"/>
      <c r="V1832" s="111"/>
      <c r="W1832" s="111"/>
      <c r="X1832" s="111"/>
      <c r="Y1832" s="111"/>
      <c r="Z1832" s="111"/>
      <c r="AA1832" s="111"/>
    </row>
    <row r="1833" spans="1:27" s="147" customFormat="1" ht="30.6" x14ac:dyDescent="0.2">
      <c r="A1833" s="9" t="s">
        <v>909</v>
      </c>
      <c r="B1833" s="9" t="s">
        <v>163</v>
      </c>
      <c r="C1833" s="13" t="s">
        <v>194</v>
      </c>
      <c r="D1833" s="113" t="s">
        <v>252</v>
      </c>
      <c r="E1833" s="9" t="s">
        <v>31</v>
      </c>
      <c r="F1833" s="261"/>
      <c r="G1833" s="261"/>
      <c r="H1833" s="261"/>
      <c r="I1833" s="245"/>
      <c r="J1833" s="261"/>
      <c r="K1833" s="131">
        <f>J1836</f>
        <v>6</v>
      </c>
      <c r="L1833" s="131">
        <v>64.06</v>
      </c>
      <c r="M1833" s="131">
        <f>ROUND(L1833*(1+$Q$7),2)</f>
        <v>81.06</v>
      </c>
      <c r="N1833" s="133">
        <f>TRUNC(K1833*M1833,2)</f>
        <v>486.36</v>
      </c>
      <c r="O1833" s="286"/>
      <c r="P1833" s="146"/>
      <c r="Q1833" s="146"/>
      <c r="R1833" s="146"/>
      <c r="S1833" s="146"/>
      <c r="T1833" s="146"/>
      <c r="U1833" s="146"/>
      <c r="V1833" s="146"/>
      <c r="W1833" s="146"/>
      <c r="X1833" s="146"/>
      <c r="Y1833" s="146"/>
      <c r="Z1833" s="146"/>
      <c r="AA1833" s="146"/>
    </row>
    <row r="1834" spans="1:27" s="118" customFormat="1" x14ac:dyDescent="0.2">
      <c r="A1834" s="6"/>
      <c r="B1834" s="6"/>
      <c r="C1834" s="155"/>
      <c r="D1834" s="2" t="s">
        <v>314</v>
      </c>
      <c r="E1834" s="148"/>
      <c r="F1834" s="253">
        <v>3</v>
      </c>
      <c r="G1834" s="253"/>
      <c r="H1834" s="253"/>
      <c r="I1834" s="246"/>
      <c r="J1834" s="253">
        <f t="shared" ref="J1834:J1835" si="182">ROUND(PRODUCT(F1834:I1834),2)</f>
        <v>3</v>
      </c>
      <c r="K1834" s="137"/>
      <c r="L1834" s="137"/>
      <c r="M1834" s="137"/>
      <c r="N1834" s="138"/>
      <c r="O1834" s="167"/>
      <c r="P1834" s="111"/>
      <c r="Q1834" s="111"/>
      <c r="R1834" s="111"/>
      <c r="S1834" s="111"/>
      <c r="T1834" s="111"/>
      <c r="U1834" s="111"/>
      <c r="V1834" s="111"/>
      <c r="W1834" s="111"/>
      <c r="X1834" s="111"/>
      <c r="Y1834" s="111"/>
      <c r="Z1834" s="111"/>
      <c r="AA1834" s="111"/>
    </row>
    <row r="1835" spans="1:27" s="118" customFormat="1" x14ac:dyDescent="0.2">
      <c r="A1835" s="6"/>
      <c r="B1835" s="6"/>
      <c r="C1835" s="155"/>
      <c r="D1835" s="2" t="s">
        <v>312</v>
      </c>
      <c r="E1835" s="148"/>
      <c r="F1835" s="253">
        <v>3</v>
      </c>
      <c r="G1835" s="253"/>
      <c r="H1835" s="253"/>
      <c r="I1835" s="246"/>
      <c r="J1835" s="253">
        <f t="shared" si="182"/>
        <v>3</v>
      </c>
      <c r="K1835" s="137"/>
      <c r="L1835" s="137"/>
      <c r="M1835" s="137"/>
      <c r="N1835" s="138"/>
      <c r="O1835" s="167"/>
      <c r="P1835" s="111"/>
      <c r="Q1835" s="111"/>
      <c r="R1835" s="111"/>
      <c r="S1835" s="111"/>
      <c r="T1835" s="111"/>
      <c r="U1835" s="111"/>
      <c r="V1835" s="111"/>
      <c r="W1835" s="111"/>
      <c r="X1835" s="111"/>
      <c r="Y1835" s="111"/>
      <c r="Z1835" s="111"/>
      <c r="AA1835" s="111"/>
    </row>
    <row r="1836" spans="1:27" s="118" customFormat="1" x14ac:dyDescent="0.2">
      <c r="A1836" s="6"/>
      <c r="B1836" s="6"/>
      <c r="C1836" s="156"/>
      <c r="D1836" s="108"/>
      <c r="E1836" s="148"/>
      <c r="F1836" s="253"/>
      <c r="G1836" s="253"/>
      <c r="H1836" s="253"/>
      <c r="I1836" s="246" t="str">
        <f>"Total item "&amp;A1833</f>
        <v>Total item 21.3.4</v>
      </c>
      <c r="J1836" s="261">
        <f>SUM(J1834:J1835)</f>
        <v>6</v>
      </c>
      <c r="K1836" s="137"/>
      <c r="L1836" s="137"/>
      <c r="M1836" s="137"/>
      <c r="N1836" s="138"/>
      <c r="O1836" s="167"/>
      <c r="P1836" s="111"/>
      <c r="Q1836" s="111"/>
      <c r="R1836" s="111"/>
      <c r="S1836" s="111"/>
      <c r="T1836" s="111"/>
      <c r="U1836" s="111"/>
      <c r="V1836" s="111"/>
      <c r="W1836" s="111"/>
      <c r="X1836" s="111"/>
      <c r="Y1836" s="111"/>
      <c r="Z1836" s="111"/>
      <c r="AA1836" s="111"/>
    </row>
    <row r="1837" spans="1:27" s="139" customFormat="1" x14ac:dyDescent="0.2">
      <c r="A1837" s="6"/>
      <c r="B1837" s="6"/>
      <c r="C1837" s="7"/>
      <c r="D1837" s="116"/>
      <c r="E1837" s="6"/>
      <c r="F1837" s="258"/>
      <c r="G1837" s="258"/>
      <c r="H1837" s="258"/>
      <c r="I1837" s="246"/>
      <c r="J1837" s="258"/>
      <c r="K1837" s="137"/>
      <c r="L1837" s="137"/>
      <c r="M1837" s="137"/>
      <c r="N1837" s="138"/>
      <c r="O1837" s="283"/>
      <c r="P1837" s="120"/>
      <c r="Q1837" s="120"/>
      <c r="R1837" s="120"/>
      <c r="S1837" s="120"/>
      <c r="T1837" s="120"/>
      <c r="U1837" s="120"/>
      <c r="V1837" s="120"/>
      <c r="W1837" s="120"/>
      <c r="X1837" s="120"/>
      <c r="Y1837" s="120"/>
      <c r="Z1837" s="120"/>
      <c r="AA1837" s="120"/>
    </row>
    <row r="1838" spans="1:27" s="147" customFormat="1" ht="20.399999999999999" x14ac:dyDescent="0.2">
      <c r="A1838" s="9" t="s">
        <v>910</v>
      </c>
      <c r="B1838" s="9" t="s">
        <v>89</v>
      </c>
      <c r="C1838" s="13">
        <v>95469</v>
      </c>
      <c r="D1838" s="113" t="s">
        <v>441</v>
      </c>
      <c r="E1838" s="9" t="s">
        <v>33</v>
      </c>
      <c r="F1838" s="261"/>
      <c r="G1838" s="261"/>
      <c r="H1838" s="261"/>
      <c r="I1838" s="245"/>
      <c r="J1838" s="261"/>
      <c r="K1838" s="131">
        <f>J1840</f>
        <v>3</v>
      </c>
      <c r="L1838" s="131">
        <v>154.4</v>
      </c>
      <c r="M1838" s="131">
        <f>ROUND(L1838*(1+$Q$7),2)</f>
        <v>195.36</v>
      </c>
      <c r="N1838" s="133">
        <f>TRUNC(K1838*M1838,2)</f>
        <v>586.08000000000004</v>
      </c>
      <c r="O1838" s="286"/>
      <c r="P1838" s="146"/>
      <c r="Q1838" s="146"/>
      <c r="R1838" s="146"/>
      <c r="S1838" s="146"/>
      <c r="T1838" s="146"/>
      <c r="U1838" s="146"/>
      <c r="V1838" s="146"/>
      <c r="W1838" s="146"/>
      <c r="X1838" s="146"/>
      <c r="Y1838" s="146"/>
      <c r="Z1838" s="146"/>
      <c r="AA1838" s="146"/>
    </row>
    <row r="1839" spans="1:27" s="118" customFormat="1" x14ac:dyDescent="0.2">
      <c r="A1839" s="6"/>
      <c r="B1839" s="6"/>
      <c r="C1839" s="155"/>
      <c r="D1839" s="2" t="s">
        <v>512</v>
      </c>
      <c r="E1839" s="148"/>
      <c r="F1839" s="253">
        <v>3</v>
      </c>
      <c r="G1839" s="253"/>
      <c r="H1839" s="253"/>
      <c r="I1839" s="246"/>
      <c r="J1839" s="253">
        <f>ROUND(PRODUCT(F1839:I1839),2)</f>
        <v>3</v>
      </c>
      <c r="K1839" s="137"/>
      <c r="L1839" s="137"/>
      <c r="M1839" s="137"/>
      <c r="N1839" s="138"/>
      <c r="O1839" s="167"/>
      <c r="P1839" s="111"/>
      <c r="Q1839" s="111"/>
      <c r="R1839" s="111"/>
      <c r="S1839" s="111"/>
      <c r="T1839" s="111"/>
      <c r="U1839" s="111"/>
      <c r="V1839" s="111"/>
      <c r="W1839" s="111"/>
      <c r="X1839" s="111"/>
      <c r="Y1839" s="111"/>
      <c r="Z1839" s="111"/>
      <c r="AA1839" s="111"/>
    </row>
    <row r="1840" spans="1:27" s="118" customFormat="1" x14ac:dyDescent="0.2">
      <c r="A1840" s="6"/>
      <c r="B1840" s="6"/>
      <c r="C1840" s="156"/>
      <c r="D1840" s="108"/>
      <c r="E1840" s="148"/>
      <c r="F1840" s="253"/>
      <c r="G1840" s="253"/>
      <c r="H1840" s="253"/>
      <c r="I1840" s="246" t="str">
        <f>"Total item "&amp;A1838</f>
        <v>Total item 21.3.5</v>
      </c>
      <c r="J1840" s="261">
        <f>SUM(J1839:J1839)</f>
        <v>3</v>
      </c>
      <c r="K1840" s="137"/>
      <c r="L1840" s="137"/>
      <c r="M1840" s="137"/>
      <c r="N1840" s="138"/>
      <c r="O1840" s="167"/>
      <c r="P1840" s="111"/>
      <c r="Q1840" s="111"/>
      <c r="R1840" s="111"/>
      <c r="S1840" s="111"/>
      <c r="T1840" s="111"/>
      <c r="U1840" s="111"/>
      <c r="V1840" s="111"/>
      <c r="W1840" s="111"/>
      <c r="X1840" s="111"/>
      <c r="Y1840" s="111"/>
      <c r="Z1840" s="111"/>
      <c r="AA1840" s="111"/>
    </row>
    <row r="1841" spans="1:27" s="139" customFormat="1" x14ac:dyDescent="0.2">
      <c r="A1841" s="6"/>
      <c r="B1841" s="6"/>
      <c r="C1841" s="7"/>
      <c r="D1841" s="116"/>
      <c r="E1841" s="6"/>
      <c r="F1841" s="258"/>
      <c r="G1841" s="258"/>
      <c r="H1841" s="258"/>
      <c r="I1841" s="246"/>
      <c r="J1841" s="258"/>
      <c r="K1841" s="137"/>
      <c r="L1841" s="137"/>
      <c r="M1841" s="137"/>
      <c r="N1841" s="138"/>
      <c r="O1841" s="283"/>
      <c r="P1841" s="120"/>
      <c r="Q1841" s="120"/>
      <c r="R1841" s="120"/>
      <c r="S1841" s="120"/>
      <c r="T1841" s="120"/>
      <c r="U1841" s="120"/>
      <c r="V1841" s="120"/>
      <c r="W1841" s="120"/>
      <c r="X1841" s="120"/>
      <c r="Y1841" s="120"/>
      <c r="Z1841" s="120"/>
      <c r="AA1841" s="120"/>
    </row>
    <row r="1842" spans="1:27" s="147" customFormat="1" ht="30.6" x14ac:dyDescent="0.2">
      <c r="A1842" s="9" t="s">
        <v>911</v>
      </c>
      <c r="B1842" s="9" t="s">
        <v>163</v>
      </c>
      <c r="C1842" s="13" t="s">
        <v>249</v>
      </c>
      <c r="D1842" s="113" t="s">
        <v>250</v>
      </c>
      <c r="E1842" s="9" t="s">
        <v>33</v>
      </c>
      <c r="F1842" s="261"/>
      <c r="G1842" s="261"/>
      <c r="H1842" s="261"/>
      <c r="I1842" s="245"/>
      <c r="J1842" s="261"/>
      <c r="K1842" s="131">
        <f>J1844</f>
        <v>3</v>
      </c>
      <c r="L1842" s="131">
        <v>116.1</v>
      </c>
      <c r="M1842" s="131">
        <f>ROUND(L1842*(1+$Q$7),2)</f>
        <v>146.9</v>
      </c>
      <c r="N1842" s="133">
        <f>TRUNC(K1842*M1842,2)</f>
        <v>440.7</v>
      </c>
      <c r="O1842" s="286"/>
      <c r="P1842" s="146"/>
      <c r="Q1842" s="146"/>
      <c r="R1842" s="146"/>
      <c r="S1842" s="146"/>
      <c r="T1842" s="146"/>
      <c r="U1842" s="146"/>
      <c r="V1842" s="146"/>
      <c r="W1842" s="146"/>
      <c r="X1842" s="146"/>
      <c r="Y1842" s="146"/>
      <c r="Z1842" s="146"/>
      <c r="AA1842" s="146"/>
    </row>
    <row r="1843" spans="1:27" s="118" customFormat="1" x14ac:dyDescent="0.2">
      <c r="A1843" s="6"/>
      <c r="B1843" s="6"/>
      <c r="C1843" s="155"/>
      <c r="D1843" s="2" t="s">
        <v>512</v>
      </c>
      <c r="E1843" s="148"/>
      <c r="F1843" s="253">
        <v>3</v>
      </c>
      <c r="G1843" s="253"/>
      <c r="H1843" s="253"/>
      <c r="I1843" s="246"/>
      <c r="J1843" s="253">
        <f>ROUND(PRODUCT(F1843:I1843),2)</f>
        <v>3</v>
      </c>
      <c r="K1843" s="137"/>
      <c r="L1843" s="137"/>
      <c r="M1843" s="137"/>
      <c r="N1843" s="138"/>
      <c r="O1843" s="167"/>
      <c r="P1843" s="111"/>
      <c r="Q1843" s="111"/>
      <c r="R1843" s="111"/>
      <c r="S1843" s="111"/>
      <c r="T1843" s="111"/>
      <c r="U1843" s="111"/>
      <c r="V1843" s="111"/>
      <c r="W1843" s="111"/>
      <c r="X1843" s="111"/>
      <c r="Y1843" s="111"/>
      <c r="Z1843" s="111"/>
      <c r="AA1843" s="111"/>
    </row>
    <row r="1844" spans="1:27" s="118" customFormat="1" x14ac:dyDescent="0.2">
      <c r="A1844" s="6"/>
      <c r="B1844" s="6"/>
      <c r="C1844" s="156"/>
      <c r="D1844" s="108"/>
      <c r="E1844" s="148"/>
      <c r="F1844" s="253"/>
      <c r="G1844" s="253"/>
      <c r="H1844" s="253"/>
      <c r="I1844" s="246" t="str">
        <f>"Total item "&amp;A1842</f>
        <v>Total item 21.3.6</v>
      </c>
      <c r="J1844" s="261">
        <f>SUM(J1843:J1843)</f>
        <v>3</v>
      </c>
      <c r="K1844" s="137"/>
      <c r="L1844" s="137"/>
      <c r="M1844" s="137"/>
      <c r="N1844" s="138"/>
      <c r="O1844" s="167"/>
      <c r="P1844" s="111"/>
      <c r="Q1844" s="111"/>
      <c r="R1844" s="111"/>
      <c r="S1844" s="111"/>
      <c r="T1844" s="111"/>
      <c r="U1844" s="111"/>
      <c r="V1844" s="111"/>
      <c r="W1844" s="111"/>
      <c r="X1844" s="111"/>
      <c r="Y1844" s="111"/>
      <c r="Z1844" s="111"/>
      <c r="AA1844" s="111"/>
    </row>
    <row r="1845" spans="1:27" s="139" customFormat="1" x14ac:dyDescent="0.2">
      <c r="A1845" s="6"/>
      <c r="B1845" s="6"/>
      <c r="C1845" s="7"/>
      <c r="D1845" s="116"/>
      <c r="E1845" s="6"/>
      <c r="F1845" s="258"/>
      <c r="G1845" s="258"/>
      <c r="H1845" s="258"/>
      <c r="I1845" s="246"/>
      <c r="J1845" s="258"/>
      <c r="K1845" s="137"/>
      <c r="L1845" s="137"/>
      <c r="M1845" s="137"/>
      <c r="N1845" s="138"/>
      <c r="O1845" s="283"/>
      <c r="P1845" s="120"/>
      <c r="Q1845" s="120"/>
      <c r="R1845" s="120"/>
      <c r="S1845" s="120"/>
      <c r="T1845" s="120"/>
      <c r="U1845" s="120"/>
      <c r="V1845" s="120"/>
      <c r="W1845" s="120"/>
      <c r="X1845" s="120"/>
      <c r="Y1845" s="120"/>
      <c r="Z1845" s="120"/>
      <c r="AA1845" s="120"/>
    </row>
    <row r="1846" spans="1:27" s="147" customFormat="1" ht="51" x14ac:dyDescent="0.2">
      <c r="A1846" s="9" t="s">
        <v>912</v>
      </c>
      <c r="B1846" s="9" t="s">
        <v>89</v>
      </c>
      <c r="C1846" s="13">
        <v>72739</v>
      </c>
      <c r="D1846" s="113" t="s">
        <v>311</v>
      </c>
      <c r="E1846" s="9" t="s">
        <v>33</v>
      </c>
      <c r="F1846" s="261"/>
      <c r="G1846" s="261"/>
      <c r="H1846" s="261"/>
      <c r="I1846" s="245"/>
      <c r="J1846" s="261"/>
      <c r="K1846" s="131">
        <f>J1849</f>
        <v>5</v>
      </c>
      <c r="L1846" s="106">
        <v>410.89</v>
      </c>
      <c r="M1846" s="131">
        <f>ROUND(L1846*(1+$Q$7),2)</f>
        <v>519.9</v>
      </c>
      <c r="N1846" s="133">
        <f>TRUNC(K1846*M1846,2)</f>
        <v>2599.5</v>
      </c>
      <c r="O1846" s="286"/>
      <c r="P1846" s="146"/>
      <c r="Q1846" s="146"/>
      <c r="R1846" s="146"/>
      <c r="S1846" s="146"/>
      <c r="T1846" s="146"/>
      <c r="U1846" s="146"/>
      <c r="V1846" s="146"/>
      <c r="W1846" s="146"/>
      <c r="X1846" s="146"/>
      <c r="Y1846" s="146"/>
      <c r="Z1846" s="146"/>
      <c r="AA1846" s="146"/>
    </row>
    <row r="1847" spans="1:27" s="118" customFormat="1" x14ac:dyDescent="0.2">
      <c r="A1847" s="6"/>
      <c r="B1847" s="6"/>
      <c r="C1847" s="155"/>
      <c r="D1847" s="2" t="s">
        <v>312</v>
      </c>
      <c r="E1847" s="148"/>
      <c r="F1847" s="253">
        <v>2</v>
      </c>
      <c r="G1847" s="253"/>
      <c r="H1847" s="253"/>
      <c r="I1847" s="246"/>
      <c r="J1847" s="253">
        <f t="shared" ref="J1847:J1848" si="183">ROUND(PRODUCT(F1847:I1847),2)</f>
        <v>2</v>
      </c>
      <c r="K1847" s="137"/>
      <c r="L1847" s="137"/>
      <c r="M1847" s="137"/>
      <c r="N1847" s="138"/>
      <c r="O1847" s="167"/>
      <c r="P1847" s="111"/>
      <c r="Q1847" s="111" t="s">
        <v>313</v>
      </c>
      <c r="R1847" s="111"/>
      <c r="S1847" s="111"/>
      <c r="T1847" s="111"/>
      <c r="U1847" s="111"/>
      <c r="V1847" s="111"/>
      <c r="W1847" s="111"/>
      <c r="X1847" s="111"/>
      <c r="Y1847" s="111"/>
      <c r="Z1847" s="111"/>
      <c r="AA1847" s="111"/>
    </row>
    <row r="1848" spans="1:27" s="118" customFormat="1" x14ac:dyDescent="0.2">
      <c r="A1848" s="6"/>
      <c r="B1848" s="6"/>
      <c r="C1848" s="155"/>
      <c r="D1848" s="2" t="s">
        <v>314</v>
      </c>
      <c r="E1848" s="148"/>
      <c r="F1848" s="253">
        <v>3</v>
      </c>
      <c r="G1848" s="253"/>
      <c r="H1848" s="253"/>
      <c r="I1848" s="246"/>
      <c r="J1848" s="253">
        <f t="shared" si="183"/>
        <v>3</v>
      </c>
      <c r="K1848" s="137"/>
      <c r="L1848" s="137"/>
      <c r="M1848" s="137"/>
      <c r="N1848" s="138"/>
      <c r="O1848" s="167"/>
      <c r="P1848" s="111"/>
      <c r="Q1848" s="111"/>
      <c r="R1848" s="111"/>
      <c r="S1848" s="111"/>
      <c r="T1848" s="111"/>
      <c r="U1848" s="111"/>
      <c r="V1848" s="111"/>
      <c r="W1848" s="111"/>
      <c r="X1848" s="111"/>
      <c r="Y1848" s="111"/>
      <c r="Z1848" s="111"/>
      <c r="AA1848" s="111"/>
    </row>
    <row r="1849" spans="1:27" s="118" customFormat="1" x14ac:dyDescent="0.2">
      <c r="A1849" s="6"/>
      <c r="B1849" s="6"/>
      <c r="C1849" s="156"/>
      <c r="D1849" s="108"/>
      <c r="E1849" s="148"/>
      <c r="F1849" s="253"/>
      <c r="G1849" s="253"/>
      <c r="H1849" s="253"/>
      <c r="I1849" s="246" t="str">
        <f>"Total item "&amp;A1846</f>
        <v>Total item 21.3.7</v>
      </c>
      <c r="J1849" s="261">
        <f>SUM(J1847:J1848)</f>
        <v>5</v>
      </c>
      <c r="K1849" s="137"/>
      <c r="L1849" s="137"/>
      <c r="M1849" s="137"/>
      <c r="N1849" s="138"/>
      <c r="O1849" s="167"/>
      <c r="P1849" s="111"/>
      <c r="Q1849" s="111"/>
      <c r="R1849" s="111"/>
      <c r="S1849" s="111"/>
      <c r="T1849" s="111"/>
      <c r="U1849" s="111"/>
      <c r="V1849" s="111"/>
      <c r="W1849" s="111"/>
      <c r="X1849" s="111"/>
      <c r="Y1849" s="111"/>
      <c r="Z1849" s="111"/>
      <c r="AA1849" s="111"/>
    </row>
    <row r="1850" spans="1:27" s="139" customFormat="1" x14ac:dyDescent="0.2">
      <c r="A1850" s="6"/>
      <c r="B1850" s="6"/>
      <c r="C1850" s="7"/>
      <c r="D1850" s="116"/>
      <c r="E1850" s="6"/>
      <c r="F1850" s="258"/>
      <c r="G1850" s="258"/>
      <c r="H1850" s="258"/>
      <c r="I1850" s="246"/>
      <c r="J1850" s="258"/>
      <c r="K1850" s="137"/>
      <c r="L1850" s="137"/>
      <c r="M1850" s="137"/>
      <c r="N1850" s="138"/>
      <c r="O1850" s="283"/>
      <c r="P1850" s="120"/>
      <c r="Q1850" s="120"/>
      <c r="R1850" s="120"/>
      <c r="S1850" s="120"/>
      <c r="T1850" s="120"/>
      <c r="U1850" s="120"/>
      <c r="V1850" s="120"/>
      <c r="W1850" s="120"/>
      <c r="X1850" s="120"/>
      <c r="Y1850" s="120"/>
      <c r="Z1850" s="120"/>
      <c r="AA1850" s="120"/>
    </row>
    <row r="1851" spans="1:27" s="145" customFormat="1" x14ac:dyDescent="0.2">
      <c r="A1851" s="140" t="s">
        <v>913</v>
      </c>
      <c r="B1851" s="140"/>
      <c r="C1851" s="141"/>
      <c r="D1851" s="112" t="s">
        <v>29</v>
      </c>
      <c r="E1851" s="140"/>
      <c r="F1851" s="260"/>
      <c r="G1851" s="260"/>
      <c r="H1851" s="260"/>
      <c r="I1851" s="248"/>
      <c r="J1851" s="260"/>
      <c r="K1851" s="142"/>
      <c r="L1851" s="142"/>
      <c r="M1851" s="142"/>
      <c r="N1851" s="143">
        <f>SUM(N1853:N1857)</f>
        <v>110.53</v>
      </c>
      <c r="O1851" s="285"/>
      <c r="P1851" s="144"/>
      <c r="Q1851" s="144"/>
      <c r="R1851" s="144"/>
      <c r="S1851" s="144"/>
      <c r="T1851" s="144"/>
      <c r="U1851" s="144"/>
      <c r="V1851" s="144"/>
      <c r="W1851" s="144"/>
      <c r="X1851" s="144"/>
      <c r="Y1851" s="144"/>
      <c r="Z1851" s="144"/>
      <c r="AA1851" s="144"/>
    </row>
    <row r="1852" spans="1:27" s="139" customFormat="1" x14ac:dyDescent="0.2">
      <c r="A1852" s="6"/>
      <c r="B1852" s="6"/>
      <c r="C1852" s="7"/>
      <c r="D1852" s="116"/>
      <c r="E1852" s="6"/>
      <c r="F1852" s="258"/>
      <c r="G1852" s="258"/>
      <c r="H1852" s="258"/>
      <c r="I1852" s="246"/>
      <c r="J1852" s="258"/>
      <c r="K1852" s="137"/>
      <c r="L1852" s="137"/>
      <c r="M1852" s="137"/>
      <c r="N1852" s="138"/>
      <c r="O1852" s="283"/>
      <c r="P1852" s="120"/>
      <c r="Q1852" s="120"/>
      <c r="R1852" s="120"/>
      <c r="S1852" s="120"/>
      <c r="T1852" s="120"/>
      <c r="U1852" s="120"/>
      <c r="V1852" s="120"/>
      <c r="W1852" s="120"/>
      <c r="X1852" s="120"/>
      <c r="Y1852" s="120"/>
      <c r="Z1852" s="120"/>
      <c r="AA1852" s="120"/>
    </row>
    <row r="1853" spans="1:27" s="147" customFormat="1" ht="40.799999999999997" x14ac:dyDescent="0.2">
      <c r="A1853" s="9" t="s">
        <v>914</v>
      </c>
      <c r="B1853" s="9" t="s">
        <v>163</v>
      </c>
      <c r="C1853" s="13" t="s">
        <v>176</v>
      </c>
      <c r="D1853" s="113" t="s">
        <v>269</v>
      </c>
      <c r="E1853" s="1" t="s">
        <v>9</v>
      </c>
      <c r="F1853" s="261"/>
      <c r="G1853" s="261"/>
      <c r="H1853" s="261"/>
      <c r="I1853" s="245"/>
      <c r="J1853" s="261"/>
      <c r="K1853" s="131">
        <f>J1858</f>
        <v>6.51</v>
      </c>
      <c r="L1853" s="131">
        <v>13.42</v>
      </c>
      <c r="M1853" s="131">
        <f>ROUND(L1853*(1+$Q$7),2)</f>
        <v>16.98</v>
      </c>
      <c r="N1853" s="133">
        <f>TRUNC(K1853*M1853,2)</f>
        <v>110.53</v>
      </c>
      <c r="O1853" s="286"/>
      <c r="P1853" s="146"/>
      <c r="Q1853" s="146"/>
      <c r="R1853" s="146"/>
      <c r="S1853" s="146"/>
      <c r="T1853" s="146"/>
      <c r="U1853" s="146"/>
      <c r="V1853" s="146"/>
      <c r="W1853" s="146"/>
      <c r="X1853" s="146"/>
      <c r="Y1853" s="146"/>
      <c r="Z1853" s="146"/>
      <c r="AA1853" s="146"/>
    </row>
    <row r="1854" spans="1:27" s="118" customFormat="1" x14ac:dyDescent="0.2">
      <c r="A1854" s="6"/>
      <c r="B1854" s="6"/>
      <c r="C1854" s="155"/>
      <c r="D1854" s="3" t="s">
        <v>270</v>
      </c>
      <c r="E1854" s="148"/>
      <c r="F1854" s="253"/>
      <c r="G1854" s="253"/>
      <c r="H1854" s="253"/>
      <c r="I1854" s="249"/>
      <c r="J1854" s="253"/>
      <c r="K1854" s="137"/>
      <c r="L1854" s="137"/>
      <c r="M1854" s="137"/>
      <c r="N1854" s="138"/>
      <c r="O1854" s="167"/>
      <c r="P1854" s="111"/>
      <c r="Q1854" s="111"/>
      <c r="R1854" s="111"/>
      <c r="S1854" s="111"/>
      <c r="T1854" s="111"/>
      <c r="U1854" s="111"/>
      <c r="V1854" s="111"/>
      <c r="W1854" s="111"/>
      <c r="X1854" s="111"/>
      <c r="Y1854" s="111"/>
      <c r="Z1854" s="111"/>
      <c r="AA1854" s="111"/>
    </row>
    <row r="1855" spans="1:27" s="118" customFormat="1" x14ac:dyDescent="0.2">
      <c r="A1855" s="6"/>
      <c r="B1855" s="6"/>
      <c r="C1855" s="155"/>
      <c r="D1855" s="2" t="s">
        <v>512</v>
      </c>
      <c r="E1855" s="148"/>
      <c r="F1855" s="253">
        <v>2</v>
      </c>
      <c r="G1855" s="253">
        <v>0.7</v>
      </c>
      <c r="H1855" s="253"/>
      <c r="I1855" s="249">
        <v>2.1</v>
      </c>
      <c r="J1855" s="253">
        <f>ROUND(PRODUCT(F1855:I1855),2)</f>
        <v>2.94</v>
      </c>
      <c r="K1855" s="137"/>
      <c r="L1855" s="137"/>
      <c r="M1855" s="137"/>
      <c r="N1855" s="138"/>
      <c r="O1855" s="167"/>
      <c r="P1855" s="111"/>
      <c r="Q1855" s="111"/>
      <c r="R1855" s="111"/>
      <c r="S1855" s="111"/>
      <c r="T1855" s="111"/>
      <c r="U1855" s="111"/>
      <c r="V1855" s="111"/>
      <c r="W1855" s="111"/>
      <c r="X1855" s="111"/>
      <c r="Y1855" s="111"/>
      <c r="Z1855" s="111"/>
      <c r="AA1855" s="111"/>
    </row>
    <row r="1856" spans="1:27" s="118" customFormat="1" x14ac:dyDescent="0.2">
      <c r="A1856" s="6"/>
      <c r="B1856" s="6"/>
      <c r="C1856" s="155"/>
      <c r="D1856" s="2"/>
      <c r="E1856" s="148"/>
      <c r="F1856" s="253"/>
      <c r="G1856" s="253">
        <v>0.8</v>
      </c>
      <c r="H1856" s="253"/>
      <c r="I1856" s="249">
        <v>2.1</v>
      </c>
      <c r="J1856" s="253">
        <f>ROUND(PRODUCT(F1856:I1856),2)</f>
        <v>1.68</v>
      </c>
      <c r="K1856" s="137"/>
      <c r="L1856" s="137"/>
      <c r="M1856" s="137"/>
      <c r="N1856" s="138"/>
      <c r="O1856" s="167"/>
      <c r="P1856" s="111"/>
      <c r="Q1856" s="111"/>
      <c r="R1856" s="111"/>
      <c r="S1856" s="111"/>
      <c r="T1856" s="111"/>
      <c r="U1856" s="111"/>
      <c r="V1856" s="111"/>
      <c r="W1856" s="111"/>
      <c r="X1856" s="111"/>
      <c r="Y1856" s="111"/>
      <c r="Z1856" s="111"/>
      <c r="AA1856" s="111"/>
    </row>
    <row r="1857" spans="1:27" s="118" customFormat="1" x14ac:dyDescent="0.2">
      <c r="A1857" s="6"/>
      <c r="B1857" s="6"/>
      <c r="C1857" s="155"/>
      <c r="D1857" s="2"/>
      <c r="E1857" s="148"/>
      <c r="F1857" s="253"/>
      <c r="G1857" s="253">
        <v>0.9</v>
      </c>
      <c r="H1857" s="253"/>
      <c r="I1857" s="249">
        <v>2.1</v>
      </c>
      <c r="J1857" s="253">
        <f>ROUND(PRODUCT(F1857:I1857),2)</f>
        <v>1.89</v>
      </c>
      <c r="K1857" s="137"/>
      <c r="L1857" s="137"/>
      <c r="M1857" s="137"/>
      <c r="N1857" s="138"/>
      <c r="O1857" s="167"/>
      <c r="P1857" s="111"/>
      <c r="Q1857" s="111"/>
      <c r="R1857" s="111"/>
      <c r="S1857" s="111"/>
      <c r="T1857" s="111"/>
      <c r="U1857" s="111"/>
      <c r="V1857" s="111"/>
      <c r="W1857" s="111"/>
      <c r="X1857" s="111"/>
      <c r="Y1857" s="111"/>
      <c r="Z1857" s="111"/>
      <c r="AA1857" s="111"/>
    </row>
    <row r="1858" spans="1:27" s="118" customFormat="1" x14ac:dyDescent="0.2">
      <c r="A1858" s="6"/>
      <c r="B1858" s="6"/>
      <c r="C1858" s="156"/>
      <c r="D1858" s="108"/>
      <c r="E1858" s="148"/>
      <c r="F1858" s="253"/>
      <c r="G1858" s="253"/>
      <c r="H1858" s="253"/>
      <c r="I1858" s="246" t="str">
        <f>"Total item "&amp;A1853</f>
        <v>Total item 21.4.1</v>
      </c>
      <c r="J1858" s="261">
        <f>SUM(J1855:J1857)</f>
        <v>6.51</v>
      </c>
      <c r="K1858" s="137"/>
      <c r="L1858" s="137"/>
      <c r="M1858" s="137"/>
      <c r="N1858" s="138"/>
      <c r="O1858" s="167"/>
      <c r="P1858" s="111"/>
      <c r="Q1858" s="111"/>
      <c r="R1858" s="111"/>
      <c r="S1858" s="111"/>
      <c r="T1858" s="111"/>
      <c r="U1858" s="111"/>
      <c r="V1858" s="111"/>
      <c r="W1858" s="111"/>
      <c r="X1858" s="111"/>
      <c r="Y1858" s="111"/>
      <c r="Z1858" s="111"/>
      <c r="AA1858" s="111"/>
    </row>
    <row r="1859" spans="1:27" s="118" customFormat="1" x14ac:dyDescent="0.2">
      <c r="A1859" s="6"/>
      <c r="B1859" s="6"/>
      <c r="C1859" s="156"/>
      <c r="D1859" s="108"/>
      <c r="E1859" s="148"/>
      <c r="F1859" s="253"/>
      <c r="G1859" s="253"/>
      <c r="H1859" s="253"/>
      <c r="I1859" s="246"/>
      <c r="J1859" s="246"/>
      <c r="K1859" s="137"/>
      <c r="L1859" s="137"/>
      <c r="M1859" s="137"/>
      <c r="N1859" s="138"/>
      <c r="O1859" s="167"/>
      <c r="P1859" s="111"/>
      <c r="Q1859" s="111"/>
      <c r="R1859" s="111"/>
      <c r="S1859" s="111"/>
      <c r="T1859" s="111"/>
      <c r="U1859" s="111"/>
      <c r="V1859" s="111"/>
      <c r="W1859" s="111"/>
      <c r="X1859" s="111"/>
      <c r="Y1859" s="111"/>
      <c r="Z1859" s="111"/>
      <c r="AA1859" s="111"/>
    </row>
    <row r="1860" spans="1:27" s="145" customFormat="1" x14ac:dyDescent="0.2">
      <c r="A1860" s="140" t="s">
        <v>915</v>
      </c>
      <c r="B1860" s="140"/>
      <c r="C1860" s="141"/>
      <c r="D1860" s="112" t="s">
        <v>80</v>
      </c>
      <c r="E1860" s="140"/>
      <c r="F1860" s="260"/>
      <c r="G1860" s="260"/>
      <c r="H1860" s="260"/>
      <c r="I1860" s="248"/>
      <c r="J1860" s="260"/>
      <c r="K1860" s="142"/>
      <c r="L1860" s="142"/>
      <c r="M1860" s="142"/>
      <c r="N1860" s="143">
        <f>SUM(N1862:N1866)</f>
        <v>4317.09</v>
      </c>
      <c r="O1860" s="285"/>
      <c r="P1860" s="144"/>
      <c r="Q1860" s="144"/>
      <c r="R1860" s="144"/>
      <c r="S1860" s="144"/>
      <c r="T1860" s="144"/>
      <c r="U1860" s="144"/>
      <c r="V1860" s="144"/>
      <c r="W1860" s="144"/>
      <c r="X1860" s="144"/>
      <c r="Y1860" s="144"/>
      <c r="Z1860" s="144"/>
      <c r="AA1860" s="144"/>
    </row>
    <row r="1861" spans="1:27" s="118" customFormat="1" x14ac:dyDescent="0.2">
      <c r="A1861" s="6"/>
      <c r="B1861" s="6"/>
      <c r="C1861" s="156"/>
      <c r="D1861" s="108"/>
      <c r="E1861" s="148"/>
      <c r="F1861" s="253"/>
      <c r="G1861" s="253"/>
      <c r="H1861" s="253"/>
      <c r="I1861" s="246"/>
      <c r="J1861" s="246"/>
      <c r="K1861" s="137"/>
      <c r="L1861" s="137"/>
      <c r="M1861" s="137"/>
      <c r="N1861" s="138"/>
      <c r="O1861" s="167"/>
      <c r="P1861" s="111"/>
      <c r="Q1861" s="111"/>
      <c r="R1861" s="111"/>
      <c r="S1861" s="111"/>
      <c r="T1861" s="111"/>
      <c r="U1861" s="111"/>
      <c r="V1861" s="111"/>
      <c r="W1861" s="111"/>
      <c r="X1861" s="111"/>
      <c r="Y1861" s="111"/>
      <c r="Z1861" s="111"/>
      <c r="AA1861" s="111"/>
    </row>
    <row r="1862" spans="1:27" s="147" customFormat="1" x14ac:dyDescent="0.2">
      <c r="A1862" s="9" t="s">
        <v>916</v>
      </c>
      <c r="B1862" s="9" t="s">
        <v>89</v>
      </c>
      <c r="C1862" s="13" t="s">
        <v>316</v>
      </c>
      <c r="D1862" s="109" t="s">
        <v>317</v>
      </c>
      <c r="E1862" s="9" t="s">
        <v>9</v>
      </c>
      <c r="F1862" s="261"/>
      <c r="G1862" s="261"/>
      <c r="H1862" s="261"/>
      <c r="I1862" s="245"/>
      <c r="J1862" s="261"/>
      <c r="K1862" s="131">
        <f>J1865</f>
        <v>588.16</v>
      </c>
      <c r="L1862" s="131">
        <v>5.8</v>
      </c>
      <c r="M1862" s="131">
        <f>ROUND(L1862*(1+$Q$7),2)</f>
        <v>7.34</v>
      </c>
      <c r="N1862" s="133">
        <f>TRUNC(K1862*M1862,2)</f>
        <v>4317.09</v>
      </c>
      <c r="O1862" s="286"/>
      <c r="P1862" s="146"/>
      <c r="Q1862" s="146"/>
      <c r="R1862" s="146"/>
      <c r="S1862" s="146"/>
      <c r="T1862" s="146"/>
      <c r="U1862" s="146"/>
      <c r="V1862" s="146"/>
      <c r="W1862" s="146"/>
      <c r="X1862" s="146"/>
      <c r="Y1862" s="146"/>
      <c r="Z1862" s="146"/>
      <c r="AA1862" s="146"/>
    </row>
    <row r="1863" spans="1:27" s="118" customFormat="1" x14ac:dyDescent="0.2">
      <c r="A1863" s="6"/>
      <c r="B1863" s="6"/>
      <c r="C1863" s="155"/>
      <c r="D1863" s="2"/>
      <c r="E1863" s="148"/>
      <c r="F1863" s="253"/>
      <c r="G1863" s="253">
        <v>29.9</v>
      </c>
      <c r="H1863" s="253">
        <v>15.1</v>
      </c>
      <c r="I1863" s="246"/>
      <c r="J1863" s="253">
        <f t="shared" ref="J1863:J1864" si="184">ROUND(PRODUCT(F1863:I1863),2)</f>
        <v>451.49</v>
      </c>
      <c r="K1863" s="137"/>
      <c r="L1863" s="137"/>
      <c r="M1863" s="137"/>
      <c r="N1863" s="138"/>
      <c r="O1863" s="167"/>
      <c r="P1863" s="111"/>
      <c r="Q1863" s="111"/>
      <c r="R1863" s="111"/>
      <c r="S1863" s="111"/>
      <c r="T1863" s="111"/>
      <c r="U1863" s="111"/>
      <c r="V1863" s="111"/>
      <c r="W1863" s="111"/>
      <c r="X1863" s="111"/>
      <c r="Y1863" s="111"/>
      <c r="Z1863" s="111"/>
      <c r="AA1863" s="111"/>
    </row>
    <row r="1864" spans="1:27" s="118" customFormat="1" x14ac:dyDescent="0.2">
      <c r="A1864" s="6"/>
      <c r="B1864" s="6"/>
      <c r="C1864" s="155"/>
      <c r="D1864" s="2"/>
      <c r="E1864" s="148"/>
      <c r="F1864" s="253"/>
      <c r="G1864" s="253">
        <v>8.65</v>
      </c>
      <c r="H1864" s="253">
        <v>15.8</v>
      </c>
      <c r="I1864" s="246"/>
      <c r="J1864" s="253">
        <f t="shared" si="184"/>
        <v>136.66999999999999</v>
      </c>
      <c r="K1864" s="137"/>
      <c r="L1864" s="137"/>
      <c r="M1864" s="137"/>
      <c r="N1864" s="138"/>
      <c r="O1864" s="167"/>
      <c r="P1864" s="111"/>
      <c r="Q1864" s="111"/>
      <c r="R1864" s="111"/>
      <c r="S1864" s="111"/>
      <c r="T1864" s="111"/>
      <c r="U1864" s="111"/>
      <c r="V1864" s="111"/>
      <c r="W1864" s="111"/>
      <c r="X1864" s="111"/>
      <c r="Y1864" s="111"/>
      <c r="Z1864" s="111"/>
      <c r="AA1864" s="111"/>
    </row>
    <row r="1865" spans="1:27" s="118" customFormat="1" x14ac:dyDescent="0.2">
      <c r="A1865" s="6"/>
      <c r="B1865" s="6"/>
      <c r="C1865" s="156"/>
      <c r="D1865" s="108"/>
      <c r="E1865" s="148"/>
      <c r="F1865" s="253"/>
      <c r="G1865" s="253"/>
      <c r="H1865" s="253"/>
      <c r="I1865" s="246" t="str">
        <f>"Total item "&amp;A1862</f>
        <v>Total item 21.5.1</v>
      </c>
      <c r="J1865" s="261">
        <f>SUM(J1863:J1864)</f>
        <v>588.16</v>
      </c>
      <c r="K1865" s="137"/>
      <c r="L1865" s="137"/>
      <c r="M1865" s="137"/>
      <c r="N1865" s="138"/>
      <c r="O1865" s="167"/>
      <c r="P1865" s="111"/>
      <c r="Q1865" s="111"/>
      <c r="R1865" s="111"/>
      <c r="S1865" s="111"/>
      <c r="T1865" s="111"/>
      <c r="U1865" s="111"/>
      <c r="V1865" s="111"/>
      <c r="W1865" s="111"/>
      <c r="X1865" s="111"/>
      <c r="Y1865" s="111"/>
      <c r="Z1865" s="111"/>
      <c r="AA1865" s="111"/>
    </row>
    <row r="1866" spans="1:27" s="118" customFormat="1" x14ac:dyDescent="0.2">
      <c r="A1866" s="6"/>
      <c r="B1866" s="6"/>
      <c r="C1866" s="14"/>
      <c r="D1866" s="108"/>
      <c r="E1866" s="148"/>
      <c r="F1866" s="253"/>
      <c r="G1866" s="253"/>
      <c r="H1866" s="253"/>
      <c r="I1866" s="246"/>
      <c r="J1866" s="262"/>
      <c r="K1866" s="137"/>
      <c r="L1866" s="137"/>
      <c r="M1866" s="137"/>
      <c r="N1866" s="138"/>
      <c r="O1866" s="167"/>
      <c r="P1866" s="111"/>
      <c r="Q1866" s="111"/>
      <c r="R1866" s="111"/>
      <c r="S1866" s="111"/>
      <c r="T1866" s="111"/>
      <c r="U1866" s="111"/>
      <c r="V1866" s="111"/>
      <c r="W1866" s="111"/>
      <c r="X1866" s="111"/>
      <c r="Y1866" s="111"/>
      <c r="Z1866" s="111"/>
      <c r="AA1866" s="111"/>
    </row>
    <row r="1867" spans="1:27" s="241" customFormat="1" ht="13.2" x14ac:dyDescent="0.25">
      <c r="A1867" s="236" t="s">
        <v>238</v>
      </c>
      <c r="B1867" s="236"/>
      <c r="C1867" s="237"/>
      <c r="D1867" s="289" t="s">
        <v>229</v>
      </c>
      <c r="E1867" s="236"/>
      <c r="F1867" s="259"/>
      <c r="G1867" s="259"/>
      <c r="H1867" s="259"/>
      <c r="I1867" s="247"/>
      <c r="J1867" s="259"/>
      <c r="K1867" s="238"/>
      <c r="L1867" s="238"/>
      <c r="M1867" s="238"/>
      <c r="N1867" s="239" t="e">
        <f>N1869+N1907+N1917+N1929+N1943+N1950</f>
        <v>#VALUE!</v>
      </c>
      <c r="O1867" s="284" t="e">
        <f>N1867/$N$2057</f>
        <v>#VALUE!</v>
      </c>
      <c r="P1867" s="240"/>
      <c r="Q1867" s="240" t="s">
        <v>533</v>
      </c>
      <c r="R1867" s="240"/>
      <c r="S1867" s="240"/>
      <c r="T1867" s="240"/>
      <c r="U1867" s="240"/>
      <c r="V1867" s="240"/>
      <c r="W1867" s="240"/>
      <c r="X1867" s="240"/>
      <c r="Y1867" s="240"/>
      <c r="Z1867" s="240"/>
      <c r="AA1867" s="240"/>
    </row>
    <row r="1868" spans="1:27" s="118" customFormat="1" x14ac:dyDescent="0.2">
      <c r="A1868" s="6"/>
      <c r="B1868" s="6"/>
      <c r="C1868" s="14"/>
      <c r="D1868" s="108"/>
      <c r="E1868" s="148"/>
      <c r="F1868" s="253"/>
      <c r="G1868" s="253"/>
      <c r="H1868" s="253"/>
      <c r="I1868" s="246"/>
      <c r="J1868" s="262"/>
      <c r="K1868" s="137"/>
      <c r="L1868" s="137"/>
      <c r="M1868" s="137"/>
      <c r="N1868" s="138"/>
      <c r="O1868" s="167"/>
      <c r="P1868" s="111"/>
      <c r="Q1868" s="111"/>
      <c r="R1868" s="111"/>
      <c r="S1868" s="111"/>
      <c r="T1868" s="111"/>
      <c r="U1868" s="111"/>
      <c r="V1868" s="111"/>
      <c r="W1868" s="111"/>
      <c r="X1868" s="111"/>
      <c r="Y1868" s="111"/>
      <c r="Z1868" s="111"/>
      <c r="AA1868" s="111"/>
    </row>
    <row r="1869" spans="1:27" s="145" customFormat="1" x14ac:dyDescent="0.2">
      <c r="A1869" s="140" t="s">
        <v>321</v>
      </c>
      <c r="B1869" s="140"/>
      <c r="C1869" s="141"/>
      <c r="D1869" s="112" t="s">
        <v>30</v>
      </c>
      <c r="E1869" s="140"/>
      <c r="F1869" s="260"/>
      <c r="G1869" s="260"/>
      <c r="H1869" s="260"/>
      <c r="I1869" s="248"/>
      <c r="J1869" s="260"/>
      <c r="K1869" s="142"/>
      <c r="L1869" s="142"/>
      <c r="M1869" s="142"/>
      <c r="N1869" s="143" t="e">
        <f>SUM(N1871:N1905)</f>
        <v>#VALUE!</v>
      </c>
      <c r="O1869" s="285"/>
      <c r="P1869" s="144"/>
      <c r="Q1869" s="144"/>
      <c r="R1869" s="144"/>
      <c r="S1869" s="144"/>
      <c r="T1869" s="144"/>
      <c r="U1869" s="144"/>
      <c r="V1869" s="144"/>
      <c r="W1869" s="144"/>
      <c r="X1869" s="144"/>
      <c r="Y1869" s="144"/>
      <c r="Z1869" s="144"/>
      <c r="AA1869" s="144"/>
    </row>
    <row r="1870" spans="1:27" s="118" customFormat="1" x14ac:dyDescent="0.2">
      <c r="A1870" s="6"/>
      <c r="B1870" s="6"/>
      <c r="C1870" s="14"/>
      <c r="D1870" s="108"/>
      <c r="E1870" s="148"/>
      <c r="F1870" s="253"/>
      <c r="G1870" s="253"/>
      <c r="H1870" s="253"/>
      <c r="I1870" s="246"/>
      <c r="J1870" s="262"/>
      <c r="K1870" s="137"/>
      <c r="L1870" s="137"/>
      <c r="M1870" s="137"/>
      <c r="N1870" s="138"/>
      <c r="O1870" s="167"/>
      <c r="P1870" s="111"/>
      <c r="Q1870" s="111"/>
      <c r="R1870" s="111"/>
      <c r="S1870" s="111"/>
      <c r="T1870" s="111"/>
      <c r="U1870" s="111"/>
      <c r="V1870" s="111"/>
      <c r="W1870" s="111"/>
      <c r="X1870" s="111"/>
      <c r="Y1870" s="111"/>
      <c r="Z1870" s="111"/>
      <c r="AA1870" s="111"/>
    </row>
    <row r="1871" spans="1:27" s="147" customFormat="1" ht="61.2" x14ac:dyDescent="0.2">
      <c r="A1871" s="9" t="s">
        <v>322</v>
      </c>
      <c r="B1871" s="9" t="s">
        <v>179</v>
      </c>
      <c r="C1871" s="13" t="s">
        <v>417</v>
      </c>
      <c r="D1871" s="113" t="s">
        <v>561</v>
      </c>
      <c r="E1871" s="9" t="s">
        <v>31</v>
      </c>
      <c r="F1871" s="261"/>
      <c r="G1871" s="261"/>
      <c r="H1871" s="261"/>
      <c r="I1871" s="245"/>
      <c r="J1871" s="261"/>
      <c r="K1871" s="131">
        <f>J1877</f>
        <v>11</v>
      </c>
      <c r="L1871" s="131" t="e">
        <f>'COMPOSICOES - SINAPI COM DESON'!G36</f>
        <v>#VALUE!</v>
      </c>
      <c r="M1871" s="131" t="e">
        <f>ROUND(L1871*(1+$Q$7),2)</f>
        <v>#VALUE!</v>
      </c>
      <c r="N1871" s="133" t="e">
        <f>TRUNC(K1871*M1871,2)</f>
        <v>#VALUE!</v>
      </c>
      <c r="O1871" s="286"/>
      <c r="P1871" s="146"/>
      <c r="Q1871" s="146"/>
      <c r="R1871" s="146"/>
      <c r="S1871" s="146"/>
      <c r="T1871" s="146"/>
      <c r="U1871" s="146"/>
      <c r="V1871" s="146"/>
      <c r="W1871" s="146"/>
      <c r="X1871" s="146"/>
      <c r="Y1871" s="146"/>
      <c r="Z1871" s="146"/>
      <c r="AA1871" s="146"/>
    </row>
    <row r="1872" spans="1:27" s="118" customFormat="1" x14ac:dyDescent="0.2">
      <c r="A1872" s="6"/>
      <c r="B1872" s="6"/>
      <c r="C1872" s="155"/>
      <c r="D1872" s="2" t="s">
        <v>429</v>
      </c>
      <c r="E1872" s="148"/>
      <c r="F1872" s="253">
        <v>4</v>
      </c>
      <c r="G1872" s="253"/>
      <c r="H1872" s="253"/>
      <c r="I1872" s="246"/>
      <c r="J1872" s="253">
        <f t="shared" ref="J1872:J1876" si="185">ROUND(PRODUCT(F1872:I1872),2)</f>
        <v>4</v>
      </c>
      <c r="K1872" s="137"/>
      <c r="L1872" s="137"/>
      <c r="M1872" s="137"/>
      <c r="N1872" s="138"/>
      <c r="O1872" s="167"/>
      <c r="P1872" s="111"/>
      <c r="Q1872" s="111"/>
      <c r="R1872" s="111"/>
      <c r="S1872" s="111"/>
      <c r="T1872" s="111"/>
      <c r="U1872" s="111"/>
      <c r="V1872" s="111"/>
      <c r="W1872" s="111"/>
      <c r="X1872" s="111"/>
      <c r="Y1872" s="111"/>
      <c r="Z1872" s="111"/>
      <c r="AA1872" s="111"/>
    </row>
    <row r="1873" spans="1:27" s="118" customFormat="1" x14ac:dyDescent="0.2">
      <c r="A1873" s="6"/>
      <c r="B1873" s="6"/>
      <c r="C1873" s="155"/>
      <c r="D1873" s="2" t="s">
        <v>430</v>
      </c>
      <c r="E1873" s="148"/>
      <c r="F1873" s="253">
        <v>2</v>
      </c>
      <c r="G1873" s="253"/>
      <c r="H1873" s="253"/>
      <c r="I1873" s="246"/>
      <c r="J1873" s="253">
        <f t="shared" si="185"/>
        <v>2</v>
      </c>
      <c r="K1873" s="137"/>
      <c r="L1873" s="137"/>
      <c r="M1873" s="137"/>
      <c r="N1873" s="138"/>
      <c r="O1873" s="167"/>
      <c r="P1873" s="111"/>
      <c r="Q1873" s="111"/>
      <c r="R1873" s="111"/>
      <c r="S1873" s="111"/>
      <c r="T1873" s="111"/>
      <c r="U1873" s="111"/>
      <c r="V1873" s="111"/>
      <c r="W1873" s="111"/>
      <c r="X1873" s="111"/>
      <c r="Y1873" s="111"/>
      <c r="Z1873" s="111"/>
      <c r="AA1873" s="111"/>
    </row>
    <row r="1874" spans="1:27" s="118" customFormat="1" x14ac:dyDescent="0.2">
      <c r="A1874" s="6"/>
      <c r="B1874" s="6"/>
      <c r="C1874" s="155"/>
      <c r="D1874" s="2" t="s">
        <v>384</v>
      </c>
      <c r="E1874" s="148"/>
      <c r="F1874" s="253">
        <v>2</v>
      </c>
      <c r="G1874" s="253"/>
      <c r="H1874" s="253"/>
      <c r="I1874" s="246"/>
      <c r="J1874" s="253">
        <f t="shared" si="185"/>
        <v>2</v>
      </c>
      <c r="K1874" s="137"/>
      <c r="L1874" s="137"/>
      <c r="M1874" s="137"/>
      <c r="N1874" s="138"/>
      <c r="O1874" s="167"/>
      <c r="P1874" s="111"/>
      <c r="Q1874" s="111"/>
      <c r="R1874" s="111"/>
      <c r="S1874" s="111"/>
      <c r="T1874" s="111"/>
      <c r="U1874" s="111"/>
      <c r="V1874" s="111"/>
      <c r="W1874" s="111"/>
      <c r="X1874" s="111"/>
      <c r="Y1874" s="111"/>
      <c r="Z1874" s="111"/>
      <c r="AA1874" s="111"/>
    </row>
    <row r="1875" spans="1:27" s="118" customFormat="1" x14ac:dyDescent="0.2">
      <c r="A1875" s="6"/>
      <c r="B1875" s="6"/>
      <c r="C1875" s="155"/>
      <c r="D1875" s="2" t="s">
        <v>431</v>
      </c>
      <c r="E1875" s="148"/>
      <c r="F1875" s="253">
        <v>2</v>
      </c>
      <c r="G1875" s="253"/>
      <c r="H1875" s="253"/>
      <c r="I1875" s="246"/>
      <c r="J1875" s="253">
        <f t="shared" si="185"/>
        <v>2</v>
      </c>
      <c r="K1875" s="137"/>
      <c r="L1875" s="137"/>
      <c r="M1875" s="137"/>
      <c r="N1875" s="138"/>
      <c r="O1875" s="167"/>
      <c r="P1875" s="111"/>
      <c r="Q1875" s="111"/>
      <c r="R1875" s="111"/>
      <c r="S1875" s="111"/>
      <c r="T1875" s="111"/>
      <c r="U1875" s="111"/>
      <c r="V1875" s="111"/>
      <c r="W1875" s="111"/>
      <c r="X1875" s="111"/>
      <c r="Y1875" s="111"/>
      <c r="Z1875" s="111"/>
      <c r="AA1875" s="111"/>
    </row>
    <row r="1876" spans="1:27" s="118" customFormat="1" x14ac:dyDescent="0.2">
      <c r="A1876" s="6"/>
      <c r="B1876" s="6"/>
      <c r="C1876" s="155"/>
      <c r="D1876" s="2" t="s">
        <v>165</v>
      </c>
      <c r="E1876" s="148"/>
      <c r="F1876" s="253">
        <v>1</v>
      </c>
      <c r="G1876" s="253"/>
      <c r="H1876" s="253"/>
      <c r="I1876" s="246"/>
      <c r="J1876" s="253">
        <f t="shared" si="185"/>
        <v>1</v>
      </c>
      <c r="K1876" s="137"/>
      <c r="L1876" s="137"/>
      <c r="M1876" s="137"/>
      <c r="N1876" s="138"/>
      <c r="O1876" s="167"/>
      <c r="P1876" s="111"/>
      <c r="Q1876" s="111"/>
      <c r="R1876" s="111"/>
      <c r="S1876" s="111"/>
      <c r="T1876" s="111"/>
      <c r="U1876" s="111"/>
      <c r="V1876" s="111"/>
      <c r="W1876" s="111"/>
      <c r="X1876" s="111"/>
      <c r="Y1876" s="111"/>
      <c r="Z1876" s="111"/>
      <c r="AA1876" s="111"/>
    </row>
    <row r="1877" spans="1:27" s="118" customFormat="1" x14ac:dyDescent="0.2">
      <c r="A1877" s="6"/>
      <c r="B1877" s="6"/>
      <c r="C1877" s="156"/>
      <c r="D1877" s="108"/>
      <c r="E1877" s="148"/>
      <c r="F1877" s="253"/>
      <c r="G1877" s="253"/>
      <c r="H1877" s="253"/>
      <c r="I1877" s="246" t="str">
        <f>"Total item "&amp;A1871</f>
        <v>Total item 22.1.1</v>
      </c>
      <c r="J1877" s="261">
        <f>SUM(J1872:J1876)</f>
        <v>11</v>
      </c>
      <c r="K1877" s="137"/>
      <c r="L1877" s="137"/>
      <c r="M1877" s="137"/>
      <c r="N1877" s="138"/>
      <c r="O1877" s="167"/>
      <c r="P1877" s="111"/>
      <c r="Q1877" s="111"/>
      <c r="R1877" s="111"/>
      <c r="S1877" s="111"/>
      <c r="T1877" s="111"/>
      <c r="U1877" s="111"/>
      <c r="V1877" s="111"/>
      <c r="W1877" s="111"/>
      <c r="X1877" s="111"/>
      <c r="Y1877" s="111"/>
      <c r="Z1877" s="111"/>
      <c r="AA1877" s="111"/>
    </row>
    <row r="1878" spans="1:27" s="139" customFormat="1" x14ac:dyDescent="0.2">
      <c r="A1878" s="6"/>
      <c r="B1878" s="6"/>
      <c r="C1878" s="7"/>
      <c r="D1878" s="116"/>
      <c r="E1878" s="6"/>
      <c r="F1878" s="258"/>
      <c r="G1878" s="258"/>
      <c r="H1878" s="258"/>
      <c r="I1878" s="246"/>
      <c r="J1878" s="258"/>
      <c r="K1878" s="137"/>
      <c r="L1878" s="137"/>
      <c r="M1878" s="137"/>
      <c r="N1878" s="138"/>
      <c r="O1878" s="283"/>
      <c r="P1878" s="120"/>
      <c r="Q1878" s="120"/>
      <c r="R1878" s="120"/>
      <c r="S1878" s="120"/>
      <c r="T1878" s="120"/>
      <c r="U1878" s="120"/>
      <c r="V1878" s="120"/>
      <c r="W1878" s="120"/>
      <c r="X1878" s="120"/>
      <c r="Y1878" s="120"/>
      <c r="Z1878" s="120"/>
      <c r="AA1878" s="120"/>
    </row>
    <row r="1879" spans="1:27" s="147" customFormat="1" ht="51" x14ac:dyDescent="0.2">
      <c r="A1879" s="9" t="s">
        <v>323</v>
      </c>
      <c r="B1879" s="9" t="s">
        <v>163</v>
      </c>
      <c r="C1879" s="13" t="s">
        <v>244</v>
      </c>
      <c r="D1879" s="113" t="s">
        <v>245</v>
      </c>
      <c r="E1879" s="9" t="s">
        <v>31</v>
      </c>
      <c r="F1879" s="261"/>
      <c r="G1879" s="261"/>
      <c r="H1879" s="261"/>
      <c r="I1879" s="245"/>
      <c r="J1879" s="261"/>
      <c r="K1879" s="131">
        <f>J1885</f>
        <v>5</v>
      </c>
      <c r="L1879" s="131">
        <v>116.08</v>
      </c>
      <c r="M1879" s="131">
        <f>ROUND(L1879*(1+$Q$7),2)</f>
        <v>146.88</v>
      </c>
      <c r="N1879" s="133">
        <f>TRUNC(K1879*M1879,2)</f>
        <v>734.4</v>
      </c>
      <c r="O1879" s="286"/>
      <c r="P1879" s="146"/>
      <c r="Q1879" s="146"/>
      <c r="R1879" s="146"/>
      <c r="S1879" s="146"/>
      <c r="T1879" s="146"/>
      <c r="U1879" s="146"/>
      <c r="V1879" s="146"/>
      <c r="W1879" s="146"/>
      <c r="X1879" s="146"/>
      <c r="Y1879" s="146"/>
      <c r="Z1879" s="146"/>
      <c r="AA1879" s="146"/>
    </row>
    <row r="1880" spans="1:27" s="118" customFormat="1" x14ac:dyDescent="0.2">
      <c r="A1880" s="6"/>
      <c r="B1880" s="6"/>
      <c r="C1880" s="155"/>
      <c r="D1880" s="2" t="s">
        <v>429</v>
      </c>
      <c r="E1880" s="148"/>
      <c r="F1880" s="253">
        <v>1</v>
      </c>
      <c r="G1880" s="253"/>
      <c r="H1880" s="253"/>
      <c r="I1880" s="246"/>
      <c r="J1880" s="253">
        <f>ROUND(PRODUCT(F1880:I1880),2)</f>
        <v>1</v>
      </c>
      <c r="K1880" s="137"/>
      <c r="L1880" s="137"/>
      <c r="M1880" s="137"/>
      <c r="N1880" s="138"/>
      <c r="O1880" s="167"/>
      <c r="P1880" s="111"/>
      <c r="Q1880" s="111"/>
      <c r="R1880" s="111"/>
      <c r="S1880" s="111"/>
      <c r="T1880" s="111"/>
      <c r="U1880" s="111"/>
      <c r="V1880" s="111"/>
      <c r="W1880" s="111"/>
      <c r="X1880" s="111"/>
      <c r="Y1880" s="111"/>
      <c r="Z1880" s="111"/>
      <c r="AA1880" s="111"/>
    </row>
    <row r="1881" spans="1:27" s="118" customFormat="1" x14ac:dyDescent="0.2">
      <c r="A1881" s="6"/>
      <c r="B1881" s="6"/>
      <c r="C1881" s="155"/>
      <c r="D1881" s="2" t="s">
        <v>430</v>
      </c>
      <c r="E1881" s="148"/>
      <c r="F1881" s="253">
        <v>1</v>
      </c>
      <c r="G1881" s="253"/>
      <c r="H1881" s="253"/>
      <c r="I1881" s="246"/>
      <c r="J1881" s="253">
        <f t="shared" ref="J1881:J1884" si="186">ROUND(PRODUCT(F1881:I1881),2)</f>
        <v>1</v>
      </c>
      <c r="K1881" s="137"/>
      <c r="L1881" s="137"/>
      <c r="M1881" s="137"/>
      <c r="N1881" s="138"/>
      <c r="O1881" s="167"/>
      <c r="P1881" s="111"/>
      <c r="Q1881" s="111"/>
      <c r="R1881" s="111"/>
      <c r="S1881" s="111"/>
      <c r="T1881" s="111"/>
      <c r="U1881" s="111"/>
      <c r="V1881" s="111"/>
      <c r="W1881" s="111"/>
      <c r="X1881" s="111"/>
      <c r="Y1881" s="111"/>
      <c r="Z1881" s="111"/>
      <c r="AA1881" s="111"/>
    </row>
    <row r="1882" spans="1:27" s="118" customFormat="1" x14ac:dyDescent="0.2">
      <c r="A1882" s="6"/>
      <c r="B1882" s="6"/>
      <c r="C1882" s="155"/>
      <c r="D1882" s="2" t="s">
        <v>384</v>
      </c>
      <c r="E1882" s="148"/>
      <c r="F1882" s="253">
        <v>1</v>
      </c>
      <c r="G1882" s="253"/>
      <c r="H1882" s="253"/>
      <c r="I1882" s="246"/>
      <c r="J1882" s="253">
        <f t="shared" si="186"/>
        <v>1</v>
      </c>
      <c r="K1882" s="137"/>
      <c r="L1882" s="137"/>
      <c r="M1882" s="137"/>
      <c r="N1882" s="138"/>
      <c r="O1882" s="167"/>
      <c r="P1882" s="111"/>
      <c r="Q1882" s="111"/>
      <c r="R1882" s="111"/>
      <c r="S1882" s="111"/>
      <c r="T1882" s="111"/>
      <c r="U1882" s="111"/>
      <c r="V1882" s="111"/>
      <c r="W1882" s="111"/>
      <c r="X1882" s="111"/>
      <c r="Y1882" s="111"/>
      <c r="Z1882" s="111"/>
      <c r="AA1882" s="111"/>
    </row>
    <row r="1883" spans="1:27" s="118" customFormat="1" x14ac:dyDescent="0.2">
      <c r="A1883" s="6"/>
      <c r="B1883" s="6"/>
      <c r="C1883" s="155"/>
      <c r="D1883" s="2" t="s">
        <v>431</v>
      </c>
      <c r="E1883" s="148"/>
      <c r="F1883" s="253">
        <v>1</v>
      </c>
      <c r="G1883" s="253"/>
      <c r="H1883" s="253"/>
      <c r="I1883" s="246"/>
      <c r="J1883" s="253">
        <f t="shared" si="186"/>
        <v>1</v>
      </c>
      <c r="K1883" s="137"/>
      <c r="L1883" s="137"/>
      <c r="M1883" s="137"/>
      <c r="N1883" s="138"/>
      <c r="O1883" s="167"/>
      <c r="P1883" s="111"/>
      <c r="Q1883" s="111"/>
      <c r="R1883" s="111"/>
      <c r="S1883" s="111"/>
      <c r="T1883" s="111"/>
      <c r="U1883" s="111"/>
      <c r="V1883" s="111"/>
      <c r="W1883" s="111"/>
      <c r="X1883" s="111"/>
      <c r="Y1883" s="111"/>
      <c r="Z1883" s="111"/>
      <c r="AA1883" s="111"/>
    </row>
    <row r="1884" spans="1:27" s="118" customFormat="1" x14ac:dyDescent="0.2">
      <c r="A1884" s="6"/>
      <c r="B1884" s="6"/>
      <c r="C1884" s="155"/>
      <c r="D1884" s="2" t="s">
        <v>165</v>
      </c>
      <c r="E1884" s="148"/>
      <c r="F1884" s="253">
        <v>1</v>
      </c>
      <c r="G1884" s="253"/>
      <c r="H1884" s="253"/>
      <c r="I1884" s="246"/>
      <c r="J1884" s="253">
        <f t="shared" si="186"/>
        <v>1</v>
      </c>
      <c r="K1884" s="137"/>
      <c r="L1884" s="137"/>
      <c r="M1884" s="137"/>
      <c r="N1884" s="138"/>
      <c r="O1884" s="167"/>
      <c r="P1884" s="111"/>
      <c r="Q1884" s="111"/>
      <c r="R1884" s="111"/>
      <c r="S1884" s="111"/>
      <c r="T1884" s="111"/>
      <c r="U1884" s="111"/>
      <c r="V1884" s="111"/>
      <c r="W1884" s="111"/>
      <c r="X1884" s="111"/>
      <c r="Y1884" s="111"/>
      <c r="Z1884" s="111"/>
      <c r="AA1884" s="111"/>
    </row>
    <row r="1885" spans="1:27" s="118" customFormat="1" x14ac:dyDescent="0.2">
      <c r="A1885" s="6"/>
      <c r="B1885" s="6"/>
      <c r="C1885" s="156"/>
      <c r="D1885" s="108"/>
      <c r="E1885" s="148"/>
      <c r="F1885" s="253"/>
      <c r="G1885" s="253"/>
      <c r="H1885" s="253"/>
      <c r="I1885" s="246" t="str">
        <f>"Total item "&amp;A1879</f>
        <v>Total item 22.1.2</v>
      </c>
      <c r="J1885" s="261">
        <f>SUM(J1880:J1884)</f>
        <v>5</v>
      </c>
      <c r="K1885" s="137"/>
      <c r="L1885" s="137"/>
      <c r="M1885" s="137"/>
      <c r="N1885" s="138"/>
      <c r="O1885" s="167"/>
      <c r="P1885" s="111"/>
      <c r="Q1885" s="111"/>
      <c r="R1885" s="111"/>
      <c r="S1885" s="111"/>
      <c r="T1885" s="111"/>
      <c r="U1885" s="111"/>
      <c r="V1885" s="111"/>
      <c r="W1885" s="111"/>
      <c r="X1885" s="111"/>
      <c r="Y1885" s="111"/>
      <c r="Z1885" s="111"/>
      <c r="AA1885" s="111"/>
    </row>
    <row r="1886" spans="1:27" s="139" customFormat="1" x14ac:dyDescent="0.2">
      <c r="A1886" s="6"/>
      <c r="B1886" s="6"/>
      <c r="C1886" s="7"/>
      <c r="D1886" s="116"/>
      <c r="E1886" s="6"/>
      <c r="F1886" s="258"/>
      <c r="G1886" s="258"/>
      <c r="H1886" s="258"/>
      <c r="I1886" s="246"/>
      <c r="J1886" s="258"/>
      <c r="K1886" s="137"/>
      <c r="L1886" s="137"/>
      <c r="M1886" s="137"/>
      <c r="N1886" s="138"/>
      <c r="O1886" s="283"/>
      <c r="P1886" s="120"/>
      <c r="Q1886" s="120"/>
      <c r="R1886" s="120"/>
      <c r="S1886" s="120"/>
      <c r="T1886" s="120"/>
      <c r="U1886" s="120"/>
      <c r="V1886" s="120"/>
      <c r="W1886" s="120"/>
      <c r="X1886" s="120"/>
      <c r="Y1886" s="120"/>
      <c r="Z1886" s="120"/>
      <c r="AA1886" s="120"/>
    </row>
    <row r="1887" spans="1:27" s="147" customFormat="1" ht="30.6" x14ac:dyDescent="0.2">
      <c r="A1887" s="9" t="s">
        <v>324</v>
      </c>
      <c r="B1887" s="9" t="s">
        <v>179</v>
      </c>
      <c r="C1887" s="13" t="s">
        <v>672</v>
      </c>
      <c r="D1887" s="113" t="s">
        <v>567</v>
      </c>
      <c r="E1887" s="9" t="s">
        <v>33</v>
      </c>
      <c r="F1887" s="261"/>
      <c r="G1887" s="261"/>
      <c r="H1887" s="261"/>
      <c r="I1887" s="245"/>
      <c r="J1887" s="261"/>
      <c r="K1887" s="131">
        <f>J1897</f>
        <v>37</v>
      </c>
      <c r="L1887" s="131">
        <f>'COMPOSICOES - SINAPI COM DESON'!G50</f>
        <v>104.48</v>
      </c>
      <c r="M1887" s="131">
        <f>ROUND(L1887*(1+$Q$7),2)</f>
        <v>132.19999999999999</v>
      </c>
      <c r="N1887" s="133">
        <f>TRUNC(K1887*M1887,2)</f>
        <v>4891.3999999999996</v>
      </c>
      <c r="O1887" s="286"/>
      <c r="P1887" s="146"/>
      <c r="Q1887" s="146"/>
      <c r="R1887" s="146"/>
      <c r="S1887" s="146"/>
      <c r="T1887" s="146"/>
      <c r="U1887" s="146"/>
      <c r="V1887" s="146"/>
      <c r="W1887" s="146"/>
      <c r="X1887" s="146"/>
      <c r="Y1887" s="146"/>
      <c r="Z1887" s="146"/>
      <c r="AA1887" s="146"/>
    </row>
    <row r="1888" spans="1:27" s="174" customFormat="1" x14ac:dyDescent="0.2">
      <c r="A1888" s="170"/>
      <c r="B1888" s="170"/>
      <c r="C1888" s="171"/>
      <c r="D1888" s="2" t="s">
        <v>429</v>
      </c>
      <c r="E1888" s="170"/>
      <c r="F1888" s="253">
        <v>2</v>
      </c>
      <c r="G1888" s="253"/>
      <c r="H1888" s="253"/>
      <c r="I1888" s="249"/>
      <c r="J1888" s="253">
        <f t="shared" ref="J1888:J1896" si="187">ROUND(PRODUCT(F1888:I1888),2)</f>
        <v>2</v>
      </c>
      <c r="K1888" s="172"/>
      <c r="L1888" s="172"/>
      <c r="M1888" s="172"/>
      <c r="N1888" s="173"/>
      <c r="O1888" s="287"/>
      <c r="P1888" s="23"/>
      <c r="Q1888" s="23"/>
      <c r="R1888" s="23"/>
      <c r="S1888" s="23"/>
      <c r="T1888" s="23"/>
      <c r="U1888" s="23"/>
      <c r="V1888" s="23"/>
      <c r="W1888" s="23"/>
      <c r="X1888" s="23"/>
      <c r="Y1888" s="23"/>
      <c r="Z1888" s="23"/>
      <c r="AA1888" s="23"/>
    </row>
    <row r="1889" spans="1:27" s="174" customFormat="1" x14ac:dyDescent="0.2">
      <c r="A1889" s="170"/>
      <c r="B1889" s="170"/>
      <c r="C1889" s="171"/>
      <c r="D1889" s="2" t="s">
        <v>430</v>
      </c>
      <c r="E1889" s="170"/>
      <c r="F1889" s="253">
        <v>3</v>
      </c>
      <c r="G1889" s="253"/>
      <c r="H1889" s="253"/>
      <c r="I1889" s="249"/>
      <c r="J1889" s="253">
        <f t="shared" si="187"/>
        <v>3</v>
      </c>
      <c r="K1889" s="172"/>
      <c r="L1889" s="172"/>
      <c r="M1889" s="172"/>
      <c r="N1889" s="173"/>
      <c r="O1889" s="287"/>
      <c r="P1889" s="23"/>
      <c r="Q1889" s="23"/>
      <c r="R1889" s="23"/>
      <c r="S1889" s="23"/>
      <c r="T1889" s="23"/>
      <c r="U1889" s="23"/>
      <c r="V1889" s="23"/>
      <c r="W1889" s="23"/>
      <c r="X1889" s="23"/>
      <c r="Y1889" s="23"/>
      <c r="Z1889" s="23"/>
      <c r="AA1889" s="23"/>
    </row>
    <row r="1890" spans="1:27" s="174" customFormat="1" x14ac:dyDescent="0.2">
      <c r="A1890" s="170"/>
      <c r="B1890" s="170"/>
      <c r="C1890" s="171"/>
      <c r="D1890" s="2" t="s">
        <v>432</v>
      </c>
      <c r="E1890" s="170"/>
      <c r="F1890" s="253">
        <v>2</v>
      </c>
      <c r="G1890" s="253"/>
      <c r="H1890" s="253"/>
      <c r="I1890" s="249"/>
      <c r="J1890" s="253">
        <f t="shared" si="187"/>
        <v>2</v>
      </c>
      <c r="K1890" s="172"/>
      <c r="L1890" s="172"/>
      <c r="M1890" s="172"/>
      <c r="N1890" s="173"/>
      <c r="O1890" s="287"/>
      <c r="P1890" s="23"/>
      <c r="Q1890" s="23"/>
      <c r="R1890" s="23"/>
      <c r="S1890" s="23"/>
      <c r="T1890" s="23"/>
      <c r="U1890" s="23"/>
      <c r="V1890" s="23"/>
      <c r="W1890" s="23"/>
      <c r="X1890" s="23"/>
      <c r="Y1890" s="23"/>
      <c r="Z1890" s="23"/>
      <c r="AA1890" s="23"/>
    </row>
    <row r="1891" spans="1:27" s="174" customFormat="1" x14ac:dyDescent="0.2">
      <c r="A1891" s="170"/>
      <c r="B1891" s="170"/>
      <c r="C1891" s="171"/>
      <c r="D1891" s="2" t="s">
        <v>433</v>
      </c>
      <c r="E1891" s="170"/>
      <c r="F1891" s="253">
        <v>1</v>
      </c>
      <c r="G1891" s="253"/>
      <c r="H1891" s="253"/>
      <c r="I1891" s="249"/>
      <c r="J1891" s="253">
        <f t="shared" si="187"/>
        <v>1</v>
      </c>
      <c r="K1891" s="172"/>
      <c r="L1891" s="172"/>
      <c r="M1891" s="172"/>
      <c r="N1891" s="173"/>
      <c r="O1891" s="287"/>
      <c r="P1891" s="23"/>
      <c r="Q1891" s="23"/>
      <c r="R1891" s="23"/>
      <c r="S1891" s="23"/>
      <c r="T1891" s="23"/>
      <c r="U1891" s="23"/>
      <c r="V1891" s="23"/>
      <c r="W1891" s="23"/>
      <c r="X1891" s="23"/>
      <c r="Y1891" s="23"/>
      <c r="Z1891" s="23"/>
      <c r="AA1891" s="23"/>
    </row>
    <row r="1892" spans="1:27" s="174" customFormat="1" x14ac:dyDescent="0.2">
      <c r="A1892" s="170"/>
      <c r="B1892" s="170"/>
      <c r="C1892" s="171"/>
      <c r="D1892" s="2" t="s">
        <v>64</v>
      </c>
      <c r="E1892" s="170"/>
      <c r="F1892" s="253">
        <v>8</v>
      </c>
      <c r="G1892" s="253"/>
      <c r="H1892" s="253"/>
      <c r="I1892" s="249"/>
      <c r="J1892" s="253">
        <f t="shared" si="187"/>
        <v>8</v>
      </c>
      <c r="K1892" s="172"/>
      <c r="L1892" s="172"/>
      <c r="M1892" s="172"/>
      <c r="N1892" s="173"/>
      <c r="O1892" s="287"/>
      <c r="P1892" s="23"/>
      <c r="Q1892" s="23"/>
      <c r="R1892" s="23"/>
      <c r="S1892" s="23"/>
      <c r="T1892" s="23"/>
      <c r="U1892" s="23"/>
      <c r="V1892" s="23"/>
      <c r="W1892" s="23"/>
      <c r="X1892" s="23"/>
      <c r="Y1892" s="23"/>
      <c r="Z1892" s="23"/>
      <c r="AA1892" s="23"/>
    </row>
    <row r="1893" spans="1:27" s="174" customFormat="1" x14ac:dyDescent="0.2">
      <c r="A1893" s="170"/>
      <c r="B1893" s="170"/>
      <c r="C1893" s="171"/>
      <c r="D1893" s="2" t="s">
        <v>434</v>
      </c>
      <c r="E1893" s="170"/>
      <c r="F1893" s="253">
        <v>12</v>
      </c>
      <c r="G1893" s="253"/>
      <c r="H1893" s="253"/>
      <c r="I1893" s="249"/>
      <c r="J1893" s="253">
        <f t="shared" si="187"/>
        <v>12</v>
      </c>
      <c r="K1893" s="172"/>
      <c r="L1893" s="172"/>
      <c r="M1893" s="172"/>
      <c r="N1893" s="173"/>
      <c r="O1893" s="287"/>
      <c r="P1893" s="23"/>
      <c r="Q1893" s="23"/>
      <c r="R1893" s="23"/>
      <c r="S1893" s="23"/>
      <c r="T1893" s="23"/>
      <c r="U1893" s="23"/>
      <c r="V1893" s="23"/>
      <c r="W1893" s="23"/>
      <c r="X1893" s="23"/>
      <c r="Y1893" s="23"/>
      <c r="Z1893" s="23"/>
      <c r="AA1893" s="23"/>
    </row>
    <row r="1894" spans="1:27" s="174" customFormat="1" x14ac:dyDescent="0.2">
      <c r="A1894" s="170"/>
      <c r="B1894" s="170"/>
      <c r="C1894" s="171"/>
      <c r="D1894" s="2" t="s">
        <v>384</v>
      </c>
      <c r="E1894" s="170"/>
      <c r="F1894" s="253">
        <v>2</v>
      </c>
      <c r="G1894" s="253"/>
      <c r="H1894" s="253"/>
      <c r="I1894" s="249"/>
      <c r="J1894" s="253">
        <f t="shared" si="187"/>
        <v>2</v>
      </c>
      <c r="K1894" s="172"/>
      <c r="L1894" s="172"/>
      <c r="M1894" s="172"/>
      <c r="N1894" s="173"/>
      <c r="O1894" s="287"/>
      <c r="P1894" s="23"/>
      <c r="Q1894" s="23"/>
      <c r="R1894" s="23"/>
      <c r="S1894" s="23"/>
      <c r="T1894" s="23"/>
      <c r="U1894" s="23"/>
      <c r="V1894" s="23"/>
      <c r="W1894" s="23"/>
      <c r="X1894" s="23"/>
      <c r="Y1894" s="23"/>
      <c r="Z1894" s="23"/>
      <c r="AA1894" s="23"/>
    </row>
    <row r="1895" spans="1:27" s="174" customFormat="1" x14ac:dyDescent="0.2">
      <c r="A1895" s="170"/>
      <c r="B1895" s="170"/>
      <c r="C1895" s="171"/>
      <c r="D1895" s="2" t="s">
        <v>167</v>
      </c>
      <c r="E1895" s="170"/>
      <c r="F1895" s="253">
        <v>5</v>
      </c>
      <c r="G1895" s="253"/>
      <c r="H1895" s="253"/>
      <c r="I1895" s="249"/>
      <c r="J1895" s="253">
        <f t="shared" si="187"/>
        <v>5</v>
      </c>
      <c r="K1895" s="172"/>
      <c r="L1895" s="172"/>
      <c r="M1895" s="172"/>
      <c r="N1895" s="173"/>
      <c r="O1895" s="287"/>
      <c r="P1895" s="23"/>
      <c r="Q1895" s="23"/>
      <c r="R1895" s="23"/>
      <c r="S1895" s="23"/>
      <c r="T1895" s="23"/>
      <c r="U1895" s="23"/>
      <c r="V1895" s="23"/>
      <c r="W1895" s="23"/>
      <c r="X1895" s="23"/>
      <c r="Y1895" s="23"/>
      <c r="Z1895" s="23"/>
      <c r="AA1895" s="23"/>
    </row>
    <row r="1896" spans="1:27" s="174" customFormat="1" x14ac:dyDescent="0.2">
      <c r="A1896" s="170"/>
      <c r="B1896" s="170"/>
      <c r="C1896" s="171"/>
      <c r="D1896" s="2" t="s">
        <v>165</v>
      </c>
      <c r="E1896" s="170"/>
      <c r="F1896" s="253">
        <v>2</v>
      </c>
      <c r="G1896" s="253"/>
      <c r="H1896" s="253"/>
      <c r="I1896" s="249"/>
      <c r="J1896" s="253">
        <f t="shared" si="187"/>
        <v>2</v>
      </c>
      <c r="K1896" s="172"/>
      <c r="L1896" s="172"/>
      <c r="M1896" s="172"/>
      <c r="N1896" s="173"/>
      <c r="O1896" s="287"/>
      <c r="P1896" s="23"/>
      <c r="Q1896" s="23"/>
      <c r="R1896" s="23"/>
      <c r="S1896" s="23"/>
      <c r="T1896" s="23"/>
      <c r="U1896" s="23"/>
      <c r="V1896" s="23"/>
      <c r="W1896" s="23"/>
      <c r="X1896" s="23"/>
      <c r="Y1896" s="23"/>
      <c r="Z1896" s="23"/>
      <c r="AA1896" s="23"/>
    </row>
    <row r="1897" spans="1:27" s="174" customFormat="1" x14ac:dyDescent="0.2">
      <c r="A1897" s="170"/>
      <c r="B1897" s="170"/>
      <c r="C1897" s="171"/>
      <c r="D1897" s="175"/>
      <c r="E1897" s="176"/>
      <c r="F1897" s="264"/>
      <c r="G1897" s="264"/>
      <c r="H1897" s="264"/>
      <c r="I1897" s="251" t="str">
        <f>"Total item "&amp;A1887</f>
        <v>Total item 22.1.3</v>
      </c>
      <c r="J1897" s="261">
        <f>SUM(J1888:J1896)</f>
        <v>37</v>
      </c>
      <c r="K1897" s="172"/>
      <c r="L1897" s="172"/>
      <c r="M1897" s="172"/>
      <c r="N1897" s="173"/>
      <c r="O1897" s="287"/>
      <c r="P1897" s="23"/>
      <c r="Q1897" s="23"/>
      <c r="R1897" s="23"/>
      <c r="S1897" s="23"/>
      <c r="T1897" s="23"/>
      <c r="U1897" s="23"/>
      <c r="V1897" s="23"/>
      <c r="W1897" s="23"/>
      <c r="X1897" s="23"/>
      <c r="Y1897" s="23"/>
      <c r="Z1897" s="23"/>
      <c r="AA1897" s="23"/>
    </row>
    <row r="1898" spans="1:27" s="174" customFormat="1" x14ac:dyDescent="0.2">
      <c r="A1898" s="170"/>
      <c r="B1898" s="170"/>
      <c r="C1898" s="171"/>
      <c r="D1898" s="175"/>
      <c r="E1898" s="176"/>
      <c r="F1898" s="264"/>
      <c r="G1898" s="264"/>
      <c r="H1898" s="264"/>
      <c r="I1898" s="251"/>
      <c r="J1898" s="262"/>
      <c r="K1898" s="172"/>
      <c r="L1898" s="172"/>
      <c r="M1898" s="172"/>
      <c r="N1898" s="173"/>
      <c r="O1898" s="287"/>
      <c r="P1898" s="23"/>
      <c r="Q1898" s="23"/>
      <c r="R1898" s="23"/>
      <c r="S1898" s="23"/>
      <c r="T1898" s="23"/>
      <c r="U1898" s="23"/>
      <c r="V1898" s="23"/>
      <c r="W1898" s="23"/>
      <c r="X1898" s="23"/>
      <c r="Y1898" s="23"/>
      <c r="Z1898" s="23"/>
      <c r="AA1898" s="23"/>
    </row>
    <row r="1899" spans="1:27" s="147" customFormat="1" ht="40.799999999999997" x14ac:dyDescent="0.2">
      <c r="A1899" s="9" t="s">
        <v>935</v>
      </c>
      <c r="B1899" s="9" t="s">
        <v>163</v>
      </c>
      <c r="C1899" s="13" t="s">
        <v>188</v>
      </c>
      <c r="D1899" s="113" t="s">
        <v>719</v>
      </c>
      <c r="E1899" s="9" t="s">
        <v>33</v>
      </c>
      <c r="F1899" s="261"/>
      <c r="G1899" s="261"/>
      <c r="H1899" s="261"/>
      <c r="I1899" s="245"/>
      <c r="J1899" s="261"/>
      <c r="K1899" s="131">
        <f>J1901</f>
        <v>1</v>
      </c>
      <c r="L1899" s="131">
        <v>65.69</v>
      </c>
      <c r="M1899" s="131">
        <f>ROUND(L1899*(1+$Q$7),2)</f>
        <v>83.12</v>
      </c>
      <c r="N1899" s="133">
        <f>TRUNC(K1899*M1899,2)</f>
        <v>83.12</v>
      </c>
      <c r="O1899" s="286"/>
      <c r="P1899" s="146"/>
      <c r="Q1899" s="146"/>
      <c r="R1899" s="146"/>
      <c r="S1899" s="146"/>
      <c r="T1899" s="146"/>
      <c r="U1899" s="146"/>
      <c r="V1899" s="146"/>
      <c r="W1899" s="146"/>
      <c r="X1899" s="146"/>
      <c r="Y1899" s="146"/>
      <c r="Z1899" s="146"/>
      <c r="AA1899" s="146"/>
    </row>
    <row r="1900" spans="1:27" s="118" customFormat="1" x14ac:dyDescent="0.2">
      <c r="A1900" s="10"/>
      <c r="B1900" s="6"/>
      <c r="C1900" s="6"/>
      <c r="D1900" s="2"/>
      <c r="E1900" s="148"/>
      <c r="F1900" s="253">
        <v>1</v>
      </c>
      <c r="G1900" s="253"/>
      <c r="H1900" s="253"/>
      <c r="I1900" s="246"/>
      <c r="J1900" s="253">
        <f>ROUND(PRODUCT(F1900:I1900),2)</f>
        <v>1</v>
      </c>
      <c r="K1900" s="137"/>
      <c r="L1900" s="137"/>
      <c r="M1900" s="137"/>
      <c r="N1900" s="138"/>
      <c r="O1900" s="167"/>
      <c r="P1900" s="111"/>
      <c r="Q1900" s="111"/>
      <c r="R1900" s="111"/>
      <c r="S1900" s="111"/>
      <c r="T1900" s="111"/>
      <c r="U1900" s="111"/>
      <c r="V1900" s="111"/>
      <c r="W1900" s="111"/>
      <c r="X1900" s="111"/>
      <c r="Y1900" s="111"/>
      <c r="Z1900" s="111"/>
      <c r="AA1900" s="111"/>
    </row>
    <row r="1901" spans="1:27" s="118" customFormat="1" x14ac:dyDescent="0.2">
      <c r="A1901" s="10"/>
      <c r="B1901" s="6"/>
      <c r="C1901" s="156"/>
      <c r="D1901" s="108"/>
      <c r="E1901" s="148"/>
      <c r="F1901" s="253"/>
      <c r="G1901" s="253"/>
      <c r="H1901" s="253"/>
      <c r="I1901" s="246" t="str">
        <f>"Total item "&amp;A1899</f>
        <v>Total item 22.1.4</v>
      </c>
      <c r="J1901" s="261">
        <f>SUM(J1900:J1900)</f>
        <v>1</v>
      </c>
      <c r="K1901" s="137"/>
      <c r="L1901" s="137"/>
      <c r="M1901" s="137"/>
      <c r="N1901" s="138"/>
      <c r="O1901" s="167"/>
      <c r="P1901" s="111"/>
      <c r="Q1901" s="111"/>
      <c r="R1901" s="111"/>
      <c r="S1901" s="111"/>
      <c r="T1901" s="111"/>
      <c r="U1901" s="111"/>
      <c r="V1901" s="111"/>
      <c r="W1901" s="111"/>
      <c r="X1901" s="111"/>
      <c r="Y1901" s="111"/>
      <c r="Z1901" s="111"/>
      <c r="AA1901" s="111"/>
    </row>
    <row r="1902" spans="1:27" s="118" customFormat="1" x14ac:dyDescent="0.2">
      <c r="A1902" s="10"/>
      <c r="B1902" s="6"/>
      <c r="C1902" s="155"/>
      <c r="D1902" s="108"/>
      <c r="E1902" s="148"/>
      <c r="F1902" s="253"/>
      <c r="G1902" s="253"/>
      <c r="H1902" s="253"/>
      <c r="I1902" s="246"/>
      <c r="J1902" s="258"/>
      <c r="K1902" s="137"/>
      <c r="L1902" s="137"/>
      <c r="M1902" s="137"/>
      <c r="N1902" s="138"/>
      <c r="O1902" s="167"/>
      <c r="P1902" s="111"/>
      <c r="Q1902" s="111"/>
      <c r="R1902" s="111"/>
      <c r="S1902" s="111"/>
      <c r="T1902" s="111"/>
      <c r="U1902" s="111"/>
      <c r="V1902" s="111"/>
      <c r="W1902" s="111"/>
      <c r="X1902" s="111"/>
      <c r="Y1902" s="111"/>
      <c r="Z1902" s="111"/>
      <c r="AA1902" s="111"/>
    </row>
    <row r="1903" spans="1:27" s="147" customFormat="1" ht="30.6" x14ac:dyDescent="0.2">
      <c r="A1903" s="9" t="s">
        <v>936</v>
      </c>
      <c r="B1903" s="9" t="s">
        <v>163</v>
      </c>
      <c r="C1903" s="13" t="s">
        <v>190</v>
      </c>
      <c r="D1903" s="113" t="s">
        <v>290</v>
      </c>
      <c r="E1903" s="9" t="s">
        <v>33</v>
      </c>
      <c r="F1903" s="261"/>
      <c r="G1903" s="261"/>
      <c r="H1903" s="261"/>
      <c r="I1903" s="245"/>
      <c r="J1903" s="261"/>
      <c r="K1903" s="131">
        <f>J1905</f>
        <v>6</v>
      </c>
      <c r="L1903" s="131">
        <v>14.55</v>
      </c>
      <c r="M1903" s="131">
        <f>ROUND(L1903*(1+$Q$7),2)</f>
        <v>18.41</v>
      </c>
      <c r="N1903" s="133">
        <f>TRUNC(K1903*M1903,2)</f>
        <v>110.46</v>
      </c>
      <c r="O1903" s="286"/>
      <c r="P1903" s="146"/>
      <c r="Q1903" s="146"/>
      <c r="R1903" s="146"/>
      <c r="S1903" s="146"/>
      <c r="T1903" s="146"/>
      <c r="U1903" s="146"/>
      <c r="V1903" s="146"/>
      <c r="W1903" s="146"/>
      <c r="X1903" s="146"/>
      <c r="Y1903" s="146"/>
      <c r="Z1903" s="146"/>
      <c r="AA1903" s="146"/>
    </row>
    <row r="1904" spans="1:27" s="118" customFormat="1" x14ac:dyDescent="0.2">
      <c r="A1904" s="6"/>
      <c r="B1904" s="6"/>
      <c r="C1904" s="6"/>
      <c r="D1904" s="2"/>
      <c r="E1904" s="148"/>
      <c r="F1904" s="253">
        <v>6</v>
      </c>
      <c r="G1904" s="253"/>
      <c r="H1904" s="253"/>
      <c r="I1904" s="246"/>
      <c r="J1904" s="253">
        <f>ROUND(PRODUCT(F1904:I1904),2)</f>
        <v>6</v>
      </c>
      <c r="K1904" s="137"/>
      <c r="L1904" s="137"/>
      <c r="M1904" s="137"/>
      <c r="N1904" s="138"/>
      <c r="O1904" s="167"/>
      <c r="P1904" s="111"/>
      <c r="Q1904" s="111"/>
      <c r="R1904" s="111"/>
      <c r="S1904" s="111"/>
      <c r="T1904" s="111"/>
      <c r="U1904" s="111"/>
      <c r="V1904" s="111"/>
      <c r="W1904" s="111"/>
      <c r="X1904" s="111"/>
      <c r="Y1904" s="111"/>
      <c r="Z1904" s="111"/>
      <c r="AA1904" s="111"/>
    </row>
    <row r="1905" spans="1:27" s="118" customFormat="1" x14ac:dyDescent="0.2">
      <c r="A1905" s="6"/>
      <c r="B1905" s="6"/>
      <c r="C1905" s="156"/>
      <c r="D1905" s="108"/>
      <c r="E1905" s="148"/>
      <c r="F1905" s="253"/>
      <c r="G1905" s="253"/>
      <c r="H1905" s="253"/>
      <c r="I1905" s="246" t="str">
        <f>"Total item "&amp;A1903</f>
        <v>Total item 22.1.5</v>
      </c>
      <c r="J1905" s="261">
        <f>SUM(J1904:J1904)</f>
        <v>6</v>
      </c>
      <c r="K1905" s="137"/>
      <c r="L1905" s="137"/>
      <c r="M1905" s="137"/>
      <c r="N1905" s="138"/>
      <c r="O1905" s="167"/>
      <c r="P1905" s="111"/>
      <c r="Q1905" s="111"/>
      <c r="R1905" s="111"/>
      <c r="S1905" s="111"/>
      <c r="T1905" s="111"/>
      <c r="U1905" s="111"/>
      <c r="V1905" s="111"/>
      <c r="W1905" s="111"/>
      <c r="X1905" s="111"/>
      <c r="Y1905" s="111"/>
      <c r="Z1905" s="111"/>
      <c r="AA1905" s="111"/>
    </row>
    <row r="1906" spans="1:27" s="118" customFormat="1" x14ac:dyDescent="0.2">
      <c r="A1906" s="6"/>
      <c r="B1906" s="6"/>
      <c r="C1906" s="155"/>
      <c r="D1906" s="108"/>
      <c r="E1906" s="148"/>
      <c r="F1906" s="253"/>
      <c r="G1906" s="253"/>
      <c r="H1906" s="253"/>
      <c r="I1906" s="246"/>
      <c r="J1906" s="258"/>
      <c r="K1906" s="137"/>
      <c r="L1906" s="137"/>
      <c r="M1906" s="137"/>
      <c r="N1906" s="138"/>
      <c r="O1906" s="167"/>
      <c r="P1906" s="111"/>
      <c r="Q1906" s="111"/>
      <c r="R1906" s="111"/>
      <c r="S1906" s="111"/>
      <c r="T1906" s="111"/>
      <c r="U1906" s="111"/>
      <c r="V1906" s="111"/>
      <c r="W1906" s="111"/>
      <c r="X1906" s="111"/>
      <c r="Y1906" s="111"/>
      <c r="Z1906" s="111"/>
      <c r="AA1906" s="111"/>
    </row>
    <row r="1907" spans="1:27" s="145" customFormat="1" x14ac:dyDescent="0.2">
      <c r="A1907" s="140" t="s">
        <v>325</v>
      </c>
      <c r="B1907" s="140"/>
      <c r="C1907" s="141"/>
      <c r="D1907" s="112" t="s">
        <v>211</v>
      </c>
      <c r="E1907" s="140"/>
      <c r="F1907" s="260"/>
      <c r="G1907" s="260"/>
      <c r="H1907" s="260"/>
      <c r="I1907" s="248"/>
      <c r="J1907" s="260"/>
      <c r="K1907" s="142"/>
      <c r="L1907" s="142"/>
      <c r="M1907" s="142"/>
      <c r="N1907" s="143">
        <f>SUM(N1909:N1914)</f>
        <v>1043.52</v>
      </c>
      <c r="O1907" s="285"/>
      <c r="P1907" s="144"/>
      <c r="Q1907" s="144"/>
      <c r="R1907" s="144"/>
      <c r="S1907" s="144"/>
      <c r="T1907" s="144"/>
      <c r="U1907" s="144"/>
      <c r="V1907" s="144"/>
      <c r="W1907" s="144"/>
      <c r="X1907" s="144"/>
      <c r="Y1907" s="144"/>
      <c r="Z1907" s="144"/>
      <c r="AA1907" s="144"/>
    </row>
    <row r="1908" spans="1:27" s="118" customFormat="1" x14ac:dyDescent="0.2">
      <c r="A1908" s="6"/>
      <c r="B1908" s="6"/>
      <c r="C1908" s="155"/>
      <c r="D1908" s="108"/>
      <c r="E1908" s="148"/>
      <c r="F1908" s="253"/>
      <c r="G1908" s="253"/>
      <c r="H1908" s="253"/>
      <c r="I1908" s="246"/>
      <c r="J1908" s="258"/>
      <c r="K1908" s="137"/>
      <c r="L1908" s="137"/>
      <c r="M1908" s="137"/>
      <c r="N1908" s="138"/>
      <c r="O1908" s="167"/>
      <c r="P1908" s="111"/>
      <c r="Q1908" s="111"/>
      <c r="R1908" s="111"/>
      <c r="S1908" s="111"/>
      <c r="T1908" s="111"/>
      <c r="U1908" s="111"/>
      <c r="V1908" s="111"/>
      <c r="W1908" s="111"/>
      <c r="X1908" s="111"/>
      <c r="Y1908" s="111"/>
      <c r="Z1908" s="111"/>
      <c r="AA1908" s="111"/>
    </row>
    <row r="1909" spans="1:27" s="147" customFormat="1" ht="30.6" x14ac:dyDescent="0.2">
      <c r="A1909" s="9" t="s">
        <v>326</v>
      </c>
      <c r="B1909" s="9" t="s">
        <v>163</v>
      </c>
      <c r="C1909" s="13" t="s">
        <v>249</v>
      </c>
      <c r="D1909" s="113" t="s">
        <v>414</v>
      </c>
      <c r="E1909" s="9" t="s">
        <v>33</v>
      </c>
      <c r="F1909" s="261"/>
      <c r="G1909" s="261"/>
      <c r="H1909" s="261"/>
      <c r="I1909" s="245"/>
      <c r="J1909" s="261"/>
      <c r="K1909" s="131">
        <f>J1911</f>
        <v>6</v>
      </c>
      <c r="L1909" s="131">
        <v>116.1</v>
      </c>
      <c r="M1909" s="131">
        <f>ROUND(L1909*(1+$Q$7),2)</f>
        <v>146.9</v>
      </c>
      <c r="N1909" s="133">
        <f>TRUNC(K1909*M1909,2)</f>
        <v>881.4</v>
      </c>
      <c r="O1909" s="286"/>
      <c r="P1909" s="146"/>
      <c r="Q1909" s="146"/>
      <c r="R1909" s="146"/>
      <c r="S1909" s="146"/>
      <c r="T1909" s="146"/>
      <c r="U1909" s="146"/>
      <c r="V1909" s="146"/>
      <c r="W1909" s="146"/>
      <c r="X1909" s="146"/>
      <c r="Y1909" s="146"/>
      <c r="Z1909" s="146"/>
      <c r="AA1909" s="146"/>
    </row>
    <row r="1910" spans="1:27" s="118" customFormat="1" x14ac:dyDescent="0.2">
      <c r="A1910" s="6"/>
      <c r="B1910" s="6"/>
      <c r="C1910" s="155"/>
      <c r="D1910" s="2" t="s">
        <v>167</v>
      </c>
      <c r="E1910" s="148"/>
      <c r="F1910" s="253">
        <v>6</v>
      </c>
      <c r="G1910" s="253"/>
      <c r="H1910" s="253"/>
      <c r="I1910" s="246"/>
      <c r="J1910" s="253">
        <f>ROUND(PRODUCT(F1910:I1910),2)</f>
        <v>6</v>
      </c>
      <c r="K1910" s="137"/>
      <c r="L1910" s="137"/>
      <c r="M1910" s="137"/>
      <c r="N1910" s="138"/>
      <c r="O1910" s="167"/>
      <c r="P1910" s="111"/>
      <c r="Q1910" s="111"/>
      <c r="R1910" s="111"/>
      <c r="S1910" s="111"/>
      <c r="T1910" s="111"/>
      <c r="U1910" s="111"/>
      <c r="V1910" s="111"/>
      <c r="W1910" s="111"/>
      <c r="X1910" s="111"/>
      <c r="Y1910" s="111"/>
      <c r="Z1910" s="111"/>
      <c r="AA1910" s="111"/>
    </row>
    <row r="1911" spans="1:27" s="118" customFormat="1" x14ac:dyDescent="0.2">
      <c r="A1911" s="6"/>
      <c r="B1911" s="6"/>
      <c r="C1911" s="156"/>
      <c r="D1911" s="108"/>
      <c r="E1911" s="148"/>
      <c r="F1911" s="253"/>
      <c r="G1911" s="253"/>
      <c r="H1911" s="253"/>
      <c r="I1911" s="246" t="str">
        <f>"Total item "&amp;A1909</f>
        <v>Total item 22.2.1</v>
      </c>
      <c r="J1911" s="261">
        <f>SUM(J1910:J1910)</f>
        <v>6</v>
      </c>
      <c r="K1911" s="137"/>
      <c r="L1911" s="137"/>
      <c r="M1911" s="137"/>
      <c r="N1911" s="138"/>
      <c r="O1911" s="167"/>
      <c r="P1911" s="111"/>
      <c r="Q1911" s="111"/>
      <c r="R1911" s="111"/>
      <c r="S1911" s="111"/>
      <c r="T1911" s="111"/>
      <c r="U1911" s="111"/>
      <c r="V1911" s="111"/>
      <c r="W1911" s="111"/>
      <c r="X1911" s="111"/>
      <c r="Y1911" s="111"/>
      <c r="Z1911" s="111"/>
      <c r="AA1911" s="111"/>
    </row>
    <row r="1912" spans="1:27" s="139" customFormat="1" x14ac:dyDescent="0.2">
      <c r="A1912" s="6"/>
      <c r="B1912" s="6"/>
      <c r="C1912" s="7"/>
      <c r="D1912" s="116"/>
      <c r="E1912" s="6"/>
      <c r="F1912" s="258"/>
      <c r="G1912" s="258"/>
      <c r="H1912" s="258"/>
      <c r="I1912" s="246"/>
      <c r="J1912" s="258"/>
      <c r="K1912" s="137"/>
      <c r="L1912" s="137"/>
      <c r="M1912" s="137"/>
      <c r="N1912" s="138"/>
      <c r="O1912" s="283"/>
      <c r="P1912" s="120"/>
      <c r="Q1912" s="120"/>
      <c r="R1912" s="120"/>
      <c r="S1912" s="120"/>
      <c r="T1912" s="120"/>
      <c r="U1912" s="120"/>
      <c r="V1912" s="120"/>
      <c r="W1912" s="120"/>
      <c r="X1912" s="120"/>
      <c r="Y1912" s="120"/>
      <c r="Z1912" s="120"/>
      <c r="AA1912" s="120"/>
    </row>
    <row r="1913" spans="1:27" s="147" customFormat="1" ht="30.6" x14ac:dyDescent="0.2">
      <c r="A1913" s="9" t="s">
        <v>924</v>
      </c>
      <c r="B1913" s="9" t="s">
        <v>163</v>
      </c>
      <c r="C1913" s="13" t="s">
        <v>194</v>
      </c>
      <c r="D1913" s="113" t="s">
        <v>252</v>
      </c>
      <c r="E1913" s="9" t="s">
        <v>31</v>
      </c>
      <c r="F1913" s="261"/>
      <c r="G1913" s="261"/>
      <c r="H1913" s="261"/>
      <c r="I1913" s="245"/>
      <c r="J1913" s="261"/>
      <c r="K1913" s="131">
        <f>J1915</f>
        <v>2</v>
      </c>
      <c r="L1913" s="131">
        <v>64.06</v>
      </c>
      <c r="M1913" s="131">
        <f>ROUND(L1913*(1+$Q$7),2)</f>
        <v>81.06</v>
      </c>
      <c r="N1913" s="133">
        <f>TRUNC(K1913*M1913,2)</f>
        <v>162.12</v>
      </c>
      <c r="O1913" s="286"/>
      <c r="P1913" s="146"/>
      <c r="Q1913" s="146"/>
      <c r="R1913" s="146"/>
      <c r="S1913" s="146"/>
      <c r="T1913" s="146"/>
      <c r="U1913" s="146"/>
      <c r="V1913" s="146"/>
      <c r="W1913" s="146"/>
      <c r="X1913" s="146"/>
      <c r="Y1913" s="146"/>
      <c r="Z1913" s="146"/>
      <c r="AA1913" s="146"/>
    </row>
    <row r="1914" spans="1:27" s="118" customFormat="1" x14ac:dyDescent="0.2">
      <c r="A1914" s="6"/>
      <c r="B1914" s="6"/>
      <c r="C1914" s="155"/>
      <c r="D1914" s="2" t="s">
        <v>435</v>
      </c>
      <c r="E1914" s="148"/>
      <c r="F1914" s="253">
        <v>2</v>
      </c>
      <c r="G1914" s="253"/>
      <c r="H1914" s="253"/>
      <c r="I1914" s="246"/>
      <c r="J1914" s="253">
        <f>ROUND(PRODUCT(F1914:I1914),2)</f>
        <v>2</v>
      </c>
      <c r="K1914" s="137"/>
      <c r="L1914" s="137"/>
      <c r="M1914" s="137"/>
      <c r="N1914" s="138"/>
      <c r="O1914" s="167"/>
      <c r="P1914" s="111"/>
      <c r="Q1914" s="111"/>
      <c r="R1914" s="111"/>
      <c r="S1914" s="111"/>
      <c r="T1914" s="111"/>
      <c r="U1914" s="111"/>
      <c r="V1914" s="111"/>
      <c r="W1914" s="111"/>
      <c r="X1914" s="111"/>
      <c r="Y1914" s="111"/>
      <c r="Z1914" s="111"/>
      <c r="AA1914" s="111"/>
    </row>
    <row r="1915" spans="1:27" s="118" customFormat="1" x14ac:dyDescent="0.2">
      <c r="A1915" s="6"/>
      <c r="B1915" s="6"/>
      <c r="C1915" s="156"/>
      <c r="D1915" s="108"/>
      <c r="E1915" s="148"/>
      <c r="F1915" s="253"/>
      <c r="G1915" s="253"/>
      <c r="H1915" s="253"/>
      <c r="I1915" s="246" t="str">
        <f>"Total item "&amp;A1913</f>
        <v>Total item 22.2.2</v>
      </c>
      <c r="J1915" s="261">
        <f>SUM(J1914:J1914)</f>
        <v>2</v>
      </c>
      <c r="K1915" s="137"/>
      <c r="L1915" s="137"/>
      <c r="M1915" s="137"/>
      <c r="N1915" s="138"/>
      <c r="O1915" s="167"/>
      <c r="P1915" s="111"/>
      <c r="Q1915" s="111"/>
      <c r="R1915" s="111"/>
      <c r="S1915" s="111"/>
      <c r="T1915" s="111"/>
      <c r="U1915" s="111"/>
      <c r="V1915" s="111"/>
      <c r="W1915" s="111"/>
      <c r="X1915" s="111"/>
      <c r="Y1915" s="111"/>
      <c r="Z1915" s="111"/>
      <c r="AA1915" s="111"/>
    </row>
    <row r="1916" spans="1:27" s="139" customFormat="1" x14ac:dyDescent="0.2">
      <c r="A1916" s="6"/>
      <c r="B1916" s="6"/>
      <c r="C1916" s="7"/>
      <c r="D1916" s="116"/>
      <c r="E1916" s="6"/>
      <c r="F1916" s="258"/>
      <c r="G1916" s="258"/>
      <c r="H1916" s="258"/>
      <c r="I1916" s="246"/>
      <c r="J1916" s="258"/>
      <c r="K1916" s="137"/>
      <c r="L1916" s="137"/>
      <c r="M1916" s="137"/>
      <c r="N1916" s="138"/>
      <c r="O1916" s="283"/>
      <c r="P1916" s="120"/>
      <c r="Q1916" s="120"/>
      <c r="R1916" s="120"/>
      <c r="S1916" s="120"/>
      <c r="T1916" s="120"/>
      <c r="U1916" s="120"/>
      <c r="V1916" s="120"/>
      <c r="W1916" s="120"/>
      <c r="X1916" s="120"/>
      <c r="Y1916" s="120"/>
      <c r="Z1916" s="120"/>
      <c r="AA1916" s="120"/>
    </row>
    <row r="1917" spans="1:27" s="145" customFormat="1" x14ac:dyDescent="0.2">
      <c r="A1917" s="140" t="s">
        <v>327</v>
      </c>
      <c r="B1917" s="140"/>
      <c r="C1917" s="141"/>
      <c r="D1917" s="112" t="s">
        <v>80</v>
      </c>
      <c r="E1917" s="140"/>
      <c r="F1917" s="260"/>
      <c r="G1917" s="260"/>
      <c r="H1917" s="260"/>
      <c r="I1917" s="248"/>
      <c r="J1917" s="260"/>
      <c r="K1917" s="142"/>
      <c r="L1917" s="142"/>
      <c r="M1917" s="142"/>
      <c r="N1917" s="143">
        <f>SUM(N1919:N1926)</f>
        <v>13917.900000000001</v>
      </c>
      <c r="O1917" s="285"/>
      <c r="P1917" s="144"/>
      <c r="Q1917" s="144"/>
      <c r="R1917" s="144"/>
      <c r="S1917" s="144"/>
      <c r="T1917" s="144"/>
      <c r="U1917" s="144"/>
      <c r="V1917" s="144"/>
      <c r="W1917" s="144"/>
      <c r="X1917" s="144"/>
      <c r="Y1917" s="144"/>
      <c r="Z1917" s="144"/>
      <c r="AA1917" s="144"/>
    </row>
    <row r="1918" spans="1:27" s="139" customFormat="1" x14ac:dyDescent="0.2">
      <c r="A1918" s="6"/>
      <c r="B1918" s="6"/>
      <c r="C1918" s="7"/>
      <c r="D1918" s="116"/>
      <c r="E1918" s="6"/>
      <c r="F1918" s="258"/>
      <c r="G1918" s="258"/>
      <c r="H1918" s="258"/>
      <c r="I1918" s="246"/>
      <c r="J1918" s="258"/>
      <c r="K1918" s="137"/>
      <c r="L1918" s="137"/>
      <c r="M1918" s="137"/>
      <c r="N1918" s="138"/>
      <c r="O1918" s="283"/>
      <c r="P1918" s="120"/>
      <c r="Q1918" s="120"/>
      <c r="R1918" s="120"/>
      <c r="S1918" s="120"/>
      <c r="T1918" s="120"/>
      <c r="U1918" s="120"/>
      <c r="V1918" s="120"/>
      <c r="W1918" s="120"/>
      <c r="X1918" s="120"/>
      <c r="Y1918" s="120"/>
      <c r="Z1918" s="120"/>
      <c r="AA1918" s="120"/>
    </row>
    <row r="1919" spans="1:27" s="147" customFormat="1" x14ac:dyDescent="0.2">
      <c r="A1919" s="9" t="s">
        <v>328</v>
      </c>
      <c r="B1919" s="9" t="s">
        <v>179</v>
      </c>
      <c r="C1919" s="13" t="s">
        <v>180</v>
      </c>
      <c r="D1919" s="113" t="s">
        <v>77</v>
      </c>
      <c r="E1919" s="9" t="s">
        <v>9</v>
      </c>
      <c r="F1919" s="261"/>
      <c r="G1919" s="261"/>
      <c r="H1919" s="261"/>
      <c r="I1919" s="245"/>
      <c r="J1919" s="261"/>
      <c r="K1919" s="131">
        <f>J1921</f>
        <v>818.14</v>
      </c>
      <c r="L1919" s="131">
        <v>5.8</v>
      </c>
      <c r="M1919" s="131">
        <f>ROUND(L1919*(1+$Q$7),2)</f>
        <v>7.34</v>
      </c>
      <c r="N1919" s="133">
        <f>TRUNC(K1919*M1919,2)</f>
        <v>6005.14</v>
      </c>
      <c r="O1919" s="286"/>
      <c r="P1919" s="146"/>
      <c r="Q1919" s="146"/>
      <c r="R1919" s="146"/>
      <c r="S1919" s="146"/>
      <c r="T1919" s="146"/>
      <c r="U1919" s="146"/>
      <c r="V1919" s="146"/>
      <c r="W1919" s="146"/>
      <c r="X1919" s="146"/>
      <c r="Y1919" s="146"/>
      <c r="Z1919" s="146"/>
      <c r="AA1919" s="146"/>
    </row>
    <row r="1920" spans="1:27" s="118" customFormat="1" x14ac:dyDescent="0.2">
      <c r="A1920" s="6"/>
      <c r="B1920" s="6"/>
      <c r="C1920" s="155"/>
      <c r="D1920" s="201" t="s">
        <v>34</v>
      </c>
      <c r="E1920" s="155"/>
      <c r="F1920" s="202"/>
      <c r="G1920" s="201">
        <v>818.14</v>
      </c>
      <c r="H1920" s="253"/>
      <c r="I1920" s="249"/>
      <c r="J1920" s="253">
        <f>ROUND(PRODUCT(F1920:I1920),2)</f>
        <v>818.14</v>
      </c>
      <c r="K1920" s="137"/>
      <c r="L1920" s="137"/>
      <c r="M1920" s="137"/>
      <c r="N1920" s="138"/>
      <c r="O1920" s="167"/>
      <c r="P1920" s="111"/>
      <c r="Q1920" s="111"/>
      <c r="R1920" s="111"/>
      <c r="S1920" s="111"/>
      <c r="T1920" s="111"/>
      <c r="U1920" s="111"/>
      <c r="V1920" s="111"/>
      <c r="W1920" s="111"/>
      <c r="X1920" s="111"/>
      <c r="Y1920" s="111"/>
      <c r="Z1920" s="111"/>
      <c r="AA1920" s="111"/>
    </row>
    <row r="1921" spans="1:28" s="118" customFormat="1" x14ac:dyDescent="0.2">
      <c r="A1921" s="6"/>
      <c r="B1921" s="6"/>
      <c r="C1921" s="156"/>
      <c r="D1921" s="108"/>
      <c r="E1921" s="148"/>
      <c r="F1921" s="253"/>
      <c r="G1921" s="253"/>
      <c r="H1921" s="253"/>
      <c r="I1921" s="246" t="str">
        <f>"Total item "&amp;A1919</f>
        <v>Total item 22.3.1</v>
      </c>
      <c r="J1921" s="261">
        <f>SUM(J1920:J1920)</f>
        <v>818.14</v>
      </c>
      <c r="K1921" s="137"/>
      <c r="L1921" s="137"/>
      <c r="M1921" s="137"/>
      <c r="N1921" s="138"/>
      <c r="O1921" s="167"/>
      <c r="P1921" s="111"/>
      <c r="Q1921" s="111"/>
      <c r="R1921" s="111"/>
      <c r="S1921" s="111"/>
      <c r="T1921" s="111"/>
      <c r="U1921" s="111"/>
      <c r="V1921" s="111"/>
      <c r="W1921" s="111"/>
      <c r="X1921" s="111"/>
      <c r="Y1921" s="111"/>
      <c r="Z1921" s="111"/>
      <c r="AA1921" s="111"/>
    </row>
    <row r="1922" spans="1:28" s="118" customFormat="1" x14ac:dyDescent="0.2">
      <c r="A1922" s="6"/>
      <c r="B1922" s="6"/>
      <c r="C1922" s="155"/>
      <c r="D1922" s="108"/>
      <c r="E1922" s="148"/>
      <c r="F1922" s="253"/>
      <c r="G1922" s="253"/>
      <c r="H1922" s="253"/>
      <c r="I1922" s="246"/>
      <c r="J1922" s="258"/>
      <c r="K1922" s="137"/>
      <c r="L1922" s="137"/>
      <c r="M1922" s="137"/>
      <c r="N1922" s="138"/>
      <c r="O1922" s="167"/>
      <c r="P1922" s="111"/>
      <c r="Q1922" s="111"/>
      <c r="R1922" s="111"/>
      <c r="S1922" s="111"/>
      <c r="T1922" s="111"/>
      <c r="U1922" s="111"/>
      <c r="V1922" s="111"/>
      <c r="W1922" s="111"/>
      <c r="X1922" s="111"/>
      <c r="Y1922" s="111"/>
      <c r="Z1922" s="111"/>
      <c r="AA1922" s="111"/>
    </row>
    <row r="1923" spans="1:28" s="147" customFormat="1" ht="30.6" x14ac:dyDescent="0.2">
      <c r="A1923" s="9" t="s">
        <v>925</v>
      </c>
      <c r="B1923" s="9" t="s">
        <v>89</v>
      </c>
      <c r="C1923" s="197" t="s">
        <v>437</v>
      </c>
      <c r="D1923" s="113" t="s">
        <v>714</v>
      </c>
      <c r="E1923" s="9" t="s">
        <v>9</v>
      </c>
      <c r="F1923" s="261"/>
      <c r="G1923" s="261"/>
      <c r="H1923" s="261"/>
      <c r="I1923" s="245"/>
      <c r="J1923" s="261"/>
      <c r="K1923" s="131">
        <f>J1927</f>
        <v>104.28000000000002</v>
      </c>
      <c r="L1923" s="131">
        <v>59.97</v>
      </c>
      <c r="M1923" s="131">
        <f>ROUND(L1923*(1+$Q$7),2)</f>
        <v>75.88</v>
      </c>
      <c r="N1923" s="133">
        <f>TRUNC(K1923*M1923,2)</f>
        <v>7912.76</v>
      </c>
      <c r="O1923" s="286"/>
      <c r="P1923" s="146"/>
      <c r="Q1923" s="146"/>
      <c r="R1923" s="146"/>
      <c r="S1923" s="146"/>
      <c r="T1923" s="146"/>
      <c r="U1923" s="146"/>
      <c r="V1923" s="146"/>
      <c r="W1923" s="146"/>
      <c r="X1923" s="146"/>
      <c r="Y1923" s="146"/>
      <c r="Z1923" s="146"/>
      <c r="AA1923" s="146"/>
    </row>
    <row r="1924" spans="1:28" s="118" customFormat="1" x14ac:dyDescent="0.2">
      <c r="A1924" s="6"/>
      <c r="B1924" s="6"/>
      <c r="C1924" s="155"/>
      <c r="D1924" s="201" t="s">
        <v>670</v>
      </c>
      <c r="E1924" s="155"/>
      <c r="F1924" s="202"/>
      <c r="G1924" s="253">
        <v>3</v>
      </c>
      <c r="H1924" s="253">
        <v>7.2</v>
      </c>
      <c r="I1924" s="249"/>
      <c r="J1924" s="253">
        <f>ROUND(PRODUCT(F1924:I1924),2)</f>
        <v>21.6</v>
      </c>
      <c r="K1924" s="137"/>
      <c r="L1924" s="137"/>
      <c r="M1924" s="137"/>
      <c r="N1924" s="138"/>
      <c r="O1924" s="167"/>
      <c r="P1924" s="111"/>
      <c r="Q1924" s="111"/>
      <c r="R1924" s="111"/>
      <c r="S1924" s="111"/>
      <c r="T1924" s="111"/>
      <c r="U1924" s="111"/>
      <c r="V1924" s="111"/>
      <c r="W1924" s="111"/>
      <c r="X1924" s="111"/>
      <c r="Y1924" s="111"/>
      <c r="Z1924" s="111"/>
      <c r="AA1924" s="111"/>
    </row>
    <row r="1925" spans="1:28" s="118" customFormat="1" x14ac:dyDescent="0.2">
      <c r="A1925" s="6"/>
      <c r="B1925" s="6"/>
      <c r="C1925" s="155"/>
      <c r="D1925" s="201" t="s">
        <v>697</v>
      </c>
      <c r="E1925" s="155"/>
      <c r="F1925" s="202"/>
      <c r="G1925" s="253">
        <v>12.4</v>
      </c>
      <c r="H1925" s="253">
        <v>6.45</v>
      </c>
      <c r="I1925" s="249"/>
      <c r="J1925" s="253">
        <f>ROUND(PRODUCT(F1925:I1925),2)</f>
        <v>79.98</v>
      </c>
      <c r="K1925" s="137"/>
      <c r="L1925" s="137"/>
      <c r="M1925" s="137"/>
      <c r="N1925" s="138"/>
      <c r="O1925" s="167"/>
      <c r="P1925" s="111"/>
      <c r="Q1925" s="111"/>
      <c r="R1925" s="111"/>
      <c r="S1925" s="111"/>
      <c r="T1925" s="111"/>
      <c r="U1925" s="111"/>
      <c r="V1925" s="111"/>
      <c r="W1925" s="111"/>
      <c r="X1925" s="111"/>
      <c r="Y1925" s="111"/>
      <c r="Z1925" s="111"/>
      <c r="AA1925" s="111"/>
    </row>
    <row r="1926" spans="1:28" s="118" customFormat="1" x14ac:dyDescent="0.2">
      <c r="A1926" s="6"/>
      <c r="B1926" s="6"/>
      <c r="C1926" s="155"/>
      <c r="D1926" s="201" t="s">
        <v>167</v>
      </c>
      <c r="E1926" s="155"/>
      <c r="F1926" s="202"/>
      <c r="G1926" s="253">
        <v>1.8</v>
      </c>
      <c r="H1926" s="253">
        <v>1.5</v>
      </c>
      <c r="I1926" s="249"/>
      <c r="J1926" s="253">
        <f>ROUND(PRODUCT(F1926:I1926),2)</f>
        <v>2.7</v>
      </c>
      <c r="K1926" s="137"/>
      <c r="L1926" s="137"/>
      <c r="M1926" s="137"/>
      <c r="N1926" s="138"/>
      <c r="O1926" s="167"/>
      <c r="P1926" s="111"/>
      <c r="Q1926" s="111"/>
      <c r="R1926" s="111"/>
      <c r="S1926" s="111"/>
      <c r="T1926" s="111"/>
      <c r="U1926" s="111"/>
      <c r="V1926" s="111"/>
      <c r="W1926" s="111"/>
      <c r="X1926" s="111"/>
      <c r="Y1926" s="111"/>
      <c r="Z1926" s="111"/>
      <c r="AA1926" s="111"/>
    </row>
    <row r="1927" spans="1:28" s="118" customFormat="1" x14ac:dyDescent="0.2">
      <c r="A1927" s="6"/>
      <c r="B1927" s="6"/>
      <c r="C1927" s="156"/>
      <c r="D1927" s="108"/>
      <c r="E1927" s="148"/>
      <c r="F1927" s="253"/>
      <c r="G1927" s="253"/>
      <c r="H1927" s="253"/>
      <c r="I1927" s="246" t="str">
        <f>"Total item "&amp;A1923</f>
        <v>Total item 22.3.2</v>
      </c>
      <c r="J1927" s="261">
        <f>SUM(J1924:J1926)</f>
        <v>104.28000000000002</v>
      </c>
      <c r="K1927" s="137"/>
      <c r="L1927" s="137"/>
      <c r="M1927" s="137"/>
      <c r="N1927" s="138"/>
      <c r="O1927" s="167"/>
      <c r="P1927" s="111"/>
      <c r="Q1927" s="111"/>
      <c r="R1927" s="111"/>
      <c r="S1927" s="111"/>
      <c r="T1927" s="111"/>
      <c r="U1927" s="111"/>
      <c r="V1927" s="111"/>
      <c r="W1927" s="111"/>
      <c r="X1927" s="111"/>
      <c r="Y1927" s="111"/>
      <c r="Z1927" s="111"/>
      <c r="AA1927" s="111"/>
    </row>
    <row r="1928" spans="1:28" s="161" customFormat="1" x14ac:dyDescent="0.2">
      <c r="A1928" s="10"/>
      <c r="B1928" s="10"/>
      <c r="C1928" s="157"/>
      <c r="D1928" s="115"/>
      <c r="E1928" s="158"/>
      <c r="F1928" s="267"/>
      <c r="G1928" s="267"/>
      <c r="H1928" s="267"/>
      <c r="I1928" s="250"/>
      <c r="J1928" s="266"/>
      <c r="K1928" s="151"/>
      <c r="L1928" s="151"/>
      <c r="M1928" s="159"/>
      <c r="N1928" s="160"/>
      <c r="O1928" s="167"/>
      <c r="P1928" s="114"/>
      <c r="Q1928" s="103"/>
      <c r="R1928" s="114"/>
      <c r="S1928" s="114"/>
      <c r="T1928" s="114"/>
      <c r="U1928" s="114"/>
      <c r="V1928" s="114"/>
      <c r="W1928" s="114"/>
      <c r="X1928" s="114"/>
      <c r="Y1928" s="114"/>
      <c r="Z1928" s="114"/>
      <c r="AA1928" s="114"/>
      <c r="AB1928" s="114"/>
    </row>
    <row r="1929" spans="1:28" s="145" customFormat="1" x14ac:dyDescent="0.2">
      <c r="A1929" s="140" t="s">
        <v>926</v>
      </c>
      <c r="B1929" s="140"/>
      <c r="C1929" s="141"/>
      <c r="D1929" s="112" t="s">
        <v>436</v>
      </c>
      <c r="E1929" s="140"/>
      <c r="F1929" s="260"/>
      <c r="G1929" s="260"/>
      <c r="H1929" s="260"/>
      <c r="I1929" s="248"/>
      <c r="J1929" s="260"/>
      <c r="K1929" s="142"/>
      <c r="L1929" s="142"/>
      <c r="M1929" s="142"/>
      <c r="N1929" s="143">
        <f>SUM(N1931:N1940)</f>
        <v>1118.92</v>
      </c>
      <c r="O1929" s="285"/>
      <c r="P1929" s="144"/>
      <c r="Q1929" s="144"/>
      <c r="R1929" s="144"/>
      <c r="S1929" s="144"/>
      <c r="T1929" s="144"/>
      <c r="U1929" s="144"/>
      <c r="V1929" s="144"/>
      <c r="W1929" s="144"/>
      <c r="X1929" s="144"/>
      <c r="Y1929" s="144"/>
      <c r="Z1929" s="144"/>
      <c r="AA1929" s="144"/>
    </row>
    <row r="1930" spans="1:28" s="161" customFormat="1" x14ac:dyDescent="0.2">
      <c r="A1930" s="10"/>
      <c r="B1930" s="10"/>
      <c r="C1930" s="157"/>
      <c r="D1930" s="115"/>
      <c r="E1930" s="158"/>
      <c r="F1930" s="267"/>
      <c r="G1930" s="267"/>
      <c r="H1930" s="267"/>
      <c r="I1930" s="250"/>
      <c r="J1930" s="266"/>
      <c r="K1930" s="151"/>
      <c r="L1930" s="151"/>
      <c r="M1930" s="159"/>
      <c r="N1930" s="160"/>
      <c r="O1930" s="167"/>
      <c r="P1930" s="114"/>
      <c r="Q1930" s="103"/>
      <c r="R1930" s="114"/>
      <c r="S1930" s="114"/>
      <c r="T1930" s="114"/>
      <c r="U1930" s="114"/>
      <c r="V1930" s="114"/>
      <c r="W1930" s="114"/>
      <c r="X1930" s="114"/>
      <c r="Y1930" s="114"/>
      <c r="Z1930" s="114"/>
      <c r="AA1930" s="114"/>
      <c r="AB1930" s="114"/>
    </row>
    <row r="1931" spans="1:28" s="147" customFormat="1" ht="30.6" x14ac:dyDescent="0.2">
      <c r="A1931" s="9" t="s">
        <v>927</v>
      </c>
      <c r="B1931" s="9" t="s">
        <v>163</v>
      </c>
      <c r="C1931" s="13" t="s">
        <v>263</v>
      </c>
      <c r="D1931" s="113" t="s">
        <v>264</v>
      </c>
      <c r="E1931" s="9" t="s">
        <v>33</v>
      </c>
      <c r="F1931" s="261"/>
      <c r="G1931" s="261"/>
      <c r="H1931" s="261"/>
      <c r="I1931" s="245"/>
      <c r="J1931" s="261"/>
      <c r="K1931" s="131">
        <f>J1933</f>
        <v>1.37</v>
      </c>
      <c r="L1931" s="131">
        <v>287.51</v>
      </c>
      <c r="M1931" s="131">
        <f>ROUND(L1931*(1+$Q$7),2)</f>
        <v>363.79</v>
      </c>
      <c r="N1931" s="133">
        <f>TRUNC(K1931*M1931,2)</f>
        <v>498.39</v>
      </c>
      <c r="O1931" s="286"/>
      <c r="P1931" s="146"/>
      <c r="Q1931" s="146"/>
      <c r="R1931" s="146"/>
      <c r="S1931" s="146"/>
      <c r="T1931" s="146"/>
      <c r="U1931" s="146"/>
      <c r="V1931" s="146"/>
      <c r="W1931" s="146"/>
      <c r="X1931" s="146"/>
      <c r="Y1931" s="146"/>
      <c r="Z1931" s="146"/>
      <c r="AA1931" s="146"/>
    </row>
    <row r="1932" spans="1:28" s="118" customFormat="1" x14ac:dyDescent="0.2">
      <c r="A1932" s="6"/>
      <c r="B1932" s="6"/>
      <c r="C1932" s="155"/>
      <c r="D1932" s="2" t="s">
        <v>165</v>
      </c>
      <c r="E1932" s="148"/>
      <c r="F1932" s="253"/>
      <c r="G1932" s="253">
        <v>0.65</v>
      </c>
      <c r="H1932" s="253"/>
      <c r="I1932" s="249">
        <v>2.1</v>
      </c>
      <c r="J1932" s="253">
        <f>ROUND(PRODUCT(F1932:I1932),2)</f>
        <v>1.37</v>
      </c>
      <c r="K1932" s="137"/>
      <c r="L1932" s="137"/>
      <c r="M1932" s="137"/>
      <c r="N1932" s="138"/>
      <c r="O1932" s="167"/>
      <c r="P1932" s="111"/>
      <c r="Q1932" s="111"/>
      <c r="R1932" s="111"/>
      <c r="S1932" s="111"/>
      <c r="T1932" s="111"/>
      <c r="U1932" s="111"/>
      <c r="V1932" s="111"/>
      <c r="W1932" s="111"/>
      <c r="X1932" s="111"/>
      <c r="Y1932" s="111"/>
      <c r="Z1932" s="111"/>
      <c r="AA1932" s="111"/>
    </row>
    <row r="1933" spans="1:28" s="118" customFormat="1" x14ac:dyDescent="0.2">
      <c r="A1933" s="6"/>
      <c r="B1933" s="6"/>
      <c r="C1933" s="156"/>
      <c r="D1933" s="108"/>
      <c r="E1933" s="148"/>
      <c r="F1933" s="253"/>
      <c r="G1933" s="253"/>
      <c r="H1933" s="253"/>
      <c r="I1933" s="246" t="str">
        <f>"Total item "&amp;A1931</f>
        <v>Total item 22.4.1</v>
      </c>
      <c r="J1933" s="261">
        <f>SUM(J1932:J1932)</f>
        <v>1.37</v>
      </c>
      <c r="K1933" s="137"/>
      <c r="L1933" s="137"/>
      <c r="M1933" s="137"/>
      <c r="N1933" s="138"/>
      <c r="O1933" s="167"/>
      <c r="P1933" s="111"/>
      <c r="Q1933" s="111"/>
      <c r="R1933" s="111"/>
      <c r="S1933" s="111"/>
      <c r="T1933" s="111"/>
      <c r="U1933" s="111"/>
      <c r="V1933" s="111"/>
      <c r="W1933" s="111"/>
      <c r="X1933" s="111"/>
      <c r="Y1933" s="111"/>
      <c r="Z1933" s="111"/>
      <c r="AA1933" s="111"/>
    </row>
    <row r="1934" spans="1:28" s="161" customFormat="1" x14ac:dyDescent="0.2">
      <c r="A1934" s="10"/>
      <c r="B1934" s="10"/>
      <c r="C1934" s="190"/>
      <c r="D1934" s="110"/>
      <c r="E1934" s="158"/>
      <c r="F1934" s="267"/>
      <c r="G1934" s="267"/>
      <c r="H1934" s="267"/>
      <c r="I1934" s="250"/>
      <c r="J1934" s="250"/>
      <c r="K1934" s="151"/>
      <c r="L1934" s="151"/>
      <c r="M1934" s="151"/>
      <c r="N1934" s="152"/>
      <c r="O1934" s="167"/>
      <c r="P1934" s="114"/>
      <c r="Q1934" s="114"/>
      <c r="R1934" s="114"/>
      <c r="S1934" s="114"/>
      <c r="T1934" s="114"/>
      <c r="U1934" s="114"/>
      <c r="V1934" s="114"/>
      <c r="W1934" s="114"/>
      <c r="X1934" s="114"/>
      <c r="Y1934" s="114"/>
      <c r="Z1934" s="114"/>
      <c r="AA1934" s="114"/>
    </row>
    <row r="1935" spans="1:28" s="147" customFormat="1" ht="20.399999999999999" x14ac:dyDescent="0.2">
      <c r="A1935" s="9" t="s">
        <v>928</v>
      </c>
      <c r="B1935" s="9" t="s">
        <v>163</v>
      </c>
      <c r="C1935" s="13" t="s">
        <v>695</v>
      </c>
      <c r="D1935" s="113" t="s">
        <v>696</v>
      </c>
      <c r="E1935" s="9" t="s">
        <v>33</v>
      </c>
      <c r="F1935" s="261"/>
      <c r="G1935" s="261"/>
      <c r="H1935" s="261"/>
      <c r="I1935" s="245"/>
      <c r="J1935" s="261"/>
      <c r="K1935" s="131">
        <f>J1937</f>
        <v>1.5</v>
      </c>
      <c r="L1935" s="131">
        <v>221.95</v>
      </c>
      <c r="M1935" s="131">
        <f>ROUND(L1935*(1+$Q$7),2)</f>
        <v>280.83</v>
      </c>
      <c r="N1935" s="133">
        <f>TRUNC(K1935*M1935,2)</f>
        <v>421.24</v>
      </c>
      <c r="O1935" s="286"/>
      <c r="P1935" s="146"/>
      <c r="Q1935" s="146"/>
      <c r="R1935" s="146"/>
      <c r="S1935" s="146"/>
      <c r="T1935" s="146"/>
      <c r="U1935" s="146"/>
      <c r="V1935" s="146"/>
      <c r="W1935" s="146"/>
      <c r="X1935" s="146"/>
      <c r="Y1935" s="146"/>
      <c r="Z1935" s="146"/>
      <c r="AA1935" s="146"/>
    </row>
    <row r="1936" spans="1:28" s="118" customFormat="1" x14ac:dyDescent="0.2">
      <c r="A1936" s="6"/>
      <c r="B1936" s="6"/>
      <c r="C1936" s="155"/>
      <c r="D1936" s="2" t="s">
        <v>165</v>
      </c>
      <c r="E1936" s="148"/>
      <c r="F1936" s="253"/>
      <c r="G1936" s="253">
        <v>1.5</v>
      </c>
      <c r="H1936" s="253"/>
      <c r="I1936" s="249">
        <v>1</v>
      </c>
      <c r="J1936" s="253">
        <f>ROUND(PRODUCT(F1936:I1936),2)</f>
        <v>1.5</v>
      </c>
      <c r="K1936" s="137"/>
      <c r="L1936" s="137"/>
      <c r="M1936" s="137"/>
      <c r="N1936" s="138"/>
      <c r="O1936" s="167"/>
      <c r="P1936" s="111"/>
      <c r="Q1936" s="111"/>
      <c r="R1936" s="111"/>
      <c r="S1936" s="111"/>
      <c r="T1936" s="111"/>
      <c r="U1936" s="111"/>
      <c r="V1936" s="111"/>
      <c r="W1936" s="111"/>
      <c r="X1936" s="111"/>
      <c r="Y1936" s="111"/>
      <c r="Z1936" s="111"/>
      <c r="AA1936" s="111"/>
    </row>
    <row r="1937" spans="1:27" s="118" customFormat="1" x14ac:dyDescent="0.2">
      <c r="A1937" s="6"/>
      <c r="B1937" s="6"/>
      <c r="C1937" s="156"/>
      <c r="D1937" s="108"/>
      <c r="E1937" s="148"/>
      <c r="F1937" s="253"/>
      <c r="G1937" s="253"/>
      <c r="H1937" s="253"/>
      <c r="I1937" s="246" t="str">
        <f>"Total item "&amp;A1935</f>
        <v>Total item 22.4.2</v>
      </c>
      <c r="J1937" s="261">
        <f>SUM(J1936:J1936)</f>
        <v>1.5</v>
      </c>
      <c r="K1937" s="137"/>
      <c r="L1937" s="137"/>
      <c r="M1937" s="137"/>
      <c r="N1937" s="138"/>
      <c r="O1937" s="167"/>
      <c r="P1937" s="111"/>
      <c r="Q1937" s="111"/>
      <c r="R1937" s="111"/>
      <c r="S1937" s="111"/>
      <c r="T1937" s="111"/>
      <c r="U1937" s="111"/>
      <c r="V1937" s="111"/>
      <c r="W1937" s="111"/>
      <c r="X1937" s="111"/>
      <c r="Y1937" s="111"/>
      <c r="Z1937" s="111"/>
      <c r="AA1937" s="111"/>
    </row>
    <row r="1938" spans="1:27" s="118" customFormat="1" x14ac:dyDescent="0.2">
      <c r="A1938" s="6"/>
      <c r="B1938" s="6"/>
      <c r="C1938" s="155"/>
      <c r="D1938" s="108"/>
      <c r="E1938" s="148"/>
      <c r="F1938" s="253"/>
      <c r="G1938" s="253"/>
      <c r="H1938" s="253"/>
      <c r="I1938" s="246"/>
      <c r="J1938" s="258"/>
      <c r="K1938" s="137"/>
      <c r="L1938" s="137"/>
      <c r="M1938" s="137"/>
      <c r="N1938" s="138"/>
      <c r="O1938" s="167"/>
      <c r="P1938" s="111"/>
      <c r="Q1938" s="111"/>
      <c r="R1938" s="111"/>
      <c r="S1938" s="111"/>
      <c r="T1938" s="111"/>
      <c r="U1938" s="111"/>
      <c r="V1938" s="111"/>
      <c r="W1938" s="111"/>
      <c r="X1938" s="111"/>
      <c r="Y1938" s="111"/>
      <c r="Z1938" s="111"/>
      <c r="AA1938" s="111"/>
    </row>
    <row r="1939" spans="1:27" s="147" customFormat="1" ht="20.399999999999999" x14ac:dyDescent="0.2">
      <c r="A1939" s="9" t="s">
        <v>929</v>
      </c>
      <c r="B1939" s="9" t="s">
        <v>163</v>
      </c>
      <c r="C1939" s="13" t="s">
        <v>474</v>
      </c>
      <c r="D1939" s="113" t="s">
        <v>475</v>
      </c>
      <c r="E1939" s="9" t="s">
        <v>33</v>
      </c>
      <c r="F1939" s="261"/>
      <c r="G1939" s="261"/>
      <c r="H1939" s="261"/>
      <c r="I1939" s="245"/>
      <c r="J1939" s="261"/>
      <c r="K1939" s="131">
        <f>J1941</f>
        <v>1.5</v>
      </c>
      <c r="L1939" s="131">
        <v>105</v>
      </c>
      <c r="M1939" s="131">
        <f>ROUND(L1939*(1+$Q$7),2)</f>
        <v>132.86000000000001</v>
      </c>
      <c r="N1939" s="133">
        <f>TRUNC(K1939*M1939,2)</f>
        <v>199.29</v>
      </c>
      <c r="O1939" s="286"/>
      <c r="P1939" s="146"/>
      <c r="Q1939" s="146"/>
      <c r="R1939" s="146"/>
      <c r="S1939" s="146"/>
      <c r="T1939" s="146"/>
      <c r="U1939" s="146"/>
      <c r="V1939" s="146"/>
      <c r="W1939" s="146"/>
      <c r="X1939" s="146"/>
      <c r="Y1939" s="146"/>
      <c r="Z1939" s="146"/>
      <c r="AA1939" s="146"/>
    </row>
    <row r="1940" spans="1:27" s="118" customFormat="1" x14ac:dyDescent="0.2">
      <c r="A1940" s="6"/>
      <c r="B1940" s="6"/>
      <c r="C1940" s="155"/>
      <c r="D1940" s="2" t="s">
        <v>165</v>
      </c>
      <c r="E1940" s="148"/>
      <c r="F1940" s="253"/>
      <c r="G1940" s="253">
        <v>1.5</v>
      </c>
      <c r="H1940" s="253"/>
      <c r="I1940" s="249">
        <v>1</v>
      </c>
      <c r="J1940" s="253">
        <f>ROUND(PRODUCT(F1940:I1940),2)</f>
        <v>1.5</v>
      </c>
      <c r="K1940" s="137"/>
      <c r="L1940" s="137"/>
      <c r="M1940" s="137"/>
      <c r="N1940" s="138"/>
      <c r="O1940" s="167"/>
      <c r="P1940" s="111"/>
      <c r="Q1940" s="111"/>
      <c r="R1940" s="111"/>
      <c r="S1940" s="111"/>
      <c r="T1940" s="111"/>
      <c r="U1940" s="111"/>
      <c r="V1940" s="111"/>
      <c r="W1940" s="111"/>
      <c r="X1940" s="111"/>
      <c r="Y1940" s="111"/>
      <c r="Z1940" s="111"/>
      <c r="AA1940" s="111"/>
    </row>
    <row r="1941" spans="1:27" s="118" customFormat="1" x14ac:dyDescent="0.2">
      <c r="A1941" s="6"/>
      <c r="B1941" s="6"/>
      <c r="C1941" s="156"/>
      <c r="D1941" s="108"/>
      <c r="E1941" s="148"/>
      <c r="F1941" s="253"/>
      <c r="G1941" s="253"/>
      <c r="H1941" s="253"/>
      <c r="I1941" s="246" t="str">
        <f>"Total item "&amp;A1939</f>
        <v>Total item 22.4.3</v>
      </c>
      <c r="J1941" s="261">
        <f>SUM(J1940:J1940)</f>
        <v>1.5</v>
      </c>
      <c r="K1941" s="137"/>
      <c r="L1941" s="137"/>
      <c r="M1941" s="137"/>
      <c r="N1941" s="138"/>
      <c r="O1941" s="167"/>
      <c r="P1941" s="111"/>
      <c r="Q1941" s="111"/>
      <c r="R1941" s="111"/>
      <c r="S1941" s="111"/>
      <c r="T1941" s="111"/>
      <c r="U1941" s="111"/>
      <c r="V1941" s="111"/>
      <c r="W1941" s="111"/>
      <c r="X1941" s="111"/>
      <c r="Y1941" s="111"/>
      <c r="Z1941" s="111"/>
      <c r="AA1941" s="111"/>
    </row>
    <row r="1942" spans="1:27" s="118" customFormat="1" x14ac:dyDescent="0.2">
      <c r="A1942" s="6"/>
      <c r="B1942" s="6"/>
      <c r="C1942" s="155"/>
      <c r="D1942" s="108"/>
      <c r="E1942" s="148"/>
      <c r="F1942" s="253"/>
      <c r="G1942" s="253"/>
      <c r="H1942" s="253"/>
      <c r="I1942" s="246"/>
      <c r="J1942" s="258"/>
      <c r="K1942" s="137"/>
      <c r="L1942" s="137"/>
      <c r="M1942" s="137"/>
      <c r="N1942" s="138"/>
      <c r="O1942" s="167"/>
      <c r="P1942" s="111"/>
      <c r="Q1942" s="111"/>
      <c r="R1942" s="111"/>
      <c r="S1942" s="111"/>
      <c r="T1942" s="111"/>
      <c r="U1942" s="111"/>
      <c r="V1942" s="111"/>
      <c r="W1942" s="111"/>
      <c r="X1942" s="111"/>
      <c r="Y1942" s="111"/>
      <c r="Z1942" s="111"/>
      <c r="AA1942" s="111"/>
    </row>
    <row r="1943" spans="1:27" s="145" customFormat="1" x14ac:dyDescent="0.2">
      <c r="A1943" s="140" t="s">
        <v>930</v>
      </c>
      <c r="B1943" s="140"/>
      <c r="C1943" s="141"/>
      <c r="D1943" s="112" t="s">
        <v>29</v>
      </c>
      <c r="E1943" s="140"/>
      <c r="F1943" s="260"/>
      <c r="G1943" s="260"/>
      <c r="H1943" s="260"/>
      <c r="I1943" s="248"/>
      <c r="J1943" s="260"/>
      <c r="K1943" s="142"/>
      <c r="L1943" s="142"/>
      <c r="M1943" s="142"/>
      <c r="N1943" s="143">
        <f>SUM(N1945:N1948)</f>
        <v>46.35</v>
      </c>
      <c r="O1943" s="285"/>
      <c r="P1943" s="144"/>
      <c r="Q1943" s="144"/>
      <c r="R1943" s="144"/>
      <c r="S1943" s="144"/>
      <c r="T1943" s="144"/>
      <c r="U1943" s="144"/>
      <c r="V1943" s="144"/>
      <c r="W1943" s="144"/>
      <c r="X1943" s="144"/>
      <c r="Y1943" s="144"/>
      <c r="Z1943" s="144"/>
      <c r="AA1943" s="144"/>
    </row>
    <row r="1944" spans="1:27" s="118" customFormat="1" x14ac:dyDescent="0.2">
      <c r="A1944" s="6"/>
      <c r="B1944" s="6"/>
      <c r="C1944" s="155"/>
      <c r="D1944" s="108"/>
      <c r="E1944" s="148"/>
      <c r="F1944" s="253"/>
      <c r="G1944" s="253"/>
      <c r="H1944" s="253"/>
      <c r="I1944" s="246"/>
      <c r="J1944" s="258"/>
      <c r="K1944" s="137"/>
      <c r="L1944" s="137"/>
      <c r="M1944" s="137"/>
      <c r="N1944" s="138"/>
      <c r="O1944" s="167"/>
      <c r="P1944" s="111"/>
      <c r="Q1944" s="111"/>
      <c r="R1944" s="111"/>
      <c r="S1944" s="111"/>
      <c r="T1944" s="111"/>
      <c r="U1944" s="111"/>
      <c r="V1944" s="111"/>
      <c r="W1944" s="111"/>
      <c r="X1944" s="111"/>
      <c r="Y1944" s="111"/>
      <c r="Z1944" s="111"/>
      <c r="AA1944" s="111"/>
    </row>
    <row r="1945" spans="1:27" s="147" customFormat="1" ht="40.799999999999997" x14ac:dyDescent="0.2">
      <c r="A1945" s="9" t="s">
        <v>931</v>
      </c>
      <c r="B1945" s="9" t="s">
        <v>163</v>
      </c>
      <c r="C1945" s="13" t="s">
        <v>176</v>
      </c>
      <c r="D1945" s="113" t="s">
        <v>269</v>
      </c>
      <c r="E1945" s="1" t="s">
        <v>9</v>
      </c>
      <c r="F1945" s="261"/>
      <c r="G1945" s="261"/>
      <c r="H1945" s="261"/>
      <c r="I1945" s="245"/>
      <c r="J1945" s="261"/>
      <c r="K1945" s="131">
        <f>J1948</f>
        <v>2.73</v>
      </c>
      <c r="L1945" s="131">
        <v>13.42</v>
      </c>
      <c r="M1945" s="131">
        <f>ROUND(L1945*(1+$Q$7),2)</f>
        <v>16.98</v>
      </c>
      <c r="N1945" s="133">
        <f>TRUNC(K1945*M1945,2)</f>
        <v>46.35</v>
      </c>
      <c r="O1945" s="286"/>
      <c r="P1945" s="146"/>
      <c r="Q1945" s="146"/>
      <c r="R1945" s="146"/>
      <c r="S1945" s="146"/>
      <c r="T1945" s="146"/>
      <c r="U1945" s="146"/>
      <c r="V1945" s="146"/>
      <c r="W1945" s="146"/>
      <c r="X1945" s="146"/>
      <c r="Y1945" s="146"/>
      <c r="Z1945" s="146"/>
      <c r="AA1945" s="146"/>
    </row>
    <row r="1946" spans="1:27" s="118" customFormat="1" x14ac:dyDescent="0.2">
      <c r="A1946" s="6"/>
      <c r="B1946" s="6"/>
      <c r="C1946" s="155"/>
      <c r="D1946" s="3" t="s">
        <v>270</v>
      </c>
      <c r="E1946" s="148"/>
      <c r="F1946" s="253"/>
      <c r="G1946" s="253"/>
      <c r="H1946" s="253"/>
      <c r="I1946" s="249"/>
      <c r="J1946" s="253"/>
      <c r="K1946" s="137"/>
      <c r="L1946" s="137"/>
      <c r="M1946" s="137"/>
      <c r="N1946" s="138"/>
      <c r="O1946" s="167"/>
      <c r="P1946" s="111"/>
      <c r="Q1946" s="111"/>
      <c r="R1946" s="111"/>
      <c r="S1946" s="111"/>
      <c r="T1946" s="111"/>
      <c r="U1946" s="111"/>
      <c r="V1946" s="111"/>
      <c r="W1946" s="111"/>
      <c r="X1946" s="111"/>
      <c r="Y1946" s="111"/>
      <c r="Z1946" s="111"/>
      <c r="AA1946" s="111"/>
    </row>
    <row r="1947" spans="1:27" s="118" customFormat="1" x14ac:dyDescent="0.2">
      <c r="A1947" s="6"/>
      <c r="B1947" s="6"/>
      <c r="C1947" s="155"/>
      <c r="D1947" s="2" t="s">
        <v>165</v>
      </c>
      <c r="E1947" s="148"/>
      <c r="F1947" s="253">
        <v>2</v>
      </c>
      <c r="G1947" s="253">
        <v>0.65</v>
      </c>
      <c r="H1947" s="253"/>
      <c r="I1947" s="249">
        <v>2.1</v>
      </c>
      <c r="J1947" s="253">
        <f>ROUND(PRODUCT(F1947:I1947),2)</f>
        <v>2.73</v>
      </c>
      <c r="K1947" s="137"/>
      <c r="L1947" s="137"/>
      <c r="M1947" s="137"/>
      <c r="N1947" s="138"/>
      <c r="O1947" s="167"/>
      <c r="P1947" s="111"/>
      <c r="Q1947" s="111"/>
      <c r="R1947" s="111"/>
      <c r="S1947" s="111"/>
      <c r="T1947" s="111"/>
      <c r="U1947" s="111"/>
      <c r="V1947" s="111"/>
      <c r="W1947" s="111"/>
      <c r="X1947" s="111"/>
      <c r="Y1947" s="111"/>
      <c r="Z1947" s="111"/>
      <c r="AA1947" s="111"/>
    </row>
    <row r="1948" spans="1:27" s="118" customFormat="1" x14ac:dyDescent="0.2">
      <c r="A1948" s="6"/>
      <c r="B1948" s="6"/>
      <c r="C1948" s="156"/>
      <c r="D1948" s="108"/>
      <c r="E1948" s="148"/>
      <c r="F1948" s="253"/>
      <c r="G1948" s="253"/>
      <c r="H1948" s="253"/>
      <c r="I1948" s="246" t="str">
        <f>"Total item "&amp;A1945</f>
        <v>Total item 22.5.1</v>
      </c>
      <c r="J1948" s="261">
        <f>SUM(J1946:J1947)</f>
        <v>2.73</v>
      </c>
      <c r="K1948" s="137"/>
      <c r="L1948" s="137"/>
      <c r="M1948" s="137"/>
      <c r="N1948" s="138"/>
      <c r="O1948" s="167"/>
      <c r="P1948" s="111"/>
      <c r="Q1948" s="111"/>
      <c r="R1948" s="111"/>
      <c r="S1948" s="111"/>
      <c r="T1948" s="111"/>
      <c r="U1948" s="111"/>
      <c r="V1948" s="111"/>
      <c r="W1948" s="111"/>
      <c r="X1948" s="111"/>
      <c r="Y1948" s="111"/>
      <c r="Z1948" s="111"/>
      <c r="AA1948" s="111"/>
    </row>
    <row r="1949" spans="1:27" s="118" customFormat="1" x14ac:dyDescent="0.2">
      <c r="A1949" s="6"/>
      <c r="B1949" s="6"/>
      <c r="C1949" s="156"/>
      <c r="D1949" s="108"/>
      <c r="E1949" s="148"/>
      <c r="F1949" s="253"/>
      <c r="G1949" s="253"/>
      <c r="H1949" s="253"/>
      <c r="I1949" s="246"/>
      <c r="J1949" s="246"/>
      <c r="K1949" s="137"/>
      <c r="L1949" s="137"/>
      <c r="M1949" s="137"/>
      <c r="N1949" s="138"/>
      <c r="O1949" s="167"/>
      <c r="P1949" s="111"/>
      <c r="Q1949" s="111"/>
      <c r="R1949" s="111"/>
      <c r="S1949" s="111"/>
      <c r="T1949" s="111"/>
      <c r="U1949" s="111"/>
      <c r="V1949" s="111"/>
      <c r="W1949" s="111"/>
      <c r="X1949" s="111"/>
      <c r="Y1949" s="111"/>
      <c r="Z1949" s="111"/>
      <c r="AA1949" s="111"/>
    </row>
    <row r="1950" spans="1:27" s="145" customFormat="1" x14ac:dyDescent="0.2">
      <c r="A1950" s="140" t="s">
        <v>932</v>
      </c>
      <c r="B1950" s="140"/>
      <c r="C1950" s="141"/>
      <c r="D1950" s="112" t="s">
        <v>204</v>
      </c>
      <c r="E1950" s="140"/>
      <c r="F1950" s="260"/>
      <c r="G1950" s="260"/>
      <c r="H1950" s="260"/>
      <c r="I1950" s="248"/>
      <c r="J1950" s="260"/>
      <c r="K1950" s="142"/>
      <c r="L1950" s="142"/>
      <c r="M1950" s="142"/>
      <c r="N1950" s="143">
        <f>SUM(N1952:N1957)</f>
        <v>706.63000000000011</v>
      </c>
      <c r="O1950" s="285"/>
      <c r="P1950" s="144"/>
      <c r="Q1950" s="144"/>
      <c r="R1950" s="144"/>
      <c r="S1950" s="144"/>
      <c r="T1950" s="144"/>
      <c r="U1950" s="144"/>
      <c r="V1950" s="144"/>
      <c r="W1950" s="144"/>
      <c r="X1950" s="144"/>
      <c r="Y1950" s="144"/>
      <c r="Z1950" s="144"/>
      <c r="AA1950" s="144"/>
    </row>
    <row r="1951" spans="1:27" s="118" customFormat="1" x14ac:dyDescent="0.2">
      <c r="A1951" s="6"/>
      <c r="B1951" s="6"/>
      <c r="C1951" s="156"/>
      <c r="D1951" s="108"/>
      <c r="E1951" s="148"/>
      <c r="F1951" s="253"/>
      <c r="G1951" s="253"/>
      <c r="H1951" s="253"/>
      <c r="I1951" s="246"/>
      <c r="J1951" s="246"/>
      <c r="K1951" s="137"/>
      <c r="L1951" s="137"/>
      <c r="M1951" s="137"/>
      <c r="N1951" s="138"/>
      <c r="O1951" s="167"/>
      <c r="P1951" s="111"/>
      <c r="Q1951" s="111"/>
      <c r="R1951" s="111"/>
      <c r="S1951" s="111"/>
      <c r="T1951" s="111"/>
      <c r="U1951" s="111"/>
      <c r="V1951" s="111"/>
      <c r="W1951" s="111"/>
      <c r="X1951" s="111"/>
      <c r="Y1951" s="111"/>
      <c r="Z1951" s="111"/>
      <c r="AA1951" s="111"/>
    </row>
    <row r="1952" spans="1:27" s="147" customFormat="1" ht="30.6" x14ac:dyDescent="0.2">
      <c r="A1952" s="9" t="s">
        <v>933</v>
      </c>
      <c r="B1952" s="9" t="s">
        <v>163</v>
      </c>
      <c r="C1952" s="13" t="s">
        <v>507</v>
      </c>
      <c r="D1952" s="109" t="s">
        <v>508</v>
      </c>
      <c r="E1952" s="9" t="s">
        <v>9</v>
      </c>
      <c r="F1952" s="261"/>
      <c r="G1952" s="261"/>
      <c r="H1952" s="261"/>
      <c r="I1952" s="245"/>
      <c r="J1952" s="261"/>
      <c r="K1952" s="131">
        <f>J1954</f>
        <v>11.39</v>
      </c>
      <c r="L1952" s="106">
        <v>37.07</v>
      </c>
      <c r="M1952" s="131">
        <f>ROUND(L1952*(1+$Q$7),2)</f>
        <v>46.9</v>
      </c>
      <c r="N1952" s="133">
        <f>TRUNC(K1952*M1952,2)</f>
        <v>534.19000000000005</v>
      </c>
      <c r="O1952" s="286"/>
      <c r="P1952" s="146"/>
      <c r="Q1952" s="146"/>
      <c r="R1952" s="146"/>
      <c r="S1952" s="146"/>
      <c r="T1952" s="146"/>
      <c r="U1952" s="146"/>
      <c r="V1952" s="146"/>
      <c r="W1952" s="146"/>
      <c r="X1952" s="146"/>
      <c r="Y1952" s="146"/>
      <c r="Z1952" s="146"/>
      <c r="AA1952" s="146"/>
    </row>
    <row r="1953" spans="1:27" s="118" customFormat="1" x14ac:dyDescent="0.2">
      <c r="A1953" s="6"/>
      <c r="B1953" s="6"/>
      <c r="C1953" s="155"/>
      <c r="D1953" s="2" t="s">
        <v>699</v>
      </c>
      <c r="E1953" s="148"/>
      <c r="F1953" s="253"/>
      <c r="G1953" s="253">
        <v>3.35</v>
      </c>
      <c r="H1953" s="253">
        <v>3.4</v>
      </c>
      <c r="I1953" s="249"/>
      <c r="J1953" s="253">
        <f t="shared" ref="J1953" si="188">ROUND(PRODUCT(F1953:I1953),2)</f>
        <v>11.39</v>
      </c>
      <c r="K1953" s="137"/>
      <c r="L1953" s="137"/>
      <c r="M1953" s="137"/>
      <c r="N1953" s="138"/>
      <c r="O1953" s="167"/>
      <c r="P1953" s="111"/>
      <c r="Q1953" s="111"/>
      <c r="R1953" s="111"/>
      <c r="S1953" s="111"/>
      <c r="T1953" s="111"/>
      <c r="U1953" s="111"/>
      <c r="V1953" s="111"/>
      <c r="W1953" s="111"/>
      <c r="X1953" s="111"/>
      <c r="Y1953" s="111"/>
      <c r="Z1953" s="111"/>
      <c r="AA1953" s="111"/>
    </row>
    <row r="1954" spans="1:27" s="118" customFormat="1" x14ac:dyDescent="0.2">
      <c r="A1954" s="6"/>
      <c r="B1954" s="6"/>
      <c r="C1954" s="156"/>
      <c r="D1954" s="108"/>
      <c r="E1954" s="148"/>
      <c r="F1954" s="253"/>
      <c r="G1954" s="253"/>
      <c r="H1954" s="253"/>
      <c r="I1954" s="246" t="str">
        <f>"Total item "&amp;A1952</f>
        <v>Total item 22.6.1</v>
      </c>
      <c r="J1954" s="261">
        <f>SUM(J1953:J1953)</f>
        <v>11.39</v>
      </c>
      <c r="K1954" s="137"/>
      <c r="L1954" s="137"/>
      <c r="M1954" s="137"/>
      <c r="N1954" s="138"/>
      <c r="O1954" s="167"/>
      <c r="P1954" s="111"/>
      <c r="Q1954" s="111"/>
      <c r="R1954" s="111"/>
      <c r="S1954" s="111"/>
      <c r="T1954" s="111"/>
      <c r="U1954" s="111"/>
      <c r="V1954" s="111"/>
      <c r="W1954" s="111"/>
      <c r="X1954" s="111"/>
      <c r="Y1954" s="111"/>
      <c r="Z1954" s="111"/>
      <c r="AA1954" s="111"/>
    </row>
    <row r="1955" spans="1:27" s="118" customFormat="1" x14ac:dyDescent="0.2">
      <c r="A1955" s="6"/>
      <c r="B1955" s="6"/>
      <c r="C1955" s="14"/>
      <c r="D1955" s="108"/>
      <c r="E1955" s="148"/>
      <c r="F1955" s="253"/>
      <c r="G1955" s="253"/>
      <c r="H1955" s="253"/>
      <c r="I1955" s="246"/>
      <c r="J1955" s="262"/>
      <c r="K1955" s="137"/>
      <c r="L1955" s="137"/>
      <c r="M1955" s="137"/>
      <c r="N1955" s="138"/>
      <c r="O1955" s="167"/>
      <c r="P1955" s="111"/>
      <c r="Q1955" s="111"/>
      <c r="R1955" s="111"/>
      <c r="S1955" s="111"/>
      <c r="T1955" s="111"/>
      <c r="U1955" s="111"/>
      <c r="V1955" s="111"/>
      <c r="W1955" s="111"/>
      <c r="X1955" s="111"/>
      <c r="Y1955" s="111"/>
      <c r="Z1955" s="111"/>
      <c r="AA1955" s="111"/>
    </row>
    <row r="1956" spans="1:27" s="147" customFormat="1" ht="20.399999999999999" x14ac:dyDescent="0.2">
      <c r="A1956" s="9" t="s">
        <v>934</v>
      </c>
      <c r="B1956" s="9" t="s">
        <v>163</v>
      </c>
      <c r="C1956" s="13" t="s">
        <v>186</v>
      </c>
      <c r="D1956" s="109" t="s">
        <v>510</v>
      </c>
      <c r="E1956" s="9" t="s">
        <v>9</v>
      </c>
      <c r="F1956" s="261"/>
      <c r="G1956" s="261"/>
      <c r="H1956" s="261"/>
      <c r="I1956" s="245"/>
      <c r="J1956" s="261"/>
      <c r="K1956" s="131">
        <f>J1958</f>
        <v>22.78</v>
      </c>
      <c r="L1956" s="106">
        <v>5.98</v>
      </c>
      <c r="M1956" s="131">
        <f>ROUND(L1956*(1+$Q$7),2)</f>
        <v>7.57</v>
      </c>
      <c r="N1956" s="133">
        <f>TRUNC(K1956*M1956,2)</f>
        <v>172.44</v>
      </c>
      <c r="O1956" s="286"/>
      <c r="P1956" s="146"/>
      <c r="Q1956" s="146"/>
      <c r="R1956" s="146"/>
      <c r="S1956" s="146"/>
      <c r="T1956" s="146"/>
      <c r="U1956" s="146"/>
      <c r="V1956" s="146"/>
      <c r="W1956" s="146"/>
      <c r="X1956" s="146"/>
      <c r="Y1956" s="146"/>
      <c r="Z1956" s="146"/>
      <c r="AA1956" s="146"/>
    </row>
    <row r="1957" spans="1:27" s="118" customFormat="1" x14ac:dyDescent="0.2">
      <c r="A1957" s="6"/>
      <c r="B1957" s="6"/>
      <c r="C1957" s="155"/>
      <c r="D1957" s="2" t="s">
        <v>699</v>
      </c>
      <c r="E1957" s="148"/>
      <c r="F1957" s="253">
        <v>2</v>
      </c>
      <c r="G1957" s="253">
        <v>3.35</v>
      </c>
      <c r="H1957" s="253">
        <v>3.4</v>
      </c>
      <c r="I1957" s="249"/>
      <c r="J1957" s="253">
        <f t="shared" ref="J1957" si="189">ROUND(PRODUCT(F1957:I1957),2)</f>
        <v>22.78</v>
      </c>
      <c r="K1957" s="137"/>
      <c r="L1957" s="137"/>
      <c r="M1957" s="137"/>
      <c r="N1957" s="138"/>
      <c r="O1957" s="167"/>
      <c r="P1957" s="111"/>
      <c r="Q1957" s="111"/>
      <c r="R1957" s="111"/>
      <c r="S1957" s="111"/>
      <c r="T1957" s="111"/>
      <c r="U1957" s="111"/>
      <c r="V1957" s="111"/>
      <c r="W1957" s="111"/>
      <c r="X1957" s="111"/>
      <c r="Y1957" s="111"/>
      <c r="Z1957" s="111"/>
      <c r="AA1957" s="111"/>
    </row>
    <row r="1958" spans="1:27" s="118" customFormat="1" x14ac:dyDescent="0.2">
      <c r="A1958" s="6"/>
      <c r="B1958" s="6"/>
      <c r="C1958" s="156"/>
      <c r="D1958" s="108"/>
      <c r="E1958" s="148"/>
      <c r="F1958" s="253"/>
      <c r="G1958" s="253"/>
      <c r="H1958" s="253"/>
      <c r="I1958" s="246" t="str">
        <f>"Total item "&amp;A1956</f>
        <v>Total item 22.6.2</v>
      </c>
      <c r="J1958" s="261">
        <f>SUM(J1957:J1957)</f>
        <v>22.78</v>
      </c>
      <c r="K1958" s="137"/>
      <c r="L1958" s="137"/>
      <c r="M1958" s="137"/>
      <c r="N1958" s="138"/>
      <c r="O1958" s="167"/>
      <c r="P1958" s="111"/>
      <c r="Q1958" s="111"/>
      <c r="R1958" s="111"/>
      <c r="S1958" s="111"/>
      <c r="T1958" s="111"/>
      <c r="U1958" s="111"/>
      <c r="V1958" s="111"/>
      <c r="W1958" s="111"/>
      <c r="X1958" s="111"/>
      <c r="Y1958" s="111"/>
      <c r="Z1958" s="111"/>
      <c r="AA1958" s="111"/>
    </row>
    <row r="1959" spans="1:27" s="118" customFormat="1" x14ac:dyDescent="0.2">
      <c r="A1959" s="6"/>
      <c r="B1959" s="6"/>
      <c r="C1959" s="14"/>
      <c r="D1959" s="108"/>
      <c r="E1959" s="148"/>
      <c r="F1959" s="253"/>
      <c r="G1959" s="253"/>
      <c r="H1959" s="253"/>
      <c r="I1959" s="246"/>
      <c r="J1959" s="262"/>
      <c r="K1959" s="137"/>
      <c r="L1959" s="137"/>
      <c r="M1959" s="137"/>
      <c r="N1959" s="138"/>
      <c r="O1959" s="167"/>
      <c r="P1959" s="111"/>
      <c r="Q1959" s="111"/>
      <c r="R1959" s="111"/>
      <c r="S1959" s="111"/>
      <c r="T1959" s="111"/>
      <c r="U1959" s="111"/>
      <c r="V1959" s="111"/>
      <c r="W1959" s="111"/>
      <c r="X1959" s="111"/>
      <c r="Y1959" s="111"/>
      <c r="Z1959" s="111"/>
      <c r="AA1959" s="111"/>
    </row>
    <row r="1960" spans="1:27" s="241" customFormat="1" ht="26.4" x14ac:dyDescent="0.25">
      <c r="A1960" s="236" t="s">
        <v>239</v>
      </c>
      <c r="B1960" s="236"/>
      <c r="C1960" s="237"/>
      <c r="D1960" s="289" t="s">
        <v>513</v>
      </c>
      <c r="E1960" s="236"/>
      <c r="F1960" s="259"/>
      <c r="G1960" s="259"/>
      <c r="H1960" s="259"/>
      <c r="I1960" s="247"/>
      <c r="J1960" s="259"/>
      <c r="K1960" s="238"/>
      <c r="L1960" s="238"/>
      <c r="M1960" s="238"/>
      <c r="N1960" s="239">
        <f>N1962+N1991+N2010</f>
        <v>35991.83</v>
      </c>
      <c r="O1960" s="284" t="e">
        <f>N1960/$N$2057</f>
        <v>#VALUE!</v>
      </c>
      <c r="P1960" s="240"/>
      <c r="Q1960" s="240" t="s">
        <v>533</v>
      </c>
      <c r="R1960" s="240"/>
      <c r="S1960" s="240"/>
      <c r="T1960" s="240"/>
      <c r="U1960" s="240"/>
      <c r="V1960" s="240"/>
      <c r="W1960" s="240"/>
      <c r="X1960" s="240"/>
      <c r="Y1960" s="240"/>
      <c r="Z1960" s="240"/>
      <c r="AA1960" s="240"/>
    </row>
    <row r="1961" spans="1:27" s="118" customFormat="1" x14ac:dyDescent="0.2">
      <c r="A1961" s="6"/>
      <c r="B1961" s="6"/>
      <c r="C1961" s="14"/>
      <c r="D1961" s="108"/>
      <c r="E1961" s="148"/>
      <c r="F1961" s="253"/>
      <c r="G1961" s="253"/>
      <c r="H1961" s="253"/>
      <c r="I1961" s="246"/>
      <c r="J1961" s="262"/>
      <c r="K1961" s="137"/>
      <c r="L1961" s="137"/>
      <c r="M1961" s="137"/>
      <c r="N1961" s="138"/>
      <c r="O1961" s="167"/>
      <c r="P1961" s="111"/>
      <c r="Q1961" s="111"/>
      <c r="R1961" s="111"/>
      <c r="S1961" s="111"/>
      <c r="T1961" s="111"/>
      <c r="U1961" s="111"/>
      <c r="V1961" s="111"/>
      <c r="W1961" s="111"/>
      <c r="X1961" s="111"/>
      <c r="Y1961" s="111"/>
      <c r="Z1961" s="111"/>
      <c r="AA1961" s="111"/>
    </row>
    <row r="1962" spans="1:27" s="145" customFormat="1" x14ac:dyDescent="0.2">
      <c r="A1962" s="140" t="s">
        <v>662</v>
      </c>
      <c r="B1962" s="140"/>
      <c r="C1962" s="141"/>
      <c r="D1962" s="112" t="s">
        <v>30</v>
      </c>
      <c r="E1962" s="140"/>
      <c r="F1962" s="260"/>
      <c r="G1962" s="260"/>
      <c r="H1962" s="260"/>
      <c r="I1962" s="248"/>
      <c r="J1962" s="260"/>
      <c r="K1962" s="142"/>
      <c r="L1962" s="142"/>
      <c r="M1962" s="142"/>
      <c r="N1962" s="143">
        <f>SUM(N1964:N1990)</f>
        <v>3525.2799999999997</v>
      </c>
      <c r="O1962" s="285"/>
      <c r="P1962" s="144"/>
      <c r="Q1962" s="144"/>
      <c r="R1962" s="144"/>
      <c r="S1962" s="144"/>
      <c r="T1962" s="144"/>
      <c r="U1962" s="144"/>
      <c r="V1962" s="144"/>
      <c r="W1962" s="144"/>
      <c r="X1962" s="144"/>
      <c r="Y1962" s="144"/>
      <c r="Z1962" s="144"/>
      <c r="AA1962" s="144"/>
    </row>
    <row r="1963" spans="1:27" s="118" customFormat="1" x14ac:dyDescent="0.2">
      <c r="A1963" s="6"/>
      <c r="B1963" s="6"/>
      <c r="C1963" s="14"/>
      <c r="D1963" s="108"/>
      <c r="E1963" s="148"/>
      <c r="F1963" s="253"/>
      <c r="G1963" s="253"/>
      <c r="H1963" s="253"/>
      <c r="I1963" s="246"/>
      <c r="J1963" s="262"/>
      <c r="K1963" s="137"/>
      <c r="L1963" s="137"/>
      <c r="M1963" s="137"/>
      <c r="N1963" s="138"/>
      <c r="O1963" s="167"/>
      <c r="P1963" s="111"/>
      <c r="Q1963" s="111"/>
      <c r="R1963" s="111"/>
      <c r="S1963" s="111"/>
      <c r="T1963" s="111"/>
      <c r="U1963" s="111"/>
      <c r="V1963" s="111"/>
      <c r="W1963" s="111"/>
      <c r="X1963" s="111"/>
      <c r="Y1963" s="111"/>
      <c r="Z1963" s="111"/>
      <c r="AA1963" s="111"/>
    </row>
    <row r="1964" spans="1:27" s="147" customFormat="1" ht="30.6" x14ac:dyDescent="0.2">
      <c r="A1964" s="9" t="s">
        <v>663</v>
      </c>
      <c r="B1964" s="9" t="s">
        <v>163</v>
      </c>
      <c r="C1964" s="13" t="s">
        <v>240</v>
      </c>
      <c r="D1964" s="113" t="s">
        <v>403</v>
      </c>
      <c r="E1964" s="9" t="s">
        <v>31</v>
      </c>
      <c r="F1964" s="261"/>
      <c r="G1964" s="261"/>
      <c r="H1964" s="261"/>
      <c r="I1964" s="245"/>
      <c r="J1964" s="261"/>
      <c r="K1964" s="131">
        <f>J1971</f>
        <v>11</v>
      </c>
      <c r="L1964" s="131">
        <v>73.44</v>
      </c>
      <c r="M1964" s="131">
        <f>ROUND(L1964*(1+$Q$7),2)</f>
        <v>92.92</v>
      </c>
      <c r="N1964" s="133">
        <f>TRUNC(K1964*M1964,2)</f>
        <v>1022.12</v>
      </c>
      <c r="O1964" s="286"/>
      <c r="P1964" s="146"/>
      <c r="Q1964" s="146"/>
      <c r="R1964" s="146"/>
      <c r="S1964" s="146"/>
      <c r="T1964" s="146"/>
      <c r="U1964" s="146"/>
      <c r="V1964" s="146"/>
      <c r="W1964" s="146"/>
      <c r="X1964" s="146"/>
      <c r="Y1964" s="146"/>
      <c r="Z1964" s="146"/>
      <c r="AA1964" s="146"/>
    </row>
    <row r="1965" spans="1:27" s="174" customFormat="1" x14ac:dyDescent="0.2">
      <c r="A1965" s="170" t="s">
        <v>409</v>
      </c>
      <c r="B1965" s="170"/>
      <c r="C1965" s="171"/>
      <c r="D1965" s="2" t="s">
        <v>253</v>
      </c>
      <c r="E1965" s="6"/>
      <c r="F1965" s="253">
        <v>2</v>
      </c>
      <c r="G1965" s="253"/>
      <c r="H1965" s="253"/>
      <c r="I1965" s="249"/>
      <c r="J1965" s="253">
        <f t="shared" ref="J1965:J1970" si="190">ROUND(PRODUCT(F1965:I1965),2)</f>
        <v>2</v>
      </c>
      <c r="K1965" s="172"/>
      <c r="L1965" s="172"/>
      <c r="M1965" s="172"/>
      <c r="N1965" s="173"/>
      <c r="O1965" s="287"/>
      <c r="P1965" s="23"/>
      <c r="Q1965" s="23"/>
      <c r="R1965" s="23"/>
      <c r="S1965" s="23"/>
      <c r="T1965" s="23"/>
      <c r="U1965" s="23"/>
      <c r="V1965" s="23"/>
      <c r="W1965" s="23"/>
      <c r="X1965" s="23"/>
      <c r="Y1965" s="23"/>
      <c r="Z1965" s="23"/>
      <c r="AA1965" s="23"/>
    </row>
    <row r="1966" spans="1:27" s="174" customFormat="1" x14ac:dyDescent="0.2">
      <c r="A1966" s="170" t="s">
        <v>409</v>
      </c>
      <c r="B1966" s="170"/>
      <c r="C1966" s="171"/>
      <c r="D1966" s="2" t="s">
        <v>242</v>
      </c>
      <c r="E1966" s="6"/>
      <c r="F1966" s="253">
        <v>2</v>
      </c>
      <c r="G1966" s="253"/>
      <c r="H1966" s="253"/>
      <c r="I1966" s="249"/>
      <c r="J1966" s="253">
        <f t="shared" si="190"/>
        <v>2</v>
      </c>
      <c r="K1966" s="172"/>
      <c r="L1966" s="172"/>
      <c r="M1966" s="172"/>
      <c r="N1966" s="173"/>
      <c r="O1966" s="287"/>
      <c r="P1966" s="23"/>
      <c r="Q1966" s="23"/>
      <c r="R1966" s="23"/>
      <c r="S1966" s="23"/>
      <c r="T1966" s="23"/>
      <c r="U1966" s="23"/>
      <c r="V1966" s="23"/>
      <c r="W1966" s="23"/>
      <c r="X1966" s="23"/>
      <c r="Y1966" s="23"/>
      <c r="Z1966" s="23"/>
      <c r="AA1966" s="23"/>
    </row>
    <row r="1967" spans="1:27" s="174" customFormat="1" x14ac:dyDescent="0.2">
      <c r="A1967" s="170" t="s">
        <v>409</v>
      </c>
      <c r="B1967" s="170"/>
      <c r="C1967" s="171"/>
      <c r="D1967" s="2" t="s">
        <v>243</v>
      </c>
      <c r="E1967" s="6"/>
      <c r="F1967" s="253">
        <v>3</v>
      </c>
      <c r="G1967" s="253"/>
      <c r="H1967" s="253"/>
      <c r="I1967" s="249"/>
      <c r="J1967" s="253">
        <f t="shared" si="190"/>
        <v>3</v>
      </c>
      <c r="K1967" s="172"/>
      <c r="L1967" s="172"/>
      <c r="M1967" s="172"/>
      <c r="N1967" s="173"/>
      <c r="O1967" s="287"/>
      <c r="P1967" s="23"/>
      <c r="Q1967" s="23"/>
      <c r="R1967" s="23"/>
      <c r="S1967" s="23"/>
      <c r="T1967" s="23"/>
      <c r="U1967" s="23"/>
      <c r="V1967" s="23"/>
      <c r="W1967" s="23"/>
      <c r="X1967" s="23"/>
      <c r="Y1967" s="23"/>
      <c r="Z1967" s="23"/>
      <c r="AA1967" s="23"/>
    </row>
    <row r="1968" spans="1:27" s="174" customFormat="1" x14ac:dyDescent="0.2">
      <c r="A1968" s="170" t="s">
        <v>409</v>
      </c>
      <c r="B1968" s="170"/>
      <c r="C1968" s="171"/>
      <c r="D1968" s="2" t="s">
        <v>266</v>
      </c>
      <c r="E1968" s="6"/>
      <c r="F1968" s="253">
        <v>2</v>
      </c>
      <c r="G1968" s="253"/>
      <c r="H1968" s="253"/>
      <c r="I1968" s="249"/>
      <c r="J1968" s="253">
        <f t="shared" si="190"/>
        <v>2</v>
      </c>
      <c r="K1968" s="172"/>
      <c r="L1968" s="172"/>
      <c r="M1968" s="172"/>
      <c r="N1968" s="173"/>
      <c r="O1968" s="287"/>
      <c r="P1968" s="23"/>
      <c r="Q1968" s="23"/>
      <c r="R1968" s="23"/>
      <c r="S1968" s="23"/>
      <c r="T1968" s="23"/>
      <c r="U1968" s="23"/>
      <c r="V1968" s="23"/>
      <c r="W1968" s="23"/>
      <c r="X1968" s="23"/>
      <c r="Y1968" s="23"/>
      <c r="Z1968" s="23"/>
      <c r="AA1968" s="23"/>
    </row>
    <row r="1969" spans="1:27" s="174" customFormat="1" x14ac:dyDescent="0.2">
      <c r="A1969" s="170" t="s">
        <v>409</v>
      </c>
      <c r="B1969" s="170"/>
      <c r="C1969" s="171"/>
      <c r="D1969" s="2" t="s">
        <v>259</v>
      </c>
      <c r="E1969" s="6"/>
      <c r="F1969" s="253">
        <v>1</v>
      </c>
      <c r="G1969" s="253"/>
      <c r="H1969" s="253"/>
      <c r="I1969" s="249"/>
      <c r="J1969" s="253">
        <f t="shared" si="190"/>
        <v>1</v>
      </c>
      <c r="K1969" s="172"/>
      <c r="L1969" s="172"/>
      <c r="M1969" s="172"/>
      <c r="N1969" s="173"/>
      <c r="O1969" s="287"/>
      <c r="P1969" s="23"/>
      <c r="Q1969" s="23"/>
      <c r="R1969" s="23"/>
      <c r="S1969" s="23"/>
      <c r="T1969" s="23"/>
      <c r="U1969" s="23"/>
      <c r="V1969" s="23"/>
      <c r="W1969" s="23"/>
      <c r="X1969" s="23"/>
      <c r="Y1969" s="23"/>
      <c r="Z1969" s="23"/>
      <c r="AA1969" s="23"/>
    </row>
    <row r="1970" spans="1:27" s="174" customFormat="1" x14ac:dyDescent="0.2">
      <c r="A1970" s="170" t="s">
        <v>409</v>
      </c>
      <c r="B1970" s="170"/>
      <c r="C1970" s="171"/>
      <c r="D1970" s="2" t="s">
        <v>260</v>
      </c>
      <c r="E1970" s="6"/>
      <c r="F1970" s="253">
        <v>1</v>
      </c>
      <c r="G1970" s="253"/>
      <c r="H1970" s="253"/>
      <c r="I1970" s="249"/>
      <c r="J1970" s="253">
        <f t="shared" si="190"/>
        <v>1</v>
      </c>
      <c r="K1970" s="172"/>
      <c r="L1970" s="172"/>
      <c r="M1970" s="172"/>
      <c r="N1970" s="173"/>
      <c r="O1970" s="287"/>
      <c r="P1970" s="23"/>
      <c r="Q1970" s="23"/>
      <c r="R1970" s="23"/>
      <c r="S1970" s="23"/>
      <c r="T1970" s="23"/>
      <c r="U1970" s="23"/>
      <c r="V1970" s="23"/>
      <c r="W1970" s="23"/>
      <c r="X1970" s="23"/>
      <c r="Y1970" s="23"/>
      <c r="Z1970" s="23"/>
      <c r="AA1970" s="23"/>
    </row>
    <row r="1971" spans="1:27" s="174" customFormat="1" x14ac:dyDescent="0.2">
      <c r="A1971" s="170"/>
      <c r="B1971" s="170"/>
      <c r="C1971" s="171"/>
      <c r="D1971" s="175"/>
      <c r="E1971" s="176"/>
      <c r="F1971" s="264"/>
      <c r="G1971" s="264"/>
      <c r="H1971" s="264"/>
      <c r="I1971" s="251" t="str">
        <f>"Total item "&amp;A1964</f>
        <v>Total item 23.1.1</v>
      </c>
      <c r="J1971" s="261">
        <f>SUM(J1965:J1970)</f>
        <v>11</v>
      </c>
      <c r="K1971" s="172"/>
      <c r="L1971" s="172"/>
      <c r="M1971" s="172"/>
      <c r="N1971" s="173"/>
      <c r="O1971" s="287"/>
      <c r="P1971" s="23"/>
      <c r="Q1971" s="23"/>
      <c r="R1971" s="23"/>
      <c r="S1971" s="23"/>
      <c r="T1971" s="23"/>
      <c r="U1971" s="23"/>
      <c r="V1971" s="23"/>
      <c r="W1971" s="23"/>
      <c r="X1971" s="23"/>
      <c r="Y1971" s="23"/>
      <c r="Z1971" s="23"/>
      <c r="AA1971" s="23"/>
    </row>
    <row r="1972" spans="1:27" s="174" customFormat="1" x14ac:dyDescent="0.2">
      <c r="A1972" s="170"/>
      <c r="B1972" s="170"/>
      <c r="C1972" s="171"/>
      <c r="D1972" s="175"/>
      <c r="E1972" s="176"/>
      <c r="F1972" s="264"/>
      <c r="G1972" s="264"/>
      <c r="H1972" s="264"/>
      <c r="I1972" s="251"/>
      <c r="J1972" s="262"/>
      <c r="K1972" s="172"/>
      <c r="L1972" s="172"/>
      <c r="M1972" s="172"/>
      <c r="N1972" s="173"/>
      <c r="O1972" s="287"/>
      <c r="P1972" s="23"/>
      <c r="Q1972" s="23"/>
      <c r="R1972" s="23"/>
      <c r="S1972" s="23"/>
      <c r="T1972" s="23"/>
      <c r="U1972" s="23"/>
      <c r="V1972" s="23"/>
      <c r="W1972" s="23"/>
      <c r="X1972" s="23"/>
      <c r="Y1972" s="23"/>
      <c r="Z1972" s="23"/>
      <c r="AA1972" s="23"/>
    </row>
    <row r="1973" spans="1:27" s="147" customFormat="1" ht="30.6" x14ac:dyDescent="0.2">
      <c r="A1973" s="9" t="s">
        <v>664</v>
      </c>
      <c r="B1973" s="9" t="s">
        <v>179</v>
      </c>
      <c r="C1973" s="13" t="s">
        <v>672</v>
      </c>
      <c r="D1973" s="113" t="s">
        <v>567</v>
      </c>
      <c r="E1973" s="9" t="s">
        <v>33</v>
      </c>
      <c r="F1973" s="261"/>
      <c r="G1973" s="261"/>
      <c r="H1973" s="261"/>
      <c r="I1973" s="245"/>
      <c r="J1973" s="261"/>
      <c r="K1973" s="131">
        <f>J1981</f>
        <v>18</v>
      </c>
      <c r="L1973" s="131">
        <f>'COMPOSICOES - SINAPI COM DESON'!G50</f>
        <v>104.48</v>
      </c>
      <c r="M1973" s="131">
        <f>ROUND(L1973*(1+$Q$7),2)</f>
        <v>132.19999999999999</v>
      </c>
      <c r="N1973" s="133">
        <f>TRUNC(K1973*M1973,2)</f>
        <v>2379.6</v>
      </c>
      <c r="O1973" s="286"/>
      <c r="P1973" s="146"/>
      <c r="Q1973" s="146"/>
      <c r="R1973" s="146"/>
      <c r="S1973" s="146"/>
      <c r="T1973" s="146"/>
      <c r="U1973" s="146"/>
      <c r="V1973" s="146"/>
      <c r="W1973" s="146"/>
      <c r="X1973" s="146"/>
      <c r="Y1973" s="146"/>
      <c r="Z1973" s="146"/>
      <c r="AA1973" s="146"/>
    </row>
    <row r="1974" spans="1:27" s="174" customFormat="1" x14ac:dyDescent="0.2">
      <c r="A1974" s="170" t="s">
        <v>409</v>
      </c>
      <c r="B1974" s="170"/>
      <c r="C1974" s="171"/>
      <c r="D1974" s="2" t="s">
        <v>253</v>
      </c>
      <c r="E1974" s="6"/>
      <c r="F1974" s="253">
        <v>2</v>
      </c>
      <c r="G1974" s="253"/>
      <c r="H1974" s="253"/>
      <c r="I1974" s="249"/>
      <c r="J1974" s="253">
        <f t="shared" ref="J1974:J1979" si="191">ROUND(PRODUCT(F1974:I1974),2)</f>
        <v>2</v>
      </c>
      <c r="K1974" s="172"/>
      <c r="L1974" s="172"/>
      <c r="M1974" s="172"/>
      <c r="N1974" s="173"/>
      <c r="O1974" s="287"/>
      <c r="P1974" s="23"/>
      <c r="Q1974" s="23"/>
      <c r="R1974" s="23"/>
      <c r="S1974" s="23"/>
      <c r="T1974" s="23"/>
      <c r="U1974" s="23"/>
      <c r="V1974" s="23"/>
      <c r="W1974" s="23"/>
      <c r="X1974" s="23"/>
      <c r="Y1974" s="23"/>
      <c r="Z1974" s="23"/>
      <c r="AA1974" s="23"/>
    </row>
    <row r="1975" spans="1:27" s="174" customFormat="1" x14ac:dyDescent="0.2">
      <c r="A1975" s="170" t="s">
        <v>409</v>
      </c>
      <c r="B1975" s="170"/>
      <c r="C1975" s="171"/>
      <c r="D1975" s="2" t="s">
        <v>242</v>
      </c>
      <c r="E1975" s="6"/>
      <c r="F1975" s="253">
        <v>2</v>
      </c>
      <c r="G1975" s="253"/>
      <c r="H1975" s="253"/>
      <c r="I1975" s="249"/>
      <c r="J1975" s="253">
        <f t="shared" si="191"/>
        <v>2</v>
      </c>
      <c r="K1975" s="172"/>
      <c r="L1975" s="172"/>
      <c r="M1975" s="172"/>
      <c r="N1975" s="173"/>
      <c r="O1975" s="287"/>
      <c r="P1975" s="23"/>
      <c r="Q1975" s="23"/>
      <c r="R1975" s="23"/>
      <c r="S1975" s="23"/>
      <c r="T1975" s="23"/>
      <c r="U1975" s="23"/>
      <c r="V1975" s="23"/>
      <c r="W1975" s="23"/>
      <c r="X1975" s="23"/>
      <c r="Y1975" s="23"/>
      <c r="Z1975" s="23"/>
      <c r="AA1975" s="23"/>
    </row>
    <row r="1976" spans="1:27" s="174" customFormat="1" x14ac:dyDescent="0.2">
      <c r="A1976" s="170" t="s">
        <v>409</v>
      </c>
      <c r="B1976" s="170"/>
      <c r="C1976" s="171"/>
      <c r="D1976" s="2" t="s">
        <v>243</v>
      </c>
      <c r="E1976" s="6"/>
      <c r="F1976" s="253">
        <v>4</v>
      </c>
      <c r="G1976" s="253"/>
      <c r="H1976" s="253"/>
      <c r="I1976" s="249"/>
      <c r="J1976" s="253">
        <f t="shared" si="191"/>
        <v>4</v>
      </c>
      <c r="K1976" s="172"/>
      <c r="L1976" s="172"/>
      <c r="M1976" s="172"/>
      <c r="N1976" s="173"/>
      <c r="O1976" s="287"/>
      <c r="P1976" s="23"/>
      <c r="Q1976" s="23"/>
      <c r="R1976" s="23"/>
      <c r="S1976" s="23"/>
      <c r="T1976" s="23"/>
      <c r="U1976" s="23"/>
      <c r="V1976" s="23"/>
      <c r="W1976" s="23"/>
      <c r="X1976" s="23"/>
      <c r="Y1976" s="23"/>
      <c r="Z1976" s="23"/>
      <c r="AA1976" s="23"/>
    </row>
    <row r="1977" spans="1:27" s="174" customFormat="1" x14ac:dyDescent="0.2">
      <c r="A1977" s="170" t="s">
        <v>409</v>
      </c>
      <c r="B1977" s="170"/>
      <c r="C1977" s="171"/>
      <c r="D1977" s="2" t="s">
        <v>266</v>
      </c>
      <c r="E1977" s="6"/>
      <c r="F1977" s="253">
        <v>4</v>
      </c>
      <c r="G1977" s="253"/>
      <c r="H1977" s="253"/>
      <c r="I1977" s="249"/>
      <c r="J1977" s="253">
        <f t="shared" si="191"/>
        <v>4</v>
      </c>
      <c r="K1977" s="172"/>
      <c r="L1977" s="172"/>
      <c r="M1977" s="172"/>
      <c r="N1977" s="173"/>
      <c r="O1977" s="287"/>
      <c r="P1977" s="23"/>
      <c r="Q1977" s="23"/>
      <c r="R1977" s="23"/>
      <c r="S1977" s="23"/>
      <c r="T1977" s="23"/>
      <c r="U1977" s="23"/>
      <c r="V1977" s="23"/>
      <c r="W1977" s="23"/>
      <c r="X1977" s="23"/>
      <c r="Y1977" s="23"/>
      <c r="Z1977" s="23"/>
      <c r="AA1977" s="23"/>
    </row>
    <row r="1978" spans="1:27" s="174" customFormat="1" x14ac:dyDescent="0.2">
      <c r="A1978" s="170" t="s">
        <v>409</v>
      </c>
      <c r="B1978" s="170"/>
      <c r="C1978" s="171"/>
      <c r="D1978" s="2" t="s">
        <v>259</v>
      </c>
      <c r="E1978" s="6"/>
      <c r="F1978" s="253">
        <v>1</v>
      </c>
      <c r="G1978" s="253"/>
      <c r="H1978" s="253"/>
      <c r="I1978" s="249"/>
      <c r="J1978" s="253">
        <f t="shared" si="191"/>
        <v>1</v>
      </c>
      <c r="K1978" s="172"/>
      <c r="L1978" s="172"/>
      <c r="M1978" s="172"/>
      <c r="N1978" s="173"/>
      <c r="O1978" s="287"/>
      <c r="P1978" s="23"/>
      <c r="Q1978" s="23"/>
      <c r="R1978" s="23"/>
      <c r="S1978" s="23"/>
      <c r="T1978" s="23"/>
      <c r="U1978" s="23"/>
      <c r="V1978" s="23"/>
      <c r="W1978" s="23"/>
      <c r="X1978" s="23"/>
      <c r="Y1978" s="23"/>
      <c r="Z1978" s="23"/>
      <c r="AA1978" s="23"/>
    </row>
    <row r="1979" spans="1:27" s="174" customFormat="1" x14ac:dyDescent="0.2">
      <c r="A1979" s="170" t="s">
        <v>409</v>
      </c>
      <c r="B1979" s="170"/>
      <c r="C1979" s="171"/>
      <c r="D1979" s="2" t="s">
        <v>260</v>
      </c>
      <c r="E1979" s="6"/>
      <c r="F1979" s="253">
        <v>1</v>
      </c>
      <c r="G1979" s="253"/>
      <c r="H1979" s="253"/>
      <c r="I1979" s="249"/>
      <c r="J1979" s="253">
        <f t="shared" si="191"/>
        <v>1</v>
      </c>
      <c r="K1979" s="172"/>
      <c r="L1979" s="172"/>
      <c r="M1979" s="172"/>
      <c r="N1979" s="173"/>
      <c r="O1979" s="287"/>
      <c r="P1979" s="23"/>
      <c r="Q1979" s="23"/>
      <c r="R1979" s="23"/>
      <c r="S1979" s="23"/>
      <c r="T1979" s="23"/>
      <c r="U1979" s="23"/>
      <c r="V1979" s="23"/>
      <c r="W1979" s="23"/>
      <c r="X1979" s="23"/>
      <c r="Y1979" s="23"/>
      <c r="Z1979" s="23"/>
      <c r="AA1979" s="23"/>
    </row>
    <row r="1980" spans="1:27" s="174" customFormat="1" x14ac:dyDescent="0.2">
      <c r="A1980" s="170" t="s">
        <v>409</v>
      </c>
      <c r="B1980" s="170"/>
      <c r="C1980" s="171"/>
      <c r="D1980" s="2" t="s">
        <v>514</v>
      </c>
      <c r="E1980" s="6"/>
      <c r="F1980" s="253">
        <v>4</v>
      </c>
      <c r="G1980" s="253"/>
      <c r="H1980" s="253"/>
      <c r="I1980" s="249"/>
      <c r="J1980" s="253">
        <f t="shared" ref="J1980" si="192">ROUND(PRODUCT(F1980:I1980),2)</f>
        <v>4</v>
      </c>
      <c r="K1980" s="172"/>
      <c r="L1980" s="172"/>
      <c r="M1980" s="172"/>
      <c r="N1980" s="173"/>
      <c r="O1980" s="287"/>
      <c r="P1980" s="23"/>
      <c r="Q1980" s="23"/>
      <c r="R1980" s="23"/>
      <c r="S1980" s="23"/>
      <c r="T1980" s="23"/>
      <c r="U1980" s="23"/>
      <c r="V1980" s="23"/>
      <c r="W1980" s="23"/>
      <c r="X1980" s="23"/>
      <c r="Y1980" s="23"/>
      <c r="Z1980" s="23"/>
      <c r="AA1980" s="23"/>
    </row>
    <row r="1981" spans="1:27" s="118" customFormat="1" x14ac:dyDescent="0.2">
      <c r="A1981" s="6"/>
      <c r="B1981" s="6"/>
      <c r="C1981" s="156"/>
      <c r="D1981" s="108"/>
      <c r="E1981" s="148"/>
      <c r="F1981" s="253"/>
      <c r="G1981" s="253"/>
      <c r="H1981" s="253"/>
      <c r="I1981" s="246" t="str">
        <f>"Total item "&amp;A1973</f>
        <v>Total item 23.1.2</v>
      </c>
      <c r="J1981" s="261">
        <f>SUM(J1974:J1980)</f>
        <v>18</v>
      </c>
      <c r="K1981" s="137"/>
      <c r="L1981" s="137"/>
      <c r="M1981" s="137"/>
      <c r="N1981" s="138"/>
      <c r="O1981" s="167"/>
      <c r="P1981" s="111"/>
      <c r="Q1981" s="111"/>
      <c r="R1981" s="111"/>
      <c r="S1981" s="111"/>
      <c r="T1981" s="111"/>
      <c r="U1981" s="111"/>
      <c r="V1981" s="111"/>
      <c r="W1981" s="111"/>
      <c r="X1981" s="111"/>
      <c r="Y1981" s="111"/>
      <c r="Z1981" s="111"/>
      <c r="AA1981" s="111"/>
    </row>
    <row r="1982" spans="1:27" s="161" customFormat="1" x14ac:dyDescent="0.2">
      <c r="A1982" s="10"/>
      <c r="B1982" s="10"/>
      <c r="C1982" s="15"/>
      <c r="D1982" s="117"/>
      <c r="E1982" s="10"/>
      <c r="F1982" s="263"/>
      <c r="G1982" s="263"/>
      <c r="H1982" s="263"/>
      <c r="I1982" s="250"/>
      <c r="J1982" s="263"/>
      <c r="K1982" s="151"/>
      <c r="L1982" s="151"/>
      <c r="M1982" s="151"/>
      <c r="N1982" s="198"/>
      <c r="O1982" s="167"/>
      <c r="P1982" s="114"/>
      <c r="Q1982" s="114"/>
      <c r="R1982" s="114"/>
      <c r="S1982" s="114"/>
      <c r="T1982" s="114"/>
      <c r="U1982" s="114"/>
      <c r="V1982" s="114"/>
      <c r="W1982" s="114"/>
      <c r="X1982" s="114"/>
      <c r="Y1982" s="114"/>
      <c r="Z1982" s="114"/>
      <c r="AA1982" s="114"/>
    </row>
    <row r="1983" spans="1:27" s="147" customFormat="1" ht="40.799999999999997" x14ac:dyDescent="0.2">
      <c r="A1983" s="9" t="s">
        <v>665</v>
      </c>
      <c r="B1983" s="9" t="s">
        <v>163</v>
      </c>
      <c r="C1983" s="13" t="s">
        <v>288</v>
      </c>
      <c r="D1983" s="113" t="s">
        <v>289</v>
      </c>
      <c r="E1983" s="9" t="s">
        <v>33</v>
      </c>
      <c r="F1983" s="261"/>
      <c r="G1983" s="261"/>
      <c r="H1983" s="261"/>
      <c r="I1983" s="245"/>
      <c r="J1983" s="261"/>
      <c r="K1983" s="131">
        <f>J1985</f>
        <v>1</v>
      </c>
      <c r="L1983" s="131">
        <v>54</v>
      </c>
      <c r="M1983" s="131">
        <f>ROUND(L1983*(1+$Q$7),2)</f>
        <v>68.33</v>
      </c>
      <c r="N1983" s="133">
        <f>TRUNC(K1983*M1983,2)</f>
        <v>68.33</v>
      </c>
      <c r="O1983" s="286"/>
      <c r="P1983" s="146"/>
      <c r="Q1983" s="146"/>
      <c r="R1983" s="146"/>
      <c r="S1983" s="146"/>
      <c r="T1983" s="146"/>
      <c r="U1983" s="146"/>
      <c r="V1983" s="146"/>
      <c r="W1983" s="146"/>
      <c r="X1983" s="146"/>
      <c r="Y1983" s="146"/>
      <c r="Z1983" s="146"/>
      <c r="AA1983" s="146"/>
    </row>
    <row r="1984" spans="1:27" s="118" customFormat="1" x14ac:dyDescent="0.2">
      <c r="A1984" s="10"/>
      <c r="B1984" s="6"/>
      <c r="C1984" s="155"/>
      <c r="D1984" s="2"/>
      <c r="E1984" s="148"/>
      <c r="F1984" s="253">
        <v>1</v>
      </c>
      <c r="G1984" s="253"/>
      <c r="H1984" s="253"/>
      <c r="I1984" s="246"/>
      <c r="J1984" s="253">
        <f>ROUND(PRODUCT(F1984:I1984),2)</f>
        <v>1</v>
      </c>
      <c r="K1984" s="137"/>
      <c r="L1984" s="137"/>
      <c r="M1984" s="137"/>
      <c r="N1984" s="138"/>
      <c r="O1984" s="167"/>
      <c r="P1984" s="111"/>
      <c r="Q1984" s="111"/>
      <c r="R1984" s="111"/>
      <c r="S1984" s="111"/>
      <c r="T1984" s="111"/>
      <c r="U1984" s="111"/>
      <c r="V1984" s="111"/>
      <c r="W1984" s="111"/>
      <c r="X1984" s="111"/>
      <c r="Y1984" s="111"/>
      <c r="Z1984" s="111"/>
      <c r="AA1984" s="111"/>
    </row>
    <row r="1985" spans="1:27" s="118" customFormat="1" x14ac:dyDescent="0.2">
      <c r="A1985" s="10"/>
      <c r="B1985" s="6"/>
      <c r="C1985" s="156"/>
      <c r="D1985" s="108"/>
      <c r="E1985" s="148"/>
      <c r="F1985" s="253"/>
      <c r="G1985" s="253"/>
      <c r="H1985" s="253"/>
      <c r="I1985" s="246" t="str">
        <f>"Total item "&amp;A1983</f>
        <v>Total item 23.1.3</v>
      </c>
      <c r="J1985" s="261">
        <f>SUM(J1984:J1984)</f>
        <v>1</v>
      </c>
      <c r="K1985" s="137"/>
      <c r="L1985" s="137"/>
      <c r="M1985" s="137"/>
      <c r="N1985" s="138"/>
      <c r="O1985" s="167"/>
      <c r="P1985" s="111"/>
      <c r="Q1985" s="111"/>
      <c r="R1985" s="111"/>
      <c r="S1985" s="111"/>
      <c r="T1985" s="111"/>
      <c r="U1985" s="111"/>
      <c r="V1985" s="111"/>
      <c r="W1985" s="111"/>
      <c r="X1985" s="111"/>
      <c r="Y1985" s="111"/>
      <c r="Z1985" s="111"/>
      <c r="AA1985" s="111"/>
    </row>
    <row r="1986" spans="1:27" s="118" customFormat="1" x14ac:dyDescent="0.2">
      <c r="A1986" s="10"/>
      <c r="B1986" s="6"/>
      <c r="C1986" s="155"/>
      <c r="D1986" s="108"/>
      <c r="E1986" s="148"/>
      <c r="F1986" s="253"/>
      <c r="G1986" s="253"/>
      <c r="H1986" s="253"/>
      <c r="I1986" s="246"/>
      <c r="J1986" s="258"/>
      <c r="K1986" s="137"/>
      <c r="L1986" s="137"/>
      <c r="M1986" s="137"/>
      <c r="N1986" s="138"/>
      <c r="O1986" s="167"/>
      <c r="P1986" s="111"/>
      <c r="Q1986" s="111"/>
      <c r="R1986" s="111"/>
      <c r="S1986" s="111"/>
      <c r="T1986" s="111"/>
      <c r="U1986" s="111"/>
      <c r="V1986" s="111"/>
      <c r="W1986" s="111"/>
      <c r="X1986" s="111"/>
      <c r="Y1986" s="111"/>
      <c r="Z1986" s="111"/>
      <c r="AA1986" s="111"/>
    </row>
    <row r="1987" spans="1:27" s="147" customFormat="1" ht="30.6" x14ac:dyDescent="0.2">
      <c r="A1987" s="9" t="s">
        <v>937</v>
      </c>
      <c r="B1987" s="9" t="s">
        <v>163</v>
      </c>
      <c r="C1987" s="13" t="s">
        <v>190</v>
      </c>
      <c r="D1987" s="113" t="s">
        <v>290</v>
      </c>
      <c r="E1987" s="9" t="s">
        <v>33</v>
      </c>
      <c r="F1987" s="261"/>
      <c r="G1987" s="261"/>
      <c r="H1987" s="261"/>
      <c r="I1987" s="245"/>
      <c r="J1987" s="261"/>
      <c r="K1987" s="131">
        <f>J1989</f>
        <v>3</v>
      </c>
      <c r="L1987" s="131">
        <v>14.55</v>
      </c>
      <c r="M1987" s="131">
        <f>ROUND(L1987*(1+$Q$7),2)</f>
        <v>18.41</v>
      </c>
      <c r="N1987" s="133">
        <f>TRUNC(K1987*M1987,2)</f>
        <v>55.23</v>
      </c>
      <c r="O1987" s="286"/>
      <c r="P1987" s="146"/>
      <c r="Q1987" s="146"/>
      <c r="R1987" s="146"/>
      <c r="S1987" s="146"/>
      <c r="T1987" s="146"/>
      <c r="U1987" s="146"/>
      <c r="V1987" s="146"/>
      <c r="W1987" s="146"/>
      <c r="X1987" s="146"/>
      <c r="Y1987" s="146"/>
      <c r="Z1987" s="146"/>
      <c r="AA1987" s="146"/>
    </row>
    <row r="1988" spans="1:27" s="118" customFormat="1" x14ac:dyDescent="0.2">
      <c r="A1988" s="6"/>
      <c r="B1988" s="6"/>
      <c r="C1988" s="155"/>
      <c r="D1988" s="2"/>
      <c r="E1988" s="148"/>
      <c r="F1988" s="253">
        <v>3</v>
      </c>
      <c r="G1988" s="253"/>
      <c r="H1988" s="253"/>
      <c r="I1988" s="246"/>
      <c r="J1988" s="253">
        <f>ROUND(PRODUCT(F1988:I1988),2)</f>
        <v>3</v>
      </c>
      <c r="K1988" s="137"/>
      <c r="L1988" s="137"/>
      <c r="M1988" s="137"/>
      <c r="N1988" s="138"/>
      <c r="O1988" s="167"/>
      <c r="P1988" s="111"/>
      <c r="Q1988" s="111"/>
      <c r="R1988" s="111"/>
      <c r="S1988" s="111"/>
      <c r="T1988" s="111"/>
      <c r="U1988" s="111"/>
      <c r="V1988" s="111"/>
      <c r="W1988" s="111"/>
      <c r="X1988" s="111"/>
      <c r="Y1988" s="111"/>
      <c r="Z1988" s="111"/>
      <c r="AA1988" s="111"/>
    </row>
    <row r="1989" spans="1:27" s="118" customFormat="1" x14ac:dyDescent="0.2">
      <c r="A1989" s="6"/>
      <c r="B1989" s="6"/>
      <c r="C1989" s="156"/>
      <c r="D1989" s="108"/>
      <c r="E1989" s="148"/>
      <c r="F1989" s="253"/>
      <c r="G1989" s="253"/>
      <c r="H1989" s="253"/>
      <c r="I1989" s="246" t="str">
        <f>"Total item "&amp;A1987</f>
        <v>Total item 23.1.4</v>
      </c>
      <c r="J1989" s="261">
        <f>SUM(J1988:J1988)</f>
        <v>3</v>
      </c>
      <c r="K1989" s="137"/>
      <c r="L1989" s="137"/>
      <c r="M1989" s="137"/>
      <c r="N1989" s="138"/>
      <c r="O1989" s="167"/>
      <c r="P1989" s="111"/>
      <c r="Q1989" s="111"/>
      <c r="R1989" s="111"/>
      <c r="S1989" s="111"/>
      <c r="T1989" s="111"/>
      <c r="U1989" s="111"/>
      <c r="V1989" s="111"/>
      <c r="W1989" s="111"/>
      <c r="X1989" s="111"/>
      <c r="Y1989" s="111"/>
      <c r="Z1989" s="111"/>
      <c r="AA1989" s="111"/>
    </row>
    <row r="1990" spans="1:27" s="118" customFormat="1" x14ac:dyDescent="0.2">
      <c r="A1990" s="6"/>
      <c r="B1990" s="6"/>
      <c r="C1990" s="155"/>
      <c r="D1990" s="108"/>
      <c r="E1990" s="148"/>
      <c r="F1990" s="253"/>
      <c r="G1990" s="253"/>
      <c r="H1990" s="253"/>
      <c r="I1990" s="246"/>
      <c r="J1990" s="258"/>
      <c r="K1990" s="137"/>
      <c r="L1990" s="137"/>
      <c r="M1990" s="137"/>
      <c r="N1990" s="138"/>
      <c r="O1990" s="167"/>
      <c r="P1990" s="111"/>
      <c r="Q1990" s="111"/>
      <c r="R1990" s="111"/>
      <c r="S1990" s="111"/>
      <c r="T1990" s="111"/>
      <c r="U1990" s="111"/>
      <c r="V1990" s="111"/>
      <c r="W1990" s="111"/>
      <c r="X1990" s="111"/>
      <c r="Y1990" s="111"/>
      <c r="Z1990" s="111"/>
      <c r="AA1990" s="111"/>
    </row>
    <row r="1991" spans="1:27" s="145" customFormat="1" x14ac:dyDescent="0.2">
      <c r="A1991" s="140" t="s">
        <v>666</v>
      </c>
      <c r="B1991" s="140"/>
      <c r="C1991" s="141"/>
      <c r="D1991" s="112" t="s">
        <v>80</v>
      </c>
      <c r="E1991" s="140"/>
      <c r="F1991" s="260"/>
      <c r="G1991" s="260"/>
      <c r="H1991" s="260"/>
      <c r="I1991" s="248"/>
      <c r="J1991" s="260"/>
      <c r="K1991" s="142"/>
      <c r="L1991" s="142"/>
      <c r="M1991" s="142"/>
      <c r="N1991" s="143">
        <f>SUM(N1993:N2008)</f>
        <v>25250.590000000004</v>
      </c>
      <c r="O1991" s="285"/>
      <c r="P1991" s="144"/>
      <c r="Q1991" s="144"/>
      <c r="R1991" s="144"/>
      <c r="S1991" s="144"/>
      <c r="T1991" s="144"/>
      <c r="U1991" s="144"/>
      <c r="V1991" s="144"/>
      <c r="W1991" s="144"/>
      <c r="X1991" s="144"/>
      <c r="Y1991" s="144"/>
      <c r="Z1991" s="144"/>
      <c r="AA1991" s="144"/>
    </row>
    <row r="1992" spans="1:27" s="118" customFormat="1" x14ac:dyDescent="0.2">
      <c r="A1992" s="6"/>
      <c r="B1992" s="6"/>
      <c r="C1992" s="155"/>
      <c r="D1992" s="108"/>
      <c r="E1992" s="148"/>
      <c r="F1992" s="253"/>
      <c r="G1992" s="253"/>
      <c r="H1992" s="253"/>
      <c r="I1992" s="246"/>
      <c r="J1992" s="258"/>
      <c r="K1992" s="137"/>
      <c r="L1992" s="137"/>
      <c r="M1992" s="137"/>
      <c r="N1992" s="138"/>
      <c r="O1992" s="167"/>
      <c r="P1992" s="111"/>
      <c r="Q1992" s="111"/>
      <c r="R1992" s="111"/>
      <c r="S1992" s="111"/>
      <c r="T1992" s="111"/>
      <c r="U1992" s="111"/>
      <c r="V1992" s="111"/>
      <c r="W1992" s="111"/>
      <c r="X1992" s="111"/>
      <c r="Y1992" s="111"/>
      <c r="Z1992" s="111"/>
      <c r="AA1992" s="111"/>
    </row>
    <row r="1993" spans="1:27" s="147" customFormat="1" x14ac:dyDescent="0.2">
      <c r="A1993" s="9" t="s">
        <v>667</v>
      </c>
      <c r="B1993" s="9" t="s">
        <v>179</v>
      </c>
      <c r="C1993" s="13" t="s">
        <v>180</v>
      </c>
      <c r="D1993" s="113" t="s">
        <v>77</v>
      </c>
      <c r="E1993" s="9" t="s">
        <v>9</v>
      </c>
      <c r="F1993" s="261"/>
      <c r="G1993" s="261"/>
      <c r="H1993" s="261"/>
      <c r="I1993" s="245"/>
      <c r="J1993" s="261"/>
      <c r="K1993" s="131">
        <f>J1996</f>
        <v>447</v>
      </c>
      <c r="L1993" s="131">
        <f>'COMPOSICOES - SINAPI COM DESON'!G18</f>
        <v>5.79</v>
      </c>
      <c r="M1993" s="131">
        <f>ROUND(L1993*(1+$Q$7),2)</f>
        <v>7.33</v>
      </c>
      <c r="N1993" s="133">
        <f>TRUNC(K1993*M1993,2)</f>
        <v>3276.51</v>
      </c>
      <c r="O1993" s="286"/>
      <c r="P1993" s="146"/>
      <c r="Q1993" s="146"/>
      <c r="R1993" s="146"/>
      <c r="S1993" s="146"/>
      <c r="T1993" s="146"/>
      <c r="U1993" s="146"/>
      <c r="V1993" s="146"/>
      <c r="W1993" s="146"/>
      <c r="X1993" s="146"/>
      <c r="Y1993" s="146"/>
      <c r="Z1993" s="146"/>
      <c r="AA1993" s="146"/>
    </row>
    <row r="1994" spans="1:27" s="118" customFormat="1" x14ac:dyDescent="0.2">
      <c r="A1994" s="6"/>
      <c r="B1994" s="6"/>
      <c r="C1994" s="155"/>
      <c r="D1994" s="201"/>
      <c r="E1994" s="155"/>
      <c r="F1994" s="271"/>
      <c r="G1994" s="271">
        <v>21</v>
      </c>
      <c r="H1994" s="249">
        <v>19</v>
      </c>
      <c r="I1994" s="249"/>
      <c r="J1994" s="253">
        <f>ROUND(PRODUCT(F1994:I1994),2)</f>
        <v>399</v>
      </c>
      <c r="K1994" s="137"/>
      <c r="L1994" s="137"/>
      <c r="M1994" s="137"/>
      <c r="N1994" s="138"/>
      <c r="O1994" s="167"/>
      <c r="P1994" s="111"/>
      <c r="Q1994" s="111"/>
      <c r="R1994" s="111"/>
      <c r="S1994" s="111"/>
      <c r="T1994" s="111"/>
      <c r="U1994" s="111"/>
      <c r="V1994" s="111"/>
      <c r="W1994" s="111"/>
      <c r="X1994" s="111"/>
      <c r="Y1994" s="111"/>
      <c r="Z1994" s="111"/>
      <c r="AA1994" s="111"/>
    </row>
    <row r="1995" spans="1:27" s="118" customFormat="1" x14ac:dyDescent="0.2">
      <c r="A1995" s="6"/>
      <c r="B1995" s="6"/>
      <c r="C1995" s="155"/>
      <c r="D1995" s="201" t="s">
        <v>515</v>
      </c>
      <c r="E1995" s="155"/>
      <c r="F1995" s="271"/>
      <c r="G1995" s="271">
        <v>6</v>
      </c>
      <c r="H1995" s="249">
        <v>8</v>
      </c>
      <c r="I1995" s="249"/>
      <c r="J1995" s="253">
        <f>ROUND(PRODUCT(F1995:I1995),2)</f>
        <v>48</v>
      </c>
      <c r="K1995" s="137"/>
      <c r="L1995" s="137"/>
      <c r="M1995" s="137"/>
      <c r="N1995" s="138"/>
      <c r="O1995" s="167"/>
      <c r="P1995" s="111"/>
      <c r="Q1995" s="111"/>
      <c r="R1995" s="111"/>
      <c r="S1995" s="111"/>
      <c r="T1995" s="111"/>
      <c r="U1995" s="111"/>
      <c r="V1995" s="111"/>
      <c r="W1995" s="111"/>
      <c r="X1995" s="111"/>
      <c r="Y1995" s="111"/>
      <c r="Z1995" s="111"/>
      <c r="AA1995" s="111"/>
    </row>
    <row r="1996" spans="1:27" s="118" customFormat="1" x14ac:dyDescent="0.2">
      <c r="A1996" s="6"/>
      <c r="B1996" s="6"/>
      <c r="C1996" s="156"/>
      <c r="D1996" s="108"/>
      <c r="E1996" s="148"/>
      <c r="F1996" s="253"/>
      <c r="G1996" s="253"/>
      <c r="H1996" s="253"/>
      <c r="I1996" s="246" t="str">
        <f>"Total item "&amp;A1993</f>
        <v>Total item 23.2.1</v>
      </c>
      <c r="J1996" s="261">
        <f>SUM(J1994:J1995)</f>
        <v>447</v>
      </c>
      <c r="K1996" s="137"/>
      <c r="L1996" s="137"/>
      <c r="M1996" s="137"/>
      <c r="N1996" s="138"/>
      <c r="O1996" s="167"/>
      <c r="P1996" s="111"/>
      <c r="Q1996" s="111"/>
      <c r="R1996" s="111"/>
      <c r="S1996" s="111"/>
      <c r="T1996" s="111"/>
      <c r="U1996" s="111"/>
      <c r="V1996" s="111"/>
      <c r="W1996" s="111"/>
      <c r="X1996" s="111"/>
      <c r="Y1996" s="111"/>
      <c r="Z1996" s="111"/>
      <c r="AA1996" s="111"/>
    </row>
    <row r="1997" spans="1:27" s="118" customFormat="1" x14ac:dyDescent="0.2">
      <c r="A1997" s="6"/>
      <c r="B1997" s="6"/>
      <c r="C1997" s="155"/>
      <c r="D1997" s="108"/>
      <c r="E1997" s="148"/>
      <c r="F1997" s="253"/>
      <c r="G1997" s="253"/>
      <c r="H1997" s="253"/>
      <c r="I1997" s="246"/>
      <c r="J1997" s="258"/>
      <c r="K1997" s="137"/>
      <c r="L1997" s="137"/>
      <c r="M1997" s="137"/>
      <c r="N1997" s="138"/>
      <c r="O1997" s="167"/>
      <c r="P1997" s="111"/>
      <c r="Q1997" s="111"/>
      <c r="R1997" s="111"/>
      <c r="S1997" s="111"/>
      <c r="T1997" s="111"/>
      <c r="U1997" s="111"/>
      <c r="V1997" s="111"/>
      <c r="W1997" s="111"/>
      <c r="X1997" s="111"/>
      <c r="Y1997" s="111"/>
      <c r="Z1997" s="111"/>
      <c r="AA1997" s="111"/>
    </row>
    <row r="1998" spans="1:27" s="147" customFormat="1" ht="30.6" x14ac:dyDescent="0.2">
      <c r="A1998" s="9" t="s">
        <v>938</v>
      </c>
      <c r="B1998" s="9" t="s">
        <v>89</v>
      </c>
      <c r="C1998" s="197" t="s">
        <v>437</v>
      </c>
      <c r="D1998" s="113" t="s">
        <v>714</v>
      </c>
      <c r="E1998" s="9" t="s">
        <v>9</v>
      </c>
      <c r="F1998" s="261"/>
      <c r="G1998" s="261"/>
      <c r="H1998" s="261"/>
      <c r="I1998" s="245"/>
      <c r="J1998" s="261"/>
      <c r="K1998" s="131">
        <f>J2008</f>
        <v>289.59000000000003</v>
      </c>
      <c r="L1998" s="131">
        <v>59.97</v>
      </c>
      <c r="M1998" s="131">
        <f>ROUND(L1998*(1+$Q$7),2)</f>
        <v>75.88</v>
      </c>
      <c r="N1998" s="133">
        <f>TRUNC(K1998*M1998,2)</f>
        <v>21974.080000000002</v>
      </c>
      <c r="O1998" s="286"/>
      <c r="P1998" s="146"/>
      <c r="Q1998" s="146"/>
      <c r="R1998" s="146"/>
      <c r="S1998" s="146"/>
      <c r="T1998" s="146"/>
      <c r="U1998" s="146"/>
      <c r="V1998" s="146"/>
      <c r="W1998" s="146"/>
      <c r="X1998" s="146"/>
      <c r="Y1998" s="146"/>
      <c r="Z1998" s="146"/>
      <c r="AA1998" s="146"/>
    </row>
    <row r="1999" spans="1:27" s="118" customFormat="1" x14ac:dyDescent="0.2">
      <c r="A1999" s="6"/>
      <c r="B1999" s="6"/>
      <c r="C1999" s="155"/>
      <c r="D1999" s="155"/>
      <c r="E1999" s="155"/>
      <c r="F1999" s="271">
        <v>2</v>
      </c>
      <c r="G1999" s="201">
        <v>6.07</v>
      </c>
      <c r="H1999" s="253">
        <v>7.29</v>
      </c>
      <c r="I1999" s="249"/>
      <c r="J1999" s="253">
        <f>ROUND(PRODUCT(F1999:I1999),2)</f>
        <v>88.5</v>
      </c>
      <c r="K1999" s="137"/>
      <c r="L1999" s="137"/>
      <c r="M1999" s="137"/>
      <c r="N1999" s="138"/>
      <c r="O1999" s="167"/>
      <c r="P1999" s="111"/>
      <c r="Q1999" s="111"/>
      <c r="R1999" s="111"/>
      <c r="S1999" s="111"/>
      <c r="T1999" s="111"/>
      <c r="U1999" s="111"/>
      <c r="V1999" s="111"/>
      <c r="W1999" s="111"/>
      <c r="X1999" s="111"/>
      <c r="Y1999" s="111"/>
      <c r="Z1999" s="111"/>
      <c r="AA1999" s="111"/>
    </row>
    <row r="2000" spans="1:27" s="118" customFormat="1" x14ac:dyDescent="0.2">
      <c r="A2000" s="6"/>
      <c r="B2000" s="6"/>
      <c r="C2000" s="155"/>
      <c r="D2000" s="155"/>
      <c r="E2000" s="155"/>
      <c r="F2000" s="271">
        <v>2</v>
      </c>
      <c r="G2000" s="201">
        <v>6.07</v>
      </c>
      <c r="H2000" s="253">
        <v>6.07</v>
      </c>
      <c r="I2000" s="249"/>
      <c r="J2000" s="253">
        <f>ROUND(PRODUCT(F2000:I2000),2)</f>
        <v>73.69</v>
      </c>
      <c r="K2000" s="137"/>
      <c r="L2000" s="137"/>
      <c r="M2000" s="137"/>
      <c r="N2000" s="138"/>
      <c r="O2000" s="167"/>
      <c r="P2000" s="111"/>
      <c r="Q2000" s="111"/>
      <c r="R2000" s="111"/>
      <c r="S2000" s="111"/>
      <c r="T2000" s="111"/>
      <c r="U2000" s="111"/>
      <c r="V2000" s="111"/>
      <c r="W2000" s="111"/>
      <c r="X2000" s="111"/>
      <c r="Y2000" s="111"/>
      <c r="Z2000" s="111"/>
      <c r="AA2000" s="111"/>
    </row>
    <row r="2001" spans="1:27" s="118" customFormat="1" x14ac:dyDescent="0.2">
      <c r="A2001" s="6"/>
      <c r="B2001" s="6"/>
      <c r="C2001" s="155"/>
      <c r="D2001" s="202" t="s">
        <v>515</v>
      </c>
      <c r="E2001" s="155"/>
      <c r="F2001" s="271"/>
      <c r="G2001" s="271"/>
      <c r="H2001" s="249"/>
      <c r="I2001" s="249"/>
      <c r="J2001" s="253"/>
      <c r="K2001" s="137"/>
      <c r="L2001" s="137"/>
      <c r="M2001" s="137"/>
      <c r="N2001" s="138"/>
      <c r="O2001" s="167"/>
      <c r="P2001" s="111"/>
      <c r="Q2001" s="111"/>
      <c r="R2001" s="111"/>
      <c r="S2001" s="111"/>
      <c r="T2001" s="111"/>
      <c r="U2001" s="111"/>
      <c r="V2001" s="111"/>
      <c r="W2001" s="111"/>
      <c r="X2001" s="111"/>
      <c r="Y2001" s="111"/>
      <c r="Z2001" s="111"/>
      <c r="AA2001" s="111"/>
    </row>
    <row r="2002" spans="1:27" s="118" customFormat="1" x14ac:dyDescent="0.2">
      <c r="A2002" s="6"/>
      <c r="B2002" s="6"/>
      <c r="C2002" s="155"/>
      <c r="D2002" s="203" t="s">
        <v>516</v>
      </c>
      <c r="E2002" s="155"/>
      <c r="F2002" s="271"/>
      <c r="G2002" s="271">
        <v>8</v>
      </c>
      <c r="H2002" s="249">
        <v>6</v>
      </c>
      <c r="I2002" s="249"/>
      <c r="J2002" s="253">
        <f t="shared" ref="J2002:J2007" si="193">ROUND(PRODUCT(F2002:I2002),2)</f>
        <v>48</v>
      </c>
      <c r="K2002" s="137"/>
      <c r="L2002" s="137"/>
      <c r="M2002" s="137"/>
      <c r="N2002" s="138"/>
      <c r="O2002" s="167"/>
      <c r="P2002" s="111"/>
      <c r="Q2002" s="111"/>
      <c r="R2002" s="111"/>
      <c r="S2002" s="111"/>
      <c r="T2002" s="111"/>
      <c r="U2002" s="111"/>
      <c r="V2002" s="111"/>
      <c r="W2002" s="111"/>
      <c r="X2002" s="111"/>
      <c r="Y2002" s="111"/>
      <c r="Z2002" s="111"/>
      <c r="AA2002" s="111"/>
    </row>
    <row r="2003" spans="1:27" s="118" customFormat="1" x14ac:dyDescent="0.2">
      <c r="A2003" s="6"/>
      <c r="B2003" s="6"/>
      <c r="C2003" s="155"/>
      <c r="D2003" s="203" t="s">
        <v>520</v>
      </c>
      <c r="E2003" s="155"/>
      <c r="F2003" s="271"/>
      <c r="G2003" s="271">
        <v>4.3</v>
      </c>
      <c r="H2003" s="249">
        <v>2</v>
      </c>
      <c r="I2003" s="249"/>
      <c r="J2003" s="253">
        <f t="shared" si="193"/>
        <v>8.6</v>
      </c>
      <c r="K2003" s="137"/>
      <c r="L2003" s="137"/>
      <c r="M2003" s="137"/>
      <c r="N2003" s="138"/>
      <c r="O2003" s="167"/>
      <c r="P2003" s="111"/>
      <c r="Q2003" s="111"/>
      <c r="R2003" s="111"/>
      <c r="S2003" s="111"/>
      <c r="T2003" s="111"/>
      <c r="U2003" s="111"/>
      <c r="V2003" s="111"/>
      <c r="W2003" s="111"/>
      <c r="X2003" s="111"/>
      <c r="Y2003" s="111"/>
      <c r="Z2003" s="111"/>
      <c r="AA2003" s="111"/>
    </row>
    <row r="2004" spans="1:27" s="118" customFormat="1" x14ac:dyDescent="0.2">
      <c r="A2004" s="6"/>
      <c r="B2004" s="6"/>
      <c r="C2004" s="155"/>
      <c r="D2004" s="203" t="s">
        <v>521</v>
      </c>
      <c r="E2004" s="155"/>
      <c r="F2004" s="271"/>
      <c r="G2004" s="271">
        <v>5.0999999999999996</v>
      </c>
      <c r="H2004" s="249">
        <v>2</v>
      </c>
      <c r="I2004" s="249"/>
      <c r="J2004" s="253">
        <f t="shared" si="193"/>
        <v>10.199999999999999</v>
      </c>
      <c r="K2004" s="137"/>
      <c r="L2004" s="137"/>
      <c r="M2004" s="137"/>
      <c r="N2004" s="138"/>
      <c r="O2004" s="167"/>
      <c r="P2004" s="111"/>
      <c r="Q2004" s="111"/>
      <c r="R2004" s="111"/>
      <c r="S2004" s="111"/>
      <c r="T2004" s="111"/>
      <c r="U2004" s="111"/>
      <c r="V2004" s="111"/>
      <c r="W2004" s="111"/>
      <c r="X2004" s="111"/>
      <c r="Y2004" s="111"/>
      <c r="Z2004" s="111"/>
      <c r="AA2004" s="111"/>
    </row>
    <row r="2005" spans="1:27" s="118" customFormat="1" x14ac:dyDescent="0.2">
      <c r="A2005" s="6"/>
      <c r="B2005" s="6"/>
      <c r="C2005" s="155"/>
      <c r="D2005" s="203" t="s">
        <v>517</v>
      </c>
      <c r="E2005" s="155"/>
      <c r="F2005" s="271"/>
      <c r="G2005" s="271">
        <v>2</v>
      </c>
      <c r="H2005" s="249">
        <v>2</v>
      </c>
      <c r="I2005" s="249"/>
      <c r="J2005" s="253">
        <f t="shared" si="193"/>
        <v>4</v>
      </c>
      <c r="K2005" s="137"/>
      <c r="L2005" s="137"/>
      <c r="M2005" s="137"/>
      <c r="N2005" s="138"/>
      <c r="O2005" s="167"/>
      <c r="P2005" s="111"/>
      <c r="Q2005" s="111"/>
      <c r="R2005" s="111"/>
      <c r="S2005" s="111"/>
      <c r="T2005" s="111"/>
      <c r="U2005" s="111"/>
      <c r="V2005" s="111"/>
      <c r="W2005" s="111"/>
      <c r="X2005" s="111"/>
      <c r="Y2005" s="111"/>
      <c r="Z2005" s="111"/>
      <c r="AA2005" s="111"/>
    </row>
    <row r="2006" spans="1:27" s="118" customFormat="1" x14ac:dyDescent="0.2">
      <c r="A2006" s="6"/>
      <c r="B2006" s="6"/>
      <c r="C2006" s="155"/>
      <c r="D2006" s="203" t="s">
        <v>518</v>
      </c>
      <c r="E2006" s="155"/>
      <c r="F2006" s="271"/>
      <c r="G2006" s="271">
        <v>8</v>
      </c>
      <c r="H2006" s="249">
        <v>6</v>
      </c>
      <c r="I2006" s="249"/>
      <c r="J2006" s="253">
        <f t="shared" si="193"/>
        <v>48</v>
      </c>
      <c r="K2006" s="137"/>
      <c r="L2006" s="137"/>
      <c r="M2006" s="137"/>
      <c r="N2006" s="138"/>
      <c r="O2006" s="167"/>
      <c r="P2006" s="111"/>
      <c r="Q2006" s="111"/>
      <c r="R2006" s="111"/>
      <c r="S2006" s="111"/>
      <c r="T2006" s="111"/>
      <c r="U2006" s="111"/>
      <c r="V2006" s="111"/>
      <c r="W2006" s="111"/>
      <c r="X2006" s="111"/>
      <c r="Y2006" s="111"/>
      <c r="Z2006" s="111"/>
      <c r="AA2006" s="111"/>
    </row>
    <row r="2007" spans="1:27" s="118" customFormat="1" x14ac:dyDescent="0.2">
      <c r="A2007" s="6"/>
      <c r="B2007" s="6"/>
      <c r="C2007" s="155"/>
      <c r="D2007" s="203" t="s">
        <v>519</v>
      </c>
      <c r="E2007" s="155"/>
      <c r="F2007" s="271"/>
      <c r="G2007" s="271">
        <v>4.3</v>
      </c>
      <c r="H2007" s="249">
        <v>2</v>
      </c>
      <c r="I2007" s="249"/>
      <c r="J2007" s="253">
        <f t="shared" si="193"/>
        <v>8.6</v>
      </c>
      <c r="K2007" s="137"/>
      <c r="L2007" s="137"/>
      <c r="M2007" s="137"/>
      <c r="N2007" s="138"/>
      <c r="O2007" s="167"/>
      <c r="P2007" s="111"/>
      <c r="Q2007" s="111"/>
      <c r="R2007" s="111"/>
      <c r="S2007" s="111"/>
      <c r="T2007" s="111"/>
      <c r="U2007" s="111"/>
      <c r="V2007" s="111"/>
      <c r="W2007" s="111"/>
      <c r="X2007" s="111"/>
      <c r="Y2007" s="111"/>
      <c r="Z2007" s="111"/>
      <c r="AA2007" s="111"/>
    </row>
    <row r="2008" spans="1:27" s="118" customFormat="1" x14ac:dyDescent="0.2">
      <c r="A2008" s="6"/>
      <c r="B2008" s="6"/>
      <c r="C2008" s="156"/>
      <c r="D2008" s="108"/>
      <c r="E2008" s="148"/>
      <c r="F2008" s="249"/>
      <c r="G2008" s="253"/>
      <c r="H2008" s="253"/>
      <c r="I2008" s="246" t="str">
        <f>"Total item "&amp;A1998</f>
        <v>Total item 23.2.2</v>
      </c>
      <c r="J2008" s="261">
        <f>SUM(J1999:J2007)</f>
        <v>289.59000000000003</v>
      </c>
      <c r="K2008" s="137"/>
      <c r="L2008" s="137"/>
      <c r="M2008" s="137"/>
      <c r="N2008" s="138"/>
      <c r="O2008" s="167"/>
      <c r="P2008" s="111"/>
      <c r="Q2008" s="111"/>
      <c r="R2008" s="111"/>
      <c r="S2008" s="111"/>
      <c r="T2008" s="111"/>
      <c r="U2008" s="111"/>
      <c r="V2008" s="111"/>
      <c r="W2008" s="111"/>
      <c r="X2008" s="111"/>
      <c r="Y2008" s="111"/>
      <c r="Z2008" s="111"/>
      <c r="AA2008" s="111"/>
    </row>
    <row r="2009" spans="1:27" s="161" customFormat="1" x14ac:dyDescent="0.2">
      <c r="A2009" s="10"/>
      <c r="B2009" s="10"/>
      <c r="C2009" s="157"/>
      <c r="D2009" s="110"/>
      <c r="E2009" s="158"/>
      <c r="F2009" s="267"/>
      <c r="G2009" s="267"/>
      <c r="H2009" s="267"/>
      <c r="I2009" s="250"/>
      <c r="J2009" s="266"/>
      <c r="K2009" s="151"/>
      <c r="L2009" s="151"/>
      <c r="M2009" s="151"/>
      <c r="N2009" s="152"/>
      <c r="O2009" s="167"/>
      <c r="P2009" s="114"/>
      <c r="Q2009" s="114"/>
      <c r="R2009" s="114"/>
      <c r="S2009" s="114"/>
      <c r="T2009" s="114"/>
      <c r="U2009" s="114"/>
      <c r="V2009" s="114"/>
      <c r="W2009" s="114"/>
      <c r="X2009" s="114"/>
      <c r="Y2009" s="114"/>
      <c r="Z2009" s="114"/>
      <c r="AA2009" s="114"/>
    </row>
    <row r="2010" spans="1:27" s="145" customFormat="1" x14ac:dyDescent="0.2">
      <c r="A2010" s="140" t="s">
        <v>668</v>
      </c>
      <c r="B2010" s="140"/>
      <c r="C2010" s="141"/>
      <c r="D2010" s="112" t="s">
        <v>267</v>
      </c>
      <c r="E2010" s="140"/>
      <c r="F2010" s="260"/>
      <c r="G2010" s="260"/>
      <c r="H2010" s="260"/>
      <c r="I2010" s="248"/>
      <c r="J2010" s="260"/>
      <c r="K2010" s="142"/>
      <c r="L2010" s="142"/>
      <c r="M2010" s="142"/>
      <c r="N2010" s="143">
        <f>SUM(N2011:N2056)</f>
        <v>7215.9600000000009</v>
      </c>
      <c r="O2010" s="306"/>
      <c r="P2010" s="144"/>
      <c r="Q2010" s="144"/>
      <c r="R2010" s="144"/>
      <c r="S2010" s="144"/>
      <c r="T2010" s="144"/>
      <c r="U2010" s="144"/>
      <c r="V2010" s="144"/>
      <c r="W2010" s="144"/>
      <c r="X2010" s="144"/>
      <c r="Y2010" s="144"/>
      <c r="Z2010" s="144"/>
      <c r="AA2010" s="144"/>
    </row>
    <row r="2011" spans="1:27" s="118" customFormat="1" x14ac:dyDescent="0.2">
      <c r="A2011" s="6"/>
      <c r="B2011" s="6"/>
      <c r="C2011" s="14"/>
      <c r="D2011" s="108"/>
      <c r="E2011" s="148"/>
      <c r="F2011" s="253"/>
      <c r="G2011" s="253"/>
      <c r="H2011" s="253"/>
      <c r="I2011" s="246"/>
      <c r="J2011" s="262"/>
      <c r="K2011" s="137"/>
      <c r="L2011" s="137"/>
      <c r="M2011" s="137"/>
      <c r="N2011" s="138"/>
      <c r="O2011" s="123"/>
      <c r="P2011" s="111"/>
      <c r="Q2011" s="111"/>
      <c r="R2011" s="111"/>
      <c r="S2011" s="111"/>
      <c r="T2011" s="111"/>
      <c r="U2011" s="111"/>
      <c r="V2011" s="111"/>
      <c r="W2011" s="111"/>
      <c r="X2011" s="111"/>
      <c r="Y2011" s="111"/>
      <c r="Z2011" s="111"/>
      <c r="AA2011" s="111"/>
    </row>
    <row r="2012" spans="1:27" s="233" customFormat="1" x14ac:dyDescent="0.2">
      <c r="A2012" s="227" t="s">
        <v>669</v>
      </c>
      <c r="B2012" s="227"/>
      <c r="C2012" s="228"/>
      <c r="D2012" s="229" t="s">
        <v>939</v>
      </c>
      <c r="E2012" s="227"/>
      <c r="F2012" s="270"/>
      <c r="G2012" s="270"/>
      <c r="H2012" s="270"/>
      <c r="I2012" s="255"/>
      <c r="J2012" s="270"/>
      <c r="K2012" s="230"/>
      <c r="L2012" s="230"/>
      <c r="M2012" s="230"/>
      <c r="N2012" s="231"/>
      <c r="O2012" s="290" t="s">
        <v>955</v>
      </c>
      <c r="P2012" s="232"/>
      <c r="Q2012" s="232"/>
      <c r="R2012" s="232"/>
      <c r="S2012" s="232"/>
      <c r="T2012" s="232"/>
      <c r="U2012" s="232"/>
      <c r="V2012" s="232"/>
      <c r="W2012" s="232"/>
      <c r="X2012" s="232"/>
      <c r="Y2012" s="232"/>
      <c r="Z2012" s="232"/>
      <c r="AA2012" s="232"/>
    </row>
    <row r="2013" spans="1:27" s="118" customFormat="1" x14ac:dyDescent="0.2">
      <c r="A2013" s="6"/>
      <c r="B2013" s="6"/>
      <c r="C2013" s="14"/>
      <c r="D2013" s="108"/>
      <c r="E2013" s="148"/>
      <c r="F2013" s="253"/>
      <c r="G2013" s="253"/>
      <c r="H2013" s="253"/>
      <c r="I2013" s="246"/>
      <c r="J2013" s="262"/>
      <c r="K2013" s="137"/>
      <c r="L2013" s="137"/>
      <c r="M2013" s="137"/>
      <c r="N2013" s="138"/>
      <c r="O2013" s="123"/>
      <c r="P2013" s="111"/>
      <c r="Q2013" s="111"/>
      <c r="R2013" s="111"/>
      <c r="S2013" s="111"/>
      <c r="T2013" s="111"/>
      <c r="U2013" s="111"/>
      <c r="V2013" s="111"/>
      <c r="W2013" s="111"/>
      <c r="X2013" s="111"/>
      <c r="Y2013" s="111"/>
      <c r="Z2013" s="111"/>
      <c r="AA2013" s="111"/>
    </row>
    <row r="2014" spans="1:27" s="147" customFormat="1" ht="20.399999999999999" x14ac:dyDescent="0.2">
      <c r="A2014" s="9" t="s">
        <v>940</v>
      </c>
      <c r="B2014" s="9" t="s">
        <v>163</v>
      </c>
      <c r="C2014" s="13" t="s">
        <v>168</v>
      </c>
      <c r="D2014" s="113" t="s">
        <v>679</v>
      </c>
      <c r="E2014" s="9" t="s">
        <v>42</v>
      </c>
      <c r="F2014" s="261"/>
      <c r="G2014" s="261"/>
      <c r="H2014" s="261"/>
      <c r="I2014" s="245"/>
      <c r="J2014" s="261"/>
      <c r="K2014" s="131">
        <f>J2017</f>
        <v>4.75</v>
      </c>
      <c r="L2014" s="106">
        <v>18.440000000000001</v>
      </c>
      <c r="M2014" s="131">
        <f>ROUND(L2014*(1+$Q$7),2)</f>
        <v>23.33</v>
      </c>
      <c r="N2014" s="133">
        <f>TRUNC(K2014*M2014,2)</f>
        <v>110.81</v>
      </c>
      <c r="O2014" s="291"/>
      <c r="P2014" s="146"/>
      <c r="Q2014" s="146"/>
      <c r="R2014" s="146"/>
      <c r="S2014" s="146"/>
      <c r="T2014" s="146"/>
      <c r="U2014" s="146"/>
      <c r="V2014" s="146"/>
      <c r="W2014" s="146"/>
      <c r="X2014" s="146"/>
      <c r="Y2014" s="146"/>
      <c r="Z2014" s="146"/>
      <c r="AA2014" s="146"/>
    </row>
    <row r="2015" spans="1:27" s="118" customFormat="1" x14ac:dyDescent="0.2">
      <c r="A2015" s="6"/>
      <c r="B2015" s="6"/>
      <c r="C2015" s="155"/>
      <c r="D2015" s="2" t="s">
        <v>944</v>
      </c>
      <c r="E2015" s="148"/>
      <c r="F2015" s="253">
        <v>8</v>
      </c>
      <c r="G2015" s="253">
        <v>0.6</v>
      </c>
      <c r="H2015" s="253">
        <v>0.6</v>
      </c>
      <c r="I2015" s="249">
        <v>1.05</v>
      </c>
      <c r="J2015" s="253">
        <f t="shared" ref="J2015" si="194">ROUND(PRODUCT(F2015:I2015),2)</f>
        <v>3.02</v>
      </c>
      <c r="K2015" s="137"/>
      <c r="L2015" s="137"/>
      <c r="M2015" s="137"/>
      <c r="N2015" s="138"/>
      <c r="O2015" s="123"/>
      <c r="P2015" s="111"/>
      <c r="Q2015" s="111"/>
      <c r="R2015" s="111"/>
      <c r="S2015" s="111"/>
      <c r="T2015" s="111"/>
      <c r="U2015" s="111"/>
      <c r="V2015" s="111"/>
      <c r="W2015" s="111"/>
      <c r="X2015" s="111"/>
      <c r="Y2015" s="111"/>
      <c r="Z2015" s="111"/>
      <c r="AA2015" s="111"/>
    </row>
    <row r="2016" spans="1:27" s="118" customFormat="1" x14ac:dyDescent="0.2">
      <c r="A2016" s="6"/>
      <c r="B2016" s="6"/>
      <c r="C2016" s="155"/>
      <c r="D2016" s="2" t="s">
        <v>943</v>
      </c>
      <c r="E2016" s="148"/>
      <c r="F2016" s="253">
        <v>8</v>
      </c>
      <c r="G2016" s="253">
        <v>1.2</v>
      </c>
      <c r="H2016" s="253">
        <v>0.4</v>
      </c>
      <c r="I2016" s="249">
        <v>0.45</v>
      </c>
      <c r="J2016" s="253">
        <f t="shared" ref="J2016" si="195">ROUND(PRODUCT(F2016:I2016),2)</f>
        <v>1.73</v>
      </c>
      <c r="K2016" s="137"/>
      <c r="L2016" s="137"/>
      <c r="M2016" s="137"/>
      <c r="N2016" s="138"/>
      <c r="O2016" s="123"/>
      <c r="P2016" s="111"/>
      <c r="Q2016" s="111"/>
      <c r="R2016" s="111"/>
      <c r="S2016" s="111"/>
      <c r="T2016" s="111"/>
      <c r="U2016" s="111"/>
      <c r="V2016" s="111"/>
      <c r="W2016" s="111"/>
      <c r="X2016" s="111"/>
      <c r="Y2016" s="111"/>
      <c r="Z2016" s="111"/>
      <c r="AA2016" s="111"/>
    </row>
    <row r="2017" spans="1:27" s="118" customFormat="1" x14ac:dyDescent="0.2">
      <c r="A2017" s="6"/>
      <c r="B2017" s="6"/>
      <c r="C2017" s="156"/>
      <c r="D2017" s="108"/>
      <c r="E2017" s="148"/>
      <c r="F2017" s="253"/>
      <c r="G2017" s="253"/>
      <c r="H2017" s="253"/>
      <c r="I2017" s="246" t="str">
        <f>"Total item "&amp;A2014</f>
        <v>Total item 23.3.1.1</v>
      </c>
      <c r="J2017" s="261">
        <f>SUM(J2015:J2016)</f>
        <v>4.75</v>
      </c>
      <c r="K2017" s="137"/>
      <c r="L2017" s="137"/>
      <c r="M2017" s="137"/>
      <c r="N2017" s="138"/>
      <c r="O2017" s="123"/>
      <c r="P2017" s="111"/>
      <c r="Q2017" s="111"/>
      <c r="R2017" s="111"/>
      <c r="S2017" s="111"/>
      <c r="T2017" s="111"/>
      <c r="U2017" s="111"/>
      <c r="V2017" s="111"/>
      <c r="W2017" s="111"/>
      <c r="X2017" s="111"/>
      <c r="Y2017" s="111"/>
      <c r="Z2017" s="111"/>
      <c r="AA2017" s="111"/>
    </row>
    <row r="2018" spans="1:27" s="118" customFormat="1" x14ac:dyDescent="0.2">
      <c r="A2018" s="6"/>
      <c r="B2018" s="6"/>
      <c r="C2018" s="14"/>
      <c r="D2018" s="108"/>
      <c r="E2018" s="148"/>
      <c r="F2018" s="253"/>
      <c r="G2018" s="253"/>
      <c r="H2018" s="253"/>
      <c r="I2018" s="246"/>
      <c r="J2018" s="262"/>
      <c r="K2018" s="137"/>
      <c r="L2018" s="137"/>
      <c r="M2018" s="137"/>
      <c r="N2018" s="138"/>
      <c r="O2018" s="123"/>
      <c r="P2018" s="111"/>
      <c r="Q2018" s="111"/>
      <c r="R2018" s="111"/>
      <c r="S2018" s="111"/>
      <c r="T2018" s="111"/>
      <c r="U2018" s="111"/>
      <c r="V2018" s="111"/>
      <c r="W2018" s="111"/>
      <c r="X2018" s="111"/>
      <c r="Y2018" s="111"/>
      <c r="Z2018" s="111"/>
      <c r="AA2018" s="111"/>
    </row>
    <row r="2019" spans="1:27" s="147" customFormat="1" ht="30.6" x14ac:dyDescent="0.2">
      <c r="A2019" s="9" t="s">
        <v>946</v>
      </c>
      <c r="B2019" s="9" t="s">
        <v>163</v>
      </c>
      <c r="C2019" s="13" t="s">
        <v>169</v>
      </c>
      <c r="D2019" s="113" t="s">
        <v>683</v>
      </c>
      <c r="E2019" s="9" t="s">
        <v>42</v>
      </c>
      <c r="F2019" s="261"/>
      <c r="G2019" s="261" t="s">
        <v>39</v>
      </c>
      <c r="H2019" s="261"/>
      <c r="I2019" s="245"/>
      <c r="J2019" s="261"/>
      <c r="K2019" s="131">
        <f>J2023</f>
        <v>3.2</v>
      </c>
      <c r="L2019" s="106">
        <v>25.14</v>
      </c>
      <c r="M2019" s="131">
        <f>ROUND(L2019*(1+$Q$7),2)</f>
        <v>31.81</v>
      </c>
      <c r="N2019" s="133">
        <f>TRUNC(K2019*M2019,2)</f>
        <v>101.79</v>
      </c>
      <c r="O2019" s="291"/>
      <c r="P2019" s="146"/>
      <c r="Q2019" s="146"/>
      <c r="R2019" s="146"/>
      <c r="S2019" s="146"/>
      <c r="T2019" s="146"/>
      <c r="U2019" s="146"/>
      <c r="V2019" s="146"/>
      <c r="W2019" s="146"/>
      <c r="X2019" s="146"/>
      <c r="Y2019" s="146"/>
      <c r="Z2019" s="146"/>
      <c r="AA2019" s="146"/>
    </row>
    <row r="2020" spans="1:27" s="118" customFormat="1" x14ac:dyDescent="0.2">
      <c r="A2020" s="6"/>
      <c r="B2020" s="6"/>
      <c r="C2020" s="155"/>
      <c r="D2020" s="2" t="s">
        <v>945</v>
      </c>
      <c r="E2020" s="148"/>
      <c r="F2020" s="253"/>
      <c r="G2020" s="253">
        <f>J2017</f>
        <v>4.75</v>
      </c>
      <c r="H2020" s="253"/>
      <c r="I2020" s="249"/>
      <c r="J2020" s="253">
        <f t="shared" ref="J2020:J2022" si="196">ROUND(PRODUCT(F2020:I2020),2)</f>
        <v>4.75</v>
      </c>
      <c r="K2020" s="137"/>
      <c r="L2020" s="137"/>
      <c r="M2020" s="137"/>
      <c r="N2020" s="138"/>
      <c r="O2020" s="123"/>
      <c r="P2020" s="111"/>
      <c r="Q2020" s="111"/>
      <c r="R2020" s="111"/>
      <c r="S2020" s="111"/>
      <c r="T2020" s="111"/>
      <c r="U2020" s="111"/>
      <c r="V2020" s="111"/>
      <c r="W2020" s="111"/>
      <c r="X2020" s="111"/>
      <c r="Y2020" s="111"/>
      <c r="Z2020" s="111"/>
      <c r="AA2020" s="111"/>
    </row>
    <row r="2021" spans="1:27" s="118" customFormat="1" x14ac:dyDescent="0.2">
      <c r="A2021" s="6"/>
      <c r="B2021" s="6"/>
      <c r="C2021" s="155"/>
      <c r="D2021" s="2" t="s">
        <v>685</v>
      </c>
      <c r="E2021" s="148"/>
      <c r="F2021" s="253">
        <v>-1</v>
      </c>
      <c r="G2021" s="253">
        <f>J2028</f>
        <v>0.33</v>
      </c>
      <c r="H2021" s="253"/>
      <c r="I2021" s="249"/>
      <c r="J2021" s="253">
        <f t="shared" si="196"/>
        <v>-0.33</v>
      </c>
      <c r="K2021" s="137"/>
      <c r="L2021" s="137"/>
      <c r="M2021" s="137"/>
      <c r="N2021" s="138"/>
      <c r="O2021" s="123"/>
      <c r="P2021" s="111"/>
      <c r="Q2021" s="111"/>
      <c r="R2021" s="111"/>
      <c r="S2021" s="111"/>
      <c r="T2021" s="111"/>
      <c r="U2021" s="111"/>
      <c r="V2021" s="111"/>
      <c r="W2021" s="111"/>
      <c r="X2021" s="111"/>
      <c r="Y2021" s="111"/>
      <c r="Z2021" s="111"/>
      <c r="AA2021" s="111"/>
    </row>
    <row r="2022" spans="1:27" s="118" customFormat="1" x14ac:dyDescent="0.2">
      <c r="A2022" s="6"/>
      <c r="B2022" s="6"/>
      <c r="C2022" s="155"/>
      <c r="D2022" s="2" t="s">
        <v>686</v>
      </c>
      <c r="E2022" s="148"/>
      <c r="F2022" s="253">
        <v>-1</v>
      </c>
      <c r="G2022" s="253">
        <f>J2034</f>
        <v>1.22</v>
      </c>
      <c r="H2022" s="253"/>
      <c r="I2022" s="249"/>
      <c r="J2022" s="253">
        <f t="shared" si="196"/>
        <v>-1.22</v>
      </c>
      <c r="K2022" s="137"/>
      <c r="L2022" s="137"/>
      <c r="M2022" s="137"/>
      <c r="N2022" s="138"/>
      <c r="O2022" s="123"/>
      <c r="P2022" s="111"/>
      <c r="Q2022" s="111"/>
      <c r="R2022" s="111"/>
      <c r="S2022" s="111"/>
      <c r="T2022" s="111"/>
      <c r="U2022" s="111"/>
      <c r="V2022" s="111"/>
      <c r="W2022" s="111"/>
      <c r="X2022" s="111"/>
      <c r="Y2022" s="111"/>
      <c r="Z2022" s="111"/>
      <c r="AA2022" s="111"/>
    </row>
    <row r="2023" spans="1:27" s="118" customFormat="1" x14ac:dyDescent="0.2">
      <c r="A2023" s="6"/>
      <c r="B2023" s="6"/>
      <c r="C2023" s="156"/>
      <c r="D2023" s="108"/>
      <c r="E2023" s="148"/>
      <c r="F2023" s="253"/>
      <c r="G2023" s="253"/>
      <c r="H2023" s="253"/>
      <c r="I2023" s="246" t="str">
        <f>"Total item "&amp;A2019</f>
        <v>Total item 23.3.1.2</v>
      </c>
      <c r="J2023" s="261">
        <f>SUM(J2020:J2022)</f>
        <v>3.2</v>
      </c>
      <c r="K2023" s="137"/>
      <c r="L2023" s="137"/>
      <c r="M2023" s="137"/>
      <c r="N2023" s="138"/>
      <c r="O2023" s="123"/>
      <c r="P2023" s="111"/>
      <c r="Q2023" s="111"/>
      <c r="R2023" s="111"/>
      <c r="S2023" s="111"/>
      <c r="T2023" s="111"/>
      <c r="U2023" s="111"/>
      <c r="V2023" s="111"/>
      <c r="W2023" s="111"/>
      <c r="X2023" s="111"/>
      <c r="Y2023" s="111"/>
      <c r="Z2023" s="111"/>
      <c r="AA2023" s="111"/>
    </row>
    <row r="2024" spans="1:27" s="118" customFormat="1" x14ac:dyDescent="0.2">
      <c r="A2024" s="6"/>
      <c r="B2024" s="6"/>
      <c r="C2024" s="14"/>
      <c r="D2024" s="108"/>
      <c r="E2024" s="148"/>
      <c r="F2024" s="253"/>
      <c r="G2024" s="253"/>
      <c r="H2024" s="253"/>
      <c r="I2024" s="246"/>
      <c r="J2024" s="262"/>
      <c r="K2024" s="137"/>
      <c r="L2024" s="137"/>
      <c r="M2024" s="137"/>
      <c r="N2024" s="138"/>
      <c r="O2024" s="123"/>
      <c r="P2024" s="111"/>
      <c r="Q2024" s="111"/>
      <c r="R2024" s="111"/>
      <c r="S2024" s="111"/>
      <c r="T2024" s="111"/>
      <c r="U2024" s="111"/>
      <c r="V2024" s="111"/>
      <c r="W2024" s="111"/>
      <c r="X2024" s="111"/>
      <c r="Y2024" s="111"/>
      <c r="Z2024" s="111"/>
      <c r="AA2024" s="111"/>
    </row>
    <row r="2025" spans="1:27" s="147" customFormat="1" ht="20.399999999999999" x14ac:dyDescent="0.2">
      <c r="A2025" s="9" t="s">
        <v>947</v>
      </c>
      <c r="B2025" s="9" t="s">
        <v>163</v>
      </c>
      <c r="C2025" s="13" t="s">
        <v>170</v>
      </c>
      <c r="D2025" s="113" t="s">
        <v>680</v>
      </c>
      <c r="E2025" s="9" t="s">
        <v>42</v>
      </c>
      <c r="F2025" s="261"/>
      <c r="G2025" s="261"/>
      <c r="H2025" s="261"/>
      <c r="I2025" s="245"/>
      <c r="J2025" s="261"/>
      <c r="K2025" s="131">
        <f>J2028</f>
        <v>0.33</v>
      </c>
      <c r="L2025" s="106">
        <v>375.94</v>
      </c>
      <c r="M2025" s="131">
        <f>ROUND(L2025*(1+$Q$7),2)</f>
        <v>475.68</v>
      </c>
      <c r="N2025" s="133">
        <f>TRUNC(K2025*M2025,2)</f>
        <v>156.97</v>
      </c>
      <c r="O2025" s="291"/>
      <c r="P2025" s="146"/>
      <c r="Q2025" s="146"/>
      <c r="R2025" s="146"/>
      <c r="S2025" s="146"/>
      <c r="T2025" s="146"/>
      <c r="U2025" s="146"/>
      <c r="V2025" s="146"/>
      <c r="W2025" s="146"/>
      <c r="X2025" s="146"/>
      <c r="Y2025" s="146"/>
      <c r="Z2025" s="146"/>
      <c r="AA2025" s="146"/>
    </row>
    <row r="2026" spans="1:27" s="118" customFormat="1" x14ac:dyDescent="0.2">
      <c r="A2026" s="6"/>
      <c r="B2026" s="6"/>
      <c r="C2026" s="155"/>
      <c r="D2026" s="2" t="s">
        <v>944</v>
      </c>
      <c r="E2026" s="148"/>
      <c r="F2026" s="253">
        <v>8</v>
      </c>
      <c r="G2026" s="253">
        <v>0.6</v>
      </c>
      <c r="H2026" s="253">
        <v>0.6</v>
      </c>
      <c r="I2026" s="249">
        <v>0.05</v>
      </c>
      <c r="J2026" s="253">
        <f t="shared" ref="J2026:J2027" si="197">ROUND(PRODUCT(F2026:I2026),2)</f>
        <v>0.14000000000000001</v>
      </c>
      <c r="K2026" s="137"/>
      <c r="L2026" s="137"/>
      <c r="M2026" s="137"/>
      <c r="N2026" s="138"/>
      <c r="O2026" s="123"/>
      <c r="P2026" s="111"/>
      <c r="Q2026" s="111"/>
      <c r="R2026" s="111"/>
      <c r="S2026" s="111"/>
      <c r="T2026" s="111"/>
      <c r="U2026" s="111"/>
      <c r="V2026" s="111"/>
      <c r="W2026" s="111"/>
      <c r="X2026" s="111"/>
      <c r="Y2026" s="111"/>
      <c r="Z2026" s="111"/>
      <c r="AA2026" s="111"/>
    </row>
    <row r="2027" spans="1:27" s="118" customFormat="1" x14ac:dyDescent="0.2">
      <c r="A2027" s="6"/>
      <c r="B2027" s="6"/>
      <c r="C2027" s="155"/>
      <c r="D2027" s="2" t="s">
        <v>943</v>
      </c>
      <c r="E2027" s="148"/>
      <c r="F2027" s="253">
        <v>8</v>
      </c>
      <c r="G2027" s="253">
        <v>1.2</v>
      </c>
      <c r="H2027" s="253">
        <v>0.4</v>
      </c>
      <c r="I2027" s="249">
        <v>0.05</v>
      </c>
      <c r="J2027" s="253">
        <f t="shared" si="197"/>
        <v>0.19</v>
      </c>
      <c r="K2027" s="137"/>
      <c r="L2027" s="137"/>
      <c r="M2027" s="137"/>
      <c r="N2027" s="138"/>
      <c r="O2027" s="123"/>
      <c r="P2027" s="111"/>
      <c r="Q2027" s="111"/>
      <c r="R2027" s="111"/>
      <c r="S2027" s="111"/>
      <c r="T2027" s="111"/>
      <c r="U2027" s="111"/>
      <c r="V2027" s="111"/>
      <c r="W2027" s="111"/>
      <c r="X2027" s="111"/>
      <c r="Y2027" s="111"/>
      <c r="Z2027" s="111"/>
      <c r="AA2027" s="111"/>
    </row>
    <row r="2028" spans="1:27" s="118" customFormat="1" x14ac:dyDescent="0.2">
      <c r="A2028" s="6"/>
      <c r="B2028" s="6"/>
      <c r="C2028" s="156"/>
      <c r="D2028" s="108"/>
      <c r="E2028" s="148"/>
      <c r="F2028" s="253"/>
      <c r="G2028" s="253"/>
      <c r="H2028" s="253"/>
      <c r="I2028" s="246" t="str">
        <f>"Total item "&amp;A2025</f>
        <v>Total item 23.3.1.3</v>
      </c>
      <c r="J2028" s="261">
        <f>SUM(J2026:J2027)</f>
        <v>0.33</v>
      </c>
      <c r="K2028" s="137"/>
      <c r="L2028" s="137"/>
      <c r="M2028" s="137"/>
      <c r="N2028" s="138"/>
      <c r="O2028" s="123"/>
      <c r="P2028" s="111"/>
      <c r="Q2028" s="111"/>
      <c r="R2028" s="111"/>
      <c r="S2028" s="111"/>
      <c r="T2028" s="111"/>
      <c r="U2028" s="111"/>
      <c r="V2028" s="111"/>
      <c r="W2028" s="111"/>
      <c r="X2028" s="111"/>
      <c r="Y2028" s="111"/>
      <c r="Z2028" s="111"/>
      <c r="AA2028" s="111"/>
    </row>
    <row r="2029" spans="1:27" s="118" customFormat="1" x14ac:dyDescent="0.2">
      <c r="A2029" s="6"/>
      <c r="B2029" s="6"/>
      <c r="C2029" s="14"/>
      <c r="D2029" s="108"/>
      <c r="E2029" s="148"/>
      <c r="F2029" s="253"/>
      <c r="G2029" s="253"/>
      <c r="H2029" s="253"/>
      <c r="I2029" s="246"/>
      <c r="J2029" s="262"/>
      <c r="K2029" s="137"/>
      <c r="L2029" s="137"/>
      <c r="M2029" s="137"/>
      <c r="N2029" s="138"/>
      <c r="O2029" s="123"/>
      <c r="P2029" s="111"/>
      <c r="Q2029" s="111"/>
      <c r="R2029" s="111"/>
      <c r="S2029" s="111"/>
      <c r="T2029" s="111"/>
      <c r="U2029" s="111"/>
      <c r="V2029" s="111"/>
      <c r="W2029" s="111"/>
      <c r="X2029" s="111"/>
      <c r="Y2029" s="111"/>
      <c r="Z2029" s="111"/>
      <c r="AA2029" s="111"/>
    </row>
    <row r="2030" spans="1:27" s="147" customFormat="1" ht="35.25" customHeight="1" x14ac:dyDescent="0.2">
      <c r="A2030" s="9" t="s">
        <v>948</v>
      </c>
      <c r="B2030" s="9" t="s">
        <v>163</v>
      </c>
      <c r="C2030" s="13" t="s">
        <v>171</v>
      </c>
      <c r="D2030" s="113" t="s">
        <v>678</v>
      </c>
      <c r="E2030" s="9" t="s">
        <v>42</v>
      </c>
      <c r="F2030" s="261"/>
      <c r="G2030" s="261"/>
      <c r="H2030" s="261"/>
      <c r="I2030" s="245"/>
      <c r="J2030" s="261"/>
      <c r="K2030" s="131">
        <f>J2034</f>
        <v>1.22</v>
      </c>
      <c r="L2030" s="106">
        <v>1396.31</v>
      </c>
      <c r="M2030" s="131">
        <f>ROUND(L2030*(1+$Q$7),2)</f>
        <v>1766.75</v>
      </c>
      <c r="N2030" s="133">
        <f>TRUNC(K2030*M2030,2)</f>
        <v>2155.4299999999998</v>
      </c>
      <c r="O2030" s="291"/>
      <c r="P2030" s="146"/>
      <c r="Q2030" s="146"/>
      <c r="R2030" s="146"/>
      <c r="S2030" s="146"/>
      <c r="T2030" s="146"/>
      <c r="U2030" s="146"/>
      <c r="V2030" s="146"/>
      <c r="W2030" s="146"/>
      <c r="X2030" s="146"/>
      <c r="Y2030" s="146"/>
      <c r="Z2030" s="146"/>
      <c r="AA2030" s="146"/>
    </row>
    <row r="2031" spans="1:27" s="118" customFormat="1" x14ac:dyDescent="0.2">
      <c r="A2031" s="6"/>
      <c r="B2031" s="6"/>
      <c r="C2031" s="155"/>
      <c r="D2031" s="2" t="s">
        <v>78</v>
      </c>
      <c r="E2031" s="148"/>
      <c r="F2031" s="253">
        <v>8</v>
      </c>
      <c r="G2031" s="253">
        <v>0.6</v>
      </c>
      <c r="H2031" s="253">
        <v>0.6</v>
      </c>
      <c r="I2031" s="249">
        <v>0.2</v>
      </c>
      <c r="J2031" s="253">
        <f t="shared" ref="J2031:J2033" si="198">ROUND(PRODUCT(F2031:I2031),2)</f>
        <v>0.57999999999999996</v>
      </c>
      <c r="K2031" s="137"/>
      <c r="L2031" s="137"/>
      <c r="M2031" s="137"/>
      <c r="N2031" s="138"/>
      <c r="O2031" s="123"/>
      <c r="P2031" s="111"/>
      <c r="Q2031" s="111"/>
      <c r="R2031" s="111"/>
      <c r="S2031" s="111"/>
      <c r="T2031" s="111"/>
      <c r="U2031" s="111"/>
      <c r="V2031" s="111"/>
      <c r="W2031" s="111"/>
      <c r="X2031" s="111"/>
      <c r="Y2031" s="111"/>
      <c r="Z2031" s="111"/>
      <c r="AA2031" s="111"/>
    </row>
    <row r="2032" spans="1:27" s="118" customFormat="1" x14ac:dyDescent="0.2">
      <c r="A2032" s="6"/>
      <c r="B2032" s="6"/>
      <c r="C2032" s="155"/>
      <c r="D2032" s="2" t="s">
        <v>888</v>
      </c>
      <c r="E2032" s="148"/>
      <c r="F2032" s="253">
        <v>8</v>
      </c>
      <c r="G2032" s="253">
        <v>0.2</v>
      </c>
      <c r="H2032" s="253">
        <v>0.2</v>
      </c>
      <c r="I2032" s="249">
        <v>0.8</v>
      </c>
      <c r="J2032" s="253">
        <f t="shared" si="198"/>
        <v>0.26</v>
      </c>
      <c r="K2032" s="137"/>
      <c r="L2032" s="137"/>
      <c r="M2032" s="137"/>
      <c r="N2032" s="138"/>
      <c r="O2032" s="123"/>
      <c r="P2032" s="111"/>
      <c r="Q2032" s="111"/>
      <c r="R2032" s="111"/>
      <c r="S2032" s="111"/>
      <c r="T2032" s="111"/>
      <c r="U2032" s="111"/>
      <c r="V2032" s="111"/>
      <c r="W2032" s="111"/>
      <c r="X2032" s="111"/>
      <c r="Y2032" s="111"/>
      <c r="Z2032" s="111"/>
      <c r="AA2032" s="111"/>
    </row>
    <row r="2033" spans="1:27" s="118" customFormat="1" x14ac:dyDescent="0.2">
      <c r="A2033" s="6"/>
      <c r="B2033" s="6"/>
      <c r="C2033" s="155"/>
      <c r="D2033" s="2" t="s">
        <v>943</v>
      </c>
      <c r="E2033" s="148"/>
      <c r="F2033" s="253">
        <v>8</v>
      </c>
      <c r="G2033" s="253">
        <v>1.2</v>
      </c>
      <c r="H2033" s="253">
        <v>0.2</v>
      </c>
      <c r="I2033" s="249">
        <v>0.2</v>
      </c>
      <c r="J2033" s="253">
        <f t="shared" si="198"/>
        <v>0.38</v>
      </c>
      <c r="K2033" s="137"/>
      <c r="L2033" s="137"/>
      <c r="M2033" s="137"/>
      <c r="N2033" s="138"/>
      <c r="O2033" s="123"/>
      <c r="P2033" s="111"/>
      <c r="Q2033" s="111"/>
      <c r="R2033" s="111"/>
      <c r="S2033" s="111"/>
      <c r="T2033" s="111"/>
      <c r="U2033" s="111"/>
      <c r="V2033" s="111"/>
      <c r="W2033" s="111"/>
      <c r="X2033" s="111"/>
      <c r="Y2033" s="111"/>
      <c r="Z2033" s="111"/>
      <c r="AA2033" s="111"/>
    </row>
    <row r="2034" spans="1:27" s="118" customFormat="1" x14ac:dyDescent="0.2">
      <c r="A2034" s="6"/>
      <c r="B2034" s="6"/>
      <c r="C2034" s="156"/>
      <c r="D2034" s="108"/>
      <c r="E2034" s="148"/>
      <c r="F2034" s="253"/>
      <c r="G2034" s="253"/>
      <c r="H2034" s="253"/>
      <c r="I2034" s="246" t="str">
        <f>"Total item "&amp;A2030</f>
        <v>Total item 23.3.1.4</v>
      </c>
      <c r="J2034" s="261">
        <f>SUM(J2031:J2033)</f>
        <v>1.22</v>
      </c>
      <c r="K2034" s="137"/>
      <c r="L2034" s="137"/>
      <c r="M2034" s="137"/>
      <c r="N2034" s="138"/>
      <c r="O2034" s="123"/>
      <c r="P2034" s="111"/>
      <c r="Q2034" s="111"/>
      <c r="R2034" s="111"/>
      <c r="S2034" s="111"/>
      <c r="T2034" s="111"/>
      <c r="U2034" s="111"/>
      <c r="V2034" s="111"/>
      <c r="W2034" s="111"/>
      <c r="X2034" s="111"/>
      <c r="Y2034" s="111"/>
      <c r="Z2034" s="111"/>
      <c r="AA2034" s="111"/>
    </row>
    <row r="2035" spans="1:27" s="118" customFormat="1" x14ac:dyDescent="0.2">
      <c r="A2035" s="6"/>
      <c r="B2035" s="6"/>
      <c r="C2035" s="14"/>
      <c r="D2035" s="108"/>
      <c r="E2035" s="148"/>
      <c r="F2035" s="253"/>
      <c r="G2035" s="253"/>
      <c r="H2035" s="253"/>
      <c r="I2035" s="246"/>
      <c r="J2035" s="262"/>
      <c r="K2035" s="137"/>
      <c r="L2035" s="137"/>
      <c r="M2035" s="137"/>
      <c r="N2035" s="138"/>
      <c r="O2035" s="123"/>
      <c r="P2035" s="111"/>
      <c r="Q2035" s="111"/>
      <c r="R2035" s="111"/>
      <c r="S2035" s="111"/>
      <c r="T2035" s="111"/>
      <c r="U2035" s="111"/>
      <c r="V2035" s="111"/>
      <c r="W2035" s="111"/>
      <c r="X2035" s="111"/>
      <c r="Y2035" s="111"/>
      <c r="Z2035" s="111"/>
      <c r="AA2035" s="111"/>
    </row>
    <row r="2036" spans="1:27" s="147" customFormat="1" ht="35.25" customHeight="1" x14ac:dyDescent="0.2">
      <c r="A2036" s="9" t="s">
        <v>949</v>
      </c>
      <c r="B2036" s="9" t="s">
        <v>163</v>
      </c>
      <c r="C2036" s="13" t="s">
        <v>172</v>
      </c>
      <c r="D2036" s="113" t="s">
        <v>677</v>
      </c>
      <c r="E2036" s="9" t="s">
        <v>42</v>
      </c>
      <c r="F2036" s="261"/>
      <c r="G2036" s="261"/>
      <c r="H2036" s="261"/>
      <c r="I2036" s="245"/>
      <c r="J2036" s="261"/>
      <c r="K2036" s="131">
        <f>J2038</f>
        <v>1.02</v>
      </c>
      <c r="L2036" s="106">
        <v>2349.37</v>
      </c>
      <c r="M2036" s="131">
        <f>ROUND(L2036*(1+$Q$7),2)</f>
        <v>2972.66</v>
      </c>
      <c r="N2036" s="133">
        <f>TRUNC(K2036*M2036,2)</f>
        <v>3032.11</v>
      </c>
      <c r="O2036" s="291"/>
      <c r="P2036" s="146"/>
      <c r="Q2036" s="146"/>
      <c r="R2036" s="146"/>
      <c r="S2036" s="146"/>
      <c r="T2036" s="146"/>
      <c r="U2036" s="146"/>
      <c r="V2036" s="146"/>
      <c r="W2036" s="146"/>
      <c r="X2036" s="146"/>
      <c r="Y2036" s="146"/>
      <c r="Z2036" s="146"/>
      <c r="AA2036" s="146"/>
    </row>
    <row r="2037" spans="1:27" s="118" customFormat="1" x14ac:dyDescent="0.2">
      <c r="A2037" s="6"/>
      <c r="B2037" s="6"/>
      <c r="C2037" s="155"/>
      <c r="D2037" s="2" t="s">
        <v>953</v>
      </c>
      <c r="E2037" s="148"/>
      <c r="F2037" s="253">
        <v>8</v>
      </c>
      <c r="G2037" s="253">
        <v>0.2</v>
      </c>
      <c r="H2037" s="253">
        <v>0.2</v>
      </c>
      <c r="I2037" s="249">
        <v>3.2</v>
      </c>
      <c r="J2037" s="253">
        <f t="shared" ref="J2037" si="199">ROUND(PRODUCT(F2037:I2037),2)</f>
        <v>1.02</v>
      </c>
      <c r="K2037" s="137"/>
      <c r="L2037" s="137"/>
      <c r="M2037" s="137"/>
      <c r="N2037" s="138"/>
      <c r="O2037" s="123"/>
      <c r="P2037" s="111"/>
      <c r="Q2037" s="111"/>
      <c r="R2037" s="111"/>
      <c r="S2037" s="111"/>
      <c r="T2037" s="111"/>
      <c r="U2037" s="111"/>
      <c r="V2037" s="111"/>
      <c r="W2037" s="111"/>
      <c r="X2037" s="111"/>
      <c r="Y2037" s="111"/>
      <c r="Z2037" s="111"/>
      <c r="AA2037" s="111"/>
    </row>
    <row r="2038" spans="1:27" s="118" customFormat="1" x14ac:dyDescent="0.2">
      <c r="A2038" s="6"/>
      <c r="B2038" s="6"/>
      <c r="C2038" s="156"/>
      <c r="D2038" s="108"/>
      <c r="E2038" s="148"/>
      <c r="F2038" s="253"/>
      <c r="G2038" s="253"/>
      <c r="H2038" s="253"/>
      <c r="I2038" s="246" t="str">
        <f>"Total item "&amp;A2036</f>
        <v>Total item 23.3.1.5</v>
      </c>
      <c r="J2038" s="261">
        <f>SUM(J2037:J2037)</f>
        <v>1.02</v>
      </c>
      <c r="K2038" s="137"/>
      <c r="L2038" s="137"/>
      <c r="M2038" s="137"/>
      <c r="N2038" s="138"/>
      <c r="O2038" s="123"/>
      <c r="P2038" s="111"/>
      <c r="Q2038" s="111"/>
      <c r="R2038" s="111"/>
      <c r="S2038" s="111"/>
      <c r="T2038" s="111"/>
      <c r="U2038" s="111"/>
      <c r="V2038" s="111"/>
      <c r="W2038" s="111"/>
      <c r="X2038" s="111"/>
      <c r="Y2038" s="111"/>
      <c r="Z2038" s="111"/>
      <c r="AA2038" s="111"/>
    </row>
    <row r="2039" spans="1:27" s="118" customFormat="1" x14ac:dyDescent="0.2">
      <c r="A2039" s="6"/>
      <c r="B2039" s="6"/>
      <c r="C2039" s="14"/>
      <c r="D2039" s="108"/>
      <c r="E2039" s="148"/>
      <c r="F2039" s="253"/>
      <c r="G2039" s="253"/>
      <c r="H2039" s="253"/>
      <c r="I2039" s="246"/>
      <c r="J2039" s="262"/>
      <c r="K2039" s="137"/>
      <c r="L2039" s="137"/>
      <c r="M2039" s="137"/>
      <c r="N2039" s="138"/>
      <c r="O2039" s="123"/>
      <c r="P2039" s="111"/>
      <c r="Q2039" s="111"/>
      <c r="R2039" s="111"/>
      <c r="S2039" s="111"/>
      <c r="T2039" s="111"/>
      <c r="U2039" s="111"/>
      <c r="V2039" s="111"/>
      <c r="W2039" s="111"/>
      <c r="X2039" s="111"/>
      <c r="Y2039" s="111"/>
      <c r="Z2039" s="111"/>
      <c r="AA2039" s="111"/>
    </row>
    <row r="2040" spans="1:27" s="147" customFormat="1" ht="35.25" customHeight="1" x14ac:dyDescent="0.2">
      <c r="A2040" s="9" t="s">
        <v>950</v>
      </c>
      <c r="B2040" s="9" t="s">
        <v>163</v>
      </c>
      <c r="C2040" s="13" t="s">
        <v>941</v>
      </c>
      <c r="D2040" s="113" t="s">
        <v>942</v>
      </c>
      <c r="E2040" s="9" t="s">
        <v>42</v>
      </c>
      <c r="F2040" s="261"/>
      <c r="G2040" s="261"/>
      <c r="H2040" s="261"/>
      <c r="I2040" s="245"/>
      <c r="J2040" s="261"/>
      <c r="K2040" s="131">
        <f>J2042</f>
        <v>0.38</v>
      </c>
      <c r="L2040" s="106">
        <v>2023.72</v>
      </c>
      <c r="M2040" s="131">
        <f>ROUND(L2040*(1+$Q$7),2)</f>
        <v>2560.61</v>
      </c>
      <c r="N2040" s="133">
        <f>TRUNC(K2040*M2040,2)</f>
        <v>973.03</v>
      </c>
      <c r="O2040" s="291"/>
      <c r="P2040" s="146"/>
      <c r="Q2040" s="146"/>
      <c r="R2040" s="146"/>
      <c r="S2040" s="146"/>
      <c r="T2040" s="146"/>
      <c r="U2040" s="146"/>
      <c r="V2040" s="146"/>
      <c r="W2040" s="146"/>
      <c r="X2040" s="146"/>
      <c r="Y2040" s="146"/>
      <c r="Z2040" s="146"/>
      <c r="AA2040" s="146"/>
    </row>
    <row r="2041" spans="1:27" s="118" customFormat="1" x14ac:dyDescent="0.2">
      <c r="A2041" s="6"/>
      <c r="B2041" s="6"/>
      <c r="C2041" s="155"/>
      <c r="D2041" s="2" t="s">
        <v>954</v>
      </c>
      <c r="E2041" s="148"/>
      <c r="F2041" s="253">
        <v>8</v>
      </c>
      <c r="G2041" s="253">
        <v>1.2</v>
      </c>
      <c r="H2041" s="253">
        <v>0.2</v>
      </c>
      <c r="I2041" s="249">
        <v>0.2</v>
      </c>
      <c r="J2041" s="253">
        <f t="shared" ref="J2041" si="200">ROUND(PRODUCT(F2041:I2041),2)</f>
        <v>0.38</v>
      </c>
      <c r="K2041" s="137"/>
      <c r="L2041" s="137"/>
      <c r="M2041" s="137"/>
      <c r="N2041" s="138"/>
      <c r="O2041" s="123"/>
      <c r="P2041" s="111"/>
      <c r="Q2041" s="111"/>
      <c r="R2041" s="111"/>
      <c r="S2041" s="111"/>
      <c r="T2041" s="111"/>
      <c r="U2041" s="111"/>
      <c r="V2041" s="111"/>
      <c r="W2041" s="111"/>
      <c r="X2041" s="111"/>
      <c r="Y2041" s="111"/>
      <c r="Z2041" s="111"/>
      <c r="AA2041" s="111"/>
    </row>
    <row r="2042" spans="1:27" s="118" customFormat="1" x14ac:dyDescent="0.2">
      <c r="A2042" s="6"/>
      <c r="B2042" s="6"/>
      <c r="C2042" s="156"/>
      <c r="D2042" s="108"/>
      <c r="E2042" s="148"/>
      <c r="F2042" s="253"/>
      <c r="G2042" s="253"/>
      <c r="H2042" s="253"/>
      <c r="I2042" s="246" t="str">
        <f>"Total item "&amp;A2040</f>
        <v>Total item 23.3.1.6</v>
      </c>
      <c r="J2042" s="261">
        <f>SUM(J2041:J2041)</f>
        <v>0.38</v>
      </c>
      <c r="K2042" s="137"/>
      <c r="L2042" s="137"/>
      <c r="M2042" s="137"/>
      <c r="N2042" s="138"/>
      <c r="O2042" s="123"/>
      <c r="P2042" s="111"/>
      <c r="Q2042" s="111"/>
      <c r="R2042" s="111"/>
      <c r="S2042" s="111"/>
      <c r="T2042" s="111"/>
      <c r="U2042" s="111"/>
      <c r="V2042" s="111"/>
      <c r="W2042" s="111"/>
      <c r="X2042" s="111"/>
      <c r="Y2042" s="111"/>
      <c r="Z2042" s="111"/>
      <c r="AA2042" s="111"/>
    </row>
    <row r="2043" spans="1:27" s="118" customFormat="1" x14ac:dyDescent="0.2">
      <c r="A2043" s="6"/>
      <c r="B2043" s="6"/>
      <c r="C2043" s="14"/>
      <c r="D2043" s="108"/>
      <c r="E2043" s="148"/>
      <c r="F2043" s="253"/>
      <c r="G2043" s="253"/>
      <c r="H2043" s="253"/>
      <c r="I2043" s="246"/>
      <c r="J2043" s="262"/>
      <c r="K2043" s="137"/>
      <c r="L2043" s="137"/>
      <c r="M2043" s="137"/>
      <c r="N2043" s="138"/>
      <c r="O2043" s="123"/>
      <c r="P2043" s="111"/>
      <c r="Q2043" s="111"/>
      <c r="R2043" s="111"/>
      <c r="S2043" s="111"/>
      <c r="T2043" s="111"/>
      <c r="U2043" s="111"/>
      <c r="V2043" s="111"/>
      <c r="W2043" s="111"/>
      <c r="X2043" s="111"/>
      <c r="Y2043" s="111"/>
      <c r="Z2043" s="111"/>
      <c r="AA2043" s="111"/>
    </row>
    <row r="2044" spans="1:27" s="147" customFormat="1" ht="20.399999999999999" x14ac:dyDescent="0.2">
      <c r="A2044" s="9" t="s">
        <v>951</v>
      </c>
      <c r="B2044" s="9" t="s">
        <v>163</v>
      </c>
      <c r="C2044" s="13" t="s">
        <v>186</v>
      </c>
      <c r="D2044" s="109" t="s">
        <v>510</v>
      </c>
      <c r="E2044" s="9" t="s">
        <v>9</v>
      </c>
      <c r="F2044" s="261"/>
      <c r="G2044" s="261"/>
      <c r="H2044" s="261"/>
      <c r="I2044" s="245"/>
      <c r="J2044" s="261"/>
      <c r="K2044" s="131">
        <f>J2048</f>
        <v>19.2</v>
      </c>
      <c r="L2044" s="106">
        <v>5.98</v>
      </c>
      <c r="M2044" s="131">
        <f>ROUND(L2044*(1+$Q$7),2)</f>
        <v>7.57</v>
      </c>
      <c r="N2044" s="133">
        <f>TRUNC(K2044*M2044,2)</f>
        <v>145.34</v>
      </c>
      <c r="O2044" s="291"/>
      <c r="P2044" s="146"/>
      <c r="Q2044" s="146"/>
      <c r="R2044" s="146"/>
      <c r="S2044" s="146"/>
      <c r="T2044" s="146"/>
      <c r="U2044" s="146"/>
      <c r="V2044" s="146"/>
      <c r="W2044" s="146"/>
      <c r="X2044" s="146"/>
      <c r="Y2044" s="146"/>
      <c r="Z2044" s="146"/>
      <c r="AA2044" s="146"/>
    </row>
    <row r="2045" spans="1:27" s="118" customFormat="1" x14ac:dyDescent="0.2">
      <c r="A2045" s="6"/>
      <c r="B2045" s="6"/>
      <c r="C2045" s="155"/>
      <c r="D2045" s="2" t="s">
        <v>893</v>
      </c>
      <c r="E2045" s="148"/>
      <c r="F2045" s="253">
        <f>8*2</f>
        <v>16</v>
      </c>
      <c r="G2045" s="253">
        <v>0.2</v>
      </c>
      <c r="H2045" s="253"/>
      <c r="I2045" s="249">
        <f>I2037</f>
        <v>3.2</v>
      </c>
      <c r="J2045" s="253">
        <f t="shared" ref="J2045:J2047" si="201">ROUND(PRODUCT(F2045:I2045),2)</f>
        <v>10.24</v>
      </c>
      <c r="K2045" s="137"/>
      <c r="L2045" s="137"/>
      <c r="M2045" s="137"/>
      <c r="N2045" s="138"/>
      <c r="O2045" s="123"/>
      <c r="P2045" s="111"/>
      <c r="Q2045" s="111"/>
      <c r="R2045" s="111"/>
      <c r="S2045" s="111"/>
      <c r="T2045" s="111"/>
      <c r="U2045" s="111"/>
      <c r="V2045" s="111"/>
      <c r="W2045" s="111"/>
      <c r="X2045" s="111"/>
      <c r="Y2045" s="111"/>
      <c r="Z2045" s="111"/>
      <c r="AA2045" s="111"/>
    </row>
    <row r="2046" spans="1:27" s="118" customFormat="1" x14ac:dyDescent="0.2">
      <c r="A2046" s="6"/>
      <c r="B2046" s="6"/>
      <c r="C2046" s="155"/>
      <c r="D2046" s="2"/>
      <c r="E2046" s="148"/>
      <c r="F2046" s="253">
        <f>F2045</f>
        <v>16</v>
      </c>
      <c r="G2046" s="253">
        <f>H2037-0.1</f>
        <v>0.1</v>
      </c>
      <c r="H2046" s="253"/>
      <c r="I2046" s="249">
        <f>I2045</f>
        <v>3.2</v>
      </c>
      <c r="J2046" s="253">
        <f t="shared" si="201"/>
        <v>5.12</v>
      </c>
      <c r="K2046" s="137"/>
      <c r="L2046" s="137"/>
      <c r="M2046" s="137"/>
      <c r="N2046" s="138"/>
      <c r="O2046" s="123"/>
      <c r="P2046" s="111"/>
      <c r="Q2046" s="111"/>
      <c r="R2046" s="111"/>
      <c r="S2046" s="111"/>
      <c r="T2046" s="111"/>
      <c r="U2046" s="111"/>
      <c r="V2046" s="111"/>
      <c r="W2046" s="111"/>
      <c r="X2046" s="111"/>
      <c r="Y2046" s="111"/>
      <c r="Z2046" s="111"/>
      <c r="AA2046" s="111"/>
    </row>
    <row r="2047" spans="1:27" s="118" customFormat="1" x14ac:dyDescent="0.2">
      <c r="A2047" s="6"/>
      <c r="B2047" s="6"/>
      <c r="C2047" s="155"/>
      <c r="D2047" s="2" t="s">
        <v>954</v>
      </c>
      <c r="E2047" s="148"/>
      <c r="F2047" s="253">
        <f>8*2</f>
        <v>16</v>
      </c>
      <c r="G2047" s="253">
        <v>1.2</v>
      </c>
      <c r="H2047" s="253"/>
      <c r="I2047" s="249">
        <v>0.2</v>
      </c>
      <c r="J2047" s="253">
        <f t="shared" si="201"/>
        <v>3.84</v>
      </c>
      <c r="K2047" s="137"/>
      <c r="L2047" s="137"/>
      <c r="M2047" s="137"/>
      <c r="N2047" s="138"/>
      <c r="O2047" s="123"/>
      <c r="P2047" s="111"/>
      <c r="Q2047" s="111"/>
      <c r="R2047" s="111"/>
      <c r="S2047" s="111"/>
      <c r="T2047" s="111"/>
      <c r="U2047" s="111"/>
      <c r="V2047" s="111"/>
      <c r="W2047" s="111"/>
      <c r="X2047" s="111"/>
      <c r="Y2047" s="111"/>
      <c r="Z2047" s="111"/>
      <c r="AA2047" s="111"/>
    </row>
    <row r="2048" spans="1:27" s="118" customFormat="1" x14ac:dyDescent="0.2">
      <c r="A2048" s="6"/>
      <c r="B2048" s="6"/>
      <c r="C2048" s="156"/>
      <c r="D2048" s="108"/>
      <c r="E2048" s="148"/>
      <c r="F2048" s="253"/>
      <c r="G2048" s="253"/>
      <c r="H2048" s="253"/>
      <c r="I2048" s="246" t="str">
        <f>"Total item "&amp;A2044</f>
        <v>Total item 23.3.1.7</v>
      </c>
      <c r="J2048" s="261">
        <f>SUM(J2045:J2047)</f>
        <v>19.2</v>
      </c>
      <c r="K2048" s="137"/>
      <c r="L2048" s="137"/>
      <c r="M2048" s="137"/>
      <c r="N2048" s="138"/>
      <c r="O2048" s="123"/>
      <c r="P2048" s="111"/>
      <c r="Q2048" s="111"/>
      <c r="R2048" s="111"/>
      <c r="S2048" s="111"/>
      <c r="T2048" s="111"/>
      <c r="U2048" s="111"/>
      <c r="V2048" s="111"/>
      <c r="W2048" s="111"/>
      <c r="X2048" s="111"/>
      <c r="Y2048" s="111"/>
      <c r="Z2048" s="111"/>
      <c r="AA2048" s="111"/>
    </row>
    <row r="2049" spans="1:28" s="118" customFormat="1" x14ac:dyDescent="0.2">
      <c r="A2049" s="6"/>
      <c r="B2049" s="6"/>
      <c r="C2049" s="14"/>
      <c r="D2049" s="108"/>
      <c r="E2049" s="148"/>
      <c r="F2049" s="253"/>
      <c r="G2049" s="253"/>
      <c r="H2049" s="253"/>
      <c r="I2049" s="246"/>
      <c r="J2049" s="262"/>
      <c r="K2049" s="137"/>
      <c r="L2049" s="137"/>
      <c r="M2049" s="137"/>
      <c r="N2049" s="138"/>
      <c r="O2049" s="123"/>
      <c r="P2049" s="111"/>
      <c r="Q2049" s="111"/>
      <c r="R2049" s="111"/>
      <c r="S2049" s="111"/>
      <c r="T2049" s="111"/>
      <c r="U2049" s="111"/>
      <c r="V2049" s="111"/>
      <c r="W2049" s="111"/>
      <c r="X2049" s="111"/>
      <c r="Y2049" s="111"/>
      <c r="Z2049" s="111"/>
      <c r="AA2049" s="111"/>
    </row>
    <row r="2050" spans="1:28" s="147" customFormat="1" ht="20.399999999999999" x14ac:dyDescent="0.2">
      <c r="A2050" s="9" t="s">
        <v>952</v>
      </c>
      <c r="B2050" s="9" t="s">
        <v>163</v>
      </c>
      <c r="C2050" s="13" t="s">
        <v>173</v>
      </c>
      <c r="D2050" s="109" t="s">
        <v>511</v>
      </c>
      <c r="E2050" s="9" t="s">
        <v>9</v>
      </c>
      <c r="F2050" s="261"/>
      <c r="G2050" s="261"/>
      <c r="H2050" s="261"/>
      <c r="I2050" s="245"/>
      <c r="J2050" s="261"/>
      <c r="K2050" s="131">
        <f>J2054</f>
        <v>19.2</v>
      </c>
      <c r="L2050" s="106">
        <v>22.25</v>
      </c>
      <c r="M2050" s="131">
        <f>ROUND(L2050*(1+$Q$7),2)</f>
        <v>28.15</v>
      </c>
      <c r="N2050" s="133">
        <f>TRUNC(K2050*M2050,2)</f>
        <v>540.48</v>
      </c>
      <c r="O2050" s="291"/>
      <c r="P2050" s="146"/>
      <c r="Q2050" s="146"/>
      <c r="R2050" s="146"/>
      <c r="S2050" s="146"/>
      <c r="T2050" s="146"/>
      <c r="U2050" s="146"/>
      <c r="V2050" s="146"/>
      <c r="W2050" s="146"/>
      <c r="X2050" s="146"/>
      <c r="Y2050" s="146"/>
      <c r="Z2050" s="146"/>
      <c r="AA2050" s="146"/>
    </row>
    <row r="2051" spans="1:28" s="118" customFormat="1" x14ac:dyDescent="0.2">
      <c r="A2051" s="6"/>
      <c r="B2051" s="6"/>
      <c r="C2051" s="155"/>
      <c r="D2051" s="2" t="s">
        <v>893</v>
      </c>
      <c r="E2051" s="148"/>
      <c r="F2051" s="253">
        <f>8*2</f>
        <v>16</v>
      </c>
      <c r="G2051" s="253">
        <v>0.2</v>
      </c>
      <c r="H2051" s="253"/>
      <c r="I2051" s="249">
        <f>I2046</f>
        <v>3.2</v>
      </c>
      <c r="J2051" s="253">
        <f t="shared" ref="J2051:J2053" si="202">ROUND(PRODUCT(F2051:I2051),2)</f>
        <v>10.24</v>
      </c>
      <c r="K2051" s="137"/>
      <c r="L2051" s="137"/>
      <c r="M2051" s="137"/>
      <c r="N2051" s="138"/>
      <c r="O2051" s="123"/>
      <c r="P2051" s="111"/>
      <c r="Q2051" s="111"/>
      <c r="R2051" s="111"/>
      <c r="S2051" s="111"/>
      <c r="T2051" s="111"/>
      <c r="U2051" s="111"/>
      <c r="V2051" s="111"/>
      <c r="W2051" s="111"/>
      <c r="X2051" s="111"/>
      <c r="Y2051" s="111"/>
      <c r="Z2051" s="111"/>
      <c r="AA2051" s="111"/>
    </row>
    <row r="2052" spans="1:28" s="118" customFormat="1" x14ac:dyDescent="0.2">
      <c r="A2052" s="6"/>
      <c r="B2052" s="6"/>
      <c r="C2052" s="155"/>
      <c r="D2052" s="2"/>
      <c r="E2052" s="148"/>
      <c r="F2052" s="253">
        <f>F2051</f>
        <v>16</v>
      </c>
      <c r="G2052" s="253">
        <f>H2037-0.1</f>
        <v>0.1</v>
      </c>
      <c r="H2052" s="253"/>
      <c r="I2052" s="249">
        <f>I2051</f>
        <v>3.2</v>
      </c>
      <c r="J2052" s="253">
        <f t="shared" si="202"/>
        <v>5.12</v>
      </c>
      <c r="K2052" s="137"/>
      <c r="L2052" s="137"/>
      <c r="M2052" s="137"/>
      <c r="N2052" s="138"/>
      <c r="O2052" s="123"/>
      <c r="P2052" s="111"/>
      <c r="Q2052" s="111"/>
      <c r="R2052" s="111"/>
      <c r="S2052" s="111"/>
      <c r="T2052" s="111"/>
      <c r="U2052" s="111"/>
      <c r="V2052" s="111"/>
      <c r="W2052" s="111"/>
      <c r="X2052" s="111"/>
      <c r="Y2052" s="111"/>
      <c r="Z2052" s="111"/>
      <c r="AA2052" s="111"/>
    </row>
    <row r="2053" spans="1:28" s="118" customFormat="1" x14ac:dyDescent="0.2">
      <c r="A2053" s="6"/>
      <c r="B2053" s="6"/>
      <c r="C2053" s="155"/>
      <c r="D2053" s="2" t="s">
        <v>954</v>
      </c>
      <c r="E2053" s="148"/>
      <c r="F2053" s="253">
        <f>8*2</f>
        <v>16</v>
      </c>
      <c r="G2053" s="253">
        <v>1.2</v>
      </c>
      <c r="H2053" s="253"/>
      <c r="I2053" s="249">
        <v>0.2</v>
      </c>
      <c r="J2053" s="253">
        <f t="shared" si="202"/>
        <v>3.84</v>
      </c>
      <c r="K2053" s="137"/>
      <c r="L2053" s="137"/>
      <c r="M2053" s="137"/>
      <c r="N2053" s="138"/>
      <c r="O2053" s="123"/>
      <c r="P2053" s="111"/>
      <c r="Q2053" s="111"/>
      <c r="R2053" s="111"/>
      <c r="S2053" s="111"/>
      <c r="T2053" s="111"/>
      <c r="U2053" s="111"/>
      <c r="V2053" s="111"/>
      <c r="W2053" s="111"/>
      <c r="X2053" s="111"/>
      <c r="Y2053" s="111"/>
      <c r="Z2053" s="111"/>
      <c r="AA2053" s="111"/>
    </row>
    <row r="2054" spans="1:28" s="118" customFormat="1" x14ac:dyDescent="0.2">
      <c r="A2054" s="6"/>
      <c r="B2054" s="6"/>
      <c r="C2054" s="156"/>
      <c r="D2054" s="108"/>
      <c r="E2054" s="148"/>
      <c r="F2054" s="253"/>
      <c r="G2054" s="253"/>
      <c r="H2054" s="253"/>
      <c r="I2054" s="246" t="str">
        <f>"Total item "&amp;A2050</f>
        <v>Total item 23.3.1.8</v>
      </c>
      <c r="J2054" s="261">
        <f>SUM(J2051:J2053)</f>
        <v>19.2</v>
      </c>
      <c r="K2054" s="137"/>
      <c r="L2054" s="137"/>
      <c r="M2054" s="137"/>
      <c r="N2054" s="138"/>
      <c r="O2054" s="123"/>
      <c r="P2054" s="111"/>
      <c r="Q2054" s="111"/>
      <c r="R2054" s="111"/>
      <c r="S2054" s="111"/>
      <c r="T2054" s="111"/>
      <c r="U2054" s="111"/>
      <c r="V2054" s="111"/>
      <c r="W2054" s="111"/>
      <c r="X2054" s="111"/>
      <c r="Y2054" s="111"/>
      <c r="Z2054" s="111"/>
      <c r="AA2054" s="111"/>
    </row>
    <row r="2055" spans="1:28" s="118" customFormat="1" x14ac:dyDescent="0.2">
      <c r="A2055" s="6"/>
      <c r="B2055" s="6"/>
      <c r="C2055" s="14"/>
      <c r="D2055" s="2"/>
      <c r="E2055" s="148"/>
      <c r="F2055" s="253"/>
      <c r="G2055" s="253"/>
      <c r="H2055" s="253"/>
      <c r="I2055" s="246"/>
      <c r="J2055" s="262"/>
      <c r="K2055" s="137"/>
      <c r="L2055" s="137"/>
      <c r="M2055" s="292"/>
      <c r="N2055" s="293"/>
      <c r="O2055" s="123"/>
      <c r="P2055" s="111"/>
      <c r="Q2055" s="16"/>
      <c r="R2055" s="111"/>
      <c r="S2055" s="111"/>
      <c r="T2055" s="111"/>
      <c r="U2055" s="111"/>
      <c r="V2055" s="111"/>
      <c r="W2055" s="111"/>
      <c r="X2055" s="111"/>
      <c r="Y2055" s="111"/>
      <c r="Z2055" s="111"/>
      <c r="AA2055" s="111"/>
      <c r="AB2055" s="111"/>
    </row>
    <row r="2056" spans="1:28" s="118" customFormat="1" x14ac:dyDescent="0.2">
      <c r="A2056" s="294"/>
      <c r="B2056" s="294"/>
      <c r="C2056" s="295"/>
      <c r="D2056" s="296"/>
      <c r="E2056" s="297"/>
      <c r="F2056" s="298"/>
      <c r="G2056" s="298"/>
      <c r="H2056" s="298"/>
      <c r="I2056" s="299"/>
      <c r="J2056" s="300"/>
      <c r="K2056" s="292"/>
      <c r="L2056" s="292"/>
      <c r="M2056" s="292"/>
      <c r="N2056" s="293"/>
      <c r="O2056" s="123"/>
      <c r="P2056" s="111"/>
      <c r="Q2056" s="16"/>
      <c r="R2056" s="111"/>
      <c r="S2056" s="111"/>
      <c r="T2056" s="111"/>
      <c r="U2056" s="111"/>
      <c r="V2056" s="111"/>
      <c r="W2056" s="111"/>
      <c r="X2056" s="111"/>
      <c r="Y2056" s="111"/>
      <c r="Z2056" s="111"/>
      <c r="AA2056" s="111"/>
      <c r="AB2056" s="111"/>
    </row>
    <row r="2057" spans="1:28" s="304" customFormat="1" ht="13.8" x14ac:dyDescent="0.25">
      <c r="A2057" s="600" t="s">
        <v>750</v>
      </c>
      <c r="B2057" s="600"/>
      <c r="C2057" s="600"/>
      <c r="D2057" s="600"/>
      <c r="E2057" s="600"/>
      <c r="F2057" s="600"/>
      <c r="G2057" s="600"/>
      <c r="H2057" s="600"/>
      <c r="I2057" s="600"/>
      <c r="J2057" s="600"/>
      <c r="K2057" s="600"/>
      <c r="L2057" s="600"/>
      <c r="M2057" s="600"/>
      <c r="N2057" s="301" t="e">
        <f>N13+N21+N94+N193+N285+N417+N535+N603+N688+N785+N830+N957+N1025+N1132+N1197+N1359+N1467+N1547+N1610+N1749+N1779+N1867+N1960</f>
        <v>#VALUE!</v>
      </c>
      <c r="O2057" s="284" t="e">
        <f>N2057/$N$2057</f>
        <v>#VALUE!</v>
      </c>
      <c r="P2057" s="302"/>
      <c r="Q2057" s="303"/>
      <c r="R2057" s="302"/>
      <c r="S2057" s="302"/>
      <c r="T2057" s="302"/>
      <c r="U2057" s="302"/>
      <c r="V2057" s="302"/>
      <c r="W2057" s="302"/>
      <c r="X2057" s="302"/>
      <c r="Y2057" s="302"/>
      <c r="Z2057" s="302"/>
      <c r="AA2057" s="302"/>
      <c r="AB2057" s="302"/>
    </row>
    <row r="2058" spans="1:28" x14ac:dyDescent="0.2">
      <c r="N2058" s="305" t="e">
        <f>ROUND(SUM(N12:N2056)/3-N2057,0)</f>
        <v>#VALUE!</v>
      </c>
    </row>
    <row r="2060" spans="1:28" x14ac:dyDescent="0.2">
      <c r="Q2060" s="166"/>
    </row>
    <row r="2066" spans="1:27" s="189" customFormat="1" ht="30.6" hidden="1" x14ac:dyDescent="0.2">
      <c r="A2066" s="184" t="s">
        <v>597</v>
      </c>
      <c r="B2066" s="184" t="s">
        <v>89</v>
      </c>
      <c r="C2066" s="185">
        <v>92541</v>
      </c>
      <c r="D2066" s="235" t="s">
        <v>674</v>
      </c>
      <c r="E2066" s="184" t="s">
        <v>9</v>
      </c>
      <c r="F2066" s="186"/>
      <c r="G2066" s="186"/>
      <c r="H2066" s="186"/>
      <c r="I2066" s="257"/>
      <c r="J2066" s="186"/>
      <c r="K2066" s="186">
        <f>J2069</f>
        <v>0</v>
      </c>
      <c r="L2066" s="186">
        <v>54.84</v>
      </c>
      <c r="M2066" s="186">
        <f>ROUND(L2066*(1+$Q$7),2)</f>
        <v>69.39</v>
      </c>
      <c r="N2066" s="187">
        <f>TRUNC(K2066*M2066,2)</f>
        <v>0</v>
      </c>
      <c r="O2066" s="286"/>
      <c r="P2066" s="188"/>
      <c r="Q2066" s="188"/>
      <c r="R2066" s="188"/>
      <c r="S2066" s="188"/>
      <c r="T2066" s="188"/>
      <c r="U2066" s="188"/>
      <c r="V2066" s="188"/>
      <c r="W2066" s="188"/>
      <c r="X2066" s="188"/>
      <c r="Y2066" s="188"/>
      <c r="Z2066" s="188"/>
      <c r="AA2066" s="188"/>
    </row>
  </sheetData>
  <mergeCells count="5">
    <mergeCell ref="A2057:M2057"/>
    <mergeCell ref="A1:N1"/>
    <mergeCell ref="A2:J2"/>
    <mergeCell ref="A3:J3"/>
    <mergeCell ref="A4:J4"/>
  </mergeCells>
  <conditionalFormatting sqref="E332:E334 E34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{E28F81C7-D767-4D8F-9F90-352D7FCFC0A4}</x14:id>
        </ext>
      </extLst>
    </cfRule>
  </conditionalFormatting>
  <dataValidations count="1">
    <dataValidation allowBlank="1" showInputMessage="1" showErrorMessage="1" promptTitle="Atenção!!!" prompt="Inserir o BDI em valor percentual." sqref="Q1 Q7:R7" xr:uid="{00000000-0002-0000-0700-000000000000}"/>
  </dataValidations>
  <printOptions horizontalCentered="1"/>
  <pageMargins left="0.59055118110236227" right="0.39370078740157483" top="1.3779527559055118" bottom="0.59055118110236227" header="0.39370078740157483" footer="0.39370078740157483"/>
  <pageSetup paperSize="9" orientation="portrait" r:id="rId1"/>
  <headerFooter>
    <oddHeader>&amp;C&amp;G</oddHeader>
    <oddFooter>&amp;R&amp;"Arial,Normal"&amp;8Pág. &amp;P de &amp;N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28F81C7-D767-4D8F-9F90-352D7FCFC0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E332:E334 E341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V485"/>
  <sheetViews>
    <sheetView view="pageBreakPreview" topLeftCell="A8" zoomScaleNormal="100" zoomScaleSheetLayoutView="100" workbookViewId="0">
      <pane ySplit="744" activePane="bottomLeft"/>
      <selection activeCell="M8" sqref="M1:M1048576"/>
      <selection pane="bottomLeft" sqref="A1:I1"/>
    </sheetView>
  </sheetViews>
  <sheetFormatPr defaultColWidth="9.109375" defaultRowHeight="10.199999999999999" x14ac:dyDescent="0.2"/>
  <cols>
    <col min="1" max="1" width="6.44140625" style="162" customWidth="1"/>
    <col min="2" max="2" width="12" style="162" customWidth="1"/>
    <col min="3" max="3" width="10" style="163" bestFit="1" customWidth="1"/>
    <col min="4" max="4" width="45.6640625" style="164" customWidth="1"/>
    <col min="5" max="5" width="4.88671875" style="162" bestFit="1" customWidth="1"/>
    <col min="6" max="6" width="7.5546875" style="162" customWidth="1"/>
    <col min="7" max="7" width="9.6640625" style="162" customWidth="1"/>
    <col min="8" max="8" width="9.44140625" style="162" customWidth="1"/>
    <col min="9" max="9" width="13.6640625" style="162" customWidth="1"/>
    <col min="10" max="10" width="5" style="167" bestFit="1" customWidth="1"/>
    <col min="11" max="11" width="4.109375" style="114" customWidth="1"/>
    <col min="12" max="12" width="12.6640625" style="167" bestFit="1" customWidth="1"/>
    <col min="13" max="13" width="13.109375" style="114" bestFit="1" customWidth="1"/>
    <col min="14" max="16384" width="9.109375" style="114"/>
  </cols>
  <sheetData>
    <row r="1" spans="1:18" s="111" customFormat="1" ht="18.600000000000001" thickTop="1" thickBot="1" x14ac:dyDescent="0.35">
      <c r="A1" s="616" t="s">
        <v>23</v>
      </c>
      <c r="B1" s="617"/>
      <c r="C1" s="617"/>
      <c r="D1" s="617"/>
      <c r="E1" s="617"/>
      <c r="F1" s="617"/>
      <c r="G1" s="617"/>
      <c r="H1" s="617"/>
      <c r="I1" s="618"/>
      <c r="J1" s="167"/>
      <c r="L1" s="104"/>
    </row>
    <row r="2" spans="1:18" s="111" customFormat="1" ht="18" thickTop="1" x14ac:dyDescent="0.3">
      <c r="A2" s="602"/>
      <c r="B2" s="602"/>
      <c r="C2" s="602"/>
      <c r="D2" s="602"/>
      <c r="E2" s="602"/>
      <c r="F2" s="168"/>
      <c r="G2" s="168"/>
      <c r="H2" s="168"/>
      <c r="I2" s="168"/>
      <c r="J2" s="167"/>
    </row>
    <row r="3" spans="1:18" s="119" customFormat="1" ht="27.75" customHeight="1" x14ac:dyDescent="0.25">
      <c r="A3" s="8"/>
      <c r="B3" s="607" t="s">
        <v>721</v>
      </c>
      <c r="C3" s="607"/>
      <c r="D3" s="607"/>
      <c r="E3" s="607"/>
      <c r="F3" s="607"/>
      <c r="G3" s="607"/>
      <c r="H3" s="607"/>
      <c r="I3" s="607"/>
      <c r="J3" s="281"/>
      <c r="L3" s="275" t="s">
        <v>722</v>
      </c>
      <c r="M3" s="275" t="s">
        <v>723</v>
      </c>
    </row>
    <row r="4" spans="1:18" s="119" customFormat="1" ht="13.8" x14ac:dyDescent="0.25">
      <c r="A4" s="8"/>
      <c r="B4" s="12" t="s">
        <v>81</v>
      </c>
      <c r="D4" s="127"/>
      <c r="E4" s="8"/>
      <c r="F4" s="8"/>
      <c r="G4" s="8"/>
      <c r="H4" s="8"/>
      <c r="I4" s="8"/>
      <c r="J4" s="281"/>
      <c r="L4" s="274">
        <v>0.26529999999999998</v>
      </c>
      <c r="M4" s="274">
        <v>0.20499999999999999</v>
      </c>
    </row>
    <row r="5" spans="1:18" s="119" customFormat="1" ht="13.2" x14ac:dyDescent="0.25">
      <c r="A5" s="8"/>
      <c r="B5" s="225" t="s">
        <v>956</v>
      </c>
      <c r="D5" s="127"/>
      <c r="E5" s="8"/>
      <c r="F5" s="8"/>
      <c r="G5" s="8"/>
      <c r="H5" s="8"/>
      <c r="I5" s="8"/>
      <c r="J5" s="281"/>
      <c r="L5" s="128"/>
    </row>
    <row r="6" spans="1:18" s="119" customFormat="1" ht="15" customHeight="1" x14ac:dyDescent="0.25">
      <c r="A6" s="8"/>
      <c r="B6" s="12" t="s">
        <v>737</v>
      </c>
      <c r="D6" s="127"/>
      <c r="E6" s="8"/>
      <c r="F6" s="8"/>
      <c r="G6" s="8"/>
      <c r="H6" s="8"/>
      <c r="I6" s="8"/>
      <c r="J6" s="281"/>
      <c r="L6" s="128"/>
    </row>
    <row r="7" spans="1:18" s="111" customFormat="1" ht="13.2" x14ac:dyDescent="0.25">
      <c r="A7" s="36"/>
      <c r="B7" s="36"/>
      <c r="C7" s="307"/>
      <c r="D7" s="308"/>
      <c r="E7" s="307"/>
      <c r="F7" s="307"/>
      <c r="G7" s="309"/>
      <c r="H7" s="309"/>
      <c r="I7" s="309"/>
      <c r="J7" s="167"/>
      <c r="L7" s="130"/>
    </row>
    <row r="8" spans="1:18" s="135" customFormat="1" ht="20.399999999999999" x14ac:dyDescent="0.2">
      <c r="A8" s="9" t="s">
        <v>1</v>
      </c>
      <c r="B8" s="9" t="s">
        <v>87</v>
      </c>
      <c r="C8" s="13" t="s">
        <v>22</v>
      </c>
      <c r="D8" s="9" t="s">
        <v>88</v>
      </c>
      <c r="E8" s="9" t="s">
        <v>2</v>
      </c>
      <c r="F8" s="131" t="s">
        <v>720</v>
      </c>
      <c r="G8" s="226" t="s">
        <v>254</v>
      </c>
      <c r="H8" s="226" t="s">
        <v>255</v>
      </c>
      <c r="I8" s="169" t="s">
        <v>162</v>
      </c>
      <c r="J8" s="282"/>
      <c r="K8" s="134"/>
      <c r="L8" s="134"/>
      <c r="M8" s="134"/>
      <c r="N8" s="134"/>
      <c r="O8" s="134"/>
      <c r="P8" s="134"/>
      <c r="Q8" s="134"/>
      <c r="R8" s="134"/>
    </row>
    <row r="9" spans="1:18" s="241" customFormat="1" ht="13.2" x14ac:dyDescent="0.25">
      <c r="A9" s="236" t="s">
        <v>6</v>
      </c>
      <c r="B9" s="236"/>
      <c r="C9" s="237"/>
      <c r="D9" s="289" t="s">
        <v>7</v>
      </c>
      <c r="E9" s="236"/>
      <c r="F9" s="238"/>
      <c r="G9" s="238"/>
      <c r="H9" s="238"/>
      <c r="I9" s="239">
        <f>I10</f>
        <v>1597.59</v>
      </c>
      <c r="J9" s="284" t="e">
        <f>I9/$I$476</f>
        <v>#VALUE!</v>
      </c>
      <c r="K9" s="240"/>
      <c r="L9" s="240"/>
      <c r="M9" s="240"/>
      <c r="N9" s="240"/>
      <c r="O9" s="240"/>
      <c r="P9" s="240"/>
      <c r="Q9" s="240"/>
    </row>
    <row r="10" spans="1:18" s="145" customFormat="1" x14ac:dyDescent="0.2">
      <c r="A10" s="140" t="s">
        <v>8</v>
      </c>
      <c r="B10" s="140"/>
      <c r="C10" s="141"/>
      <c r="D10" s="112" t="s">
        <v>82</v>
      </c>
      <c r="E10" s="140"/>
      <c r="F10" s="142"/>
      <c r="G10" s="142"/>
      <c r="H10" s="142"/>
      <c r="I10" s="143">
        <f>I11</f>
        <v>1597.59</v>
      </c>
      <c r="J10" s="285"/>
      <c r="K10" s="144"/>
      <c r="L10" s="144"/>
      <c r="M10" s="144"/>
      <c r="N10" s="144"/>
      <c r="O10" s="144"/>
      <c r="P10" s="144"/>
      <c r="Q10" s="144"/>
    </row>
    <row r="11" spans="1:18" s="118" customFormat="1" x14ac:dyDescent="0.2">
      <c r="A11" s="148" t="s">
        <v>61</v>
      </c>
      <c r="B11" s="148" t="s">
        <v>89</v>
      </c>
      <c r="C11" s="14" t="s">
        <v>83</v>
      </c>
      <c r="D11" s="314" t="s">
        <v>65</v>
      </c>
      <c r="E11" s="148" t="s">
        <v>9</v>
      </c>
      <c r="F11" s="137">
        <v>4.5</v>
      </c>
      <c r="G11" s="137">
        <v>280.58</v>
      </c>
      <c r="H11" s="137">
        <f>ROUND(G11*(1+$L$4),2)</f>
        <v>355.02</v>
      </c>
      <c r="I11" s="138">
        <f>TRUNC(F11*H11,2)</f>
        <v>1597.59</v>
      </c>
      <c r="J11" s="167"/>
      <c r="K11" s="111"/>
      <c r="L11" s="111"/>
      <c r="M11" s="111"/>
      <c r="N11" s="111"/>
      <c r="O11" s="111"/>
      <c r="P11" s="111"/>
      <c r="Q11" s="111"/>
    </row>
    <row r="12" spans="1:18" s="118" customFormat="1" x14ac:dyDescent="0.2">
      <c r="A12" s="148"/>
      <c r="B12" s="148"/>
      <c r="C12" s="14"/>
      <c r="D12" s="314"/>
      <c r="E12" s="148"/>
      <c r="F12" s="137"/>
      <c r="G12" s="137"/>
      <c r="H12" s="137"/>
      <c r="I12" s="138"/>
      <c r="J12" s="167"/>
      <c r="K12" s="111"/>
      <c r="L12" s="111"/>
      <c r="M12" s="111"/>
      <c r="N12" s="111"/>
      <c r="O12" s="111"/>
      <c r="P12" s="111"/>
      <c r="Q12" s="111"/>
    </row>
    <row r="13" spans="1:18" s="241" customFormat="1" ht="13.2" x14ac:dyDescent="0.25">
      <c r="A13" s="236" t="s">
        <v>10</v>
      </c>
      <c r="B13" s="236"/>
      <c r="C13" s="237"/>
      <c r="D13" s="289" t="s">
        <v>212</v>
      </c>
      <c r="E13" s="236"/>
      <c r="F13" s="238"/>
      <c r="G13" s="238"/>
      <c r="H13" s="238"/>
      <c r="I13" s="239">
        <f>I14+I17+I23+I26</f>
        <v>5106.3099999999995</v>
      </c>
      <c r="J13" s="284" t="e">
        <f>I13/$I$476</f>
        <v>#VALUE!</v>
      </c>
      <c r="K13" s="240"/>
      <c r="L13" s="240"/>
      <c r="M13" s="240"/>
      <c r="N13" s="240"/>
      <c r="O13" s="240"/>
      <c r="P13" s="240"/>
      <c r="Q13" s="240"/>
    </row>
    <row r="14" spans="1:18" s="145" customFormat="1" x14ac:dyDescent="0.2">
      <c r="A14" s="140" t="s">
        <v>11</v>
      </c>
      <c r="B14" s="140"/>
      <c r="C14" s="141"/>
      <c r="D14" s="112" t="s">
        <v>30</v>
      </c>
      <c r="E14" s="140"/>
      <c r="F14" s="142"/>
      <c r="G14" s="142"/>
      <c r="H14" s="142"/>
      <c r="I14" s="143">
        <f>SUM(I15:I16)</f>
        <v>851.92</v>
      </c>
      <c r="J14" s="285"/>
      <c r="K14" s="144"/>
      <c r="L14" s="144"/>
      <c r="M14" s="144"/>
      <c r="N14" s="144"/>
      <c r="O14" s="144"/>
      <c r="P14" s="144"/>
      <c r="Q14" s="144"/>
    </row>
    <row r="15" spans="1:18" s="118" customFormat="1" ht="40.799999999999997" x14ac:dyDescent="0.2">
      <c r="A15" s="148" t="s">
        <v>582</v>
      </c>
      <c r="B15" s="148" t="s">
        <v>163</v>
      </c>
      <c r="C15" s="14" t="s">
        <v>244</v>
      </c>
      <c r="D15" s="314" t="s">
        <v>245</v>
      </c>
      <c r="E15" s="148" t="s">
        <v>31</v>
      </c>
      <c r="F15" s="137">
        <v>4</v>
      </c>
      <c r="G15" s="137">
        <v>116.08</v>
      </c>
      <c r="H15" s="137">
        <f>ROUND(G15*(1+$L$4),2)</f>
        <v>146.88</v>
      </c>
      <c r="I15" s="138">
        <f>TRUNC(F15*H15,2)</f>
        <v>587.52</v>
      </c>
      <c r="J15" s="167"/>
      <c r="K15" s="111"/>
      <c r="L15" s="111"/>
      <c r="M15" s="111"/>
      <c r="N15" s="111"/>
      <c r="O15" s="111"/>
      <c r="P15" s="111"/>
      <c r="Q15" s="111"/>
    </row>
    <row r="16" spans="1:18" s="118" customFormat="1" ht="30.6" x14ac:dyDescent="0.2">
      <c r="A16" s="148" t="s">
        <v>583</v>
      </c>
      <c r="B16" s="148" t="s">
        <v>179</v>
      </c>
      <c r="C16" s="14" t="s">
        <v>672</v>
      </c>
      <c r="D16" s="314" t="s">
        <v>567</v>
      </c>
      <c r="E16" s="148" t="s">
        <v>33</v>
      </c>
      <c r="F16" s="137">
        <v>2</v>
      </c>
      <c r="G16" s="137">
        <f>'COMPOSICOES - SINAPI COM DESON'!G50</f>
        <v>104.48</v>
      </c>
      <c r="H16" s="137">
        <f>ROUND(G16*(1+$L$4),2)</f>
        <v>132.19999999999999</v>
      </c>
      <c r="I16" s="138">
        <f>TRUNC(F16*H16,2)</f>
        <v>264.39999999999998</v>
      </c>
      <c r="J16" s="167"/>
      <c r="K16" s="111"/>
      <c r="L16" s="111"/>
      <c r="M16" s="111"/>
      <c r="N16" s="111"/>
      <c r="O16" s="111"/>
      <c r="P16" s="111"/>
      <c r="Q16" s="111"/>
    </row>
    <row r="17" spans="1:17" s="145" customFormat="1" x14ac:dyDescent="0.2">
      <c r="A17" s="140" t="s">
        <v>12</v>
      </c>
      <c r="B17" s="140"/>
      <c r="C17" s="141"/>
      <c r="D17" s="112" t="s">
        <v>211</v>
      </c>
      <c r="E17" s="140"/>
      <c r="F17" s="142"/>
      <c r="G17" s="142"/>
      <c r="H17" s="142"/>
      <c r="I17" s="143">
        <f>SUM(I18:I22)</f>
        <v>1414.9299999999998</v>
      </c>
      <c r="J17" s="285"/>
      <c r="K17" s="144"/>
      <c r="L17" s="144"/>
      <c r="M17" s="144"/>
      <c r="N17" s="144"/>
      <c r="O17" s="144"/>
      <c r="P17" s="144"/>
      <c r="Q17" s="144"/>
    </row>
    <row r="18" spans="1:17" s="118" customFormat="1" ht="30.6" x14ac:dyDescent="0.2">
      <c r="A18" s="148" t="s">
        <v>584</v>
      </c>
      <c r="B18" s="148" t="s">
        <v>163</v>
      </c>
      <c r="C18" s="14" t="s">
        <v>249</v>
      </c>
      <c r="D18" s="314" t="s">
        <v>414</v>
      </c>
      <c r="E18" s="148" t="s">
        <v>33</v>
      </c>
      <c r="F18" s="137">
        <v>3</v>
      </c>
      <c r="G18" s="137">
        <v>116.1</v>
      </c>
      <c r="H18" s="137">
        <f>ROUND(G18*(1+$L$4),2)</f>
        <v>146.9</v>
      </c>
      <c r="I18" s="138">
        <f>TRUNC(F18*H18,2)</f>
        <v>440.7</v>
      </c>
      <c r="J18" s="167"/>
      <c r="K18" s="111"/>
      <c r="L18" s="111"/>
      <c r="M18" s="111"/>
      <c r="N18" s="111"/>
      <c r="O18" s="111"/>
      <c r="P18" s="111"/>
      <c r="Q18" s="111"/>
    </row>
    <row r="19" spans="1:17" s="118" customFormat="1" ht="30.6" x14ac:dyDescent="0.2">
      <c r="A19" s="148" t="s">
        <v>585</v>
      </c>
      <c r="B19" s="148" t="s">
        <v>163</v>
      </c>
      <c r="C19" s="14" t="s">
        <v>194</v>
      </c>
      <c r="D19" s="314" t="s">
        <v>252</v>
      </c>
      <c r="E19" s="148" t="s">
        <v>31</v>
      </c>
      <c r="F19" s="137">
        <v>2</v>
      </c>
      <c r="G19" s="137">
        <v>64.06</v>
      </c>
      <c r="H19" s="137">
        <f>ROUND(G19*(1+$L$4),2)</f>
        <v>81.06</v>
      </c>
      <c r="I19" s="138">
        <f>TRUNC(F19*H19,2)</f>
        <v>162.12</v>
      </c>
      <c r="J19" s="167"/>
      <c r="K19" s="111"/>
      <c r="L19" s="111"/>
      <c r="M19" s="111"/>
      <c r="N19" s="111"/>
      <c r="O19" s="111"/>
      <c r="P19" s="111"/>
      <c r="Q19" s="111"/>
    </row>
    <row r="20" spans="1:17" s="118" customFormat="1" ht="30.6" x14ac:dyDescent="0.2">
      <c r="A20" s="148" t="s">
        <v>586</v>
      </c>
      <c r="B20" s="148" t="s">
        <v>163</v>
      </c>
      <c r="C20" s="14" t="s">
        <v>412</v>
      </c>
      <c r="D20" s="314" t="s">
        <v>413</v>
      </c>
      <c r="E20" s="148" t="s">
        <v>31</v>
      </c>
      <c r="F20" s="137">
        <v>1</v>
      </c>
      <c r="G20" s="137">
        <v>62.2</v>
      </c>
      <c r="H20" s="137">
        <f>ROUND(G20*(1+$L$4),2)</f>
        <v>78.7</v>
      </c>
      <c r="I20" s="138">
        <f>TRUNC(F20*H20,2)</f>
        <v>78.7</v>
      </c>
      <c r="J20" s="167"/>
      <c r="K20" s="111"/>
      <c r="L20" s="111"/>
      <c r="M20" s="111"/>
      <c r="N20" s="111"/>
      <c r="O20" s="111"/>
      <c r="P20" s="111"/>
      <c r="Q20" s="111"/>
    </row>
    <row r="21" spans="1:17" s="118" customFormat="1" ht="51" x14ac:dyDescent="0.2">
      <c r="A21" s="148" t="s">
        <v>587</v>
      </c>
      <c r="B21" s="148" t="s">
        <v>89</v>
      </c>
      <c r="C21" s="14">
        <v>86942</v>
      </c>
      <c r="D21" s="314" t="s">
        <v>310</v>
      </c>
      <c r="E21" s="148" t="s">
        <v>33</v>
      </c>
      <c r="F21" s="137">
        <v>1</v>
      </c>
      <c r="G21" s="137">
        <v>168.74</v>
      </c>
      <c r="H21" s="137">
        <f>ROUND(G21*(1+$L$4),2)</f>
        <v>213.51</v>
      </c>
      <c r="I21" s="138">
        <f>TRUNC(F21*H21,2)</f>
        <v>213.51</v>
      </c>
      <c r="J21" s="167"/>
      <c r="K21" s="111"/>
      <c r="L21" s="111"/>
      <c r="M21" s="111"/>
      <c r="N21" s="111"/>
      <c r="O21" s="111"/>
      <c r="P21" s="111"/>
      <c r="Q21" s="111"/>
    </row>
    <row r="22" spans="1:17" s="118" customFormat="1" ht="51" x14ac:dyDescent="0.2">
      <c r="A22" s="148" t="s">
        <v>588</v>
      </c>
      <c r="B22" s="148" t="s">
        <v>89</v>
      </c>
      <c r="C22" s="14">
        <v>72739</v>
      </c>
      <c r="D22" s="314" t="s">
        <v>311</v>
      </c>
      <c r="E22" s="148" t="s">
        <v>33</v>
      </c>
      <c r="F22" s="137">
        <v>1</v>
      </c>
      <c r="G22" s="137">
        <v>410.89</v>
      </c>
      <c r="H22" s="137">
        <f>ROUND(G22*(1+$L$4),2)</f>
        <v>519.9</v>
      </c>
      <c r="I22" s="138">
        <f>TRUNC(F22*H22,2)</f>
        <v>519.9</v>
      </c>
      <c r="J22" s="167"/>
      <c r="K22" s="111"/>
      <c r="L22" s="111"/>
      <c r="M22" s="111"/>
      <c r="N22" s="111"/>
      <c r="O22" s="111"/>
      <c r="P22" s="111"/>
      <c r="Q22" s="111"/>
    </row>
    <row r="23" spans="1:17" s="145" customFormat="1" x14ac:dyDescent="0.2">
      <c r="A23" s="140" t="s">
        <v>59</v>
      </c>
      <c r="B23" s="140"/>
      <c r="C23" s="141"/>
      <c r="D23" s="112" t="s">
        <v>80</v>
      </c>
      <c r="E23" s="140"/>
      <c r="F23" s="142"/>
      <c r="G23" s="142"/>
      <c r="H23" s="142"/>
      <c r="I23" s="143">
        <f>SUM(I24:I25)</f>
        <v>1636.5600000000002</v>
      </c>
      <c r="J23" s="285"/>
      <c r="K23" s="144"/>
      <c r="L23" s="144"/>
      <c r="M23" s="144"/>
      <c r="N23" s="144"/>
      <c r="O23" s="144"/>
      <c r="P23" s="144"/>
      <c r="Q23" s="144"/>
    </row>
    <row r="24" spans="1:17" s="118" customFormat="1" ht="30.6" x14ac:dyDescent="0.2">
      <c r="A24" s="148" t="s">
        <v>589</v>
      </c>
      <c r="B24" s="148" t="s">
        <v>89</v>
      </c>
      <c r="C24" s="14">
        <v>11587</v>
      </c>
      <c r="D24" s="314" t="s">
        <v>581</v>
      </c>
      <c r="E24" s="148" t="s">
        <v>9</v>
      </c>
      <c r="F24" s="137">
        <v>5.6</v>
      </c>
      <c r="G24" s="137">
        <v>59.97</v>
      </c>
      <c r="H24" s="137">
        <f>ROUND(G24*(1+$L$4),2)</f>
        <v>75.88</v>
      </c>
      <c r="I24" s="138">
        <f>TRUNC(F24*H24,2)</f>
        <v>424.92</v>
      </c>
      <c r="J24" s="167"/>
      <c r="K24" s="111"/>
      <c r="L24" s="111"/>
      <c r="M24" s="111"/>
      <c r="N24" s="111"/>
      <c r="O24" s="111"/>
      <c r="P24" s="111"/>
      <c r="Q24" s="111"/>
    </row>
    <row r="25" spans="1:17" s="118" customFormat="1" x14ac:dyDescent="0.2">
      <c r="A25" s="148" t="s">
        <v>590</v>
      </c>
      <c r="B25" s="148" t="s">
        <v>179</v>
      </c>
      <c r="C25" s="14" t="s">
        <v>316</v>
      </c>
      <c r="D25" s="314" t="s">
        <v>317</v>
      </c>
      <c r="E25" s="148" t="s">
        <v>9</v>
      </c>
      <c r="F25" s="137">
        <v>165.3</v>
      </c>
      <c r="G25" s="137">
        <f>'COMPOSICOES - SINAPI COM DESON'!G18</f>
        <v>5.79</v>
      </c>
      <c r="H25" s="137">
        <f>ROUND(G25*(1+$L$4),2)</f>
        <v>7.33</v>
      </c>
      <c r="I25" s="138">
        <f>TRUNC(F25*H25,2)</f>
        <v>1211.6400000000001</v>
      </c>
      <c r="J25" s="167"/>
      <c r="K25" s="111"/>
      <c r="L25" s="111"/>
      <c r="M25" s="111"/>
      <c r="N25" s="111"/>
      <c r="O25" s="111"/>
      <c r="P25" s="111"/>
      <c r="Q25" s="111"/>
    </row>
    <row r="26" spans="1:17" s="145" customFormat="1" x14ac:dyDescent="0.2">
      <c r="A26" s="140" t="s">
        <v>689</v>
      </c>
      <c r="B26" s="140"/>
      <c r="C26" s="141"/>
      <c r="D26" s="112" t="s">
        <v>267</v>
      </c>
      <c r="E26" s="140"/>
      <c r="F26" s="142"/>
      <c r="G26" s="142"/>
      <c r="H26" s="142"/>
      <c r="I26" s="143">
        <f>SUM(I27:I30)</f>
        <v>1202.9000000000001</v>
      </c>
      <c r="J26" s="285"/>
      <c r="K26" s="144"/>
      <c r="L26" s="144"/>
      <c r="M26" s="144"/>
      <c r="N26" s="144"/>
      <c r="O26" s="144"/>
      <c r="P26" s="144"/>
      <c r="Q26" s="144"/>
    </row>
    <row r="27" spans="1:17" s="118" customFormat="1" ht="20.399999999999999" x14ac:dyDescent="0.2">
      <c r="A27" s="148" t="s">
        <v>690</v>
      </c>
      <c r="B27" s="148" t="s">
        <v>163</v>
      </c>
      <c r="C27" s="14" t="s">
        <v>186</v>
      </c>
      <c r="D27" s="314" t="s">
        <v>510</v>
      </c>
      <c r="E27" s="148" t="s">
        <v>9</v>
      </c>
      <c r="F27" s="137">
        <v>18.95</v>
      </c>
      <c r="G27" s="137">
        <v>5.98</v>
      </c>
      <c r="H27" s="137">
        <f>ROUND(G27*(1+$L$4),2)</f>
        <v>7.57</v>
      </c>
      <c r="I27" s="138">
        <f>TRUNC(F27*H27,2)</f>
        <v>143.44999999999999</v>
      </c>
      <c r="J27" s="167"/>
      <c r="K27" s="111"/>
      <c r="L27" s="111"/>
      <c r="M27" s="111"/>
      <c r="N27" s="111"/>
      <c r="O27" s="111"/>
      <c r="P27" s="111"/>
      <c r="Q27" s="111"/>
    </row>
    <row r="28" spans="1:17" s="118" customFormat="1" ht="30.6" x14ac:dyDescent="0.2">
      <c r="A28" s="148" t="s">
        <v>693</v>
      </c>
      <c r="B28" s="148" t="s">
        <v>163</v>
      </c>
      <c r="C28" s="14" t="s">
        <v>691</v>
      </c>
      <c r="D28" s="314" t="s">
        <v>692</v>
      </c>
      <c r="E28" s="148" t="s">
        <v>9</v>
      </c>
      <c r="F28" s="137">
        <v>18.95</v>
      </c>
      <c r="G28" s="137">
        <v>31.31</v>
      </c>
      <c r="H28" s="137">
        <f>ROUND(G28*(1+$L$4),2)</f>
        <v>39.619999999999997</v>
      </c>
      <c r="I28" s="138">
        <f>TRUNC(F28*H28,2)</f>
        <v>750.79</v>
      </c>
      <c r="J28" s="167"/>
      <c r="K28" s="111"/>
      <c r="L28" s="111"/>
      <c r="M28" s="111"/>
      <c r="N28" s="111"/>
      <c r="O28" s="111"/>
      <c r="P28" s="111"/>
      <c r="Q28" s="111"/>
    </row>
    <row r="29" spans="1:17" s="118" customFormat="1" x14ac:dyDescent="0.2">
      <c r="A29" s="148" t="s">
        <v>725</v>
      </c>
      <c r="B29" s="148" t="s">
        <v>163</v>
      </c>
      <c r="C29" s="14" t="s">
        <v>727</v>
      </c>
      <c r="D29" s="314" t="s">
        <v>730</v>
      </c>
      <c r="E29" s="148" t="s">
        <v>42</v>
      </c>
      <c r="F29" s="137">
        <v>0.54</v>
      </c>
      <c r="G29" s="137">
        <v>170.86</v>
      </c>
      <c r="H29" s="137">
        <f>ROUND(G29*(1+$L$4),2)</f>
        <v>216.19</v>
      </c>
      <c r="I29" s="138">
        <f>TRUNC(F29*H29,2)</f>
        <v>116.74</v>
      </c>
      <c r="J29" s="167"/>
      <c r="K29" s="111"/>
      <c r="L29" s="111"/>
      <c r="M29" s="111"/>
      <c r="N29" s="111"/>
      <c r="O29" s="111"/>
      <c r="P29" s="111"/>
      <c r="Q29" s="111"/>
    </row>
    <row r="30" spans="1:17" s="118" customFormat="1" ht="30.6" x14ac:dyDescent="0.2">
      <c r="A30" s="148" t="s">
        <v>726</v>
      </c>
      <c r="B30" s="148" t="s">
        <v>89</v>
      </c>
      <c r="C30" s="14">
        <v>90280</v>
      </c>
      <c r="D30" s="314" t="s">
        <v>694</v>
      </c>
      <c r="E30" s="148" t="s">
        <v>42</v>
      </c>
      <c r="F30" s="137">
        <v>0.54</v>
      </c>
      <c r="G30" s="137">
        <v>280.89999999999998</v>
      </c>
      <c r="H30" s="137">
        <f>ROUND(G30*(1+$L$4),2)</f>
        <v>355.42</v>
      </c>
      <c r="I30" s="138">
        <f>TRUNC(F30*H30,2)</f>
        <v>191.92</v>
      </c>
      <c r="J30" s="167"/>
      <c r="K30" s="111"/>
      <c r="L30" s="111"/>
      <c r="M30" s="111"/>
      <c r="N30" s="111"/>
      <c r="O30" s="111"/>
      <c r="P30" s="111"/>
      <c r="Q30" s="111"/>
    </row>
    <row r="31" spans="1:17" s="118" customFormat="1" x14ac:dyDescent="0.2">
      <c r="A31" s="148"/>
      <c r="B31" s="148"/>
      <c r="C31" s="14"/>
      <c r="D31" s="314"/>
      <c r="E31" s="148"/>
      <c r="F31" s="137"/>
      <c r="G31" s="137"/>
      <c r="H31" s="137"/>
      <c r="I31" s="138"/>
      <c r="J31" s="167"/>
      <c r="K31" s="111"/>
      <c r="L31" s="111"/>
      <c r="M31" s="111"/>
      <c r="N31" s="111"/>
      <c r="O31" s="111"/>
      <c r="P31" s="111"/>
      <c r="Q31" s="111"/>
    </row>
    <row r="32" spans="1:17" s="241" customFormat="1" ht="13.2" x14ac:dyDescent="0.25">
      <c r="A32" s="236" t="s">
        <v>13</v>
      </c>
      <c r="B32" s="236"/>
      <c r="C32" s="237"/>
      <c r="D32" s="289" t="s">
        <v>213</v>
      </c>
      <c r="E32" s="236"/>
      <c r="F32" s="238"/>
      <c r="G32" s="238"/>
      <c r="H32" s="238"/>
      <c r="I32" s="239" t="e">
        <f>I33+I42+I50+I52</f>
        <v>#VALUE!</v>
      </c>
      <c r="J32" s="284" t="e">
        <f>I32/$I$476</f>
        <v>#VALUE!</v>
      </c>
      <c r="K32" s="240"/>
      <c r="L32" s="240"/>
      <c r="M32" s="240"/>
      <c r="N32" s="240"/>
      <c r="O32" s="240"/>
      <c r="P32" s="240"/>
      <c r="Q32" s="240"/>
    </row>
    <row r="33" spans="1:17" s="145" customFormat="1" x14ac:dyDescent="0.2">
      <c r="A33" s="140" t="s">
        <v>14</v>
      </c>
      <c r="B33" s="140"/>
      <c r="C33" s="141"/>
      <c r="D33" s="112" t="s">
        <v>30</v>
      </c>
      <c r="E33" s="140"/>
      <c r="F33" s="142"/>
      <c r="G33" s="142"/>
      <c r="H33" s="142"/>
      <c r="I33" s="143" t="e">
        <f>SUM(I34:I41)</f>
        <v>#VALUE!</v>
      </c>
      <c r="J33" s="285"/>
      <c r="K33" s="144"/>
      <c r="L33" s="144"/>
      <c r="M33" s="144"/>
      <c r="N33" s="144"/>
      <c r="O33" s="144"/>
      <c r="P33" s="144"/>
      <c r="Q33" s="144"/>
    </row>
    <row r="34" spans="1:17" s="118" customFormat="1" ht="30.6" x14ac:dyDescent="0.2">
      <c r="A34" s="148" t="s">
        <v>355</v>
      </c>
      <c r="B34" s="148" t="s">
        <v>163</v>
      </c>
      <c r="C34" s="14" t="s">
        <v>240</v>
      </c>
      <c r="D34" s="314" t="s">
        <v>403</v>
      </c>
      <c r="E34" s="148" t="s">
        <v>31</v>
      </c>
      <c r="F34" s="137">
        <v>2</v>
      </c>
      <c r="G34" s="137">
        <v>73.44</v>
      </c>
      <c r="H34" s="137">
        <f t="shared" ref="H34:H41" si="0">ROUND(G34*(1+$L$4),2)</f>
        <v>92.92</v>
      </c>
      <c r="I34" s="138">
        <f t="shared" ref="I34:I41" si="1">TRUNC(F34*H34,2)</f>
        <v>185.84</v>
      </c>
      <c r="J34" s="167"/>
      <c r="K34" s="111"/>
      <c r="L34" s="111"/>
      <c r="M34" s="111"/>
      <c r="N34" s="111"/>
      <c r="O34" s="111"/>
      <c r="P34" s="111"/>
      <c r="Q34" s="111"/>
    </row>
    <row r="35" spans="1:17" s="118" customFormat="1" ht="51" x14ac:dyDescent="0.2">
      <c r="A35" s="148" t="s">
        <v>356</v>
      </c>
      <c r="B35" s="148" t="s">
        <v>179</v>
      </c>
      <c r="C35" s="14" t="s">
        <v>417</v>
      </c>
      <c r="D35" s="314" t="s">
        <v>561</v>
      </c>
      <c r="E35" s="148" t="s">
        <v>31</v>
      </c>
      <c r="F35" s="137">
        <v>6</v>
      </c>
      <c r="G35" s="137" t="e">
        <f>'COMPOSICOES - SINAPI COM DESON'!G36</f>
        <v>#VALUE!</v>
      </c>
      <c r="H35" s="137" t="e">
        <f t="shared" si="0"/>
        <v>#VALUE!</v>
      </c>
      <c r="I35" s="138" t="e">
        <f t="shared" si="1"/>
        <v>#VALUE!</v>
      </c>
      <c r="J35" s="167"/>
      <c r="K35" s="111"/>
      <c r="L35" s="111"/>
      <c r="M35" s="111"/>
      <c r="N35" s="111"/>
      <c r="O35" s="111"/>
      <c r="P35" s="111"/>
      <c r="Q35" s="111"/>
    </row>
    <row r="36" spans="1:17" s="118" customFormat="1" ht="40.799999999999997" x14ac:dyDescent="0.2">
      <c r="A36" s="148" t="s">
        <v>363</v>
      </c>
      <c r="B36" s="148" t="s">
        <v>163</v>
      </c>
      <c r="C36" s="14" t="s">
        <v>244</v>
      </c>
      <c r="D36" s="314" t="s">
        <v>245</v>
      </c>
      <c r="E36" s="148" t="s">
        <v>31</v>
      </c>
      <c r="F36" s="137">
        <v>4</v>
      </c>
      <c r="G36" s="137">
        <v>116.08</v>
      </c>
      <c r="H36" s="137">
        <f t="shared" si="0"/>
        <v>146.88</v>
      </c>
      <c r="I36" s="138">
        <f t="shared" si="1"/>
        <v>587.52</v>
      </c>
      <c r="J36" s="167"/>
      <c r="K36" s="111"/>
      <c r="L36" s="111"/>
      <c r="M36" s="111"/>
      <c r="N36" s="111"/>
      <c r="O36" s="111"/>
      <c r="P36" s="111"/>
      <c r="Q36" s="111"/>
    </row>
    <row r="37" spans="1:17" s="118" customFormat="1" ht="30.6" x14ac:dyDescent="0.2">
      <c r="A37" s="148" t="s">
        <v>364</v>
      </c>
      <c r="B37" s="148" t="s">
        <v>179</v>
      </c>
      <c r="C37" s="14" t="s">
        <v>556</v>
      </c>
      <c r="D37" s="314" t="s">
        <v>567</v>
      </c>
      <c r="E37" s="148" t="s">
        <v>33</v>
      </c>
      <c r="F37" s="137">
        <v>24</v>
      </c>
      <c r="G37" s="137">
        <f>'COMPOSICOES - SINAPI COM DESON'!G50</f>
        <v>104.48</v>
      </c>
      <c r="H37" s="137">
        <f t="shared" si="0"/>
        <v>132.19999999999999</v>
      </c>
      <c r="I37" s="138">
        <f t="shared" si="1"/>
        <v>3172.8</v>
      </c>
      <c r="J37" s="167"/>
      <c r="K37" s="111"/>
      <c r="L37" s="111"/>
      <c r="M37" s="111"/>
      <c r="N37" s="111"/>
      <c r="O37" s="111"/>
      <c r="P37" s="111"/>
      <c r="Q37" s="111"/>
    </row>
    <row r="38" spans="1:17" s="118" customFormat="1" ht="40.799999999999997" x14ac:dyDescent="0.2">
      <c r="A38" s="148" t="s">
        <v>731</v>
      </c>
      <c r="B38" s="148" t="s">
        <v>89</v>
      </c>
      <c r="C38" s="14">
        <v>93144</v>
      </c>
      <c r="D38" s="314" t="s">
        <v>295</v>
      </c>
      <c r="E38" s="148" t="s">
        <v>33</v>
      </c>
      <c r="F38" s="137">
        <v>1</v>
      </c>
      <c r="G38" s="137">
        <v>166.81</v>
      </c>
      <c r="H38" s="137">
        <f t="shared" si="0"/>
        <v>211.06</v>
      </c>
      <c r="I38" s="138">
        <f t="shared" si="1"/>
        <v>211.06</v>
      </c>
      <c r="J38" s="167"/>
      <c r="K38" s="111"/>
      <c r="L38" s="111"/>
      <c r="M38" s="111"/>
      <c r="N38" s="111"/>
      <c r="O38" s="111"/>
      <c r="P38" s="111"/>
      <c r="Q38" s="111"/>
    </row>
    <row r="39" spans="1:17" s="118" customFormat="1" ht="40.799999999999997" x14ac:dyDescent="0.2">
      <c r="A39" s="148" t="s">
        <v>732</v>
      </c>
      <c r="B39" s="148" t="s">
        <v>163</v>
      </c>
      <c r="C39" s="14" t="s">
        <v>192</v>
      </c>
      <c r="D39" s="314" t="s">
        <v>712</v>
      </c>
      <c r="E39" s="148" t="s">
        <v>31</v>
      </c>
      <c r="F39" s="137">
        <v>1</v>
      </c>
      <c r="G39" s="137">
        <v>46.44</v>
      </c>
      <c r="H39" s="137">
        <f t="shared" si="0"/>
        <v>58.76</v>
      </c>
      <c r="I39" s="138">
        <f t="shared" si="1"/>
        <v>58.76</v>
      </c>
      <c r="J39" s="167"/>
      <c r="K39" s="111"/>
      <c r="L39" s="111"/>
      <c r="M39" s="111"/>
      <c r="N39" s="111"/>
      <c r="O39" s="111"/>
      <c r="P39" s="111"/>
      <c r="Q39" s="111"/>
    </row>
    <row r="40" spans="1:17" s="118" customFormat="1" ht="40.799999999999997" x14ac:dyDescent="0.2">
      <c r="A40" s="148" t="s">
        <v>733</v>
      </c>
      <c r="B40" s="148" t="s">
        <v>163</v>
      </c>
      <c r="C40" s="14" t="s">
        <v>188</v>
      </c>
      <c r="D40" s="314" t="s">
        <v>719</v>
      </c>
      <c r="E40" s="148" t="s">
        <v>33</v>
      </c>
      <c r="F40" s="137">
        <v>1</v>
      </c>
      <c r="G40" s="137">
        <v>65.69</v>
      </c>
      <c r="H40" s="137">
        <f t="shared" si="0"/>
        <v>83.12</v>
      </c>
      <c r="I40" s="138">
        <f t="shared" si="1"/>
        <v>83.12</v>
      </c>
      <c r="J40" s="167"/>
      <c r="K40" s="111"/>
      <c r="L40" s="111"/>
      <c r="M40" s="111"/>
      <c r="N40" s="111"/>
      <c r="O40" s="111"/>
      <c r="P40" s="111"/>
      <c r="Q40" s="111"/>
    </row>
    <row r="41" spans="1:17" s="118" customFormat="1" ht="30.6" x14ac:dyDescent="0.2">
      <c r="A41" s="148" t="s">
        <v>734</v>
      </c>
      <c r="B41" s="148" t="s">
        <v>163</v>
      </c>
      <c r="C41" s="14" t="s">
        <v>190</v>
      </c>
      <c r="D41" s="314" t="s">
        <v>290</v>
      </c>
      <c r="E41" s="148" t="s">
        <v>33</v>
      </c>
      <c r="F41" s="137">
        <v>6</v>
      </c>
      <c r="G41" s="137">
        <v>14.55</v>
      </c>
      <c r="H41" s="137">
        <f t="shared" si="0"/>
        <v>18.41</v>
      </c>
      <c r="I41" s="138">
        <f t="shared" si="1"/>
        <v>110.46</v>
      </c>
      <c r="J41" s="167"/>
      <c r="K41" s="111"/>
      <c r="L41" s="111"/>
      <c r="M41" s="111"/>
      <c r="N41" s="111"/>
      <c r="O41" s="111"/>
      <c r="P41" s="111"/>
      <c r="Q41" s="111"/>
    </row>
    <row r="42" spans="1:17" s="145" customFormat="1" x14ac:dyDescent="0.2">
      <c r="A42" s="140" t="s">
        <v>15</v>
      </c>
      <c r="B42" s="140"/>
      <c r="C42" s="141"/>
      <c r="D42" s="112" t="s">
        <v>211</v>
      </c>
      <c r="E42" s="140"/>
      <c r="F42" s="142"/>
      <c r="G42" s="142"/>
      <c r="H42" s="142"/>
      <c r="I42" s="143">
        <f>SUM(I43:I49)</f>
        <v>1358.53</v>
      </c>
      <c r="J42" s="285"/>
      <c r="K42" s="144"/>
      <c r="L42" s="144"/>
      <c r="M42" s="144"/>
      <c r="N42" s="144"/>
      <c r="O42" s="144"/>
      <c r="P42" s="144"/>
      <c r="Q42" s="144"/>
    </row>
    <row r="43" spans="1:17" s="118" customFormat="1" ht="30.6" x14ac:dyDescent="0.2">
      <c r="A43" s="148" t="s">
        <v>365</v>
      </c>
      <c r="B43" s="148" t="s">
        <v>163</v>
      </c>
      <c r="C43" s="14" t="s">
        <v>249</v>
      </c>
      <c r="D43" s="314" t="s">
        <v>414</v>
      </c>
      <c r="E43" s="148" t="s">
        <v>33</v>
      </c>
      <c r="F43" s="137">
        <v>2</v>
      </c>
      <c r="G43" s="137">
        <v>116.1</v>
      </c>
      <c r="H43" s="137">
        <f t="shared" ref="H43:H49" si="2">ROUND(G43*(1+$L$4),2)</f>
        <v>146.9</v>
      </c>
      <c r="I43" s="138">
        <f t="shared" ref="I43:I49" si="3">TRUNC(F43*H43,2)</f>
        <v>293.8</v>
      </c>
      <c r="J43" s="167"/>
      <c r="K43" s="111"/>
      <c r="L43" s="111"/>
      <c r="M43" s="111"/>
      <c r="N43" s="111"/>
      <c r="O43" s="111"/>
      <c r="P43" s="111"/>
      <c r="Q43" s="111"/>
    </row>
    <row r="44" spans="1:17" s="118" customFormat="1" x14ac:dyDescent="0.2">
      <c r="A44" s="148" t="s">
        <v>366</v>
      </c>
      <c r="B44" s="148" t="s">
        <v>89</v>
      </c>
      <c r="C44" s="14" t="s">
        <v>334</v>
      </c>
      <c r="D44" s="314" t="s">
        <v>335</v>
      </c>
      <c r="E44" s="148" t="s">
        <v>33</v>
      </c>
      <c r="F44" s="137">
        <v>3</v>
      </c>
      <c r="G44" s="137">
        <v>22.9</v>
      </c>
      <c r="H44" s="137">
        <f t="shared" si="2"/>
        <v>28.98</v>
      </c>
      <c r="I44" s="138">
        <f t="shared" si="3"/>
        <v>86.94</v>
      </c>
      <c r="J44" s="167"/>
      <c r="K44" s="111"/>
      <c r="L44" s="111"/>
      <c r="M44" s="111"/>
      <c r="N44" s="111"/>
      <c r="O44" s="111"/>
      <c r="P44" s="111"/>
      <c r="Q44" s="111"/>
    </row>
    <row r="45" spans="1:17" s="118" customFormat="1" ht="20.399999999999999" x14ac:dyDescent="0.2">
      <c r="A45" s="148" t="s">
        <v>367</v>
      </c>
      <c r="B45" s="148" t="s">
        <v>163</v>
      </c>
      <c r="C45" s="14" t="s">
        <v>349</v>
      </c>
      <c r="D45" s="314" t="s">
        <v>350</v>
      </c>
      <c r="E45" s="148" t="s">
        <v>33</v>
      </c>
      <c r="F45" s="137">
        <v>1</v>
      </c>
      <c r="G45" s="137">
        <v>12.45</v>
      </c>
      <c r="H45" s="137">
        <f t="shared" si="2"/>
        <v>15.75</v>
      </c>
      <c r="I45" s="138">
        <f t="shared" si="3"/>
        <v>15.75</v>
      </c>
      <c r="J45" s="167"/>
      <c r="K45" s="111"/>
      <c r="L45" s="111"/>
      <c r="M45" s="111"/>
      <c r="N45" s="111"/>
      <c r="O45" s="111"/>
      <c r="P45" s="111"/>
      <c r="Q45" s="111"/>
    </row>
    <row r="46" spans="1:17" s="118" customFormat="1" ht="20.399999999999999" x14ac:dyDescent="0.2">
      <c r="A46" s="148" t="s">
        <v>368</v>
      </c>
      <c r="B46" s="148" t="s">
        <v>89</v>
      </c>
      <c r="C46" s="14">
        <v>9535</v>
      </c>
      <c r="D46" s="314" t="s">
        <v>369</v>
      </c>
      <c r="E46" s="148" t="s">
        <v>33</v>
      </c>
      <c r="F46" s="137">
        <v>3</v>
      </c>
      <c r="G46" s="137">
        <v>67.67</v>
      </c>
      <c r="H46" s="137">
        <f t="shared" si="2"/>
        <v>85.62</v>
      </c>
      <c r="I46" s="138">
        <f t="shared" si="3"/>
        <v>256.86</v>
      </c>
      <c r="J46" s="167"/>
      <c r="K46" s="111"/>
      <c r="L46" s="111"/>
      <c r="M46" s="111"/>
      <c r="N46" s="111"/>
      <c r="O46" s="111"/>
      <c r="P46" s="111"/>
      <c r="Q46" s="111"/>
    </row>
    <row r="47" spans="1:17" s="118" customFormat="1" ht="30.6" x14ac:dyDescent="0.2">
      <c r="A47" s="148" t="s">
        <v>370</v>
      </c>
      <c r="B47" s="148" t="s">
        <v>163</v>
      </c>
      <c r="C47" s="14" t="s">
        <v>192</v>
      </c>
      <c r="D47" s="314" t="s">
        <v>371</v>
      </c>
      <c r="E47" s="148" t="s">
        <v>31</v>
      </c>
      <c r="F47" s="137">
        <v>2</v>
      </c>
      <c r="G47" s="137">
        <v>46.44</v>
      </c>
      <c r="H47" s="137">
        <f t="shared" si="2"/>
        <v>58.76</v>
      </c>
      <c r="I47" s="138">
        <f t="shared" si="3"/>
        <v>117.52</v>
      </c>
      <c r="J47" s="167"/>
      <c r="K47" s="111"/>
      <c r="L47" s="111"/>
      <c r="M47" s="111"/>
      <c r="N47" s="111"/>
      <c r="O47" s="111"/>
      <c r="P47" s="111"/>
      <c r="Q47" s="111"/>
    </row>
    <row r="48" spans="1:17" s="118" customFormat="1" ht="30.6" x14ac:dyDescent="0.2">
      <c r="A48" s="148" t="s">
        <v>375</v>
      </c>
      <c r="B48" s="148" t="s">
        <v>163</v>
      </c>
      <c r="C48" s="14" t="s">
        <v>376</v>
      </c>
      <c r="D48" s="314" t="s">
        <v>377</v>
      </c>
      <c r="E48" s="148" t="s">
        <v>33</v>
      </c>
      <c r="F48" s="137">
        <v>1</v>
      </c>
      <c r="G48" s="137">
        <v>176.44</v>
      </c>
      <c r="H48" s="137">
        <f t="shared" si="2"/>
        <v>223.25</v>
      </c>
      <c r="I48" s="138">
        <f t="shared" si="3"/>
        <v>223.25</v>
      </c>
      <c r="J48" s="167"/>
      <c r="K48" s="111"/>
      <c r="L48" s="111"/>
      <c r="M48" s="111"/>
      <c r="N48" s="111"/>
      <c r="O48" s="111"/>
      <c r="P48" s="111"/>
      <c r="Q48" s="111"/>
    </row>
    <row r="49" spans="1:17" s="118" customFormat="1" ht="30.6" x14ac:dyDescent="0.2">
      <c r="A49" s="148" t="s">
        <v>378</v>
      </c>
      <c r="B49" s="148" t="s">
        <v>163</v>
      </c>
      <c r="C49" s="14" t="s">
        <v>210</v>
      </c>
      <c r="D49" s="314" t="s">
        <v>379</v>
      </c>
      <c r="E49" s="148" t="s">
        <v>9</v>
      </c>
      <c r="F49" s="137">
        <v>1</v>
      </c>
      <c r="G49" s="137">
        <v>288</v>
      </c>
      <c r="H49" s="137">
        <f t="shared" si="2"/>
        <v>364.41</v>
      </c>
      <c r="I49" s="138">
        <f t="shared" si="3"/>
        <v>364.41</v>
      </c>
      <c r="J49" s="167"/>
      <c r="K49" s="111"/>
      <c r="L49" s="111"/>
      <c r="M49" s="111"/>
      <c r="N49" s="111"/>
      <c r="O49" s="111"/>
      <c r="P49" s="111"/>
      <c r="Q49" s="111"/>
    </row>
    <row r="50" spans="1:17" s="145" customFormat="1" x14ac:dyDescent="0.2">
      <c r="A50" s="140" t="s">
        <v>60</v>
      </c>
      <c r="B50" s="140"/>
      <c r="C50" s="141"/>
      <c r="D50" s="112" t="s">
        <v>28</v>
      </c>
      <c r="E50" s="140"/>
      <c r="F50" s="142"/>
      <c r="G50" s="142"/>
      <c r="H50" s="142"/>
      <c r="I50" s="143">
        <f>SUM(I51)</f>
        <v>151.96</v>
      </c>
      <c r="J50" s="285"/>
      <c r="K50" s="144"/>
      <c r="L50" s="144"/>
      <c r="M50" s="144"/>
      <c r="N50" s="144"/>
      <c r="O50" s="144"/>
      <c r="P50" s="144"/>
      <c r="Q50" s="144"/>
    </row>
    <row r="51" spans="1:17" s="118" customFormat="1" ht="30.6" x14ac:dyDescent="0.2">
      <c r="A51" s="148" t="s">
        <v>372</v>
      </c>
      <c r="B51" s="148" t="s">
        <v>89</v>
      </c>
      <c r="C51" s="14">
        <v>91304</v>
      </c>
      <c r="D51" s="314" t="s">
        <v>373</v>
      </c>
      <c r="E51" s="148" t="s">
        <v>33</v>
      </c>
      <c r="F51" s="137">
        <v>2</v>
      </c>
      <c r="G51" s="137">
        <v>60.05</v>
      </c>
      <c r="H51" s="137">
        <f>ROUND(G51*(1+$L$4),2)</f>
        <v>75.98</v>
      </c>
      <c r="I51" s="138">
        <f>TRUNC(F51*H51,2)</f>
        <v>151.96</v>
      </c>
      <c r="J51" s="167"/>
      <c r="K51" s="111"/>
      <c r="L51" s="111"/>
      <c r="M51" s="111"/>
      <c r="N51" s="111"/>
      <c r="O51" s="111"/>
      <c r="P51" s="111"/>
      <c r="Q51" s="111"/>
    </row>
    <row r="52" spans="1:17" s="145" customFormat="1" x14ac:dyDescent="0.2">
      <c r="A52" s="140" t="s">
        <v>591</v>
      </c>
      <c r="B52" s="140"/>
      <c r="C52" s="141"/>
      <c r="D52" s="112" t="s">
        <v>80</v>
      </c>
      <c r="E52" s="140"/>
      <c r="F52" s="142"/>
      <c r="G52" s="142"/>
      <c r="H52" s="142"/>
      <c r="I52" s="143">
        <f>SUM(I53:I53)</f>
        <v>2764.5</v>
      </c>
      <c r="J52" s="285"/>
      <c r="K52" s="144"/>
      <c r="L52" s="144"/>
      <c r="M52" s="144"/>
      <c r="N52" s="144"/>
      <c r="O52" s="144"/>
      <c r="P52" s="144"/>
      <c r="Q52" s="144"/>
    </row>
    <row r="53" spans="1:17" s="118" customFormat="1" x14ac:dyDescent="0.2">
      <c r="A53" s="148" t="s">
        <v>592</v>
      </c>
      <c r="B53" s="148" t="s">
        <v>179</v>
      </c>
      <c r="C53" s="14" t="s">
        <v>316</v>
      </c>
      <c r="D53" s="314" t="s">
        <v>317</v>
      </c>
      <c r="E53" s="148" t="s">
        <v>9</v>
      </c>
      <c r="F53" s="137">
        <v>377.15</v>
      </c>
      <c r="G53" s="137">
        <f>'COMPOSICOES - SINAPI COM DESON'!G18</f>
        <v>5.79</v>
      </c>
      <c r="H53" s="137">
        <f>ROUND(G53*(1+$L$4),2)</f>
        <v>7.33</v>
      </c>
      <c r="I53" s="138">
        <f>TRUNC(F53*H53,2)</f>
        <v>2764.5</v>
      </c>
      <c r="J53" s="167"/>
      <c r="K53" s="111"/>
      <c r="L53" s="111"/>
      <c r="M53" s="111"/>
      <c r="N53" s="111"/>
      <c r="O53" s="111"/>
      <c r="P53" s="111"/>
      <c r="Q53" s="111"/>
    </row>
    <row r="54" spans="1:17" s="118" customFormat="1" x14ac:dyDescent="0.2">
      <c r="A54" s="148"/>
      <c r="B54" s="148"/>
      <c r="C54" s="14"/>
      <c r="D54" s="314"/>
      <c r="E54" s="148"/>
      <c r="F54" s="137"/>
      <c r="G54" s="137"/>
      <c r="H54" s="137"/>
      <c r="I54" s="138"/>
      <c r="J54" s="167"/>
      <c r="K54" s="111"/>
      <c r="L54" s="111"/>
      <c r="M54" s="111"/>
      <c r="N54" s="111"/>
      <c r="O54" s="111"/>
      <c r="P54" s="111"/>
      <c r="Q54" s="111"/>
    </row>
    <row r="55" spans="1:17" s="241" customFormat="1" ht="26.4" x14ac:dyDescent="0.25">
      <c r="A55" s="236" t="s">
        <v>16</v>
      </c>
      <c r="B55" s="236"/>
      <c r="C55" s="237"/>
      <c r="D55" s="289" t="s">
        <v>214</v>
      </c>
      <c r="E55" s="236"/>
      <c r="F55" s="238"/>
      <c r="G55" s="238"/>
      <c r="H55" s="238"/>
      <c r="I55" s="239" t="e">
        <f>SUM(I56,I65,I72)</f>
        <v>#VALUE!</v>
      </c>
      <c r="J55" s="284" t="e">
        <f>I55/$I$476</f>
        <v>#VALUE!</v>
      </c>
      <c r="K55" s="240"/>
      <c r="L55" s="240"/>
      <c r="M55" s="240"/>
      <c r="N55" s="240"/>
      <c r="O55" s="240"/>
      <c r="P55" s="240"/>
      <c r="Q55" s="240"/>
    </row>
    <row r="56" spans="1:17" s="145" customFormat="1" x14ac:dyDescent="0.2">
      <c r="A56" s="140" t="s">
        <v>17</v>
      </c>
      <c r="B56" s="140"/>
      <c r="C56" s="141"/>
      <c r="D56" s="112" t="s">
        <v>30</v>
      </c>
      <c r="E56" s="140"/>
      <c r="F56" s="142"/>
      <c r="G56" s="142"/>
      <c r="H56" s="142"/>
      <c r="I56" s="143" t="e">
        <f>SUM(I57:I64)</f>
        <v>#VALUE!</v>
      </c>
      <c r="J56" s="285"/>
      <c r="K56" s="144"/>
      <c r="L56" s="144"/>
      <c r="M56" s="144"/>
      <c r="N56" s="144"/>
      <c r="O56" s="144"/>
      <c r="P56" s="144"/>
      <c r="Q56" s="144"/>
    </row>
    <row r="57" spans="1:17" s="118" customFormat="1" ht="40.799999999999997" x14ac:dyDescent="0.2">
      <c r="A57" s="148" t="s">
        <v>405</v>
      </c>
      <c r="B57" s="148" t="s">
        <v>89</v>
      </c>
      <c r="C57" s="14">
        <v>93144</v>
      </c>
      <c r="D57" s="314" t="s">
        <v>295</v>
      </c>
      <c r="E57" s="148" t="s">
        <v>33</v>
      </c>
      <c r="F57" s="137">
        <v>5</v>
      </c>
      <c r="G57" s="137">
        <v>166.81</v>
      </c>
      <c r="H57" s="137">
        <f t="shared" ref="H57:H64" si="4">ROUND(G57*(1+$L$4),2)</f>
        <v>211.06</v>
      </c>
      <c r="I57" s="138">
        <f t="shared" ref="I57:I64" si="5">TRUNC(F57*H57,2)</f>
        <v>1055.3</v>
      </c>
      <c r="J57" s="167"/>
      <c r="K57" s="111"/>
      <c r="L57" s="111"/>
      <c r="M57" s="111"/>
      <c r="N57" s="111"/>
      <c r="O57" s="111"/>
      <c r="P57" s="111"/>
      <c r="Q57" s="111"/>
    </row>
    <row r="58" spans="1:17" s="118" customFormat="1" ht="40.799999999999997" x14ac:dyDescent="0.2">
      <c r="A58" s="148" t="s">
        <v>406</v>
      </c>
      <c r="B58" s="148" t="s">
        <v>163</v>
      </c>
      <c r="C58" s="14" t="s">
        <v>192</v>
      </c>
      <c r="D58" s="314" t="s">
        <v>712</v>
      </c>
      <c r="E58" s="148" t="s">
        <v>31</v>
      </c>
      <c r="F58" s="137">
        <v>5</v>
      </c>
      <c r="G58" s="137">
        <v>46.44</v>
      </c>
      <c r="H58" s="137">
        <f t="shared" si="4"/>
        <v>58.76</v>
      </c>
      <c r="I58" s="138">
        <f t="shared" si="5"/>
        <v>293.8</v>
      </c>
      <c r="J58" s="167"/>
      <c r="K58" s="111"/>
      <c r="L58" s="111"/>
      <c r="M58" s="111"/>
      <c r="N58" s="111"/>
      <c r="O58" s="111"/>
      <c r="P58" s="111"/>
      <c r="Q58" s="111"/>
    </row>
    <row r="59" spans="1:17" s="118" customFormat="1" ht="51" x14ac:dyDescent="0.2">
      <c r="A59" s="148" t="s">
        <v>407</v>
      </c>
      <c r="B59" s="148" t="s">
        <v>179</v>
      </c>
      <c r="C59" s="14" t="s">
        <v>417</v>
      </c>
      <c r="D59" s="314" t="s">
        <v>561</v>
      </c>
      <c r="E59" s="148" t="s">
        <v>31</v>
      </c>
      <c r="F59" s="137">
        <v>5</v>
      </c>
      <c r="G59" s="137" t="e">
        <f>'COMPOSICOES - SINAPI COM DESON'!G36</f>
        <v>#VALUE!</v>
      </c>
      <c r="H59" s="137" t="e">
        <f t="shared" si="4"/>
        <v>#VALUE!</v>
      </c>
      <c r="I59" s="138" t="e">
        <f t="shared" si="5"/>
        <v>#VALUE!</v>
      </c>
      <c r="J59" s="167"/>
      <c r="K59" s="111"/>
      <c r="L59" s="111"/>
      <c r="M59" s="111"/>
      <c r="N59" s="111"/>
      <c r="O59" s="111"/>
      <c r="P59" s="111"/>
      <c r="Q59" s="111"/>
    </row>
    <row r="60" spans="1:17" s="118" customFormat="1" ht="40.799999999999997" x14ac:dyDescent="0.2">
      <c r="A60" s="148" t="s">
        <v>408</v>
      </c>
      <c r="B60" s="148" t="s">
        <v>163</v>
      </c>
      <c r="C60" s="14" t="s">
        <v>244</v>
      </c>
      <c r="D60" s="314" t="s">
        <v>245</v>
      </c>
      <c r="E60" s="148" t="s">
        <v>31</v>
      </c>
      <c r="F60" s="137">
        <v>5</v>
      </c>
      <c r="G60" s="137">
        <v>116.08</v>
      </c>
      <c r="H60" s="137">
        <f t="shared" si="4"/>
        <v>146.88</v>
      </c>
      <c r="I60" s="138">
        <f t="shared" si="5"/>
        <v>734.4</v>
      </c>
      <c r="J60" s="167"/>
      <c r="K60" s="111"/>
      <c r="L60" s="111"/>
      <c r="M60" s="111"/>
      <c r="N60" s="111"/>
      <c r="O60" s="111"/>
      <c r="P60" s="111"/>
      <c r="Q60" s="111"/>
    </row>
    <row r="61" spans="1:17" s="118" customFormat="1" ht="40.799999999999997" x14ac:dyDescent="0.2">
      <c r="A61" s="148" t="s">
        <v>593</v>
      </c>
      <c r="B61" s="148" t="s">
        <v>163</v>
      </c>
      <c r="C61" s="14" t="s">
        <v>188</v>
      </c>
      <c r="D61" s="314" t="s">
        <v>719</v>
      </c>
      <c r="E61" s="148" t="s">
        <v>33</v>
      </c>
      <c r="F61" s="137">
        <v>1</v>
      </c>
      <c r="G61" s="137">
        <v>65.69</v>
      </c>
      <c r="H61" s="137">
        <f t="shared" si="4"/>
        <v>83.12</v>
      </c>
      <c r="I61" s="138">
        <f t="shared" si="5"/>
        <v>83.12</v>
      </c>
      <c r="J61" s="167"/>
      <c r="K61" s="111"/>
      <c r="L61" s="111"/>
      <c r="M61" s="111"/>
      <c r="N61" s="111"/>
      <c r="O61" s="111"/>
      <c r="P61" s="111"/>
      <c r="Q61" s="111"/>
    </row>
    <row r="62" spans="1:17" s="118" customFormat="1" ht="30.6" x14ac:dyDescent="0.2">
      <c r="A62" s="148" t="s">
        <v>594</v>
      </c>
      <c r="B62" s="148" t="s">
        <v>163</v>
      </c>
      <c r="C62" s="14" t="s">
        <v>190</v>
      </c>
      <c r="D62" s="314" t="s">
        <v>290</v>
      </c>
      <c r="E62" s="148" t="s">
        <v>33</v>
      </c>
      <c r="F62" s="137">
        <v>6</v>
      </c>
      <c r="G62" s="137">
        <v>14.55</v>
      </c>
      <c r="H62" s="137">
        <f t="shared" si="4"/>
        <v>18.41</v>
      </c>
      <c r="I62" s="138">
        <f t="shared" si="5"/>
        <v>110.46</v>
      </c>
      <c r="J62" s="167"/>
      <c r="K62" s="111"/>
      <c r="L62" s="111"/>
      <c r="M62" s="111"/>
      <c r="N62" s="111"/>
      <c r="O62" s="111"/>
      <c r="P62" s="111"/>
      <c r="Q62" s="111"/>
    </row>
    <row r="63" spans="1:17" s="118" customFormat="1" ht="30.6" x14ac:dyDescent="0.2">
      <c r="A63" s="148" t="s">
        <v>735</v>
      </c>
      <c r="B63" s="148" t="s">
        <v>179</v>
      </c>
      <c r="C63" s="14" t="s">
        <v>672</v>
      </c>
      <c r="D63" s="314" t="s">
        <v>567</v>
      </c>
      <c r="E63" s="148" t="s">
        <v>33</v>
      </c>
      <c r="F63" s="137">
        <v>1</v>
      </c>
      <c r="G63" s="137">
        <f>'COMPOSICOES - SINAPI COM DESON'!G50</f>
        <v>104.48</v>
      </c>
      <c r="H63" s="137">
        <f t="shared" si="4"/>
        <v>132.19999999999999</v>
      </c>
      <c r="I63" s="138">
        <f t="shared" si="5"/>
        <v>132.19999999999999</v>
      </c>
      <c r="J63" s="167"/>
      <c r="K63" s="111"/>
      <c r="L63" s="111"/>
      <c r="M63" s="111"/>
      <c r="N63" s="111"/>
      <c r="O63" s="111"/>
      <c r="P63" s="111"/>
      <c r="Q63" s="111"/>
    </row>
    <row r="64" spans="1:17" s="118" customFormat="1" ht="30.6" x14ac:dyDescent="0.2">
      <c r="A64" s="148" t="s">
        <v>736</v>
      </c>
      <c r="B64" s="148" t="s">
        <v>163</v>
      </c>
      <c r="C64" s="14" t="s">
        <v>240</v>
      </c>
      <c r="D64" s="314" t="s">
        <v>403</v>
      </c>
      <c r="E64" s="148" t="s">
        <v>31</v>
      </c>
      <c r="F64" s="137">
        <v>1</v>
      </c>
      <c r="G64" s="137">
        <v>73.44</v>
      </c>
      <c r="H64" s="137">
        <f t="shared" si="4"/>
        <v>92.92</v>
      </c>
      <c r="I64" s="138">
        <f t="shared" si="5"/>
        <v>92.92</v>
      </c>
      <c r="J64" s="167"/>
      <c r="K64" s="111"/>
      <c r="L64" s="111"/>
      <c r="M64" s="111"/>
      <c r="N64" s="111"/>
      <c r="O64" s="111"/>
      <c r="P64" s="111"/>
      <c r="Q64" s="111"/>
    </row>
    <row r="65" spans="1:17" s="145" customFormat="1" x14ac:dyDescent="0.2">
      <c r="A65" s="140" t="s">
        <v>18</v>
      </c>
      <c r="B65" s="140"/>
      <c r="C65" s="141"/>
      <c r="D65" s="112" t="s">
        <v>80</v>
      </c>
      <c r="E65" s="140"/>
      <c r="F65" s="142"/>
      <c r="G65" s="142"/>
      <c r="H65" s="142"/>
      <c r="I65" s="143">
        <f>SUM(I66:I71)</f>
        <v>34428.54</v>
      </c>
      <c r="J65" s="285"/>
      <c r="K65" s="144"/>
      <c r="L65" s="144"/>
      <c r="M65" s="144"/>
      <c r="N65" s="144"/>
      <c r="O65" s="144"/>
      <c r="P65" s="144"/>
      <c r="Q65" s="144"/>
    </row>
    <row r="66" spans="1:17" s="118" customFormat="1" ht="30.6" x14ac:dyDescent="0.2">
      <c r="A66" s="148" t="s">
        <v>595</v>
      </c>
      <c r="B66" s="148" t="s">
        <v>89</v>
      </c>
      <c r="C66" s="14">
        <v>11587</v>
      </c>
      <c r="D66" s="314" t="s">
        <v>714</v>
      </c>
      <c r="E66" s="148" t="s">
        <v>9</v>
      </c>
      <c r="F66" s="137">
        <v>238.51</v>
      </c>
      <c r="G66" s="137">
        <v>59.97</v>
      </c>
      <c r="H66" s="137">
        <f t="shared" ref="H66:H71" si="6">ROUND(G66*(1+$L$4),2)</f>
        <v>75.88</v>
      </c>
      <c r="I66" s="138">
        <f t="shared" ref="I66:I71" si="7">TRUNC(F66*H66,2)</f>
        <v>18098.13</v>
      </c>
      <c r="J66" s="167"/>
      <c r="K66" s="111"/>
      <c r="L66" s="111"/>
      <c r="M66" s="111"/>
      <c r="N66" s="111"/>
      <c r="O66" s="111"/>
      <c r="P66" s="111"/>
      <c r="Q66" s="111"/>
    </row>
    <row r="67" spans="1:17" s="118" customFormat="1" x14ac:dyDescent="0.2">
      <c r="A67" s="148" t="s">
        <v>596</v>
      </c>
      <c r="B67" s="148" t="s">
        <v>179</v>
      </c>
      <c r="C67" s="14" t="s">
        <v>316</v>
      </c>
      <c r="D67" s="314" t="s">
        <v>317</v>
      </c>
      <c r="E67" s="148" t="s">
        <v>9</v>
      </c>
      <c r="F67" s="137">
        <v>315.74</v>
      </c>
      <c r="G67" s="137">
        <f>'COMPOSICOES - SINAPI COM DESON'!G18</f>
        <v>5.79</v>
      </c>
      <c r="H67" s="137">
        <f t="shared" si="6"/>
        <v>7.33</v>
      </c>
      <c r="I67" s="138">
        <f t="shared" si="7"/>
        <v>2314.37</v>
      </c>
      <c r="J67" s="167"/>
      <c r="K67" s="111"/>
      <c r="L67" s="111"/>
      <c r="M67" s="111"/>
      <c r="N67" s="111"/>
      <c r="O67" s="111"/>
      <c r="P67" s="111"/>
      <c r="Q67" s="111"/>
    </row>
    <row r="68" spans="1:17" s="118" customFormat="1" ht="20.399999999999999" x14ac:dyDescent="0.2">
      <c r="A68" s="148" t="s">
        <v>597</v>
      </c>
      <c r="B68" s="148" t="s">
        <v>179</v>
      </c>
      <c r="C68" s="14" t="s">
        <v>710</v>
      </c>
      <c r="D68" s="314" t="str">
        <f>'COMPOSICOES - SINAPI COM DESON'!D54:G54</f>
        <v>SUBSTITUICAO DE RIPAS EM MADEIRAMENTO DE TELHADO, INCLUSIVE FORNECIMENTO DO MATERIAL</v>
      </c>
      <c r="E68" s="148" t="s">
        <v>43</v>
      </c>
      <c r="F68" s="137">
        <v>500</v>
      </c>
      <c r="G68" s="137">
        <f>'COMPOSICOES - SINAPI COM DESON'!G62</f>
        <v>3.61</v>
      </c>
      <c r="H68" s="137">
        <f t="shared" si="6"/>
        <v>4.57</v>
      </c>
      <c r="I68" s="138">
        <f t="shared" si="7"/>
        <v>2285</v>
      </c>
      <c r="J68" s="167"/>
      <c r="K68" s="111"/>
      <c r="L68" s="111"/>
      <c r="M68" s="111"/>
      <c r="N68" s="111"/>
      <c r="O68" s="111"/>
      <c r="P68" s="111"/>
      <c r="Q68" s="111"/>
    </row>
    <row r="69" spans="1:17" s="118" customFormat="1" ht="20.399999999999999" x14ac:dyDescent="0.2">
      <c r="A69" s="148" t="s">
        <v>698</v>
      </c>
      <c r="B69" s="148" t="s">
        <v>179</v>
      </c>
      <c r="C69" s="14" t="s">
        <v>715</v>
      </c>
      <c r="D69" s="314" t="str">
        <f>'COMPOSICOES - SINAPI COM DESON'!D66:G66</f>
        <v>SUBSTITUICAO DE CAIBROS EM MADEIRAMENTO DE TELHADO, INCLUSIVE FORNECIMENTO DO MATERIAL</v>
      </c>
      <c r="E69" s="148" t="s">
        <v>43</v>
      </c>
      <c r="F69" s="137">
        <v>200</v>
      </c>
      <c r="G69" s="137">
        <f>'COMPOSICOES - SINAPI COM DESON'!G75</f>
        <v>14.06</v>
      </c>
      <c r="H69" s="137">
        <f t="shared" si="6"/>
        <v>17.79</v>
      </c>
      <c r="I69" s="138">
        <f t="shared" si="7"/>
        <v>3558</v>
      </c>
      <c r="J69" s="167"/>
      <c r="K69" s="111"/>
      <c r="L69" s="111"/>
      <c r="M69" s="111"/>
      <c r="N69" s="111"/>
      <c r="O69" s="111"/>
      <c r="P69" s="111"/>
      <c r="Q69" s="111"/>
    </row>
    <row r="70" spans="1:17" s="118" customFormat="1" ht="30.6" x14ac:dyDescent="0.2">
      <c r="A70" s="148" t="s">
        <v>744</v>
      </c>
      <c r="B70" s="148" t="s">
        <v>179</v>
      </c>
      <c r="C70" s="14" t="s">
        <v>717</v>
      </c>
      <c r="D70" s="314" t="str">
        <f>'COMPOSICOES - SINAPI COM DESON'!D79:G79</f>
        <v xml:space="preserve">SUBSTITUICAO DE VIGA DE MADEIRA DE LEI EM TELHADO, 6X20CM, MACARANDUBA, ANGELIM OU EQUIVALENTE DA REGIAO, INCLUSIVE FORNECIMENTO DO MATERIAL  </v>
      </c>
      <c r="E70" s="148" t="s">
        <v>43</v>
      </c>
      <c r="F70" s="137">
        <v>100</v>
      </c>
      <c r="G70" s="137">
        <f>'COMPOSICOES - SINAPI COM DESON'!G80</f>
        <v>36.959299999999999</v>
      </c>
      <c r="H70" s="137">
        <f t="shared" si="6"/>
        <v>46.76</v>
      </c>
      <c r="I70" s="138">
        <f t="shared" si="7"/>
        <v>4676</v>
      </c>
      <c r="J70" s="167"/>
      <c r="K70" s="111"/>
      <c r="L70" s="111"/>
      <c r="M70" s="111"/>
      <c r="N70" s="111"/>
      <c r="O70" s="111"/>
      <c r="P70" s="111"/>
      <c r="Q70" s="111"/>
    </row>
    <row r="71" spans="1:17" s="118" customFormat="1" ht="30.6" x14ac:dyDescent="0.2">
      <c r="A71" s="148" t="s">
        <v>745</v>
      </c>
      <c r="B71" s="148" t="s">
        <v>89</v>
      </c>
      <c r="C71" s="14">
        <v>94201</v>
      </c>
      <c r="D71" s="314" t="s">
        <v>426</v>
      </c>
      <c r="E71" s="148" t="s">
        <v>9</v>
      </c>
      <c r="F71" s="137">
        <v>78.94</v>
      </c>
      <c r="G71" s="137">
        <v>35.01</v>
      </c>
      <c r="H71" s="137">
        <f t="shared" si="6"/>
        <v>44.3</v>
      </c>
      <c r="I71" s="138">
        <f t="shared" si="7"/>
        <v>3497.04</v>
      </c>
      <c r="J71" s="167"/>
      <c r="K71" s="111"/>
      <c r="L71" s="111"/>
      <c r="M71" s="111"/>
      <c r="N71" s="111"/>
      <c r="O71" s="111"/>
      <c r="P71" s="111"/>
      <c r="Q71" s="111"/>
    </row>
    <row r="72" spans="1:17" s="145" customFormat="1" x14ac:dyDescent="0.2">
      <c r="A72" s="140" t="s">
        <v>36</v>
      </c>
      <c r="B72" s="140"/>
      <c r="C72" s="141"/>
      <c r="D72" s="112" t="s">
        <v>211</v>
      </c>
      <c r="E72" s="140"/>
      <c r="F72" s="142"/>
      <c r="G72" s="142"/>
      <c r="H72" s="142"/>
      <c r="I72" s="143">
        <f>SUM(I73:I73)</f>
        <v>1039.8</v>
      </c>
      <c r="J72" s="285"/>
      <c r="K72" s="144"/>
      <c r="L72" s="144"/>
      <c r="M72" s="144"/>
      <c r="N72" s="144"/>
      <c r="O72" s="144"/>
      <c r="P72" s="144"/>
      <c r="Q72" s="144"/>
    </row>
    <row r="73" spans="1:17" s="118" customFormat="1" ht="51" x14ac:dyDescent="0.2">
      <c r="A73" s="148" t="s">
        <v>598</v>
      </c>
      <c r="B73" s="148" t="s">
        <v>89</v>
      </c>
      <c r="C73" s="14">
        <v>72739</v>
      </c>
      <c r="D73" s="314" t="s">
        <v>311</v>
      </c>
      <c r="E73" s="148" t="s">
        <v>33</v>
      </c>
      <c r="F73" s="137">
        <v>2</v>
      </c>
      <c r="G73" s="137">
        <v>410.89</v>
      </c>
      <c r="H73" s="137">
        <f>ROUND(G73*(1+$L$4),2)</f>
        <v>519.9</v>
      </c>
      <c r="I73" s="138">
        <f>TRUNC(F73*H73,2)</f>
        <v>1039.8</v>
      </c>
      <c r="J73" s="167"/>
      <c r="K73" s="111"/>
      <c r="L73" s="111"/>
      <c r="M73" s="111"/>
      <c r="N73" s="111"/>
      <c r="O73" s="111"/>
      <c r="P73" s="111"/>
      <c r="Q73" s="111"/>
    </row>
    <row r="74" spans="1:17" s="118" customFormat="1" x14ac:dyDescent="0.2">
      <c r="A74" s="148"/>
      <c r="B74" s="148"/>
      <c r="C74" s="14"/>
      <c r="D74" s="314"/>
      <c r="E74" s="148"/>
      <c r="F74" s="137"/>
      <c r="G74" s="137"/>
      <c r="H74" s="137"/>
      <c r="I74" s="138"/>
      <c r="J74" s="167"/>
      <c r="K74" s="111"/>
      <c r="L74" s="111"/>
      <c r="M74" s="111"/>
      <c r="N74" s="111"/>
      <c r="O74" s="111"/>
      <c r="P74" s="111"/>
      <c r="Q74" s="111"/>
    </row>
    <row r="75" spans="1:17" s="241" customFormat="1" ht="26.4" x14ac:dyDescent="0.25">
      <c r="A75" s="236" t="s">
        <v>19</v>
      </c>
      <c r="B75" s="236"/>
      <c r="C75" s="237"/>
      <c r="D75" s="289" t="s">
        <v>599</v>
      </c>
      <c r="E75" s="236"/>
      <c r="F75" s="238"/>
      <c r="G75" s="238"/>
      <c r="H75" s="238"/>
      <c r="I75" s="239" t="e">
        <f>I76+I85+I87+I90+I94</f>
        <v>#VALUE!</v>
      </c>
      <c r="J75" s="284" t="e">
        <f>I75/$I$476</f>
        <v>#VALUE!</v>
      </c>
      <c r="K75" s="240"/>
      <c r="L75" s="240"/>
      <c r="M75" s="240"/>
      <c r="N75" s="240"/>
      <c r="O75" s="240"/>
      <c r="P75" s="240"/>
      <c r="Q75" s="240"/>
    </row>
    <row r="76" spans="1:17" s="145" customFormat="1" x14ac:dyDescent="0.2">
      <c r="A76" s="140" t="s">
        <v>20</v>
      </c>
      <c r="B76" s="140"/>
      <c r="C76" s="141"/>
      <c r="D76" s="112" t="s">
        <v>30</v>
      </c>
      <c r="E76" s="140"/>
      <c r="F76" s="142"/>
      <c r="G76" s="142"/>
      <c r="H76" s="142"/>
      <c r="I76" s="143" t="e">
        <f>SUM(I77:I84)</f>
        <v>#VALUE!</v>
      </c>
      <c r="J76" s="285"/>
      <c r="K76" s="144"/>
      <c r="L76" s="144"/>
      <c r="M76" s="144"/>
      <c r="N76" s="144"/>
      <c r="O76" s="144"/>
      <c r="P76" s="144"/>
      <c r="Q76" s="144"/>
    </row>
    <row r="77" spans="1:17" s="118" customFormat="1" ht="40.799999999999997" x14ac:dyDescent="0.2">
      <c r="A77" s="148" t="s">
        <v>601</v>
      </c>
      <c r="B77" s="148" t="s">
        <v>89</v>
      </c>
      <c r="C77" s="14">
        <v>93144</v>
      </c>
      <c r="D77" s="314" t="s">
        <v>295</v>
      </c>
      <c r="E77" s="148" t="s">
        <v>33</v>
      </c>
      <c r="F77" s="137">
        <v>11</v>
      </c>
      <c r="G77" s="137">
        <v>166.81</v>
      </c>
      <c r="H77" s="137">
        <f t="shared" ref="H77:H84" si="8">ROUND(G77*(1+$L$4),2)</f>
        <v>211.06</v>
      </c>
      <c r="I77" s="138">
        <f t="shared" ref="I77:I84" si="9">TRUNC(F77*H77,2)</f>
        <v>2321.66</v>
      </c>
      <c r="J77" s="167"/>
      <c r="K77" s="111"/>
      <c r="L77" s="111"/>
      <c r="M77" s="111"/>
      <c r="N77" s="111"/>
      <c r="O77" s="111"/>
      <c r="P77" s="111"/>
      <c r="Q77" s="111"/>
    </row>
    <row r="78" spans="1:17" s="118" customFormat="1" ht="40.799999999999997" x14ac:dyDescent="0.2">
      <c r="A78" s="148" t="s">
        <v>602</v>
      </c>
      <c r="B78" s="148" t="s">
        <v>163</v>
      </c>
      <c r="C78" s="14" t="s">
        <v>192</v>
      </c>
      <c r="D78" s="314" t="s">
        <v>712</v>
      </c>
      <c r="E78" s="148" t="s">
        <v>31</v>
      </c>
      <c r="F78" s="137">
        <v>11</v>
      </c>
      <c r="G78" s="137">
        <v>46.44</v>
      </c>
      <c r="H78" s="137">
        <f t="shared" si="8"/>
        <v>58.76</v>
      </c>
      <c r="I78" s="138">
        <f t="shared" si="9"/>
        <v>646.36</v>
      </c>
      <c r="J78" s="167"/>
      <c r="K78" s="111"/>
      <c r="L78" s="111"/>
      <c r="M78" s="111"/>
      <c r="N78" s="111"/>
      <c r="O78" s="111"/>
      <c r="P78" s="111"/>
      <c r="Q78" s="111"/>
    </row>
    <row r="79" spans="1:17" s="118" customFormat="1" ht="51" x14ac:dyDescent="0.2">
      <c r="A79" s="148" t="s">
        <v>603</v>
      </c>
      <c r="B79" s="148" t="s">
        <v>179</v>
      </c>
      <c r="C79" s="14" t="s">
        <v>417</v>
      </c>
      <c r="D79" s="314" t="s">
        <v>561</v>
      </c>
      <c r="E79" s="148" t="s">
        <v>31</v>
      </c>
      <c r="F79" s="137">
        <v>5</v>
      </c>
      <c r="G79" s="137" t="e">
        <f>'COMPOSICOES - SINAPI COM DESON'!G36</f>
        <v>#VALUE!</v>
      </c>
      <c r="H79" s="137" t="e">
        <f t="shared" si="8"/>
        <v>#VALUE!</v>
      </c>
      <c r="I79" s="138" t="e">
        <f t="shared" si="9"/>
        <v>#VALUE!</v>
      </c>
      <c r="J79" s="167"/>
      <c r="K79" s="111"/>
      <c r="L79" s="111"/>
      <c r="M79" s="111"/>
      <c r="N79" s="111"/>
      <c r="O79" s="111"/>
      <c r="P79" s="111"/>
      <c r="Q79" s="111"/>
    </row>
    <row r="80" spans="1:17" s="118" customFormat="1" ht="40.799999999999997" x14ac:dyDescent="0.2">
      <c r="A80" s="148" t="s">
        <v>752</v>
      </c>
      <c r="B80" s="148" t="s">
        <v>163</v>
      </c>
      <c r="C80" s="14" t="s">
        <v>244</v>
      </c>
      <c r="D80" s="314" t="s">
        <v>245</v>
      </c>
      <c r="E80" s="148" t="s">
        <v>31</v>
      </c>
      <c r="F80" s="137">
        <v>4</v>
      </c>
      <c r="G80" s="137">
        <v>116.08</v>
      </c>
      <c r="H80" s="137">
        <f t="shared" si="8"/>
        <v>146.88</v>
      </c>
      <c r="I80" s="138">
        <f t="shared" si="9"/>
        <v>587.52</v>
      </c>
      <c r="J80" s="167"/>
      <c r="K80" s="111"/>
      <c r="L80" s="111"/>
      <c r="M80" s="111"/>
      <c r="N80" s="111"/>
      <c r="O80" s="111"/>
      <c r="P80" s="111"/>
      <c r="Q80" s="111"/>
    </row>
    <row r="81" spans="1:17" s="118" customFormat="1" ht="30.6" x14ac:dyDescent="0.2">
      <c r="A81" s="148" t="s">
        <v>753</v>
      </c>
      <c r="B81" s="148" t="s">
        <v>179</v>
      </c>
      <c r="C81" s="14" t="s">
        <v>672</v>
      </c>
      <c r="D81" s="314" t="s">
        <v>567</v>
      </c>
      <c r="E81" s="148" t="s">
        <v>33</v>
      </c>
      <c r="F81" s="137">
        <v>42</v>
      </c>
      <c r="G81" s="137">
        <f>'COMPOSICOES - SINAPI COM DESON'!G50</f>
        <v>104.48</v>
      </c>
      <c r="H81" s="137">
        <f t="shared" si="8"/>
        <v>132.19999999999999</v>
      </c>
      <c r="I81" s="138">
        <f t="shared" si="9"/>
        <v>5552.4</v>
      </c>
      <c r="J81" s="167"/>
      <c r="K81" s="111"/>
      <c r="L81" s="111"/>
      <c r="M81" s="111"/>
      <c r="N81" s="111"/>
      <c r="O81" s="111"/>
      <c r="P81" s="111"/>
      <c r="Q81" s="111"/>
    </row>
    <row r="82" spans="1:17" s="118" customFormat="1" ht="30.6" x14ac:dyDescent="0.2">
      <c r="A82" s="148" t="s">
        <v>754</v>
      </c>
      <c r="B82" s="148" t="s">
        <v>163</v>
      </c>
      <c r="C82" s="14" t="s">
        <v>240</v>
      </c>
      <c r="D82" s="314" t="s">
        <v>403</v>
      </c>
      <c r="E82" s="148" t="s">
        <v>31</v>
      </c>
      <c r="F82" s="137">
        <v>21</v>
      </c>
      <c r="G82" s="137">
        <v>73.44</v>
      </c>
      <c r="H82" s="137">
        <f t="shared" si="8"/>
        <v>92.92</v>
      </c>
      <c r="I82" s="138">
        <f t="shared" si="9"/>
        <v>1951.32</v>
      </c>
      <c r="J82" s="167"/>
      <c r="K82" s="111"/>
      <c r="L82" s="111"/>
      <c r="M82" s="111"/>
      <c r="N82" s="111"/>
      <c r="O82" s="111"/>
      <c r="P82" s="111"/>
      <c r="Q82" s="111"/>
    </row>
    <row r="83" spans="1:17" s="118" customFormat="1" ht="40.799999999999997" x14ac:dyDescent="0.2">
      <c r="A83" s="148" t="s">
        <v>755</v>
      </c>
      <c r="B83" s="148" t="s">
        <v>163</v>
      </c>
      <c r="C83" s="14" t="s">
        <v>188</v>
      </c>
      <c r="D83" s="314" t="s">
        <v>719</v>
      </c>
      <c r="E83" s="148" t="s">
        <v>33</v>
      </c>
      <c r="F83" s="137">
        <v>1</v>
      </c>
      <c r="G83" s="137">
        <v>65.69</v>
      </c>
      <c r="H83" s="137">
        <f t="shared" si="8"/>
        <v>83.12</v>
      </c>
      <c r="I83" s="138">
        <f t="shared" si="9"/>
        <v>83.12</v>
      </c>
      <c r="J83" s="167"/>
      <c r="K83" s="111"/>
      <c r="L83" s="111"/>
      <c r="M83" s="111"/>
      <c r="N83" s="111"/>
      <c r="O83" s="111"/>
      <c r="P83" s="111"/>
      <c r="Q83" s="111"/>
    </row>
    <row r="84" spans="1:17" s="118" customFormat="1" ht="30.6" x14ac:dyDescent="0.2">
      <c r="A84" s="148" t="s">
        <v>756</v>
      </c>
      <c r="B84" s="148" t="s">
        <v>163</v>
      </c>
      <c r="C84" s="14" t="s">
        <v>190</v>
      </c>
      <c r="D84" s="314" t="s">
        <v>290</v>
      </c>
      <c r="E84" s="148" t="s">
        <v>33</v>
      </c>
      <c r="F84" s="137">
        <v>6</v>
      </c>
      <c r="G84" s="137">
        <v>14.55</v>
      </c>
      <c r="H84" s="137">
        <f t="shared" si="8"/>
        <v>18.41</v>
      </c>
      <c r="I84" s="138">
        <f t="shared" si="9"/>
        <v>110.46</v>
      </c>
      <c r="J84" s="167"/>
      <c r="K84" s="111"/>
      <c r="L84" s="111"/>
      <c r="M84" s="111"/>
      <c r="N84" s="111"/>
      <c r="O84" s="111"/>
      <c r="P84" s="111"/>
      <c r="Q84" s="111"/>
    </row>
    <row r="85" spans="1:17" s="145" customFormat="1" x14ac:dyDescent="0.2">
      <c r="A85" s="140" t="s">
        <v>21</v>
      </c>
      <c r="B85" s="140"/>
      <c r="C85" s="141"/>
      <c r="D85" s="112" t="s">
        <v>80</v>
      </c>
      <c r="E85" s="140"/>
      <c r="F85" s="142"/>
      <c r="G85" s="142"/>
      <c r="H85" s="142"/>
      <c r="I85" s="143">
        <f>SUM(I86:I86)</f>
        <v>4663.41</v>
      </c>
      <c r="J85" s="285"/>
      <c r="K85" s="144"/>
      <c r="L85" s="144"/>
      <c r="M85" s="144"/>
      <c r="N85" s="144"/>
      <c r="O85" s="144"/>
      <c r="P85" s="144"/>
      <c r="Q85" s="144"/>
    </row>
    <row r="86" spans="1:17" s="118" customFormat="1" x14ac:dyDescent="0.2">
      <c r="A86" s="148" t="s">
        <v>604</v>
      </c>
      <c r="B86" s="148" t="s">
        <v>179</v>
      </c>
      <c r="C86" s="14" t="s">
        <v>316</v>
      </c>
      <c r="D86" s="314" t="s">
        <v>317</v>
      </c>
      <c r="E86" s="148" t="s">
        <v>9</v>
      </c>
      <c r="F86" s="137">
        <v>636.21</v>
      </c>
      <c r="G86" s="137">
        <f>'COMPOSICOES - SINAPI COM DESON'!G18</f>
        <v>5.79</v>
      </c>
      <c r="H86" s="137">
        <f>ROUND(G86*(1+$L$4),2)</f>
        <v>7.33</v>
      </c>
      <c r="I86" s="138">
        <f>TRUNC(F86*H86,2)</f>
        <v>4663.41</v>
      </c>
      <c r="J86" s="167"/>
      <c r="K86" s="111"/>
      <c r="L86" s="111"/>
      <c r="M86" s="111"/>
      <c r="N86" s="111"/>
      <c r="O86" s="111"/>
      <c r="P86" s="111"/>
      <c r="Q86" s="111"/>
    </row>
    <row r="87" spans="1:17" s="145" customFormat="1" x14ac:dyDescent="0.2">
      <c r="A87" s="140" t="s">
        <v>38</v>
      </c>
      <c r="B87" s="140"/>
      <c r="C87" s="141"/>
      <c r="D87" s="112" t="s">
        <v>28</v>
      </c>
      <c r="E87" s="140"/>
      <c r="F87" s="142"/>
      <c r="G87" s="142"/>
      <c r="H87" s="142"/>
      <c r="I87" s="143">
        <f>SUM(I88:I89)</f>
        <v>6472.2400000000007</v>
      </c>
      <c r="J87" s="285"/>
      <c r="K87" s="144"/>
      <c r="L87" s="144"/>
      <c r="M87" s="144"/>
      <c r="N87" s="144"/>
      <c r="O87" s="144"/>
      <c r="P87" s="144"/>
      <c r="Q87" s="144"/>
    </row>
    <row r="88" spans="1:17" s="118" customFormat="1" ht="30.6" x14ac:dyDescent="0.2">
      <c r="A88" s="148" t="s">
        <v>427</v>
      </c>
      <c r="B88" s="148" t="s">
        <v>163</v>
      </c>
      <c r="C88" s="14" t="s">
        <v>263</v>
      </c>
      <c r="D88" s="314" t="s">
        <v>751</v>
      </c>
      <c r="E88" s="148" t="s">
        <v>9</v>
      </c>
      <c r="F88" s="137">
        <v>17.130000000000003</v>
      </c>
      <c r="G88" s="137">
        <v>287.51</v>
      </c>
      <c r="H88" s="137">
        <f>ROUND(G88*(1+$L$4),2)</f>
        <v>363.79</v>
      </c>
      <c r="I88" s="138">
        <f>TRUNC(F88*H88,2)</f>
        <v>6231.72</v>
      </c>
      <c r="J88" s="167"/>
      <c r="K88" s="111"/>
      <c r="L88" s="111"/>
      <c r="M88" s="111"/>
      <c r="N88" s="111"/>
      <c r="O88" s="111"/>
      <c r="P88" s="111"/>
      <c r="Q88" s="111"/>
    </row>
    <row r="89" spans="1:17" s="118" customFormat="1" ht="30.6" x14ac:dyDescent="0.2">
      <c r="A89" s="148" t="s">
        <v>428</v>
      </c>
      <c r="B89" s="148" t="s">
        <v>89</v>
      </c>
      <c r="C89" s="14">
        <v>91307</v>
      </c>
      <c r="D89" s="314" t="s">
        <v>447</v>
      </c>
      <c r="E89" s="148" t="s">
        <v>33</v>
      </c>
      <c r="F89" s="137">
        <v>4</v>
      </c>
      <c r="G89" s="137">
        <v>47.52</v>
      </c>
      <c r="H89" s="137">
        <f>ROUND(G89*(1+$L$4),2)</f>
        <v>60.13</v>
      </c>
      <c r="I89" s="138">
        <f>TRUNC(F89*H89,2)</f>
        <v>240.52</v>
      </c>
      <c r="J89" s="167"/>
      <c r="K89" s="111"/>
      <c r="L89" s="111"/>
      <c r="M89" s="111"/>
      <c r="N89" s="111"/>
      <c r="O89" s="111"/>
      <c r="P89" s="111"/>
      <c r="Q89" s="111"/>
    </row>
    <row r="90" spans="1:17" s="145" customFormat="1" x14ac:dyDescent="0.2">
      <c r="A90" s="140" t="s">
        <v>66</v>
      </c>
      <c r="B90" s="140"/>
      <c r="C90" s="141"/>
      <c r="D90" s="112" t="s">
        <v>211</v>
      </c>
      <c r="E90" s="140"/>
      <c r="F90" s="142"/>
      <c r="G90" s="142"/>
      <c r="H90" s="142"/>
      <c r="I90" s="143">
        <f>SUM(I91:I93)</f>
        <v>350.20000000000005</v>
      </c>
      <c r="J90" s="285"/>
      <c r="K90" s="144"/>
      <c r="L90" s="144"/>
      <c r="M90" s="144"/>
      <c r="N90" s="144"/>
      <c r="O90" s="144"/>
      <c r="P90" s="144"/>
      <c r="Q90" s="144"/>
    </row>
    <row r="91" spans="1:17" s="118" customFormat="1" ht="30.6" x14ac:dyDescent="0.2">
      <c r="A91" s="148" t="s">
        <v>605</v>
      </c>
      <c r="B91" s="148" t="s">
        <v>89</v>
      </c>
      <c r="C91" s="14">
        <v>86906</v>
      </c>
      <c r="D91" s="314" t="s">
        <v>261</v>
      </c>
      <c r="E91" s="148" t="s">
        <v>33</v>
      </c>
      <c r="F91" s="137">
        <v>4</v>
      </c>
      <c r="G91" s="137">
        <v>47.41</v>
      </c>
      <c r="H91" s="137">
        <f>ROUND(G91*(1+$L$4),2)</f>
        <v>59.99</v>
      </c>
      <c r="I91" s="138">
        <f>TRUNC(F91*H91,2)</f>
        <v>239.96</v>
      </c>
      <c r="J91" s="167"/>
      <c r="K91" s="111"/>
      <c r="L91" s="111"/>
      <c r="M91" s="111"/>
      <c r="N91" s="111"/>
      <c r="O91" s="111"/>
      <c r="P91" s="111"/>
      <c r="Q91" s="111"/>
    </row>
    <row r="92" spans="1:17" s="118" customFormat="1" x14ac:dyDescent="0.2">
      <c r="A92" s="148" t="s">
        <v>606</v>
      </c>
      <c r="B92" s="148" t="s">
        <v>89</v>
      </c>
      <c r="C92" s="14" t="s">
        <v>334</v>
      </c>
      <c r="D92" s="314" t="s">
        <v>335</v>
      </c>
      <c r="E92" s="148" t="s">
        <v>33</v>
      </c>
      <c r="F92" s="137">
        <v>2</v>
      </c>
      <c r="G92" s="137">
        <v>22.9</v>
      </c>
      <c r="H92" s="137">
        <f>ROUND(G92*(1+$L$4),2)</f>
        <v>28.98</v>
      </c>
      <c r="I92" s="138">
        <f>TRUNC(F92*H92,2)</f>
        <v>57.96</v>
      </c>
      <c r="J92" s="167"/>
      <c r="K92" s="111"/>
      <c r="L92" s="111"/>
      <c r="M92" s="111"/>
      <c r="N92" s="111"/>
      <c r="O92" s="111"/>
      <c r="P92" s="111"/>
      <c r="Q92" s="111"/>
    </row>
    <row r="93" spans="1:17" s="118" customFormat="1" x14ac:dyDescent="0.2">
      <c r="A93" s="148" t="s">
        <v>607</v>
      </c>
      <c r="B93" s="148" t="s">
        <v>89</v>
      </c>
      <c r="C93" s="14" t="s">
        <v>442</v>
      </c>
      <c r="D93" s="314" t="s">
        <v>443</v>
      </c>
      <c r="E93" s="148" t="s">
        <v>33</v>
      </c>
      <c r="F93" s="137">
        <v>4</v>
      </c>
      <c r="G93" s="137">
        <v>10.33</v>
      </c>
      <c r="H93" s="137">
        <f>ROUND(G93*(1+$L$4),2)</f>
        <v>13.07</v>
      </c>
      <c r="I93" s="138">
        <f>TRUNC(F93*H93,2)</f>
        <v>52.28</v>
      </c>
      <c r="J93" s="167"/>
      <c r="K93" s="111"/>
      <c r="L93" s="111"/>
      <c r="M93" s="111"/>
      <c r="N93" s="111"/>
      <c r="O93" s="111"/>
      <c r="P93" s="111"/>
      <c r="Q93" s="111"/>
    </row>
    <row r="94" spans="1:17" s="145" customFormat="1" x14ac:dyDescent="0.2">
      <c r="A94" s="140" t="s">
        <v>174</v>
      </c>
      <c r="B94" s="140"/>
      <c r="C94" s="141"/>
      <c r="D94" s="112" t="s">
        <v>29</v>
      </c>
      <c r="E94" s="140"/>
      <c r="F94" s="142"/>
      <c r="G94" s="142"/>
      <c r="H94" s="142"/>
      <c r="I94" s="143">
        <f>SUM(I95:I95)</f>
        <v>581.73</v>
      </c>
      <c r="J94" s="285"/>
      <c r="K94" s="144"/>
      <c r="L94" s="144"/>
      <c r="M94" s="144"/>
      <c r="N94" s="144"/>
      <c r="O94" s="144"/>
      <c r="P94" s="144"/>
      <c r="Q94" s="144"/>
    </row>
    <row r="95" spans="1:17" s="118" customFormat="1" ht="40.799999999999997" x14ac:dyDescent="0.2">
      <c r="A95" s="148" t="s">
        <v>622</v>
      </c>
      <c r="B95" s="148" t="s">
        <v>163</v>
      </c>
      <c r="C95" s="14" t="s">
        <v>176</v>
      </c>
      <c r="D95" s="314" t="s">
        <v>269</v>
      </c>
      <c r="E95" s="148" t="s">
        <v>9</v>
      </c>
      <c r="F95" s="137">
        <v>34.260000000000005</v>
      </c>
      <c r="G95" s="137">
        <v>13.42</v>
      </c>
      <c r="H95" s="137">
        <f>ROUND(G95*(1+$L$4),2)</f>
        <v>16.98</v>
      </c>
      <c r="I95" s="138">
        <f>TRUNC(F95*H95,2)</f>
        <v>581.73</v>
      </c>
      <c r="J95" s="167"/>
      <c r="K95" s="111"/>
      <c r="L95" s="111"/>
      <c r="M95" s="111"/>
      <c r="N95" s="111"/>
      <c r="O95" s="111"/>
      <c r="P95" s="111"/>
      <c r="Q95" s="111"/>
    </row>
    <row r="96" spans="1:17" s="118" customFormat="1" x14ac:dyDescent="0.2">
      <c r="A96" s="148"/>
      <c r="B96" s="148"/>
      <c r="C96" s="14"/>
      <c r="D96" s="314"/>
      <c r="E96" s="148"/>
      <c r="F96" s="137"/>
      <c r="G96" s="137"/>
      <c r="H96" s="137"/>
      <c r="I96" s="138"/>
      <c r="J96" s="167"/>
      <c r="K96" s="111"/>
      <c r="L96" s="111"/>
      <c r="M96" s="111"/>
      <c r="N96" s="111"/>
      <c r="O96" s="111"/>
      <c r="P96" s="111"/>
      <c r="Q96" s="111"/>
    </row>
    <row r="97" spans="1:17" s="241" customFormat="1" ht="26.4" x14ac:dyDescent="0.25">
      <c r="A97" s="236" t="s">
        <v>44</v>
      </c>
      <c r="B97" s="236"/>
      <c r="C97" s="237"/>
      <c r="D97" s="289" t="s">
        <v>215</v>
      </c>
      <c r="E97" s="236"/>
      <c r="F97" s="238"/>
      <c r="G97" s="238"/>
      <c r="H97" s="238"/>
      <c r="I97" s="239" t="e">
        <f>I98+I107+I111+I114+I119</f>
        <v>#VALUE!</v>
      </c>
      <c r="J97" s="284" t="e">
        <f>I97/$I$476</f>
        <v>#VALUE!</v>
      </c>
      <c r="K97" s="240"/>
      <c r="L97" s="240"/>
      <c r="M97" s="240"/>
      <c r="N97" s="240"/>
      <c r="O97" s="240"/>
      <c r="P97" s="240"/>
      <c r="Q97" s="240"/>
    </row>
    <row r="98" spans="1:17" s="145" customFormat="1" x14ac:dyDescent="0.2">
      <c r="A98" s="140" t="s">
        <v>45</v>
      </c>
      <c r="B98" s="140"/>
      <c r="C98" s="141"/>
      <c r="D98" s="112" t="s">
        <v>30</v>
      </c>
      <c r="E98" s="140"/>
      <c r="F98" s="142"/>
      <c r="G98" s="142"/>
      <c r="H98" s="142"/>
      <c r="I98" s="143" t="e">
        <f>SUM(I99:I106)</f>
        <v>#VALUE!</v>
      </c>
      <c r="J98" s="285"/>
      <c r="K98" s="144"/>
      <c r="L98" s="144"/>
      <c r="M98" s="144"/>
      <c r="N98" s="144"/>
      <c r="O98" s="144"/>
      <c r="P98" s="144"/>
      <c r="Q98" s="144"/>
    </row>
    <row r="99" spans="1:17" s="118" customFormat="1" ht="40.799999999999997" x14ac:dyDescent="0.2">
      <c r="A99" s="148" t="s">
        <v>608</v>
      </c>
      <c r="B99" s="148" t="s">
        <v>89</v>
      </c>
      <c r="C99" s="14">
        <v>93144</v>
      </c>
      <c r="D99" s="314" t="s">
        <v>295</v>
      </c>
      <c r="E99" s="148" t="s">
        <v>33</v>
      </c>
      <c r="F99" s="137">
        <v>4</v>
      </c>
      <c r="G99" s="137">
        <v>166.81</v>
      </c>
      <c r="H99" s="137">
        <f t="shared" ref="H99:H106" si="10">ROUND(G99*(1+$L$4),2)</f>
        <v>211.06</v>
      </c>
      <c r="I99" s="138">
        <f t="shared" ref="I99:I106" si="11">TRUNC(F99*H99,2)</f>
        <v>844.24</v>
      </c>
      <c r="J99" s="167"/>
      <c r="K99" s="111"/>
      <c r="L99" s="111"/>
      <c r="M99" s="111"/>
      <c r="N99" s="111"/>
      <c r="O99" s="111"/>
      <c r="P99" s="111"/>
      <c r="Q99" s="111"/>
    </row>
    <row r="100" spans="1:17" s="118" customFormat="1" ht="40.799999999999997" x14ac:dyDescent="0.2">
      <c r="A100" s="148" t="s">
        <v>609</v>
      </c>
      <c r="B100" s="148" t="s">
        <v>163</v>
      </c>
      <c r="C100" s="14" t="s">
        <v>192</v>
      </c>
      <c r="D100" s="314" t="s">
        <v>712</v>
      </c>
      <c r="E100" s="148" t="s">
        <v>31</v>
      </c>
      <c r="F100" s="137">
        <v>4</v>
      </c>
      <c r="G100" s="137">
        <v>46.44</v>
      </c>
      <c r="H100" s="137">
        <f t="shared" si="10"/>
        <v>58.76</v>
      </c>
      <c r="I100" s="138">
        <f t="shared" si="11"/>
        <v>235.04</v>
      </c>
      <c r="J100" s="167"/>
      <c r="K100" s="111"/>
      <c r="L100" s="111"/>
      <c r="M100" s="111"/>
      <c r="N100" s="111"/>
      <c r="O100" s="111"/>
      <c r="P100" s="111"/>
      <c r="Q100" s="111"/>
    </row>
    <row r="101" spans="1:17" s="118" customFormat="1" ht="51" x14ac:dyDescent="0.2">
      <c r="A101" s="148" t="s">
        <v>758</v>
      </c>
      <c r="B101" s="148" t="s">
        <v>179</v>
      </c>
      <c r="C101" s="14" t="s">
        <v>417</v>
      </c>
      <c r="D101" s="314" t="s">
        <v>561</v>
      </c>
      <c r="E101" s="148" t="s">
        <v>31</v>
      </c>
      <c r="F101" s="137">
        <v>6</v>
      </c>
      <c r="G101" s="137" t="e">
        <f>'COMPOSICOES - SINAPI COM DESON'!G36</f>
        <v>#VALUE!</v>
      </c>
      <c r="H101" s="137" t="e">
        <f t="shared" si="10"/>
        <v>#VALUE!</v>
      </c>
      <c r="I101" s="138" t="e">
        <f t="shared" si="11"/>
        <v>#VALUE!</v>
      </c>
      <c r="J101" s="167"/>
      <c r="K101" s="111"/>
      <c r="L101" s="111"/>
      <c r="M101" s="111"/>
      <c r="N101" s="111"/>
      <c r="O101" s="111"/>
      <c r="P101" s="111"/>
      <c r="Q101" s="111"/>
    </row>
    <row r="102" spans="1:17" s="118" customFormat="1" ht="40.799999999999997" x14ac:dyDescent="0.2">
      <c r="A102" s="148" t="s">
        <v>610</v>
      </c>
      <c r="B102" s="148" t="s">
        <v>163</v>
      </c>
      <c r="C102" s="14" t="s">
        <v>244</v>
      </c>
      <c r="D102" s="314" t="s">
        <v>245</v>
      </c>
      <c r="E102" s="148" t="s">
        <v>31</v>
      </c>
      <c r="F102" s="137">
        <v>7</v>
      </c>
      <c r="G102" s="137">
        <v>116.08</v>
      </c>
      <c r="H102" s="137">
        <f t="shared" si="10"/>
        <v>146.88</v>
      </c>
      <c r="I102" s="138">
        <f t="shared" si="11"/>
        <v>1028.1600000000001</v>
      </c>
      <c r="J102" s="167"/>
      <c r="K102" s="111"/>
      <c r="L102" s="111"/>
      <c r="M102" s="111"/>
      <c r="N102" s="111"/>
      <c r="O102" s="111"/>
      <c r="P102" s="111"/>
      <c r="Q102" s="111"/>
    </row>
    <row r="103" spans="1:17" s="118" customFormat="1" ht="30.6" x14ac:dyDescent="0.2">
      <c r="A103" s="148" t="s">
        <v>611</v>
      </c>
      <c r="B103" s="148" t="s">
        <v>179</v>
      </c>
      <c r="C103" s="14" t="s">
        <v>672</v>
      </c>
      <c r="D103" s="314" t="s">
        <v>567</v>
      </c>
      <c r="E103" s="148" t="s">
        <v>33</v>
      </c>
      <c r="F103" s="137">
        <v>19</v>
      </c>
      <c r="G103" s="137">
        <f>'COMPOSICOES - SINAPI COM DESON'!G50</f>
        <v>104.48</v>
      </c>
      <c r="H103" s="137">
        <f t="shared" si="10"/>
        <v>132.19999999999999</v>
      </c>
      <c r="I103" s="138">
        <f t="shared" si="11"/>
        <v>2511.8000000000002</v>
      </c>
      <c r="J103" s="167"/>
      <c r="K103" s="111"/>
      <c r="L103" s="111"/>
      <c r="M103" s="111"/>
      <c r="N103" s="111"/>
      <c r="O103" s="111"/>
      <c r="P103" s="111"/>
      <c r="Q103" s="111"/>
    </row>
    <row r="104" spans="1:17" s="118" customFormat="1" ht="30.6" x14ac:dyDescent="0.2">
      <c r="A104" s="148" t="s">
        <v>759</v>
      </c>
      <c r="B104" s="148" t="s">
        <v>163</v>
      </c>
      <c r="C104" s="14" t="s">
        <v>240</v>
      </c>
      <c r="D104" s="314" t="s">
        <v>403</v>
      </c>
      <c r="E104" s="148" t="s">
        <v>31</v>
      </c>
      <c r="F104" s="137">
        <v>2</v>
      </c>
      <c r="G104" s="137">
        <v>73.44</v>
      </c>
      <c r="H104" s="137">
        <f t="shared" si="10"/>
        <v>92.92</v>
      </c>
      <c r="I104" s="138">
        <f t="shared" si="11"/>
        <v>185.84</v>
      </c>
      <c r="J104" s="167"/>
      <c r="K104" s="111"/>
      <c r="L104" s="111"/>
      <c r="M104" s="111"/>
      <c r="N104" s="111"/>
      <c r="O104" s="111"/>
      <c r="P104" s="111"/>
      <c r="Q104" s="111"/>
    </row>
    <row r="105" spans="1:17" s="118" customFormat="1" ht="40.799999999999997" x14ac:dyDescent="0.2">
      <c r="A105" s="148" t="s">
        <v>760</v>
      </c>
      <c r="B105" s="148" t="s">
        <v>163</v>
      </c>
      <c r="C105" s="14" t="s">
        <v>188</v>
      </c>
      <c r="D105" s="314" t="s">
        <v>719</v>
      </c>
      <c r="E105" s="148" t="s">
        <v>33</v>
      </c>
      <c r="F105" s="137">
        <v>1</v>
      </c>
      <c r="G105" s="137">
        <v>65.69</v>
      </c>
      <c r="H105" s="137">
        <f t="shared" si="10"/>
        <v>83.12</v>
      </c>
      <c r="I105" s="138">
        <f t="shared" si="11"/>
        <v>83.12</v>
      </c>
      <c r="J105" s="167"/>
      <c r="K105" s="111"/>
      <c r="L105" s="111"/>
      <c r="M105" s="111"/>
      <c r="N105" s="111"/>
      <c r="O105" s="111"/>
      <c r="P105" s="111"/>
      <c r="Q105" s="111"/>
    </row>
    <row r="106" spans="1:17" s="118" customFormat="1" ht="30.6" x14ac:dyDescent="0.2">
      <c r="A106" s="148" t="s">
        <v>761</v>
      </c>
      <c r="B106" s="148" t="s">
        <v>163</v>
      </c>
      <c r="C106" s="14" t="s">
        <v>190</v>
      </c>
      <c r="D106" s="314" t="s">
        <v>290</v>
      </c>
      <c r="E106" s="148" t="s">
        <v>33</v>
      </c>
      <c r="F106" s="137">
        <v>6</v>
      </c>
      <c r="G106" s="137">
        <v>14.55</v>
      </c>
      <c r="H106" s="137">
        <f t="shared" si="10"/>
        <v>18.41</v>
      </c>
      <c r="I106" s="138">
        <f t="shared" si="11"/>
        <v>110.46</v>
      </c>
      <c r="J106" s="167"/>
      <c r="K106" s="111"/>
      <c r="L106" s="111"/>
      <c r="M106" s="111"/>
      <c r="N106" s="111"/>
      <c r="O106" s="111"/>
      <c r="P106" s="111"/>
      <c r="Q106" s="111"/>
    </row>
    <row r="107" spans="1:17" s="145" customFormat="1" x14ac:dyDescent="0.2">
      <c r="A107" s="140" t="s">
        <v>67</v>
      </c>
      <c r="B107" s="140"/>
      <c r="C107" s="141"/>
      <c r="D107" s="112" t="s">
        <v>80</v>
      </c>
      <c r="E107" s="140"/>
      <c r="F107" s="142"/>
      <c r="G107" s="142"/>
      <c r="H107" s="142"/>
      <c r="I107" s="143">
        <f>SUM(I108:I110)</f>
        <v>11572.86</v>
      </c>
      <c r="J107" s="285"/>
      <c r="K107" s="144"/>
      <c r="L107" s="144"/>
      <c r="M107" s="144"/>
      <c r="N107" s="144"/>
      <c r="O107" s="144"/>
      <c r="P107" s="144"/>
      <c r="Q107" s="144"/>
    </row>
    <row r="108" spans="1:17" s="118" customFormat="1" ht="30.6" x14ac:dyDescent="0.2">
      <c r="A108" s="148" t="s">
        <v>612</v>
      </c>
      <c r="B108" s="148" t="s">
        <v>89</v>
      </c>
      <c r="C108" s="14">
        <v>11587</v>
      </c>
      <c r="D108" s="314" t="s">
        <v>714</v>
      </c>
      <c r="E108" s="148" t="s">
        <v>9</v>
      </c>
      <c r="F108" s="137">
        <v>87</v>
      </c>
      <c r="G108" s="137">
        <v>59.97</v>
      </c>
      <c r="H108" s="137">
        <f>ROUND(G108*(1+$L$4),2)</f>
        <v>75.88</v>
      </c>
      <c r="I108" s="138">
        <f>TRUNC(F108*H108,2)</f>
        <v>6601.56</v>
      </c>
      <c r="J108" s="167"/>
      <c r="K108" s="111"/>
      <c r="L108" s="111"/>
      <c r="M108" s="111"/>
      <c r="N108" s="111"/>
      <c r="O108" s="111"/>
      <c r="P108" s="111"/>
      <c r="Q108" s="111"/>
    </row>
    <row r="109" spans="1:17" s="118" customFormat="1" x14ac:dyDescent="0.2">
      <c r="A109" s="148" t="s">
        <v>613</v>
      </c>
      <c r="B109" s="148" t="s">
        <v>179</v>
      </c>
      <c r="C109" s="14" t="s">
        <v>316</v>
      </c>
      <c r="D109" s="314" t="s">
        <v>317</v>
      </c>
      <c r="E109" s="148" t="s">
        <v>9</v>
      </c>
      <c r="F109" s="137">
        <v>269.95999999999998</v>
      </c>
      <c r="G109" s="137">
        <v>5.8</v>
      </c>
      <c r="H109" s="137">
        <f>ROUND(G109*(1+$L$4),2)</f>
        <v>7.34</v>
      </c>
      <c r="I109" s="138">
        <f>TRUNC(F109*H109,2)</f>
        <v>1981.5</v>
      </c>
      <c r="J109" s="167"/>
      <c r="K109" s="111"/>
      <c r="L109" s="111"/>
      <c r="M109" s="111"/>
      <c r="N109" s="111"/>
      <c r="O109" s="111"/>
      <c r="P109" s="111"/>
      <c r="Q109" s="111"/>
    </row>
    <row r="110" spans="1:17" s="118" customFormat="1" ht="30.6" x14ac:dyDescent="0.2">
      <c r="A110" s="148" t="s">
        <v>614</v>
      </c>
      <c r="B110" s="148" t="s">
        <v>89</v>
      </c>
      <c r="C110" s="14">
        <v>94201</v>
      </c>
      <c r="D110" s="314" t="s">
        <v>425</v>
      </c>
      <c r="E110" s="148" t="s">
        <v>9</v>
      </c>
      <c r="F110" s="137">
        <v>67.489999999999995</v>
      </c>
      <c r="G110" s="137">
        <v>35.01</v>
      </c>
      <c r="H110" s="137">
        <f>ROUND(G110*(1+$L$4),2)</f>
        <v>44.3</v>
      </c>
      <c r="I110" s="138">
        <f>TRUNC(F110*H110,2)</f>
        <v>2989.8</v>
      </c>
      <c r="J110" s="167"/>
      <c r="K110" s="111"/>
      <c r="L110" s="111"/>
      <c r="M110" s="111"/>
      <c r="N110" s="111"/>
      <c r="O110" s="111"/>
      <c r="P110" s="111"/>
      <c r="Q110" s="111"/>
    </row>
    <row r="111" spans="1:17" s="145" customFormat="1" x14ac:dyDescent="0.2">
      <c r="A111" s="140" t="s">
        <v>68</v>
      </c>
      <c r="B111" s="140"/>
      <c r="C111" s="141"/>
      <c r="D111" s="112" t="s">
        <v>28</v>
      </c>
      <c r="E111" s="140"/>
      <c r="F111" s="142"/>
      <c r="G111" s="142"/>
      <c r="H111" s="142"/>
      <c r="I111" s="143">
        <f>SUM(I112:I113)</f>
        <v>2555.7200000000003</v>
      </c>
      <c r="J111" s="285"/>
      <c r="K111" s="144"/>
      <c r="L111" s="144"/>
      <c r="M111" s="144"/>
      <c r="N111" s="144"/>
      <c r="O111" s="144"/>
      <c r="P111" s="144"/>
      <c r="Q111" s="144"/>
    </row>
    <row r="112" spans="1:17" s="118" customFormat="1" ht="30.6" x14ac:dyDescent="0.2">
      <c r="A112" s="148" t="s">
        <v>615</v>
      </c>
      <c r="B112" s="148" t="s">
        <v>163</v>
      </c>
      <c r="C112" s="14" t="s">
        <v>263</v>
      </c>
      <c r="D112" s="314" t="s">
        <v>264</v>
      </c>
      <c r="E112" s="148" t="s">
        <v>33</v>
      </c>
      <c r="F112" s="137">
        <v>6.86</v>
      </c>
      <c r="G112" s="137">
        <v>287.51</v>
      </c>
      <c r="H112" s="137">
        <f>ROUND(G112*(1+$L$4),2)</f>
        <v>363.79</v>
      </c>
      <c r="I112" s="138">
        <f>TRUNC(F112*H112,2)</f>
        <v>2495.59</v>
      </c>
      <c r="J112" s="167"/>
      <c r="K112" s="111"/>
      <c r="L112" s="111"/>
      <c r="M112" s="111"/>
      <c r="N112" s="111"/>
      <c r="O112" s="111"/>
      <c r="P112" s="111"/>
      <c r="Q112" s="111"/>
    </row>
    <row r="113" spans="1:17" s="118" customFormat="1" ht="30.6" x14ac:dyDescent="0.2">
      <c r="A113" s="148" t="s">
        <v>616</v>
      </c>
      <c r="B113" s="148" t="s">
        <v>89</v>
      </c>
      <c r="C113" s="14">
        <v>91307</v>
      </c>
      <c r="D113" s="314" t="s">
        <v>447</v>
      </c>
      <c r="E113" s="148" t="s">
        <v>33</v>
      </c>
      <c r="F113" s="137">
        <v>1</v>
      </c>
      <c r="G113" s="137">
        <v>47.52</v>
      </c>
      <c r="H113" s="137">
        <f>ROUND(G113*(1+$L$4),2)</f>
        <v>60.13</v>
      </c>
      <c r="I113" s="138">
        <f>TRUNC(F113*H113,2)</f>
        <v>60.13</v>
      </c>
      <c r="J113" s="167"/>
      <c r="K113" s="111"/>
      <c r="L113" s="111"/>
      <c r="M113" s="111"/>
      <c r="N113" s="111"/>
      <c r="O113" s="111"/>
      <c r="P113" s="111"/>
      <c r="Q113" s="111"/>
    </row>
    <row r="114" spans="1:17" s="145" customFormat="1" x14ac:dyDescent="0.2">
      <c r="A114" s="140" t="s">
        <v>69</v>
      </c>
      <c r="B114" s="140"/>
      <c r="C114" s="141"/>
      <c r="D114" s="112" t="s">
        <v>211</v>
      </c>
      <c r="E114" s="140"/>
      <c r="F114" s="142"/>
      <c r="G114" s="142"/>
      <c r="H114" s="142"/>
      <c r="I114" s="143">
        <f>SUM(I115:I118)</f>
        <v>708.35</v>
      </c>
      <c r="J114" s="285"/>
      <c r="K114" s="144"/>
      <c r="L114" s="144"/>
      <c r="M114" s="144"/>
      <c r="N114" s="144"/>
      <c r="O114" s="144"/>
      <c r="P114" s="144"/>
      <c r="Q114" s="144"/>
    </row>
    <row r="115" spans="1:17" s="118" customFormat="1" ht="30.6" x14ac:dyDescent="0.2">
      <c r="A115" s="148" t="s">
        <v>617</v>
      </c>
      <c r="B115" s="148" t="s">
        <v>163</v>
      </c>
      <c r="C115" s="14" t="s">
        <v>249</v>
      </c>
      <c r="D115" s="314" t="s">
        <v>250</v>
      </c>
      <c r="E115" s="148" t="s">
        <v>33</v>
      </c>
      <c r="F115" s="137">
        <v>2</v>
      </c>
      <c r="G115" s="137">
        <v>116.1</v>
      </c>
      <c r="H115" s="137">
        <f>ROUND(G115*(1+$L$4),2)</f>
        <v>146.9</v>
      </c>
      <c r="I115" s="138">
        <f>TRUNC(F115*H115,2)</f>
        <v>293.8</v>
      </c>
      <c r="J115" s="167"/>
      <c r="K115" s="111"/>
      <c r="L115" s="111"/>
      <c r="M115" s="111"/>
      <c r="N115" s="111"/>
      <c r="O115" s="111"/>
      <c r="P115" s="111"/>
      <c r="Q115" s="111"/>
    </row>
    <row r="116" spans="1:17" s="118" customFormat="1" ht="30.6" x14ac:dyDescent="0.2">
      <c r="A116" s="148" t="s">
        <v>618</v>
      </c>
      <c r="B116" s="148" t="s">
        <v>163</v>
      </c>
      <c r="C116" s="14" t="s">
        <v>194</v>
      </c>
      <c r="D116" s="314" t="s">
        <v>252</v>
      </c>
      <c r="E116" s="148" t="s">
        <v>31</v>
      </c>
      <c r="F116" s="137">
        <v>1</v>
      </c>
      <c r="G116" s="137">
        <v>64.06</v>
      </c>
      <c r="H116" s="137">
        <f>ROUND(G116*(1+$L$4),2)</f>
        <v>81.06</v>
      </c>
      <c r="I116" s="138">
        <f>TRUNC(F116*H116,2)</f>
        <v>81.06</v>
      </c>
      <c r="J116" s="167"/>
      <c r="K116" s="111"/>
      <c r="L116" s="111"/>
      <c r="M116" s="111"/>
      <c r="N116" s="111"/>
      <c r="O116" s="111"/>
      <c r="P116" s="111"/>
      <c r="Q116" s="111"/>
    </row>
    <row r="117" spans="1:17" s="118" customFormat="1" ht="30.6" x14ac:dyDescent="0.2">
      <c r="A117" s="148" t="s">
        <v>619</v>
      </c>
      <c r="B117" s="148" t="s">
        <v>89</v>
      </c>
      <c r="C117" s="14">
        <v>86906</v>
      </c>
      <c r="D117" s="314" t="s">
        <v>261</v>
      </c>
      <c r="E117" s="148" t="s">
        <v>33</v>
      </c>
      <c r="F117" s="137">
        <v>2</v>
      </c>
      <c r="G117" s="137">
        <v>47.41</v>
      </c>
      <c r="H117" s="137">
        <f>ROUND(G117*(1+$L$4),2)</f>
        <v>59.99</v>
      </c>
      <c r="I117" s="138">
        <f>TRUNC(F117*H117,2)</f>
        <v>119.98</v>
      </c>
      <c r="J117" s="167"/>
      <c r="K117" s="111"/>
      <c r="L117" s="111"/>
      <c r="M117" s="111"/>
      <c r="N117" s="111"/>
      <c r="O117" s="111"/>
      <c r="P117" s="111"/>
      <c r="Q117" s="111"/>
    </row>
    <row r="118" spans="1:17" s="118" customFormat="1" ht="51" x14ac:dyDescent="0.2">
      <c r="A118" s="148" t="s">
        <v>620</v>
      </c>
      <c r="B118" s="148" t="s">
        <v>89</v>
      </c>
      <c r="C118" s="14">
        <v>86942</v>
      </c>
      <c r="D118" s="314" t="s">
        <v>262</v>
      </c>
      <c r="E118" s="148" t="s">
        <v>33</v>
      </c>
      <c r="F118" s="137">
        <v>1</v>
      </c>
      <c r="G118" s="137">
        <v>168.74</v>
      </c>
      <c r="H118" s="137">
        <f>ROUND(G118*(1+$L$4),2)</f>
        <v>213.51</v>
      </c>
      <c r="I118" s="138">
        <f>TRUNC(F118*H118,2)</f>
        <v>213.51</v>
      </c>
      <c r="J118" s="167"/>
      <c r="K118" s="111"/>
      <c r="L118" s="111"/>
      <c r="M118" s="111"/>
      <c r="N118" s="111"/>
      <c r="O118" s="111"/>
      <c r="P118" s="111"/>
      <c r="Q118" s="111"/>
    </row>
    <row r="119" spans="1:17" s="145" customFormat="1" x14ac:dyDescent="0.2">
      <c r="A119" s="140" t="s">
        <v>175</v>
      </c>
      <c r="B119" s="140"/>
      <c r="C119" s="141"/>
      <c r="D119" s="112" t="s">
        <v>29</v>
      </c>
      <c r="E119" s="140"/>
      <c r="F119" s="142"/>
      <c r="G119" s="142"/>
      <c r="H119" s="142"/>
      <c r="I119" s="143">
        <f>SUM(I120:I120)</f>
        <v>232.96</v>
      </c>
      <c r="J119" s="285"/>
      <c r="K119" s="144"/>
      <c r="L119" s="144"/>
      <c r="M119" s="144"/>
      <c r="N119" s="144"/>
      <c r="O119" s="144"/>
      <c r="P119" s="144"/>
      <c r="Q119" s="144"/>
    </row>
    <row r="120" spans="1:17" s="118" customFormat="1" ht="40.799999999999997" x14ac:dyDescent="0.2">
      <c r="A120" s="148" t="s">
        <v>621</v>
      </c>
      <c r="B120" s="148" t="s">
        <v>163</v>
      </c>
      <c r="C120" s="14" t="s">
        <v>176</v>
      </c>
      <c r="D120" s="314" t="s">
        <v>269</v>
      </c>
      <c r="E120" s="148" t="s">
        <v>9</v>
      </c>
      <c r="F120" s="137">
        <v>13.72</v>
      </c>
      <c r="G120" s="137">
        <v>13.42</v>
      </c>
      <c r="H120" s="137">
        <f>ROUND(G120*(1+$L$4),2)</f>
        <v>16.98</v>
      </c>
      <c r="I120" s="138">
        <f>TRUNC(F120*H120,2)</f>
        <v>232.96</v>
      </c>
      <c r="J120" s="167"/>
      <c r="K120" s="111"/>
      <c r="L120" s="111"/>
      <c r="M120" s="111"/>
      <c r="N120" s="111"/>
      <c r="O120" s="111"/>
      <c r="P120" s="111"/>
      <c r="Q120" s="111"/>
    </row>
    <row r="121" spans="1:17" s="118" customFormat="1" x14ac:dyDescent="0.2">
      <c r="A121" s="148"/>
      <c r="B121" s="148"/>
      <c r="C121" s="14"/>
      <c r="D121" s="314"/>
      <c r="E121" s="148"/>
      <c r="F121" s="137"/>
      <c r="G121" s="137"/>
      <c r="H121" s="137"/>
      <c r="I121" s="138"/>
      <c r="J121" s="167"/>
      <c r="K121" s="111"/>
      <c r="L121" s="111"/>
      <c r="M121" s="111"/>
      <c r="N121" s="111"/>
      <c r="O121" s="111"/>
      <c r="P121" s="111"/>
      <c r="Q121" s="111"/>
    </row>
    <row r="122" spans="1:17" s="241" customFormat="1" ht="26.4" x14ac:dyDescent="0.25">
      <c r="A122" s="236" t="s">
        <v>24</v>
      </c>
      <c r="B122" s="236"/>
      <c r="C122" s="237"/>
      <c r="D122" s="289" t="s">
        <v>216</v>
      </c>
      <c r="E122" s="236"/>
      <c r="F122" s="238"/>
      <c r="G122" s="238"/>
      <c r="H122" s="238"/>
      <c r="I122" s="239" t="e">
        <f>I123+I131+I135</f>
        <v>#VALUE!</v>
      </c>
      <c r="J122" s="284" t="e">
        <f>I122/$I$476</f>
        <v>#VALUE!</v>
      </c>
      <c r="K122" s="240"/>
      <c r="L122" s="240"/>
      <c r="M122" s="240"/>
      <c r="N122" s="240"/>
      <c r="O122" s="240"/>
      <c r="P122" s="240"/>
      <c r="Q122" s="240"/>
    </row>
    <row r="123" spans="1:17" s="145" customFormat="1" x14ac:dyDescent="0.2">
      <c r="A123" s="140" t="s">
        <v>25</v>
      </c>
      <c r="B123" s="140"/>
      <c r="C123" s="141"/>
      <c r="D123" s="112" t="s">
        <v>30</v>
      </c>
      <c r="E123" s="140"/>
      <c r="F123" s="142"/>
      <c r="G123" s="142"/>
      <c r="H123" s="142"/>
      <c r="I123" s="143" t="e">
        <f>SUM(I124:I130)</f>
        <v>#VALUE!</v>
      </c>
      <c r="J123" s="285"/>
      <c r="K123" s="144"/>
      <c r="L123" s="144"/>
      <c r="M123" s="144"/>
      <c r="N123" s="144"/>
      <c r="O123" s="144"/>
      <c r="P123" s="144"/>
      <c r="Q123" s="144"/>
    </row>
    <row r="124" spans="1:17" s="118" customFormat="1" ht="51" x14ac:dyDescent="0.2">
      <c r="A124" s="148" t="s">
        <v>762</v>
      </c>
      <c r="B124" s="148" t="s">
        <v>179</v>
      </c>
      <c r="C124" s="14" t="s">
        <v>417</v>
      </c>
      <c r="D124" s="314" t="s">
        <v>561</v>
      </c>
      <c r="E124" s="148" t="s">
        <v>31</v>
      </c>
      <c r="F124" s="137">
        <v>3</v>
      </c>
      <c r="G124" s="137" t="e">
        <f>'COMPOSICOES - SINAPI COM DESON'!G36</f>
        <v>#VALUE!</v>
      </c>
      <c r="H124" s="137" t="e">
        <f t="shared" ref="H124:H130" si="12">ROUND(G124*(1+$L$4),2)</f>
        <v>#VALUE!</v>
      </c>
      <c r="I124" s="138" t="e">
        <f t="shared" ref="I124:I130" si="13">TRUNC(F124*H124,2)</f>
        <v>#VALUE!</v>
      </c>
      <c r="J124" s="167"/>
      <c r="K124" s="111"/>
      <c r="L124" s="111"/>
      <c r="M124" s="111"/>
      <c r="N124" s="111"/>
      <c r="O124" s="111"/>
      <c r="P124" s="111"/>
      <c r="Q124" s="111"/>
    </row>
    <row r="125" spans="1:17" s="118" customFormat="1" ht="40.799999999999997" x14ac:dyDescent="0.2">
      <c r="A125" s="148" t="s">
        <v>768</v>
      </c>
      <c r="B125" s="148" t="s">
        <v>163</v>
      </c>
      <c r="C125" s="14" t="s">
        <v>244</v>
      </c>
      <c r="D125" s="314" t="s">
        <v>245</v>
      </c>
      <c r="E125" s="148" t="s">
        <v>31</v>
      </c>
      <c r="F125" s="137">
        <v>3</v>
      </c>
      <c r="G125" s="137">
        <v>116.08</v>
      </c>
      <c r="H125" s="137">
        <f t="shared" si="12"/>
        <v>146.88</v>
      </c>
      <c r="I125" s="138">
        <f t="shared" si="13"/>
        <v>440.64</v>
      </c>
      <c r="J125" s="167"/>
      <c r="K125" s="111"/>
      <c r="L125" s="111"/>
      <c r="M125" s="111"/>
      <c r="N125" s="111"/>
      <c r="O125" s="111"/>
      <c r="P125" s="111"/>
      <c r="Q125" s="111"/>
    </row>
    <row r="126" spans="1:17" s="118" customFormat="1" ht="40.799999999999997" x14ac:dyDescent="0.2">
      <c r="A126" s="148" t="s">
        <v>769</v>
      </c>
      <c r="B126" s="148" t="s">
        <v>89</v>
      </c>
      <c r="C126" s="14">
        <v>93144</v>
      </c>
      <c r="D126" s="314" t="s">
        <v>295</v>
      </c>
      <c r="E126" s="148" t="s">
        <v>33</v>
      </c>
      <c r="F126" s="137">
        <v>4</v>
      </c>
      <c r="G126" s="137">
        <v>166.81</v>
      </c>
      <c r="H126" s="137">
        <f t="shared" si="12"/>
        <v>211.06</v>
      </c>
      <c r="I126" s="138">
        <f t="shared" si="13"/>
        <v>844.24</v>
      </c>
      <c r="J126" s="167"/>
      <c r="K126" s="111"/>
      <c r="L126" s="111"/>
      <c r="M126" s="111"/>
      <c r="N126" s="111"/>
      <c r="O126" s="111"/>
      <c r="P126" s="111"/>
      <c r="Q126" s="111"/>
    </row>
    <row r="127" spans="1:17" s="118" customFormat="1" ht="40.799999999999997" x14ac:dyDescent="0.2">
      <c r="A127" s="148" t="s">
        <v>770</v>
      </c>
      <c r="B127" s="148" t="s">
        <v>163</v>
      </c>
      <c r="C127" s="14" t="s">
        <v>192</v>
      </c>
      <c r="D127" s="314" t="s">
        <v>712</v>
      </c>
      <c r="E127" s="148" t="s">
        <v>31</v>
      </c>
      <c r="F127" s="137">
        <v>4</v>
      </c>
      <c r="G127" s="137">
        <v>46.44</v>
      </c>
      <c r="H127" s="137">
        <f t="shared" si="12"/>
        <v>58.76</v>
      </c>
      <c r="I127" s="138">
        <f t="shared" si="13"/>
        <v>235.04</v>
      </c>
      <c r="J127" s="167"/>
      <c r="K127" s="111"/>
      <c r="L127" s="111"/>
      <c r="M127" s="111"/>
      <c r="N127" s="111"/>
      <c r="O127" s="111"/>
      <c r="P127" s="111"/>
      <c r="Q127" s="111"/>
    </row>
    <row r="128" spans="1:17" s="118" customFormat="1" ht="30.6" x14ac:dyDescent="0.2">
      <c r="A128" s="148" t="s">
        <v>771</v>
      </c>
      <c r="B128" s="148" t="s">
        <v>179</v>
      </c>
      <c r="C128" s="14" t="s">
        <v>672</v>
      </c>
      <c r="D128" s="314" t="s">
        <v>567</v>
      </c>
      <c r="E128" s="148" t="s">
        <v>33</v>
      </c>
      <c r="F128" s="137">
        <v>1</v>
      </c>
      <c r="G128" s="137">
        <f>'COMPOSICOES - SINAPI COM DESON'!G50</f>
        <v>104.48</v>
      </c>
      <c r="H128" s="137">
        <f t="shared" si="12"/>
        <v>132.19999999999999</v>
      </c>
      <c r="I128" s="138">
        <f t="shared" si="13"/>
        <v>132.19999999999999</v>
      </c>
      <c r="J128" s="167"/>
      <c r="K128" s="111"/>
      <c r="L128" s="111"/>
      <c r="M128" s="111"/>
      <c r="N128" s="111"/>
      <c r="O128" s="111"/>
      <c r="P128" s="111"/>
      <c r="Q128" s="111"/>
    </row>
    <row r="129" spans="1:17" s="118" customFormat="1" ht="40.799999999999997" x14ac:dyDescent="0.2">
      <c r="A129" s="148" t="s">
        <v>772</v>
      </c>
      <c r="B129" s="148" t="s">
        <v>163</v>
      </c>
      <c r="C129" s="14" t="s">
        <v>188</v>
      </c>
      <c r="D129" s="314" t="s">
        <v>719</v>
      </c>
      <c r="E129" s="148" t="s">
        <v>33</v>
      </c>
      <c r="F129" s="137">
        <v>1</v>
      </c>
      <c r="G129" s="137">
        <v>65.69</v>
      </c>
      <c r="H129" s="137">
        <f t="shared" si="12"/>
        <v>83.12</v>
      </c>
      <c r="I129" s="138">
        <f t="shared" si="13"/>
        <v>83.12</v>
      </c>
      <c r="J129" s="167"/>
      <c r="K129" s="111"/>
      <c r="L129" s="111"/>
      <c r="M129" s="111"/>
      <c r="N129" s="111"/>
      <c r="O129" s="111"/>
      <c r="P129" s="111"/>
      <c r="Q129" s="111"/>
    </row>
    <row r="130" spans="1:17" s="118" customFormat="1" ht="30.6" x14ac:dyDescent="0.2">
      <c r="A130" s="148" t="s">
        <v>773</v>
      </c>
      <c r="B130" s="148" t="s">
        <v>163</v>
      </c>
      <c r="C130" s="14" t="s">
        <v>190</v>
      </c>
      <c r="D130" s="314" t="s">
        <v>290</v>
      </c>
      <c r="E130" s="148" t="s">
        <v>33</v>
      </c>
      <c r="F130" s="137">
        <v>6</v>
      </c>
      <c r="G130" s="137">
        <v>14.55</v>
      </c>
      <c r="H130" s="137">
        <f t="shared" si="12"/>
        <v>18.41</v>
      </c>
      <c r="I130" s="138">
        <f t="shared" si="13"/>
        <v>110.46</v>
      </c>
      <c r="J130" s="167"/>
      <c r="K130" s="111"/>
      <c r="L130" s="111"/>
      <c r="M130" s="111"/>
      <c r="N130" s="111"/>
      <c r="O130" s="111"/>
      <c r="P130" s="111"/>
      <c r="Q130" s="111"/>
    </row>
    <row r="131" spans="1:17" s="145" customFormat="1" x14ac:dyDescent="0.2">
      <c r="A131" s="140" t="s">
        <v>46</v>
      </c>
      <c r="B131" s="140"/>
      <c r="C131" s="141"/>
      <c r="D131" s="112" t="s">
        <v>211</v>
      </c>
      <c r="E131" s="140"/>
      <c r="F131" s="142"/>
      <c r="G131" s="142"/>
      <c r="H131" s="142"/>
      <c r="I131" s="143">
        <f>SUM(I132:I134)</f>
        <v>238.23000000000002</v>
      </c>
      <c r="J131" s="285"/>
      <c r="K131" s="144"/>
      <c r="L131" s="144"/>
      <c r="M131" s="144"/>
      <c r="N131" s="144"/>
      <c r="O131" s="144"/>
      <c r="P131" s="144"/>
      <c r="Q131" s="144"/>
    </row>
    <row r="132" spans="1:17" s="118" customFormat="1" ht="30.6" x14ac:dyDescent="0.2">
      <c r="A132" s="148" t="s">
        <v>763</v>
      </c>
      <c r="B132" s="148" t="s">
        <v>163</v>
      </c>
      <c r="C132" s="14" t="s">
        <v>249</v>
      </c>
      <c r="D132" s="314" t="s">
        <v>414</v>
      </c>
      <c r="E132" s="148" t="s">
        <v>32</v>
      </c>
      <c r="F132" s="137">
        <v>1</v>
      </c>
      <c r="G132" s="137">
        <v>116.1</v>
      </c>
      <c r="H132" s="137">
        <f>ROUND(G132*(1+$L$4),2)</f>
        <v>146.9</v>
      </c>
      <c r="I132" s="138">
        <f>TRUNC(F132*H132,2)</f>
        <v>146.9</v>
      </c>
      <c r="J132" s="167"/>
      <c r="K132" s="111"/>
      <c r="L132" s="111"/>
      <c r="M132" s="111"/>
      <c r="N132" s="111"/>
      <c r="O132" s="111"/>
      <c r="P132" s="111"/>
      <c r="Q132" s="111"/>
    </row>
    <row r="133" spans="1:17" s="118" customFormat="1" ht="30.6" x14ac:dyDescent="0.2">
      <c r="A133" s="148" t="s">
        <v>764</v>
      </c>
      <c r="B133" s="148" t="s">
        <v>163</v>
      </c>
      <c r="C133" s="14" t="s">
        <v>194</v>
      </c>
      <c r="D133" s="314" t="s">
        <v>315</v>
      </c>
      <c r="E133" s="148" t="s">
        <v>31</v>
      </c>
      <c r="F133" s="137">
        <v>1</v>
      </c>
      <c r="G133" s="137">
        <v>64.06</v>
      </c>
      <c r="H133" s="137">
        <f>ROUND(G133*(1+$L$4),2)</f>
        <v>81.06</v>
      </c>
      <c r="I133" s="138">
        <f>TRUNC(F133*H133,2)</f>
        <v>81.06</v>
      </c>
      <c r="J133" s="167"/>
      <c r="K133" s="111"/>
      <c r="L133" s="111"/>
      <c r="M133" s="111"/>
      <c r="N133" s="111"/>
      <c r="O133" s="111"/>
      <c r="P133" s="111"/>
      <c r="Q133" s="111"/>
    </row>
    <row r="134" spans="1:17" s="118" customFormat="1" ht="20.399999999999999" x14ac:dyDescent="0.2">
      <c r="A134" s="148" t="s">
        <v>765</v>
      </c>
      <c r="B134" s="148" t="s">
        <v>89</v>
      </c>
      <c r="C134" s="14">
        <v>86883</v>
      </c>
      <c r="D134" s="314" t="s">
        <v>629</v>
      </c>
      <c r="E134" s="148" t="s">
        <v>33</v>
      </c>
      <c r="F134" s="137">
        <v>1</v>
      </c>
      <c r="G134" s="137">
        <v>8.1199999999999992</v>
      </c>
      <c r="H134" s="137">
        <f>ROUND(G134*(1+$L$4),2)</f>
        <v>10.27</v>
      </c>
      <c r="I134" s="138">
        <f>TRUNC(F134*H134,2)</f>
        <v>10.27</v>
      </c>
      <c r="J134" s="167"/>
      <c r="K134" s="111"/>
      <c r="L134" s="111"/>
      <c r="M134" s="111"/>
      <c r="N134" s="111"/>
      <c r="O134" s="111"/>
      <c r="P134" s="111"/>
      <c r="Q134" s="111"/>
    </row>
    <row r="135" spans="1:17" s="145" customFormat="1" x14ac:dyDescent="0.2">
      <c r="A135" s="140" t="s">
        <v>47</v>
      </c>
      <c r="B135" s="140"/>
      <c r="C135" s="141"/>
      <c r="D135" s="112" t="s">
        <v>80</v>
      </c>
      <c r="E135" s="140"/>
      <c r="F135" s="142"/>
      <c r="G135" s="142"/>
      <c r="H135" s="142"/>
      <c r="I135" s="143">
        <f>SUM(I136:I137)</f>
        <v>2398.6800000000003</v>
      </c>
      <c r="J135" s="285"/>
      <c r="K135" s="144"/>
      <c r="L135" s="144"/>
      <c r="M135" s="144"/>
      <c r="N135" s="144"/>
      <c r="O135" s="144"/>
      <c r="P135" s="144"/>
      <c r="Q135" s="144"/>
    </row>
    <row r="136" spans="1:17" s="118" customFormat="1" ht="30.6" x14ac:dyDescent="0.2">
      <c r="A136" s="148" t="s">
        <v>766</v>
      </c>
      <c r="B136" s="148" t="s">
        <v>89</v>
      </c>
      <c r="C136" s="14">
        <v>11587</v>
      </c>
      <c r="D136" s="314" t="s">
        <v>714</v>
      </c>
      <c r="E136" s="148" t="s">
        <v>9</v>
      </c>
      <c r="F136" s="137">
        <v>16.43</v>
      </c>
      <c r="G136" s="137">
        <v>59.97</v>
      </c>
      <c r="H136" s="137">
        <f>ROUND(G136*(1+$L$4),2)</f>
        <v>75.88</v>
      </c>
      <c r="I136" s="138">
        <f>TRUNC(F136*H136,2)</f>
        <v>1246.7</v>
      </c>
      <c r="J136" s="167"/>
      <c r="K136" s="111"/>
      <c r="L136" s="111"/>
      <c r="M136" s="111"/>
      <c r="N136" s="111"/>
      <c r="O136" s="111"/>
      <c r="P136" s="111"/>
      <c r="Q136" s="111"/>
    </row>
    <row r="137" spans="1:17" s="118" customFormat="1" x14ac:dyDescent="0.2">
      <c r="A137" s="148" t="s">
        <v>767</v>
      </c>
      <c r="B137" s="148" t="s">
        <v>179</v>
      </c>
      <c r="C137" s="14" t="s">
        <v>316</v>
      </c>
      <c r="D137" s="314" t="s">
        <v>317</v>
      </c>
      <c r="E137" s="148" t="s">
        <v>9</v>
      </c>
      <c r="F137" s="137">
        <v>157.16</v>
      </c>
      <c r="G137" s="137">
        <f>'COMPOSICOES - SINAPI COM DESON'!G18</f>
        <v>5.79</v>
      </c>
      <c r="H137" s="137">
        <f>ROUND(G137*(1+$L$4),2)</f>
        <v>7.33</v>
      </c>
      <c r="I137" s="138">
        <f>TRUNC(F137*H137,2)</f>
        <v>1151.98</v>
      </c>
      <c r="J137" s="167"/>
      <c r="K137" s="111"/>
      <c r="L137" s="111"/>
      <c r="M137" s="111"/>
      <c r="N137" s="111"/>
      <c r="O137" s="111"/>
      <c r="P137" s="111"/>
      <c r="Q137" s="111"/>
    </row>
    <row r="138" spans="1:17" s="118" customFormat="1" x14ac:dyDescent="0.2">
      <c r="A138" s="148"/>
      <c r="B138" s="148"/>
      <c r="C138" s="14"/>
      <c r="D138" s="314"/>
      <c r="E138" s="148"/>
      <c r="F138" s="137"/>
      <c r="G138" s="137"/>
      <c r="H138" s="137"/>
      <c r="I138" s="138"/>
      <c r="J138" s="167"/>
      <c r="K138" s="111"/>
      <c r="L138" s="111"/>
      <c r="M138" s="111"/>
      <c r="N138" s="111"/>
      <c r="O138" s="111"/>
      <c r="P138" s="111"/>
      <c r="Q138" s="111"/>
    </row>
    <row r="139" spans="1:17" s="241" customFormat="1" ht="26.4" x14ac:dyDescent="0.25">
      <c r="A139" s="236" t="s">
        <v>157</v>
      </c>
      <c r="B139" s="236"/>
      <c r="C139" s="237"/>
      <c r="D139" s="289" t="s">
        <v>217</v>
      </c>
      <c r="E139" s="236"/>
      <c r="F139" s="238"/>
      <c r="G139" s="238"/>
      <c r="H139" s="238"/>
      <c r="I139" s="239" t="e">
        <f>I140+I149+I152+I156+I154</f>
        <v>#VALUE!</v>
      </c>
      <c r="J139" s="284" t="e">
        <f>I139/$I$476</f>
        <v>#VALUE!</v>
      </c>
      <c r="K139" s="240"/>
      <c r="L139" s="240"/>
      <c r="M139" s="240"/>
      <c r="N139" s="240"/>
      <c r="O139" s="240"/>
      <c r="P139" s="240"/>
      <c r="Q139" s="240"/>
    </row>
    <row r="140" spans="1:17" s="145" customFormat="1" x14ac:dyDescent="0.2">
      <c r="A140" s="140" t="s">
        <v>26</v>
      </c>
      <c r="B140" s="140"/>
      <c r="C140" s="141"/>
      <c r="D140" s="112" t="s">
        <v>30</v>
      </c>
      <c r="E140" s="140"/>
      <c r="F140" s="142"/>
      <c r="G140" s="142"/>
      <c r="H140" s="142"/>
      <c r="I140" s="143" t="e">
        <f>SUM(I141:I148)</f>
        <v>#VALUE!</v>
      </c>
      <c r="J140" s="285"/>
      <c r="K140" s="144"/>
      <c r="L140" s="144"/>
      <c r="M140" s="144"/>
      <c r="N140" s="144"/>
      <c r="O140" s="144"/>
      <c r="P140" s="144"/>
      <c r="Q140" s="144"/>
    </row>
    <row r="141" spans="1:17" s="118" customFormat="1" ht="30.6" x14ac:dyDescent="0.2">
      <c r="A141" s="148" t="s">
        <v>48</v>
      </c>
      <c r="B141" s="148" t="s">
        <v>163</v>
      </c>
      <c r="C141" s="14" t="s">
        <v>240</v>
      </c>
      <c r="D141" s="314" t="s">
        <v>241</v>
      </c>
      <c r="E141" s="148" t="s">
        <v>31</v>
      </c>
      <c r="F141" s="137">
        <v>2</v>
      </c>
      <c r="G141" s="137">
        <v>73.44</v>
      </c>
      <c r="H141" s="137">
        <f t="shared" ref="H141:H148" si="14">ROUND(G141*(1+$L$4),2)</f>
        <v>92.92</v>
      </c>
      <c r="I141" s="138">
        <f t="shared" ref="I141:I148" si="15">TRUNC(F141*H141,2)</f>
        <v>185.84</v>
      </c>
      <c r="J141" s="167"/>
      <c r="K141" s="111"/>
      <c r="L141" s="111"/>
      <c r="M141" s="111"/>
      <c r="N141" s="111"/>
      <c r="O141" s="111"/>
      <c r="P141" s="111"/>
      <c r="Q141" s="111"/>
    </row>
    <row r="142" spans="1:17" s="118" customFormat="1" ht="51" x14ac:dyDescent="0.2">
      <c r="A142" s="148" t="s">
        <v>49</v>
      </c>
      <c r="B142" s="148" t="s">
        <v>179</v>
      </c>
      <c r="C142" s="14" t="s">
        <v>417</v>
      </c>
      <c r="D142" s="314" t="s">
        <v>561</v>
      </c>
      <c r="E142" s="148" t="s">
        <v>31</v>
      </c>
      <c r="F142" s="137">
        <v>5</v>
      </c>
      <c r="G142" s="137" t="e">
        <f>'COMPOSICOES - SINAPI COM DESON'!G36</f>
        <v>#VALUE!</v>
      </c>
      <c r="H142" s="137" t="e">
        <f t="shared" si="14"/>
        <v>#VALUE!</v>
      </c>
      <c r="I142" s="138" t="e">
        <f t="shared" si="15"/>
        <v>#VALUE!</v>
      </c>
      <c r="J142" s="167"/>
      <c r="K142" s="111"/>
      <c r="L142" s="111"/>
      <c r="M142" s="111"/>
      <c r="N142" s="111"/>
      <c r="O142" s="111"/>
      <c r="P142" s="111"/>
      <c r="Q142" s="111"/>
    </row>
    <row r="143" spans="1:17" s="118" customFormat="1" ht="40.799999999999997" x14ac:dyDescent="0.2">
      <c r="A143" s="148" t="s">
        <v>50</v>
      </c>
      <c r="B143" s="148" t="s">
        <v>163</v>
      </c>
      <c r="C143" s="14" t="s">
        <v>244</v>
      </c>
      <c r="D143" s="314" t="s">
        <v>245</v>
      </c>
      <c r="E143" s="148" t="s">
        <v>31</v>
      </c>
      <c r="F143" s="137">
        <v>4</v>
      </c>
      <c r="G143" s="137">
        <v>116.08</v>
      </c>
      <c r="H143" s="137">
        <f t="shared" si="14"/>
        <v>146.88</v>
      </c>
      <c r="I143" s="138">
        <f t="shared" si="15"/>
        <v>587.52</v>
      </c>
      <c r="J143" s="167"/>
      <c r="K143" s="111"/>
      <c r="L143" s="111"/>
      <c r="M143" s="111"/>
      <c r="N143" s="111"/>
      <c r="O143" s="111"/>
      <c r="P143" s="111"/>
      <c r="Q143" s="111"/>
    </row>
    <row r="144" spans="1:17" s="118" customFormat="1" ht="30.6" x14ac:dyDescent="0.2">
      <c r="A144" s="148" t="s">
        <v>51</v>
      </c>
      <c r="B144" s="148" t="s">
        <v>179</v>
      </c>
      <c r="C144" s="14" t="s">
        <v>672</v>
      </c>
      <c r="D144" s="314" t="s">
        <v>671</v>
      </c>
      <c r="E144" s="148" t="s">
        <v>33</v>
      </c>
      <c r="F144" s="137">
        <v>1</v>
      </c>
      <c r="G144" s="137">
        <f>'COMPOSICOES - SINAPI COM DESON'!G50</f>
        <v>104.48</v>
      </c>
      <c r="H144" s="137">
        <f t="shared" si="14"/>
        <v>132.19999999999999</v>
      </c>
      <c r="I144" s="138">
        <f t="shared" si="15"/>
        <v>132.19999999999999</v>
      </c>
      <c r="J144" s="167"/>
      <c r="K144" s="111"/>
      <c r="L144" s="111"/>
      <c r="M144" s="111"/>
      <c r="N144" s="111"/>
      <c r="O144" s="111"/>
      <c r="P144" s="111"/>
      <c r="Q144" s="111"/>
    </row>
    <row r="145" spans="1:17" s="118" customFormat="1" ht="40.799999999999997" x14ac:dyDescent="0.2">
      <c r="A145" s="148" t="s">
        <v>52</v>
      </c>
      <c r="B145" s="148" t="s">
        <v>89</v>
      </c>
      <c r="C145" s="14">
        <v>93144</v>
      </c>
      <c r="D145" s="314" t="s">
        <v>295</v>
      </c>
      <c r="E145" s="148" t="s">
        <v>33</v>
      </c>
      <c r="F145" s="137">
        <v>3</v>
      </c>
      <c r="G145" s="137">
        <v>166.81</v>
      </c>
      <c r="H145" s="137">
        <f t="shared" si="14"/>
        <v>211.06</v>
      </c>
      <c r="I145" s="138">
        <f t="shared" si="15"/>
        <v>633.17999999999995</v>
      </c>
      <c r="J145" s="167"/>
      <c r="K145" s="111"/>
      <c r="L145" s="111"/>
      <c r="M145" s="111"/>
      <c r="N145" s="111"/>
      <c r="O145" s="111"/>
      <c r="P145" s="111"/>
      <c r="Q145" s="111"/>
    </row>
    <row r="146" spans="1:17" s="118" customFormat="1" ht="40.799999999999997" x14ac:dyDescent="0.2">
      <c r="A146" s="148" t="s">
        <v>53</v>
      </c>
      <c r="B146" s="148" t="s">
        <v>163</v>
      </c>
      <c r="C146" s="14" t="s">
        <v>192</v>
      </c>
      <c r="D146" s="314" t="s">
        <v>712</v>
      </c>
      <c r="E146" s="148" t="s">
        <v>31</v>
      </c>
      <c r="F146" s="137">
        <v>3</v>
      </c>
      <c r="G146" s="137">
        <v>46.44</v>
      </c>
      <c r="H146" s="137">
        <f t="shared" si="14"/>
        <v>58.76</v>
      </c>
      <c r="I146" s="138">
        <f t="shared" si="15"/>
        <v>176.28</v>
      </c>
      <c r="J146" s="167"/>
      <c r="K146" s="111"/>
      <c r="L146" s="111"/>
      <c r="M146" s="111"/>
      <c r="N146" s="111"/>
      <c r="O146" s="111"/>
      <c r="P146" s="111"/>
      <c r="Q146" s="111"/>
    </row>
    <row r="147" spans="1:17" s="118" customFormat="1" ht="40.799999999999997" x14ac:dyDescent="0.2">
      <c r="A147" s="148" t="s">
        <v>54</v>
      </c>
      <c r="B147" s="148" t="s">
        <v>163</v>
      </c>
      <c r="C147" s="14" t="s">
        <v>188</v>
      </c>
      <c r="D147" s="314" t="s">
        <v>719</v>
      </c>
      <c r="E147" s="148" t="s">
        <v>33</v>
      </c>
      <c r="F147" s="137">
        <v>1</v>
      </c>
      <c r="G147" s="137">
        <v>65.69</v>
      </c>
      <c r="H147" s="137">
        <f t="shared" si="14"/>
        <v>83.12</v>
      </c>
      <c r="I147" s="138">
        <f t="shared" si="15"/>
        <v>83.12</v>
      </c>
      <c r="J147" s="167"/>
      <c r="K147" s="111"/>
      <c r="L147" s="111"/>
      <c r="M147" s="111"/>
      <c r="N147" s="111"/>
      <c r="O147" s="111"/>
      <c r="P147" s="111"/>
      <c r="Q147" s="111"/>
    </row>
    <row r="148" spans="1:17" s="118" customFormat="1" ht="30.6" x14ac:dyDescent="0.2">
      <c r="A148" s="148" t="s">
        <v>55</v>
      </c>
      <c r="B148" s="148" t="s">
        <v>163</v>
      </c>
      <c r="C148" s="14" t="s">
        <v>190</v>
      </c>
      <c r="D148" s="314" t="s">
        <v>290</v>
      </c>
      <c r="E148" s="148" t="s">
        <v>33</v>
      </c>
      <c r="F148" s="137">
        <v>6</v>
      </c>
      <c r="G148" s="137">
        <v>14.55</v>
      </c>
      <c r="H148" s="137">
        <f t="shared" si="14"/>
        <v>18.41</v>
      </c>
      <c r="I148" s="138">
        <f t="shared" si="15"/>
        <v>110.46</v>
      </c>
      <c r="J148" s="167"/>
      <c r="K148" s="111"/>
      <c r="L148" s="111"/>
      <c r="M148" s="111"/>
      <c r="N148" s="111"/>
      <c r="O148" s="111"/>
      <c r="P148" s="111"/>
      <c r="Q148" s="111"/>
    </row>
    <row r="149" spans="1:17" s="145" customFormat="1" x14ac:dyDescent="0.2">
      <c r="A149" s="140" t="s">
        <v>37</v>
      </c>
      <c r="B149" s="140"/>
      <c r="C149" s="141"/>
      <c r="D149" s="112" t="s">
        <v>211</v>
      </c>
      <c r="E149" s="140"/>
      <c r="F149" s="142"/>
      <c r="G149" s="142"/>
      <c r="H149" s="142"/>
      <c r="I149" s="143">
        <f>SUM(I150:I151)</f>
        <v>325.3</v>
      </c>
      <c r="J149" s="285"/>
      <c r="K149" s="144"/>
      <c r="L149" s="144"/>
      <c r="M149" s="144"/>
      <c r="N149" s="144"/>
      <c r="O149" s="144"/>
      <c r="P149" s="144"/>
      <c r="Q149" s="144"/>
    </row>
    <row r="150" spans="1:17" s="118" customFormat="1" ht="30.6" x14ac:dyDescent="0.2">
      <c r="A150" s="148" t="s">
        <v>623</v>
      </c>
      <c r="B150" s="148" t="s">
        <v>163</v>
      </c>
      <c r="C150" s="14" t="s">
        <v>249</v>
      </c>
      <c r="D150" s="314" t="s">
        <v>250</v>
      </c>
      <c r="E150" s="148" t="s">
        <v>33</v>
      </c>
      <c r="F150" s="137">
        <v>2</v>
      </c>
      <c r="G150" s="137">
        <v>116.1</v>
      </c>
      <c r="H150" s="137">
        <f>ROUND(G150*(1+$L$4),2)</f>
        <v>146.9</v>
      </c>
      <c r="I150" s="138">
        <f>TRUNC(F150*H150,2)</f>
        <v>293.8</v>
      </c>
      <c r="J150" s="167"/>
      <c r="K150" s="111"/>
      <c r="L150" s="111"/>
      <c r="M150" s="111"/>
      <c r="N150" s="111"/>
      <c r="O150" s="111"/>
      <c r="P150" s="111"/>
      <c r="Q150" s="111"/>
    </row>
    <row r="151" spans="1:17" s="118" customFormat="1" ht="20.399999999999999" x14ac:dyDescent="0.2">
      <c r="A151" s="148" t="s">
        <v>624</v>
      </c>
      <c r="B151" s="148" t="s">
        <v>163</v>
      </c>
      <c r="C151" s="14" t="s">
        <v>349</v>
      </c>
      <c r="D151" s="314" t="s">
        <v>350</v>
      </c>
      <c r="E151" s="148" t="s">
        <v>33</v>
      </c>
      <c r="F151" s="137">
        <v>2</v>
      </c>
      <c r="G151" s="137">
        <v>12.45</v>
      </c>
      <c r="H151" s="137">
        <f>ROUND(G151*(1+$L$4),2)</f>
        <v>15.75</v>
      </c>
      <c r="I151" s="138">
        <f>TRUNC(F151*H151,2)</f>
        <v>31.5</v>
      </c>
      <c r="J151" s="167"/>
      <c r="K151" s="111"/>
      <c r="L151" s="111"/>
      <c r="M151" s="111"/>
      <c r="N151" s="111"/>
      <c r="O151" s="111"/>
      <c r="P151" s="111"/>
      <c r="Q151" s="111"/>
    </row>
    <row r="152" spans="1:17" s="145" customFormat="1" x14ac:dyDescent="0.2">
      <c r="A152" s="140" t="s">
        <v>56</v>
      </c>
      <c r="B152" s="140"/>
      <c r="C152" s="141"/>
      <c r="D152" s="112" t="s">
        <v>28</v>
      </c>
      <c r="E152" s="140"/>
      <c r="F152" s="142"/>
      <c r="G152" s="142"/>
      <c r="H152" s="142"/>
      <c r="I152" s="143">
        <f>SUM(I153:I153)</f>
        <v>611.16</v>
      </c>
      <c r="J152" s="285"/>
      <c r="K152" s="144"/>
      <c r="L152" s="144"/>
      <c r="M152" s="144"/>
      <c r="N152" s="144"/>
      <c r="O152" s="144"/>
      <c r="P152" s="144"/>
      <c r="Q152" s="144"/>
    </row>
    <row r="153" spans="1:17" s="118" customFormat="1" ht="30.6" x14ac:dyDescent="0.2">
      <c r="A153" s="148" t="s">
        <v>625</v>
      </c>
      <c r="B153" s="148" t="s">
        <v>163</v>
      </c>
      <c r="C153" s="14" t="s">
        <v>263</v>
      </c>
      <c r="D153" s="314" t="s">
        <v>264</v>
      </c>
      <c r="E153" s="148" t="s">
        <v>33</v>
      </c>
      <c r="F153" s="137">
        <v>1.68</v>
      </c>
      <c r="G153" s="137">
        <v>287.51</v>
      </c>
      <c r="H153" s="137">
        <f>ROUND(G153*(1+$L$4),2)</f>
        <v>363.79</v>
      </c>
      <c r="I153" s="138">
        <f>TRUNC(F153*H153,2)</f>
        <v>611.16</v>
      </c>
      <c r="J153" s="167"/>
      <c r="K153" s="111"/>
      <c r="L153" s="111"/>
      <c r="M153" s="111"/>
      <c r="N153" s="111"/>
      <c r="O153" s="111"/>
      <c r="P153" s="111"/>
      <c r="Q153" s="111"/>
    </row>
    <row r="154" spans="1:17" s="145" customFormat="1" x14ac:dyDescent="0.2">
      <c r="A154" s="140" t="s">
        <v>57</v>
      </c>
      <c r="B154" s="140"/>
      <c r="C154" s="141"/>
      <c r="D154" s="112" t="s">
        <v>29</v>
      </c>
      <c r="E154" s="140"/>
      <c r="F154" s="142"/>
      <c r="G154" s="142"/>
      <c r="H154" s="142"/>
      <c r="I154" s="143">
        <f>SUM(I155:I155)</f>
        <v>57.05</v>
      </c>
      <c r="J154" s="285"/>
      <c r="K154" s="144"/>
      <c r="L154" s="144"/>
      <c r="M154" s="144"/>
      <c r="N154" s="144"/>
      <c r="O154" s="144"/>
      <c r="P154" s="144"/>
      <c r="Q154" s="144"/>
    </row>
    <row r="155" spans="1:17" s="118" customFormat="1" ht="40.799999999999997" x14ac:dyDescent="0.2">
      <c r="A155" s="148" t="s">
        <v>776</v>
      </c>
      <c r="B155" s="148" t="s">
        <v>163</v>
      </c>
      <c r="C155" s="14" t="s">
        <v>176</v>
      </c>
      <c r="D155" s="314" t="s">
        <v>269</v>
      </c>
      <c r="E155" s="148" t="s">
        <v>9</v>
      </c>
      <c r="F155" s="137">
        <v>3.36</v>
      </c>
      <c r="G155" s="137">
        <v>13.42</v>
      </c>
      <c r="H155" s="137">
        <f>ROUND(G155*(1+$L$4),2)</f>
        <v>16.98</v>
      </c>
      <c r="I155" s="138">
        <f>TRUNC(F155*H155,2)</f>
        <v>57.05</v>
      </c>
      <c r="J155" s="167"/>
      <c r="K155" s="111"/>
      <c r="L155" s="111"/>
      <c r="M155" s="111"/>
      <c r="N155" s="111"/>
      <c r="O155" s="111"/>
      <c r="P155" s="111"/>
      <c r="Q155" s="111"/>
    </row>
    <row r="156" spans="1:17" s="145" customFormat="1" x14ac:dyDescent="0.2">
      <c r="A156" s="140" t="s">
        <v>40</v>
      </c>
      <c r="B156" s="140"/>
      <c r="C156" s="141"/>
      <c r="D156" s="112" t="s">
        <v>80</v>
      </c>
      <c r="E156" s="140"/>
      <c r="F156" s="142"/>
      <c r="G156" s="142"/>
      <c r="H156" s="142"/>
      <c r="I156" s="143">
        <f>SUM(I157:I158)</f>
        <v>10622.69</v>
      </c>
      <c r="J156" s="285"/>
      <c r="K156" s="144"/>
      <c r="L156" s="144"/>
      <c r="M156" s="144"/>
      <c r="N156" s="144"/>
      <c r="O156" s="144"/>
      <c r="P156" s="144"/>
      <c r="Q156" s="144"/>
    </row>
    <row r="157" spans="1:17" s="118" customFormat="1" ht="30.6" x14ac:dyDescent="0.2">
      <c r="A157" s="148" t="s">
        <v>777</v>
      </c>
      <c r="B157" s="148" t="s">
        <v>89</v>
      </c>
      <c r="C157" s="14">
        <v>11587</v>
      </c>
      <c r="D157" s="314" t="s">
        <v>714</v>
      </c>
      <c r="E157" s="148" t="s">
        <v>9</v>
      </c>
      <c r="F157" s="137">
        <v>109.49</v>
      </c>
      <c r="G157" s="137">
        <v>59.97</v>
      </c>
      <c r="H157" s="137">
        <f>ROUND(G157*(1+$L$4),2)</f>
        <v>75.88</v>
      </c>
      <c r="I157" s="138">
        <f>TRUNC(F157*H157,2)</f>
        <v>8308.1</v>
      </c>
      <c r="J157" s="167"/>
      <c r="K157" s="111"/>
      <c r="L157" s="111"/>
      <c r="M157" s="111"/>
      <c r="N157" s="111"/>
      <c r="O157" s="111"/>
      <c r="P157" s="111"/>
      <c r="Q157" s="111"/>
    </row>
    <row r="158" spans="1:17" s="118" customFormat="1" x14ac:dyDescent="0.2">
      <c r="A158" s="148" t="s">
        <v>778</v>
      </c>
      <c r="B158" s="148" t="s">
        <v>179</v>
      </c>
      <c r="C158" s="14" t="s">
        <v>316</v>
      </c>
      <c r="D158" s="314" t="s">
        <v>317</v>
      </c>
      <c r="E158" s="148" t="s">
        <v>9</v>
      </c>
      <c r="F158" s="137">
        <v>315.77</v>
      </c>
      <c r="G158" s="137">
        <f>'COMPOSICOES - SINAPI COM DESON'!G18</f>
        <v>5.79</v>
      </c>
      <c r="H158" s="137">
        <f>ROUND(G158*(1+$L$4),2)</f>
        <v>7.33</v>
      </c>
      <c r="I158" s="138">
        <f>TRUNC(F158*H158,2)</f>
        <v>2314.59</v>
      </c>
      <c r="J158" s="167"/>
      <c r="K158" s="111"/>
      <c r="L158" s="111"/>
      <c r="M158" s="111"/>
      <c r="N158" s="111"/>
      <c r="O158" s="111"/>
      <c r="P158" s="111"/>
      <c r="Q158" s="111"/>
    </row>
    <row r="159" spans="1:17" s="118" customFormat="1" x14ac:dyDescent="0.2">
      <c r="A159" s="148"/>
      <c r="B159" s="148"/>
      <c r="C159" s="14"/>
      <c r="D159" s="314"/>
      <c r="E159" s="148"/>
      <c r="F159" s="137"/>
      <c r="G159" s="137"/>
      <c r="H159" s="137"/>
      <c r="I159" s="138"/>
      <c r="J159" s="167"/>
      <c r="K159" s="111"/>
      <c r="L159" s="111"/>
      <c r="M159" s="111"/>
      <c r="N159" s="111"/>
      <c r="O159" s="111"/>
      <c r="P159" s="111"/>
      <c r="Q159" s="111"/>
    </row>
    <row r="160" spans="1:17" s="241" customFormat="1" ht="26.4" x14ac:dyDescent="0.25">
      <c r="A160" s="236" t="s">
        <v>27</v>
      </c>
      <c r="B160" s="236"/>
      <c r="C160" s="237"/>
      <c r="D160" s="289" t="s">
        <v>218</v>
      </c>
      <c r="E160" s="236"/>
      <c r="F160" s="238"/>
      <c r="G160" s="238"/>
      <c r="H160" s="238"/>
      <c r="I160" s="239" t="e">
        <f>I161+I163+I165+I173+I176</f>
        <v>#VALUE!</v>
      </c>
      <c r="J160" s="284" t="e">
        <f>I160/$I$476</f>
        <v>#VALUE!</v>
      </c>
      <c r="K160" s="240"/>
      <c r="L160" s="240"/>
      <c r="M160" s="240"/>
      <c r="N160" s="240"/>
      <c r="O160" s="240"/>
      <c r="P160" s="240"/>
      <c r="Q160" s="240"/>
    </row>
    <row r="161" spans="1:17" s="145" customFormat="1" x14ac:dyDescent="0.2">
      <c r="A161" s="140" t="s">
        <v>178</v>
      </c>
      <c r="B161" s="140"/>
      <c r="C161" s="141"/>
      <c r="D161" s="112" t="s">
        <v>28</v>
      </c>
      <c r="E161" s="140"/>
      <c r="F161" s="142"/>
      <c r="G161" s="142"/>
      <c r="H161" s="142"/>
      <c r="I161" s="143">
        <f>SUM(I162:I162)</f>
        <v>2597.46</v>
      </c>
      <c r="J161" s="285"/>
      <c r="K161" s="144"/>
      <c r="L161" s="144"/>
      <c r="M161" s="144"/>
      <c r="N161" s="144"/>
      <c r="O161" s="144"/>
      <c r="P161" s="144"/>
      <c r="Q161" s="144"/>
    </row>
    <row r="162" spans="1:17" s="118" customFormat="1" ht="30.6" x14ac:dyDescent="0.2">
      <c r="A162" s="148" t="s">
        <v>351</v>
      </c>
      <c r="B162" s="148" t="s">
        <v>163</v>
      </c>
      <c r="C162" s="14" t="s">
        <v>263</v>
      </c>
      <c r="D162" s="314" t="s">
        <v>423</v>
      </c>
      <c r="E162" s="148" t="s">
        <v>9</v>
      </c>
      <c r="F162" s="137">
        <v>7.14</v>
      </c>
      <c r="G162" s="137">
        <v>287.51</v>
      </c>
      <c r="H162" s="137">
        <f>ROUND(G162*(1+$L$4),2)</f>
        <v>363.79</v>
      </c>
      <c r="I162" s="138">
        <f>TRUNC(F162*H162,2)</f>
        <v>2597.46</v>
      </c>
      <c r="J162" s="167"/>
      <c r="K162" s="111"/>
      <c r="L162" s="111"/>
      <c r="M162" s="111"/>
      <c r="N162" s="111"/>
      <c r="O162" s="111"/>
      <c r="P162" s="111"/>
      <c r="Q162" s="111"/>
    </row>
    <row r="163" spans="1:17" s="145" customFormat="1" x14ac:dyDescent="0.2">
      <c r="A163" s="140" t="s">
        <v>181</v>
      </c>
      <c r="B163" s="140"/>
      <c r="C163" s="141"/>
      <c r="D163" s="112" t="s">
        <v>29</v>
      </c>
      <c r="E163" s="140"/>
      <c r="F163" s="142"/>
      <c r="G163" s="142"/>
      <c r="H163" s="142"/>
      <c r="I163" s="143">
        <f>SUM(I164:I164)</f>
        <v>242.47</v>
      </c>
      <c r="J163" s="285"/>
      <c r="K163" s="144"/>
      <c r="L163" s="144"/>
      <c r="M163" s="144"/>
      <c r="N163" s="144"/>
      <c r="O163" s="144"/>
      <c r="P163" s="144"/>
      <c r="Q163" s="144"/>
    </row>
    <row r="164" spans="1:17" s="118" customFormat="1" ht="40.799999999999997" x14ac:dyDescent="0.2">
      <c r="A164" s="148" t="s">
        <v>352</v>
      </c>
      <c r="B164" s="148" t="s">
        <v>163</v>
      </c>
      <c r="C164" s="14" t="s">
        <v>176</v>
      </c>
      <c r="D164" s="314" t="s">
        <v>269</v>
      </c>
      <c r="E164" s="148" t="s">
        <v>9</v>
      </c>
      <c r="F164" s="137">
        <v>14.28</v>
      </c>
      <c r="G164" s="137">
        <v>13.42</v>
      </c>
      <c r="H164" s="137">
        <f>ROUND(G164*(1+$L$4),2)</f>
        <v>16.98</v>
      </c>
      <c r="I164" s="138">
        <f>TRUNC(F164*H164,2)</f>
        <v>242.47</v>
      </c>
      <c r="J164" s="167"/>
      <c r="K164" s="111"/>
      <c r="L164" s="111"/>
      <c r="M164" s="111"/>
      <c r="N164" s="111"/>
      <c r="O164" s="111"/>
      <c r="P164" s="111"/>
      <c r="Q164" s="111"/>
    </row>
    <row r="165" spans="1:17" s="145" customFormat="1" x14ac:dyDescent="0.2">
      <c r="A165" s="140" t="s">
        <v>182</v>
      </c>
      <c r="B165" s="140"/>
      <c r="C165" s="141"/>
      <c r="D165" s="112" t="s">
        <v>30</v>
      </c>
      <c r="E165" s="140"/>
      <c r="F165" s="142"/>
      <c r="G165" s="142"/>
      <c r="H165" s="142"/>
      <c r="I165" s="143" t="e">
        <f>SUM(I166:I172)</f>
        <v>#VALUE!</v>
      </c>
      <c r="J165" s="285"/>
      <c r="K165" s="144"/>
      <c r="L165" s="144"/>
      <c r="M165" s="144"/>
      <c r="N165" s="144"/>
      <c r="O165" s="144"/>
      <c r="P165" s="144"/>
      <c r="Q165" s="144"/>
    </row>
    <row r="166" spans="1:17" s="118" customFormat="1" ht="30.6" x14ac:dyDescent="0.2">
      <c r="A166" s="148" t="s">
        <v>353</v>
      </c>
      <c r="B166" s="148" t="s">
        <v>179</v>
      </c>
      <c r="C166" s="14" t="s">
        <v>672</v>
      </c>
      <c r="D166" s="314" t="s">
        <v>567</v>
      </c>
      <c r="E166" s="148" t="s">
        <v>33</v>
      </c>
      <c r="F166" s="137">
        <v>2</v>
      </c>
      <c r="G166" s="137">
        <f>'COMPOSICOES - SINAPI COM DESON'!G50</f>
        <v>104.48</v>
      </c>
      <c r="H166" s="137">
        <f t="shared" ref="H166:H172" si="16">ROUND(G166*(1+$L$4),2)</f>
        <v>132.19999999999999</v>
      </c>
      <c r="I166" s="138">
        <f t="shared" ref="I166:I172" si="17">TRUNC(F166*H166,2)</f>
        <v>264.39999999999998</v>
      </c>
      <c r="J166" s="167"/>
      <c r="K166" s="111"/>
      <c r="L166" s="111"/>
      <c r="M166" s="111"/>
      <c r="N166" s="111"/>
      <c r="O166" s="111"/>
      <c r="P166" s="111"/>
      <c r="Q166" s="111"/>
    </row>
    <row r="167" spans="1:17" s="118" customFormat="1" ht="51" x14ac:dyDescent="0.2">
      <c r="A167" s="148" t="s">
        <v>779</v>
      </c>
      <c r="B167" s="148" t="s">
        <v>179</v>
      </c>
      <c r="C167" s="14" t="s">
        <v>417</v>
      </c>
      <c r="D167" s="314" t="s">
        <v>561</v>
      </c>
      <c r="E167" s="148" t="s">
        <v>31</v>
      </c>
      <c r="F167" s="137">
        <v>5</v>
      </c>
      <c r="G167" s="137" t="e">
        <f>'COMPOSICOES - SINAPI COM DESON'!G36</f>
        <v>#VALUE!</v>
      </c>
      <c r="H167" s="137" t="e">
        <f t="shared" si="16"/>
        <v>#VALUE!</v>
      </c>
      <c r="I167" s="138" t="e">
        <f t="shared" si="17"/>
        <v>#VALUE!</v>
      </c>
      <c r="J167" s="167"/>
      <c r="K167" s="111"/>
      <c r="L167" s="111"/>
      <c r="M167" s="111"/>
      <c r="N167" s="111"/>
      <c r="O167" s="111"/>
      <c r="P167" s="111"/>
      <c r="Q167" s="111"/>
    </row>
    <row r="168" spans="1:17" s="118" customFormat="1" ht="40.799999999999997" x14ac:dyDescent="0.2">
      <c r="A168" s="148" t="s">
        <v>780</v>
      </c>
      <c r="B168" s="148" t="s">
        <v>163</v>
      </c>
      <c r="C168" s="14" t="s">
        <v>244</v>
      </c>
      <c r="D168" s="314" t="s">
        <v>245</v>
      </c>
      <c r="E168" s="148" t="s">
        <v>31</v>
      </c>
      <c r="F168" s="137">
        <v>8</v>
      </c>
      <c r="G168" s="137">
        <v>116.08</v>
      </c>
      <c r="H168" s="137">
        <f t="shared" si="16"/>
        <v>146.88</v>
      </c>
      <c r="I168" s="138">
        <f t="shared" si="17"/>
        <v>1175.04</v>
      </c>
      <c r="J168" s="167"/>
      <c r="K168" s="111"/>
      <c r="L168" s="111"/>
      <c r="M168" s="111"/>
      <c r="N168" s="111"/>
      <c r="O168" s="111"/>
      <c r="P168" s="111"/>
      <c r="Q168" s="111"/>
    </row>
    <row r="169" spans="1:17" s="118" customFormat="1" ht="40.799999999999997" x14ac:dyDescent="0.2">
      <c r="A169" s="148" t="s">
        <v>781</v>
      </c>
      <c r="B169" s="148" t="s">
        <v>89</v>
      </c>
      <c r="C169" s="14">
        <v>93144</v>
      </c>
      <c r="D169" s="314" t="s">
        <v>295</v>
      </c>
      <c r="E169" s="148" t="s">
        <v>33</v>
      </c>
      <c r="F169" s="137">
        <v>8</v>
      </c>
      <c r="G169" s="137">
        <v>166.81</v>
      </c>
      <c r="H169" s="137">
        <f t="shared" si="16"/>
        <v>211.06</v>
      </c>
      <c r="I169" s="138">
        <f t="shared" si="17"/>
        <v>1688.48</v>
      </c>
      <c r="J169" s="167"/>
      <c r="K169" s="111"/>
      <c r="L169" s="111"/>
      <c r="M169" s="111"/>
      <c r="N169" s="111"/>
      <c r="O169" s="111"/>
      <c r="P169" s="111"/>
      <c r="Q169" s="111"/>
    </row>
    <row r="170" spans="1:17" s="118" customFormat="1" ht="40.799999999999997" x14ac:dyDescent="0.2">
      <c r="A170" s="148" t="s">
        <v>782</v>
      </c>
      <c r="B170" s="148" t="s">
        <v>163</v>
      </c>
      <c r="C170" s="14" t="s">
        <v>192</v>
      </c>
      <c r="D170" s="314" t="s">
        <v>712</v>
      </c>
      <c r="E170" s="148" t="s">
        <v>31</v>
      </c>
      <c r="F170" s="137">
        <v>8</v>
      </c>
      <c r="G170" s="137">
        <v>46.44</v>
      </c>
      <c r="H170" s="137">
        <f t="shared" si="16"/>
        <v>58.76</v>
      </c>
      <c r="I170" s="138">
        <f t="shared" si="17"/>
        <v>470.08</v>
      </c>
      <c r="J170" s="167"/>
      <c r="K170" s="111"/>
      <c r="L170" s="111"/>
      <c r="M170" s="111"/>
      <c r="N170" s="111"/>
      <c r="O170" s="111"/>
      <c r="P170" s="111"/>
      <c r="Q170" s="111"/>
    </row>
    <row r="171" spans="1:17" s="118" customFormat="1" ht="40.799999999999997" x14ac:dyDescent="0.2">
      <c r="A171" s="148" t="s">
        <v>783</v>
      </c>
      <c r="B171" s="148" t="s">
        <v>163</v>
      </c>
      <c r="C171" s="14" t="s">
        <v>188</v>
      </c>
      <c r="D171" s="314" t="s">
        <v>719</v>
      </c>
      <c r="E171" s="148" t="s">
        <v>33</v>
      </c>
      <c r="F171" s="137">
        <v>1</v>
      </c>
      <c r="G171" s="137">
        <v>65.69</v>
      </c>
      <c r="H171" s="137">
        <f t="shared" si="16"/>
        <v>83.12</v>
      </c>
      <c r="I171" s="138">
        <f t="shared" si="17"/>
        <v>83.12</v>
      </c>
      <c r="J171" s="167"/>
      <c r="K171" s="111"/>
      <c r="L171" s="111"/>
      <c r="M171" s="111"/>
      <c r="N171" s="111"/>
      <c r="O171" s="111"/>
      <c r="P171" s="111"/>
      <c r="Q171" s="111"/>
    </row>
    <row r="172" spans="1:17" s="118" customFormat="1" ht="30.6" x14ac:dyDescent="0.2">
      <c r="A172" s="148" t="s">
        <v>784</v>
      </c>
      <c r="B172" s="148" t="s">
        <v>163</v>
      </c>
      <c r="C172" s="14" t="s">
        <v>190</v>
      </c>
      <c r="D172" s="314" t="s">
        <v>290</v>
      </c>
      <c r="E172" s="148" t="s">
        <v>33</v>
      </c>
      <c r="F172" s="137">
        <v>6</v>
      </c>
      <c r="G172" s="137">
        <v>14.55</v>
      </c>
      <c r="H172" s="137">
        <f t="shared" si="16"/>
        <v>18.41</v>
      </c>
      <c r="I172" s="138">
        <f t="shared" si="17"/>
        <v>110.46</v>
      </c>
      <c r="J172" s="167"/>
      <c r="K172" s="111"/>
      <c r="L172" s="111"/>
      <c r="M172" s="111"/>
      <c r="N172" s="111"/>
      <c r="O172" s="111"/>
      <c r="P172" s="111"/>
      <c r="Q172" s="111"/>
    </row>
    <row r="173" spans="1:17" s="145" customFormat="1" x14ac:dyDescent="0.2">
      <c r="A173" s="140" t="s">
        <v>183</v>
      </c>
      <c r="B173" s="140"/>
      <c r="C173" s="141"/>
      <c r="D173" s="112" t="s">
        <v>211</v>
      </c>
      <c r="E173" s="140"/>
      <c r="F173" s="142"/>
      <c r="G173" s="142"/>
      <c r="H173" s="142"/>
      <c r="I173" s="143">
        <f>SUM(I174:I175)</f>
        <v>616.58000000000004</v>
      </c>
      <c r="J173" s="285"/>
      <c r="K173" s="144"/>
      <c r="L173" s="144"/>
      <c r="M173" s="144"/>
      <c r="N173" s="144"/>
      <c r="O173" s="144"/>
      <c r="P173" s="144"/>
      <c r="Q173" s="144"/>
    </row>
    <row r="174" spans="1:17" s="118" customFormat="1" x14ac:dyDescent="0.2">
      <c r="A174" s="148" t="s">
        <v>354</v>
      </c>
      <c r="B174" s="148" t="s">
        <v>89</v>
      </c>
      <c r="C174" s="14" t="s">
        <v>334</v>
      </c>
      <c r="D174" s="314" t="s">
        <v>335</v>
      </c>
      <c r="E174" s="148" t="s">
        <v>33</v>
      </c>
      <c r="F174" s="137">
        <v>1</v>
      </c>
      <c r="G174" s="137">
        <v>22.9</v>
      </c>
      <c r="H174" s="137">
        <f>ROUND(G174*(1+$L$4),2)</f>
        <v>28.98</v>
      </c>
      <c r="I174" s="138">
        <f>TRUNC(F174*H174,2)</f>
        <v>28.98</v>
      </c>
      <c r="J174" s="167"/>
      <c r="K174" s="111"/>
      <c r="L174" s="111"/>
      <c r="M174" s="111"/>
      <c r="N174" s="111"/>
      <c r="O174" s="111"/>
      <c r="P174" s="111"/>
      <c r="Q174" s="111"/>
    </row>
    <row r="175" spans="1:17" s="118" customFormat="1" ht="30.6" x14ac:dyDescent="0.2">
      <c r="A175" s="148" t="s">
        <v>785</v>
      </c>
      <c r="B175" s="148" t="s">
        <v>163</v>
      </c>
      <c r="C175" s="14" t="s">
        <v>249</v>
      </c>
      <c r="D175" s="314" t="s">
        <v>250</v>
      </c>
      <c r="E175" s="148" t="s">
        <v>32</v>
      </c>
      <c r="F175" s="137">
        <v>4</v>
      </c>
      <c r="G175" s="137">
        <v>116.1</v>
      </c>
      <c r="H175" s="137">
        <f>ROUND(G175*(1+$L$4),2)</f>
        <v>146.9</v>
      </c>
      <c r="I175" s="138">
        <f>TRUNC(F175*H175,2)</f>
        <v>587.6</v>
      </c>
      <c r="J175" s="167"/>
      <c r="K175" s="111"/>
      <c r="L175" s="111"/>
      <c r="M175" s="111"/>
      <c r="N175" s="111"/>
      <c r="O175" s="111"/>
      <c r="P175" s="111"/>
      <c r="Q175" s="111"/>
    </row>
    <row r="176" spans="1:17" s="145" customFormat="1" x14ac:dyDescent="0.2">
      <c r="A176" s="140" t="s">
        <v>184</v>
      </c>
      <c r="B176" s="140"/>
      <c r="C176" s="141"/>
      <c r="D176" s="112" t="s">
        <v>177</v>
      </c>
      <c r="E176" s="140"/>
      <c r="F176" s="142"/>
      <c r="G176" s="142"/>
      <c r="H176" s="142"/>
      <c r="I176" s="143">
        <f>SUM(I177:I178)</f>
        <v>25143.4</v>
      </c>
      <c r="J176" s="285"/>
      <c r="K176" s="144"/>
      <c r="L176" s="144"/>
      <c r="M176" s="144"/>
      <c r="N176" s="144"/>
      <c r="O176" s="144"/>
      <c r="P176" s="144"/>
      <c r="Q176" s="144"/>
    </row>
    <row r="177" spans="1:17" s="118" customFormat="1" ht="30.6" x14ac:dyDescent="0.2">
      <c r="A177" s="148" t="s">
        <v>477</v>
      </c>
      <c r="B177" s="148" t="s">
        <v>89</v>
      </c>
      <c r="C177" s="14">
        <v>11587</v>
      </c>
      <c r="D177" s="314" t="s">
        <v>714</v>
      </c>
      <c r="E177" s="148" t="s">
        <v>9</v>
      </c>
      <c r="F177" s="137">
        <v>267.05</v>
      </c>
      <c r="G177" s="137">
        <v>59.97</v>
      </c>
      <c r="H177" s="137">
        <f>ROUND(G177*(1+$L$4),2)</f>
        <v>75.88</v>
      </c>
      <c r="I177" s="138">
        <f>TRUNC(F177*H177,2)</f>
        <v>20263.75</v>
      </c>
      <c r="J177" s="167"/>
      <c r="K177" s="111"/>
      <c r="L177" s="111"/>
      <c r="M177" s="111"/>
      <c r="N177" s="111"/>
      <c r="O177" s="111"/>
      <c r="P177" s="111"/>
      <c r="Q177" s="111"/>
    </row>
    <row r="178" spans="1:17" s="118" customFormat="1" x14ac:dyDescent="0.2">
      <c r="A178" s="148" t="s">
        <v>626</v>
      </c>
      <c r="B178" s="148" t="s">
        <v>179</v>
      </c>
      <c r="C178" s="14" t="s">
        <v>316</v>
      </c>
      <c r="D178" s="314" t="s">
        <v>317</v>
      </c>
      <c r="E178" s="148" t="s">
        <v>9</v>
      </c>
      <c r="F178" s="137">
        <v>665.71</v>
      </c>
      <c r="G178" s="137">
        <f>'COMPOSICOES - SINAPI COM DESON'!G18</f>
        <v>5.79</v>
      </c>
      <c r="H178" s="137">
        <f>ROUND(G178*(1+$L$4),2)</f>
        <v>7.33</v>
      </c>
      <c r="I178" s="138">
        <f>TRUNC(F178*H178,2)</f>
        <v>4879.6499999999996</v>
      </c>
      <c r="J178" s="167"/>
      <c r="K178" s="111"/>
      <c r="L178" s="111"/>
      <c r="M178" s="111"/>
      <c r="N178" s="111"/>
      <c r="O178" s="111"/>
      <c r="P178" s="111"/>
      <c r="Q178" s="111"/>
    </row>
    <row r="179" spans="1:17" s="118" customFormat="1" x14ac:dyDescent="0.2">
      <c r="A179" s="148"/>
      <c r="B179" s="148"/>
      <c r="C179" s="14"/>
      <c r="D179" s="314"/>
      <c r="E179" s="148"/>
      <c r="F179" s="137"/>
      <c r="G179" s="137"/>
      <c r="H179" s="137"/>
      <c r="I179" s="138"/>
      <c r="J179" s="167"/>
      <c r="K179" s="111"/>
      <c r="L179" s="111"/>
      <c r="M179" s="111"/>
      <c r="N179" s="111"/>
      <c r="O179" s="111"/>
      <c r="P179" s="111"/>
      <c r="Q179" s="111"/>
    </row>
    <row r="180" spans="1:17" s="241" customFormat="1" ht="13.2" x14ac:dyDescent="0.25">
      <c r="A180" s="236" t="s">
        <v>158</v>
      </c>
      <c r="B180" s="236"/>
      <c r="C180" s="237"/>
      <c r="D180" s="289" t="s">
        <v>219</v>
      </c>
      <c r="E180" s="236"/>
      <c r="F180" s="238"/>
      <c r="G180" s="238"/>
      <c r="H180" s="238"/>
      <c r="I180" s="239" t="e">
        <f>I181+I187+I189</f>
        <v>#VALUE!</v>
      </c>
      <c r="J180" s="284" t="e">
        <f>I180/$I$476</f>
        <v>#VALUE!</v>
      </c>
      <c r="K180" s="240"/>
      <c r="L180" s="240"/>
      <c r="M180" s="240"/>
      <c r="N180" s="240"/>
      <c r="O180" s="240"/>
      <c r="P180" s="240"/>
      <c r="Q180" s="240"/>
    </row>
    <row r="181" spans="1:17" s="145" customFormat="1" x14ac:dyDescent="0.2">
      <c r="A181" s="140" t="s">
        <v>187</v>
      </c>
      <c r="B181" s="140"/>
      <c r="C181" s="141"/>
      <c r="D181" s="112" t="s">
        <v>30</v>
      </c>
      <c r="E181" s="140"/>
      <c r="F181" s="142"/>
      <c r="G181" s="142"/>
      <c r="H181" s="142"/>
      <c r="I181" s="143" t="e">
        <f>SUM(I182:I186)</f>
        <v>#VALUE!</v>
      </c>
      <c r="J181" s="285"/>
      <c r="K181" s="144"/>
      <c r="L181" s="144"/>
      <c r="M181" s="144"/>
      <c r="N181" s="144"/>
      <c r="O181" s="144"/>
      <c r="P181" s="144"/>
      <c r="Q181" s="144"/>
    </row>
    <row r="182" spans="1:17" s="118" customFormat="1" ht="51" x14ac:dyDescent="0.2">
      <c r="A182" s="148" t="s">
        <v>464</v>
      </c>
      <c r="B182" s="148" t="s">
        <v>179</v>
      </c>
      <c r="C182" s="14" t="s">
        <v>417</v>
      </c>
      <c r="D182" s="314" t="s">
        <v>561</v>
      </c>
      <c r="E182" s="148" t="s">
        <v>31</v>
      </c>
      <c r="F182" s="137">
        <v>4</v>
      </c>
      <c r="G182" s="137" t="e">
        <f>'COMPOSICOES - SINAPI COM DESON'!G36</f>
        <v>#VALUE!</v>
      </c>
      <c r="H182" s="137" t="e">
        <f>ROUND(G182*(1+$L$4),2)</f>
        <v>#VALUE!</v>
      </c>
      <c r="I182" s="138" t="e">
        <f>TRUNC(F182*H182,2)</f>
        <v>#VALUE!</v>
      </c>
      <c r="J182" s="167"/>
      <c r="K182" s="111"/>
      <c r="L182" s="111"/>
      <c r="M182" s="111"/>
      <c r="N182" s="111"/>
      <c r="O182" s="111"/>
      <c r="P182" s="111"/>
      <c r="Q182" s="111"/>
    </row>
    <row r="183" spans="1:17" s="118" customFormat="1" ht="40.799999999999997" x14ac:dyDescent="0.2">
      <c r="A183" s="148" t="s">
        <v>786</v>
      </c>
      <c r="B183" s="148" t="s">
        <v>163</v>
      </c>
      <c r="C183" s="14" t="s">
        <v>244</v>
      </c>
      <c r="D183" s="314" t="s">
        <v>245</v>
      </c>
      <c r="E183" s="148" t="s">
        <v>31</v>
      </c>
      <c r="F183" s="137">
        <v>3</v>
      </c>
      <c r="G183" s="137">
        <v>116.08</v>
      </c>
      <c r="H183" s="137">
        <f>ROUND(G183*(1+$L$4),2)</f>
        <v>146.88</v>
      </c>
      <c r="I183" s="138">
        <f>TRUNC(F183*H183,2)</f>
        <v>440.64</v>
      </c>
      <c r="J183" s="167"/>
      <c r="K183" s="111"/>
      <c r="L183" s="111"/>
      <c r="M183" s="111"/>
      <c r="N183" s="111"/>
      <c r="O183" s="111"/>
      <c r="P183" s="111"/>
      <c r="Q183" s="111"/>
    </row>
    <row r="184" spans="1:17" s="118" customFormat="1" ht="30.6" x14ac:dyDescent="0.2">
      <c r="A184" s="148" t="s">
        <v>787</v>
      </c>
      <c r="B184" s="148" t="s">
        <v>163</v>
      </c>
      <c r="C184" s="14" t="s">
        <v>240</v>
      </c>
      <c r="D184" s="314" t="s">
        <v>241</v>
      </c>
      <c r="E184" s="148" t="s">
        <v>31</v>
      </c>
      <c r="F184" s="137">
        <v>9</v>
      </c>
      <c r="G184" s="137">
        <v>73.44</v>
      </c>
      <c r="H184" s="137">
        <f>ROUND(G184*(1+$L$4),2)</f>
        <v>92.92</v>
      </c>
      <c r="I184" s="138">
        <f>TRUNC(F184*H184,2)</f>
        <v>836.28</v>
      </c>
      <c r="J184" s="167"/>
      <c r="K184" s="111"/>
      <c r="L184" s="111"/>
      <c r="M184" s="111"/>
      <c r="N184" s="111"/>
      <c r="O184" s="111"/>
      <c r="P184" s="111"/>
      <c r="Q184" s="111"/>
    </row>
    <row r="185" spans="1:17" s="118" customFormat="1" ht="30.6" x14ac:dyDescent="0.2">
      <c r="A185" s="148" t="s">
        <v>788</v>
      </c>
      <c r="B185" s="148" t="s">
        <v>179</v>
      </c>
      <c r="C185" s="14" t="s">
        <v>672</v>
      </c>
      <c r="D185" s="314" t="s">
        <v>567</v>
      </c>
      <c r="E185" s="148" t="s">
        <v>33</v>
      </c>
      <c r="F185" s="137">
        <v>9</v>
      </c>
      <c r="G185" s="137">
        <f>'COMPOSICOES - SINAPI COM DESON'!G50</f>
        <v>104.48</v>
      </c>
      <c r="H185" s="137">
        <f>ROUND(G185*(1+$L$4),2)</f>
        <v>132.19999999999999</v>
      </c>
      <c r="I185" s="138">
        <f>TRUNC(F185*H185,2)</f>
        <v>1189.8</v>
      </c>
      <c r="J185" s="167"/>
      <c r="K185" s="111"/>
      <c r="L185" s="111"/>
      <c r="M185" s="111"/>
      <c r="N185" s="111"/>
      <c r="O185" s="111"/>
      <c r="P185" s="111"/>
      <c r="Q185" s="111"/>
    </row>
    <row r="186" spans="1:17" s="118" customFormat="1" ht="30.6" x14ac:dyDescent="0.2">
      <c r="A186" s="148" t="s">
        <v>789</v>
      </c>
      <c r="B186" s="148" t="s">
        <v>89</v>
      </c>
      <c r="C186" s="14" t="s">
        <v>498</v>
      </c>
      <c r="D186" s="314" t="s">
        <v>499</v>
      </c>
      <c r="E186" s="148" t="s">
        <v>33</v>
      </c>
      <c r="F186" s="137">
        <v>2</v>
      </c>
      <c r="G186" s="137">
        <v>286.42</v>
      </c>
      <c r="H186" s="137">
        <f>ROUND(G186*(1+$L$4),2)</f>
        <v>362.41</v>
      </c>
      <c r="I186" s="138">
        <f>TRUNC(F186*H186,2)</f>
        <v>724.82</v>
      </c>
      <c r="J186" s="167"/>
      <c r="K186" s="111"/>
      <c r="L186" s="111"/>
      <c r="M186" s="111"/>
      <c r="N186" s="111"/>
      <c r="O186" s="111"/>
      <c r="P186" s="111"/>
      <c r="Q186" s="111"/>
    </row>
    <row r="187" spans="1:17" s="145" customFormat="1" x14ac:dyDescent="0.2">
      <c r="A187" s="140" t="s">
        <v>189</v>
      </c>
      <c r="B187" s="140"/>
      <c r="C187" s="141"/>
      <c r="D187" s="112" t="s">
        <v>211</v>
      </c>
      <c r="E187" s="140"/>
      <c r="F187" s="142"/>
      <c r="G187" s="142"/>
      <c r="H187" s="142"/>
      <c r="I187" s="143">
        <f>SUM(I188:I188)</f>
        <v>587.6</v>
      </c>
      <c r="J187" s="285"/>
      <c r="K187" s="144"/>
      <c r="L187" s="144"/>
      <c r="M187" s="144"/>
      <c r="N187" s="144"/>
      <c r="O187" s="144"/>
      <c r="P187" s="144"/>
      <c r="Q187" s="144"/>
    </row>
    <row r="188" spans="1:17" s="118" customFormat="1" ht="30.6" x14ac:dyDescent="0.2">
      <c r="A188" s="148" t="s">
        <v>465</v>
      </c>
      <c r="B188" s="148" t="s">
        <v>163</v>
      </c>
      <c r="C188" s="14" t="s">
        <v>249</v>
      </c>
      <c r="D188" s="314" t="s">
        <v>414</v>
      </c>
      <c r="E188" s="148" t="s">
        <v>32</v>
      </c>
      <c r="F188" s="137">
        <v>4</v>
      </c>
      <c r="G188" s="137">
        <v>116.1</v>
      </c>
      <c r="H188" s="137">
        <f>ROUND(G188*(1+$L$4),2)</f>
        <v>146.9</v>
      </c>
      <c r="I188" s="138">
        <f>TRUNC(F188*H188,2)</f>
        <v>587.6</v>
      </c>
      <c r="J188" s="167"/>
      <c r="K188" s="111"/>
      <c r="L188" s="111"/>
      <c r="M188" s="111"/>
      <c r="N188" s="111"/>
      <c r="O188" s="111"/>
      <c r="P188" s="111"/>
      <c r="Q188" s="111"/>
    </row>
    <row r="189" spans="1:17" s="145" customFormat="1" x14ac:dyDescent="0.2">
      <c r="A189" s="140" t="s">
        <v>191</v>
      </c>
      <c r="B189" s="140"/>
      <c r="C189" s="141"/>
      <c r="D189" s="112" t="s">
        <v>80</v>
      </c>
      <c r="E189" s="140"/>
      <c r="F189" s="142"/>
      <c r="G189" s="142"/>
      <c r="H189" s="142"/>
      <c r="I189" s="143">
        <f>SUM(I190:I190)</f>
        <v>7693.56</v>
      </c>
      <c r="J189" s="285"/>
      <c r="K189" s="144"/>
      <c r="L189" s="144"/>
      <c r="M189" s="144"/>
      <c r="N189" s="144"/>
      <c r="O189" s="144"/>
      <c r="P189" s="144"/>
      <c r="Q189" s="144"/>
    </row>
    <row r="190" spans="1:17" s="118" customFormat="1" x14ac:dyDescent="0.2">
      <c r="A190" s="148" t="s">
        <v>466</v>
      </c>
      <c r="B190" s="148" t="s">
        <v>179</v>
      </c>
      <c r="C190" s="14" t="s">
        <v>316</v>
      </c>
      <c r="D190" s="314" t="s">
        <v>317</v>
      </c>
      <c r="E190" s="148" t="s">
        <v>9</v>
      </c>
      <c r="F190" s="137">
        <v>1049.5999999999999</v>
      </c>
      <c r="G190" s="137">
        <f>'COMPOSICOES - SINAPI COM DESON'!G18</f>
        <v>5.79</v>
      </c>
      <c r="H190" s="137">
        <f>ROUND(G190*(1+$L$4),2)</f>
        <v>7.33</v>
      </c>
      <c r="I190" s="138">
        <f>TRUNC(F190*H190,2)</f>
        <v>7693.56</v>
      </c>
      <c r="J190" s="167"/>
      <c r="K190" s="111"/>
      <c r="L190" s="111"/>
      <c r="M190" s="111"/>
      <c r="N190" s="111"/>
      <c r="O190" s="111"/>
      <c r="P190" s="111"/>
      <c r="Q190" s="111"/>
    </row>
    <row r="191" spans="1:17" s="118" customFormat="1" x14ac:dyDescent="0.2">
      <c r="A191" s="148"/>
      <c r="B191" s="148"/>
      <c r="C191" s="14"/>
      <c r="D191" s="314"/>
      <c r="E191" s="148"/>
      <c r="F191" s="137"/>
      <c r="G191" s="137"/>
      <c r="H191" s="137"/>
      <c r="I191" s="138"/>
      <c r="J191" s="167"/>
      <c r="K191" s="111"/>
      <c r="L191" s="111"/>
      <c r="M191" s="111"/>
      <c r="N191" s="111"/>
      <c r="O191" s="111"/>
      <c r="P191" s="111"/>
      <c r="Q191" s="111"/>
    </row>
    <row r="192" spans="1:17" s="241" customFormat="1" ht="13.2" x14ac:dyDescent="0.25">
      <c r="A192" s="236" t="s">
        <v>159</v>
      </c>
      <c r="B192" s="236"/>
      <c r="C192" s="237"/>
      <c r="D192" s="289" t="s">
        <v>220</v>
      </c>
      <c r="E192" s="236"/>
      <c r="F192" s="238"/>
      <c r="G192" s="238"/>
      <c r="H192" s="238"/>
      <c r="I192" s="239" t="e">
        <f>I193+I202+I206+I209+I215</f>
        <v>#VALUE!</v>
      </c>
      <c r="J192" s="284" t="e">
        <f>I192/$I$476</f>
        <v>#VALUE!</v>
      </c>
      <c r="K192" s="240"/>
      <c r="L192" s="240"/>
      <c r="M192" s="240"/>
      <c r="N192" s="240"/>
      <c r="O192" s="240"/>
      <c r="P192" s="240"/>
      <c r="Q192" s="240"/>
    </row>
    <row r="193" spans="1:17" s="145" customFormat="1" x14ac:dyDescent="0.2">
      <c r="A193" s="140" t="s">
        <v>792</v>
      </c>
      <c r="B193" s="140"/>
      <c r="C193" s="141"/>
      <c r="D193" s="112" t="s">
        <v>30</v>
      </c>
      <c r="E193" s="140"/>
      <c r="F193" s="142"/>
      <c r="G193" s="142"/>
      <c r="H193" s="142"/>
      <c r="I193" s="143" t="e">
        <f>SUM(I194:I201)</f>
        <v>#VALUE!</v>
      </c>
      <c r="J193" s="285"/>
      <c r="K193" s="144"/>
      <c r="L193" s="144"/>
      <c r="M193" s="144"/>
      <c r="N193" s="144"/>
      <c r="O193" s="144"/>
      <c r="P193" s="144"/>
      <c r="Q193" s="144"/>
    </row>
    <row r="194" spans="1:17" s="118" customFormat="1" ht="30.6" x14ac:dyDescent="0.2">
      <c r="A194" s="148" t="s">
        <v>793</v>
      </c>
      <c r="B194" s="148" t="s">
        <v>163</v>
      </c>
      <c r="C194" s="14" t="s">
        <v>240</v>
      </c>
      <c r="D194" s="314" t="s">
        <v>241</v>
      </c>
      <c r="E194" s="148" t="s">
        <v>31</v>
      </c>
      <c r="F194" s="137">
        <v>6</v>
      </c>
      <c r="G194" s="137">
        <v>73.44</v>
      </c>
      <c r="H194" s="137">
        <f t="shared" ref="H194:H201" si="18">ROUND(G194*(1+$L$4),2)</f>
        <v>92.92</v>
      </c>
      <c r="I194" s="138">
        <f t="shared" ref="I194:I201" si="19">TRUNC(F194*H194,2)</f>
        <v>557.52</v>
      </c>
      <c r="J194" s="167"/>
      <c r="K194" s="111"/>
      <c r="L194" s="111"/>
      <c r="M194" s="111"/>
      <c r="N194" s="111"/>
      <c r="O194" s="111"/>
      <c r="P194" s="111"/>
      <c r="Q194" s="111"/>
    </row>
    <row r="195" spans="1:17" s="118" customFormat="1" ht="51" x14ac:dyDescent="0.2">
      <c r="A195" s="148" t="s">
        <v>806</v>
      </c>
      <c r="B195" s="148" t="s">
        <v>179</v>
      </c>
      <c r="C195" s="14" t="s">
        <v>417</v>
      </c>
      <c r="D195" s="314" t="s">
        <v>561</v>
      </c>
      <c r="E195" s="148" t="s">
        <v>31</v>
      </c>
      <c r="F195" s="137">
        <v>6</v>
      </c>
      <c r="G195" s="137" t="e">
        <f>'COMPOSICOES - SINAPI COM DESON'!G36</f>
        <v>#VALUE!</v>
      </c>
      <c r="H195" s="137" t="e">
        <f t="shared" si="18"/>
        <v>#VALUE!</v>
      </c>
      <c r="I195" s="138" t="e">
        <f t="shared" si="19"/>
        <v>#VALUE!</v>
      </c>
      <c r="J195" s="167"/>
      <c r="K195" s="111"/>
      <c r="L195" s="111"/>
      <c r="M195" s="111"/>
      <c r="N195" s="111"/>
      <c r="O195" s="111"/>
      <c r="P195" s="111"/>
      <c r="Q195" s="111"/>
    </row>
    <row r="196" spans="1:17" s="118" customFormat="1" ht="40.799999999999997" x14ac:dyDescent="0.2">
      <c r="A196" s="148" t="s">
        <v>807</v>
      </c>
      <c r="B196" s="148" t="s">
        <v>163</v>
      </c>
      <c r="C196" s="14" t="s">
        <v>244</v>
      </c>
      <c r="D196" s="314" t="s">
        <v>245</v>
      </c>
      <c r="E196" s="148" t="s">
        <v>31</v>
      </c>
      <c r="F196" s="137">
        <v>5</v>
      </c>
      <c r="G196" s="137">
        <v>116.08</v>
      </c>
      <c r="H196" s="137">
        <f t="shared" si="18"/>
        <v>146.88</v>
      </c>
      <c r="I196" s="138">
        <f t="shared" si="19"/>
        <v>734.4</v>
      </c>
      <c r="J196" s="167"/>
      <c r="K196" s="111"/>
      <c r="L196" s="111"/>
      <c r="M196" s="111"/>
      <c r="N196" s="111"/>
      <c r="O196" s="111"/>
      <c r="P196" s="111"/>
      <c r="Q196" s="111"/>
    </row>
    <row r="197" spans="1:17" s="118" customFormat="1" ht="40.799999999999997" x14ac:dyDescent="0.2">
      <c r="A197" s="148" t="s">
        <v>808</v>
      </c>
      <c r="B197" s="148" t="s">
        <v>89</v>
      </c>
      <c r="C197" s="14">
        <v>93144</v>
      </c>
      <c r="D197" s="314" t="s">
        <v>295</v>
      </c>
      <c r="E197" s="148" t="s">
        <v>33</v>
      </c>
      <c r="F197" s="137">
        <v>5</v>
      </c>
      <c r="G197" s="137">
        <v>166.81</v>
      </c>
      <c r="H197" s="137">
        <f t="shared" si="18"/>
        <v>211.06</v>
      </c>
      <c r="I197" s="138">
        <f t="shared" si="19"/>
        <v>1055.3</v>
      </c>
      <c r="J197" s="167"/>
      <c r="K197" s="111"/>
      <c r="L197" s="111"/>
      <c r="M197" s="111"/>
      <c r="N197" s="111"/>
      <c r="O197" s="111"/>
      <c r="P197" s="111"/>
      <c r="Q197" s="111"/>
    </row>
    <row r="198" spans="1:17" s="118" customFormat="1" ht="40.799999999999997" x14ac:dyDescent="0.2">
      <c r="A198" s="148" t="s">
        <v>809</v>
      </c>
      <c r="B198" s="148" t="s">
        <v>163</v>
      </c>
      <c r="C198" s="14" t="s">
        <v>192</v>
      </c>
      <c r="D198" s="314" t="s">
        <v>712</v>
      </c>
      <c r="E198" s="148" t="s">
        <v>31</v>
      </c>
      <c r="F198" s="137">
        <v>5</v>
      </c>
      <c r="G198" s="137">
        <v>46.44</v>
      </c>
      <c r="H198" s="137">
        <f t="shared" si="18"/>
        <v>58.76</v>
      </c>
      <c r="I198" s="138">
        <f t="shared" si="19"/>
        <v>293.8</v>
      </c>
      <c r="J198" s="167"/>
      <c r="K198" s="111"/>
      <c r="L198" s="111"/>
      <c r="M198" s="111"/>
      <c r="N198" s="111"/>
      <c r="O198" s="111"/>
      <c r="P198" s="111"/>
      <c r="Q198" s="111"/>
    </row>
    <row r="199" spans="1:17" s="118" customFormat="1" ht="30.6" x14ac:dyDescent="0.2">
      <c r="A199" s="148" t="s">
        <v>810</v>
      </c>
      <c r="B199" s="148" t="s">
        <v>179</v>
      </c>
      <c r="C199" s="14" t="s">
        <v>672</v>
      </c>
      <c r="D199" s="314" t="s">
        <v>567</v>
      </c>
      <c r="E199" s="148" t="s">
        <v>33</v>
      </c>
      <c r="F199" s="137">
        <v>7</v>
      </c>
      <c r="G199" s="137">
        <f>'COMPOSICOES - SINAPI COM DESON'!G50</f>
        <v>104.48</v>
      </c>
      <c r="H199" s="137">
        <f t="shared" si="18"/>
        <v>132.19999999999999</v>
      </c>
      <c r="I199" s="138">
        <f t="shared" si="19"/>
        <v>925.4</v>
      </c>
      <c r="J199" s="167"/>
      <c r="K199" s="111"/>
      <c r="L199" s="111"/>
      <c r="M199" s="111"/>
      <c r="N199" s="111"/>
      <c r="O199" s="111"/>
      <c r="P199" s="111"/>
      <c r="Q199" s="111"/>
    </row>
    <row r="200" spans="1:17" s="118" customFormat="1" ht="40.799999999999997" x14ac:dyDescent="0.2">
      <c r="A200" s="148" t="s">
        <v>811</v>
      </c>
      <c r="B200" s="148" t="s">
        <v>163</v>
      </c>
      <c r="C200" s="14" t="s">
        <v>188</v>
      </c>
      <c r="D200" s="314" t="s">
        <v>719</v>
      </c>
      <c r="E200" s="148" t="s">
        <v>33</v>
      </c>
      <c r="F200" s="137">
        <v>1</v>
      </c>
      <c r="G200" s="137">
        <v>65.69</v>
      </c>
      <c r="H200" s="137">
        <f t="shared" si="18"/>
        <v>83.12</v>
      </c>
      <c r="I200" s="138">
        <f t="shared" si="19"/>
        <v>83.12</v>
      </c>
      <c r="J200" s="167"/>
      <c r="K200" s="111"/>
      <c r="L200" s="111"/>
      <c r="M200" s="111"/>
      <c r="N200" s="111"/>
      <c r="O200" s="111"/>
      <c r="P200" s="111"/>
      <c r="Q200" s="111"/>
    </row>
    <row r="201" spans="1:17" s="118" customFormat="1" ht="30.6" x14ac:dyDescent="0.2">
      <c r="A201" s="148" t="s">
        <v>812</v>
      </c>
      <c r="B201" s="148" t="s">
        <v>163</v>
      </c>
      <c r="C201" s="14" t="s">
        <v>190</v>
      </c>
      <c r="D201" s="314" t="s">
        <v>290</v>
      </c>
      <c r="E201" s="148" t="s">
        <v>33</v>
      </c>
      <c r="F201" s="137">
        <v>6</v>
      </c>
      <c r="G201" s="137">
        <v>14.55</v>
      </c>
      <c r="H201" s="137">
        <f t="shared" si="18"/>
        <v>18.41</v>
      </c>
      <c r="I201" s="138">
        <f t="shared" si="19"/>
        <v>110.46</v>
      </c>
      <c r="J201" s="167"/>
      <c r="K201" s="111"/>
      <c r="L201" s="111"/>
      <c r="M201" s="111"/>
      <c r="N201" s="111"/>
      <c r="O201" s="111"/>
      <c r="P201" s="111"/>
      <c r="Q201" s="111"/>
    </row>
    <row r="202" spans="1:17" s="145" customFormat="1" x14ac:dyDescent="0.2">
      <c r="A202" s="140" t="s">
        <v>794</v>
      </c>
      <c r="B202" s="140"/>
      <c r="C202" s="141"/>
      <c r="D202" s="112" t="s">
        <v>211</v>
      </c>
      <c r="E202" s="140"/>
      <c r="F202" s="142"/>
      <c r="G202" s="142"/>
      <c r="H202" s="142"/>
      <c r="I202" s="143">
        <f>SUM(I203:I205)</f>
        <v>669.18999999999994</v>
      </c>
      <c r="J202" s="285"/>
      <c r="K202" s="144"/>
      <c r="L202" s="144"/>
      <c r="M202" s="144"/>
      <c r="N202" s="144"/>
      <c r="O202" s="144"/>
      <c r="P202" s="144"/>
      <c r="Q202" s="144"/>
    </row>
    <row r="203" spans="1:17" s="118" customFormat="1" ht="20.399999999999999" x14ac:dyDescent="0.2">
      <c r="A203" s="148" t="s">
        <v>795</v>
      </c>
      <c r="B203" s="148" t="s">
        <v>89</v>
      </c>
      <c r="C203" s="14">
        <v>86883</v>
      </c>
      <c r="D203" s="314" t="s">
        <v>675</v>
      </c>
      <c r="E203" s="148" t="s">
        <v>31</v>
      </c>
      <c r="F203" s="137">
        <v>3</v>
      </c>
      <c r="G203" s="137">
        <v>8.1199999999999992</v>
      </c>
      <c r="H203" s="137">
        <f>ROUND(G203*(1+$L$4),2)</f>
        <v>10.27</v>
      </c>
      <c r="I203" s="138">
        <f>TRUNC(F203*H203,2)</f>
        <v>30.81</v>
      </c>
      <c r="J203" s="167"/>
      <c r="K203" s="111"/>
      <c r="L203" s="111"/>
      <c r="M203" s="111"/>
      <c r="N203" s="111"/>
      <c r="O203" s="111"/>
      <c r="P203" s="111"/>
      <c r="Q203" s="111"/>
    </row>
    <row r="204" spans="1:17" s="118" customFormat="1" ht="30.6" x14ac:dyDescent="0.2">
      <c r="A204" s="148" t="s">
        <v>796</v>
      </c>
      <c r="B204" s="148" t="s">
        <v>163</v>
      </c>
      <c r="C204" s="14" t="s">
        <v>249</v>
      </c>
      <c r="D204" s="314" t="s">
        <v>250</v>
      </c>
      <c r="E204" s="148" t="s">
        <v>32</v>
      </c>
      <c r="F204" s="137">
        <v>4</v>
      </c>
      <c r="G204" s="137">
        <v>116.1</v>
      </c>
      <c r="H204" s="137">
        <f>ROUND(G204*(1+$L$4),2)</f>
        <v>146.9</v>
      </c>
      <c r="I204" s="138">
        <f>TRUNC(F204*H204,2)</f>
        <v>587.6</v>
      </c>
      <c r="J204" s="167"/>
      <c r="K204" s="111"/>
      <c r="L204" s="111"/>
      <c r="M204" s="111"/>
      <c r="N204" s="111"/>
      <c r="O204" s="111"/>
      <c r="P204" s="111"/>
      <c r="Q204" s="111"/>
    </row>
    <row r="205" spans="1:17" s="118" customFormat="1" ht="30.6" x14ac:dyDescent="0.2">
      <c r="A205" s="148" t="s">
        <v>627</v>
      </c>
      <c r="B205" s="148" t="s">
        <v>89</v>
      </c>
      <c r="C205" s="14">
        <v>86911</v>
      </c>
      <c r="D205" s="314" t="s">
        <v>469</v>
      </c>
      <c r="E205" s="148" t="s">
        <v>33</v>
      </c>
      <c r="F205" s="137">
        <v>1</v>
      </c>
      <c r="G205" s="137">
        <v>40.130000000000003</v>
      </c>
      <c r="H205" s="137">
        <f>ROUND(G205*(1+$L$4),2)</f>
        <v>50.78</v>
      </c>
      <c r="I205" s="138">
        <f>TRUNC(F205*H205,2)</f>
        <v>50.78</v>
      </c>
      <c r="J205" s="167"/>
      <c r="K205" s="111"/>
      <c r="L205" s="111"/>
      <c r="M205" s="111"/>
      <c r="N205" s="111"/>
      <c r="O205" s="111"/>
      <c r="P205" s="111"/>
      <c r="Q205" s="111"/>
    </row>
    <row r="206" spans="1:17" s="196" customFormat="1" x14ac:dyDescent="0.2">
      <c r="A206" s="140" t="s">
        <v>797</v>
      </c>
      <c r="B206" s="192"/>
      <c r="C206" s="193"/>
      <c r="D206" s="112" t="s">
        <v>80</v>
      </c>
      <c r="E206" s="192"/>
      <c r="F206" s="194"/>
      <c r="G206" s="194"/>
      <c r="H206" s="194"/>
      <c r="I206" s="143">
        <f>SUM(I207:I208)</f>
        <v>6732.0599999999995</v>
      </c>
      <c r="J206" s="285"/>
      <c r="K206" s="195"/>
      <c r="L206" s="195"/>
      <c r="M206" s="195"/>
      <c r="N206" s="195"/>
      <c r="O206" s="195"/>
      <c r="P206" s="195"/>
      <c r="Q206" s="195"/>
    </row>
    <row r="207" spans="1:17" s="118" customFormat="1" x14ac:dyDescent="0.2">
      <c r="A207" s="148" t="s">
        <v>798</v>
      </c>
      <c r="B207" s="148" t="s">
        <v>179</v>
      </c>
      <c r="C207" s="14" t="s">
        <v>316</v>
      </c>
      <c r="D207" s="314" t="s">
        <v>317</v>
      </c>
      <c r="E207" s="148" t="s">
        <v>9</v>
      </c>
      <c r="F207" s="137">
        <v>217.07999999999998</v>
      </c>
      <c r="G207" s="137">
        <f>'COMPOSICOES - SINAPI COM DESON'!G18</f>
        <v>5.79</v>
      </c>
      <c r="H207" s="137">
        <f>ROUND(G207*(1+$L$4),2)</f>
        <v>7.33</v>
      </c>
      <c r="I207" s="138">
        <f>TRUNC(F207*H207,2)</f>
        <v>1591.19</v>
      </c>
      <c r="J207" s="167"/>
      <c r="K207" s="111"/>
      <c r="L207" s="111"/>
      <c r="M207" s="111"/>
      <c r="N207" s="111"/>
      <c r="O207" s="111"/>
      <c r="P207" s="111"/>
      <c r="Q207" s="111"/>
    </row>
    <row r="208" spans="1:17" s="118" customFormat="1" ht="30.6" x14ac:dyDescent="0.2">
      <c r="A208" s="148" t="s">
        <v>799</v>
      </c>
      <c r="B208" s="148" t="s">
        <v>89</v>
      </c>
      <c r="C208" s="14">
        <v>11587</v>
      </c>
      <c r="D208" s="314" t="s">
        <v>714</v>
      </c>
      <c r="E208" s="148" t="s">
        <v>9</v>
      </c>
      <c r="F208" s="137">
        <v>67.75</v>
      </c>
      <c r="G208" s="137">
        <v>59.97</v>
      </c>
      <c r="H208" s="137">
        <f>ROUND(G208*(1+$L$4),2)</f>
        <v>75.88</v>
      </c>
      <c r="I208" s="138">
        <f>TRUNC(F208*H208,2)</f>
        <v>5140.87</v>
      </c>
      <c r="J208" s="167"/>
      <c r="K208" s="111"/>
      <c r="L208" s="111"/>
      <c r="M208" s="111"/>
      <c r="N208" s="111"/>
      <c r="O208" s="111"/>
      <c r="P208" s="111"/>
      <c r="Q208" s="111"/>
    </row>
    <row r="209" spans="1:17" s="145" customFormat="1" x14ac:dyDescent="0.2">
      <c r="A209" s="140" t="s">
        <v>800</v>
      </c>
      <c r="B209" s="140"/>
      <c r="C209" s="141"/>
      <c r="D209" s="112" t="s">
        <v>28</v>
      </c>
      <c r="E209" s="140"/>
      <c r="F209" s="142"/>
      <c r="G209" s="142"/>
      <c r="H209" s="142"/>
      <c r="I209" s="143">
        <f>SUM(I210:I214)</f>
        <v>4301.9099999999989</v>
      </c>
      <c r="J209" s="285"/>
      <c r="K209" s="144"/>
      <c r="L209" s="144"/>
      <c r="M209" s="144"/>
      <c r="N209" s="144"/>
      <c r="O209" s="144"/>
      <c r="P209" s="144"/>
      <c r="Q209" s="144"/>
    </row>
    <row r="210" spans="1:17" s="118" customFormat="1" ht="30.6" x14ac:dyDescent="0.2">
      <c r="A210" s="148" t="s">
        <v>801</v>
      </c>
      <c r="B210" s="148" t="s">
        <v>163</v>
      </c>
      <c r="C210" s="14" t="s">
        <v>263</v>
      </c>
      <c r="D210" s="314" t="s">
        <v>264</v>
      </c>
      <c r="E210" s="148" t="s">
        <v>9</v>
      </c>
      <c r="F210" s="137">
        <v>7.9799999999999995</v>
      </c>
      <c r="G210" s="137">
        <v>287.51</v>
      </c>
      <c r="H210" s="137">
        <f>ROUND(G210*(1+$L$4),2)</f>
        <v>363.79</v>
      </c>
      <c r="I210" s="138">
        <f>TRUNC(F210*H210,2)</f>
        <v>2903.04</v>
      </c>
      <c r="J210" s="167"/>
      <c r="K210" s="111"/>
      <c r="L210" s="111"/>
      <c r="M210" s="111"/>
      <c r="N210" s="111"/>
      <c r="O210" s="111"/>
      <c r="P210" s="111"/>
      <c r="Q210" s="111"/>
    </row>
    <row r="211" spans="1:17" s="118" customFormat="1" ht="30.6" x14ac:dyDescent="0.2">
      <c r="A211" s="148" t="s">
        <v>802</v>
      </c>
      <c r="B211" s="148" t="s">
        <v>89</v>
      </c>
      <c r="C211" s="14">
        <v>91307</v>
      </c>
      <c r="D211" s="314" t="s">
        <v>447</v>
      </c>
      <c r="E211" s="148" t="s">
        <v>33</v>
      </c>
      <c r="F211" s="137">
        <v>3</v>
      </c>
      <c r="G211" s="137">
        <v>47.52</v>
      </c>
      <c r="H211" s="137">
        <f>ROUND(G211*(1+$L$4),2)</f>
        <v>60.13</v>
      </c>
      <c r="I211" s="138">
        <f>TRUNC(F211*H211,2)</f>
        <v>180.39</v>
      </c>
      <c r="J211" s="167"/>
      <c r="K211" s="111"/>
      <c r="L211" s="111"/>
      <c r="M211" s="111"/>
      <c r="N211" s="111"/>
      <c r="O211" s="111"/>
      <c r="P211" s="111"/>
      <c r="Q211" s="111"/>
    </row>
    <row r="212" spans="1:17" s="118" customFormat="1" x14ac:dyDescent="0.2">
      <c r="A212" s="148" t="s">
        <v>803</v>
      </c>
      <c r="B212" s="148" t="s">
        <v>89</v>
      </c>
      <c r="C212" s="14">
        <v>68054</v>
      </c>
      <c r="D212" s="314" t="s">
        <v>470</v>
      </c>
      <c r="E212" s="148" t="s">
        <v>9</v>
      </c>
      <c r="F212" s="137">
        <v>3.12</v>
      </c>
      <c r="G212" s="137">
        <v>199.18</v>
      </c>
      <c r="H212" s="137">
        <f>ROUND(G212*(1+$L$4),2)</f>
        <v>252.02</v>
      </c>
      <c r="I212" s="138">
        <f>TRUNC(F212*H212,2)</f>
        <v>786.3</v>
      </c>
      <c r="J212" s="167"/>
      <c r="K212" s="111"/>
      <c r="L212" s="111"/>
      <c r="M212" s="111"/>
      <c r="N212" s="111"/>
      <c r="O212" s="111"/>
      <c r="P212" s="111"/>
      <c r="Q212" s="111"/>
    </row>
    <row r="213" spans="1:17" s="118" customFormat="1" ht="30.6" x14ac:dyDescent="0.2">
      <c r="A213" s="148" t="s">
        <v>804</v>
      </c>
      <c r="B213" s="148" t="s">
        <v>163</v>
      </c>
      <c r="C213" s="14" t="s">
        <v>472</v>
      </c>
      <c r="D213" s="314" t="s">
        <v>473</v>
      </c>
      <c r="E213" s="148" t="s">
        <v>9</v>
      </c>
      <c r="F213" s="137">
        <v>1</v>
      </c>
      <c r="G213" s="137">
        <v>236.56</v>
      </c>
      <c r="H213" s="137">
        <f>ROUND(G213*(1+$L$4),2)</f>
        <v>299.32</v>
      </c>
      <c r="I213" s="138">
        <f>TRUNC(F213*H213,2)</f>
        <v>299.32</v>
      </c>
      <c r="J213" s="167"/>
      <c r="K213" s="111"/>
      <c r="L213" s="111"/>
      <c r="M213" s="111"/>
      <c r="N213" s="111"/>
      <c r="O213" s="111"/>
      <c r="P213" s="111"/>
      <c r="Q213" s="111"/>
    </row>
    <row r="214" spans="1:17" s="118" customFormat="1" ht="20.399999999999999" x14ac:dyDescent="0.2">
      <c r="A214" s="148" t="s">
        <v>805</v>
      </c>
      <c r="B214" s="148" t="s">
        <v>163</v>
      </c>
      <c r="C214" s="14" t="s">
        <v>474</v>
      </c>
      <c r="D214" s="314" t="s">
        <v>475</v>
      </c>
      <c r="E214" s="148" t="s">
        <v>9</v>
      </c>
      <c r="F214" s="137">
        <v>1</v>
      </c>
      <c r="G214" s="137">
        <v>105</v>
      </c>
      <c r="H214" s="137">
        <f>ROUND(G214*(1+$L$4),2)</f>
        <v>132.86000000000001</v>
      </c>
      <c r="I214" s="138">
        <f>TRUNC(F214*H214,2)</f>
        <v>132.86000000000001</v>
      </c>
      <c r="J214" s="167"/>
      <c r="K214" s="111"/>
      <c r="L214" s="111"/>
      <c r="M214" s="111"/>
      <c r="N214" s="111"/>
      <c r="O214" s="111"/>
      <c r="P214" s="111"/>
      <c r="Q214" s="111"/>
    </row>
    <row r="215" spans="1:17" s="145" customFormat="1" x14ac:dyDescent="0.2">
      <c r="A215" s="140" t="s">
        <v>790</v>
      </c>
      <c r="B215" s="140"/>
      <c r="C215" s="141"/>
      <c r="D215" s="112" t="s">
        <v>29</v>
      </c>
      <c r="E215" s="140"/>
      <c r="F215" s="142"/>
      <c r="G215" s="142"/>
      <c r="H215" s="142"/>
      <c r="I215" s="143">
        <f>SUM(I216:I216)</f>
        <v>271</v>
      </c>
      <c r="J215" s="285"/>
      <c r="K215" s="144"/>
      <c r="L215" s="144"/>
      <c r="M215" s="144"/>
      <c r="N215" s="144"/>
      <c r="O215" s="144"/>
      <c r="P215" s="144"/>
      <c r="Q215" s="144"/>
    </row>
    <row r="216" spans="1:17" s="118" customFormat="1" ht="40.799999999999997" x14ac:dyDescent="0.2">
      <c r="A216" s="148" t="s">
        <v>791</v>
      </c>
      <c r="B216" s="148" t="s">
        <v>163</v>
      </c>
      <c r="C216" s="14" t="s">
        <v>176</v>
      </c>
      <c r="D216" s="314" t="s">
        <v>269</v>
      </c>
      <c r="E216" s="148" t="s">
        <v>9</v>
      </c>
      <c r="F216" s="137">
        <v>15.959999999999999</v>
      </c>
      <c r="G216" s="137">
        <v>13.42</v>
      </c>
      <c r="H216" s="137">
        <f>ROUND(G216*(1+$L$4),2)</f>
        <v>16.98</v>
      </c>
      <c r="I216" s="138">
        <f>TRUNC(F216*H216,2)</f>
        <v>271</v>
      </c>
      <c r="J216" s="167"/>
      <c r="K216" s="111"/>
      <c r="L216" s="111"/>
      <c r="M216" s="111"/>
      <c r="N216" s="111"/>
      <c r="O216" s="111"/>
      <c r="P216" s="111"/>
      <c r="Q216" s="111"/>
    </row>
    <row r="217" spans="1:17" s="118" customFormat="1" x14ac:dyDescent="0.2">
      <c r="A217" s="148"/>
      <c r="B217" s="148"/>
      <c r="C217" s="14"/>
      <c r="D217" s="314"/>
      <c r="E217" s="148"/>
      <c r="F217" s="137"/>
      <c r="G217" s="137"/>
      <c r="H217" s="137"/>
      <c r="I217" s="138"/>
      <c r="J217" s="167"/>
      <c r="K217" s="111"/>
      <c r="L217" s="111"/>
      <c r="M217" s="111"/>
      <c r="N217" s="111"/>
      <c r="O217" s="111"/>
      <c r="P217" s="111"/>
      <c r="Q217" s="111"/>
    </row>
    <row r="218" spans="1:17" s="241" customFormat="1" ht="26.4" x14ac:dyDescent="0.25">
      <c r="A218" s="236" t="s">
        <v>160</v>
      </c>
      <c r="B218" s="236"/>
      <c r="C218" s="237"/>
      <c r="D218" s="289" t="s">
        <v>221</v>
      </c>
      <c r="E218" s="236"/>
      <c r="F218" s="238"/>
      <c r="G218" s="238"/>
      <c r="H218" s="238"/>
      <c r="I218" s="239" t="e">
        <f>I219+I227+I231</f>
        <v>#VALUE!</v>
      </c>
      <c r="J218" s="284" t="e">
        <f>I218/$I$476</f>
        <v>#VALUE!</v>
      </c>
      <c r="K218" s="240"/>
      <c r="L218" s="240"/>
      <c r="M218" s="240"/>
      <c r="N218" s="240"/>
      <c r="O218" s="240"/>
      <c r="P218" s="240"/>
      <c r="Q218" s="240"/>
    </row>
    <row r="219" spans="1:17" s="145" customFormat="1" x14ac:dyDescent="0.2">
      <c r="A219" s="140" t="s">
        <v>195</v>
      </c>
      <c r="B219" s="140"/>
      <c r="C219" s="141"/>
      <c r="D219" s="112" t="s">
        <v>30</v>
      </c>
      <c r="E219" s="140"/>
      <c r="F219" s="142"/>
      <c r="G219" s="142"/>
      <c r="H219" s="142"/>
      <c r="I219" s="143" t="e">
        <f>SUM(I220:I226)</f>
        <v>#VALUE!</v>
      </c>
      <c r="J219" s="285"/>
      <c r="K219" s="144"/>
      <c r="L219" s="144"/>
      <c r="M219" s="144"/>
      <c r="N219" s="144"/>
      <c r="O219" s="144"/>
      <c r="P219" s="144"/>
      <c r="Q219" s="144"/>
    </row>
    <row r="220" spans="1:17" s="118" customFormat="1" ht="30.6" x14ac:dyDescent="0.2">
      <c r="A220" s="148" t="s">
        <v>196</v>
      </c>
      <c r="B220" s="148" t="s">
        <v>163</v>
      </c>
      <c r="C220" s="14" t="s">
        <v>240</v>
      </c>
      <c r="D220" s="314" t="s">
        <v>241</v>
      </c>
      <c r="E220" s="148" t="s">
        <v>31</v>
      </c>
      <c r="F220" s="137">
        <v>2</v>
      </c>
      <c r="G220" s="137">
        <v>73.44</v>
      </c>
      <c r="H220" s="137">
        <f t="shared" ref="H220:H226" si="20">ROUND(G220*(1+$L$4),2)</f>
        <v>92.92</v>
      </c>
      <c r="I220" s="138">
        <f t="shared" ref="I220:I226" si="21">TRUNC(F220*H220,2)</f>
        <v>185.84</v>
      </c>
      <c r="J220" s="167"/>
      <c r="K220" s="111"/>
      <c r="L220" s="111"/>
      <c r="M220" s="111"/>
      <c r="N220" s="111"/>
      <c r="O220" s="111"/>
      <c r="P220" s="111"/>
      <c r="Q220" s="111"/>
    </row>
    <row r="221" spans="1:17" s="118" customFormat="1" ht="51" x14ac:dyDescent="0.2">
      <c r="A221" s="148" t="s">
        <v>197</v>
      </c>
      <c r="B221" s="148" t="s">
        <v>179</v>
      </c>
      <c r="C221" s="14" t="s">
        <v>417</v>
      </c>
      <c r="D221" s="314" t="s">
        <v>561</v>
      </c>
      <c r="E221" s="148" t="s">
        <v>31</v>
      </c>
      <c r="F221" s="137">
        <v>5</v>
      </c>
      <c r="G221" s="137" t="e">
        <f>'COMPOSICOES - SINAPI COM DESON'!G36</f>
        <v>#VALUE!</v>
      </c>
      <c r="H221" s="137" t="e">
        <f t="shared" si="20"/>
        <v>#VALUE!</v>
      </c>
      <c r="I221" s="138" t="e">
        <f t="shared" si="21"/>
        <v>#VALUE!</v>
      </c>
      <c r="J221" s="167"/>
      <c r="K221" s="111"/>
      <c r="L221" s="111"/>
      <c r="M221" s="111"/>
      <c r="N221" s="111"/>
      <c r="O221" s="111"/>
      <c r="P221" s="111"/>
      <c r="Q221" s="111"/>
    </row>
    <row r="222" spans="1:17" s="118" customFormat="1" ht="40.799999999999997" x14ac:dyDescent="0.2">
      <c r="A222" s="148" t="s">
        <v>627</v>
      </c>
      <c r="B222" s="148" t="s">
        <v>163</v>
      </c>
      <c r="C222" s="14" t="s">
        <v>244</v>
      </c>
      <c r="D222" s="314" t="s">
        <v>245</v>
      </c>
      <c r="E222" s="148" t="s">
        <v>31</v>
      </c>
      <c r="F222" s="137">
        <v>4</v>
      </c>
      <c r="G222" s="137">
        <v>116.08</v>
      </c>
      <c r="H222" s="137">
        <f t="shared" si="20"/>
        <v>146.88</v>
      </c>
      <c r="I222" s="138">
        <f t="shared" si="21"/>
        <v>587.52</v>
      </c>
      <c r="J222" s="167"/>
      <c r="K222" s="111"/>
      <c r="L222" s="111"/>
      <c r="M222" s="111"/>
      <c r="N222" s="111"/>
      <c r="O222" s="111"/>
      <c r="P222" s="111"/>
      <c r="Q222" s="111"/>
    </row>
    <row r="223" spans="1:17" s="118" customFormat="1" ht="30.6" x14ac:dyDescent="0.2">
      <c r="A223" s="148" t="s">
        <v>628</v>
      </c>
      <c r="B223" s="148" t="s">
        <v>179</v>
      </c>
      <c r="C223" s="14" t="s">
        <v>672</v>
      </c>
      <c r="D223" s="314" t="s">
        <v>567</v>
      </c>
      <c r="E223" s="148" t="s">
        <v>33</v>
      </c>
      <c r="F223" s="137">
        <v>1</v>
      </c>
      <c r="G223" s="137">
        <f>'COMPOSICOES - SINAPI COM DESON'!G50</f>
        <v>104.48</v>
      </c>
      <c r="H223" s="137">
        <f t="shared" si="20"/>
        <v>132.19999999999999</v>
      </c>
      <c r="I223" s="138">
        <f t="shared" si="21"/>
        <v>132.19999999999999</v>
      </c>
      <c r="J223" s="167"/>
      <c r="K223" s="111"/>
      <c r="L223" s="111"/>
      <c r="M223" s="111"/>
      <c r="N223" s="111"/>
      <c r="O223" s="111"/>
      <c r="P223" s="111"/>
      <c r="Q223" s="111"/>
    </row>
    <row r="224" spans="1:17" s="118" customFormat="1" ht="20.399999999999999" x14ac:dyDescent="0.2">
      <c r="A224" s="148" t="s">
        <v>813</v>
      </c>
      <c r="B224" s="148" t="s">
        <v>89</v>
      </c>
      <c r="C224" s="14">
        <v>83469</v>
      </c>
      <c r="D224" s="314" t="s">
        <v>308</v>
      </c>
      <c r="E224" s="148" t="s">
        <v>33</v>
      </c>
      <c r="F224" s="137">
        <v>2</v>
      </c>
      <c r="G224" s="137">
        <v>8.1300000000000008</v>
      </c>
      <c r="H224" s="137">
        <f t="shared" si="20"/>
        <v>10.29</v>
      </c>
      <c r="I224" s="138">
        <f t="shared" si="21"/>
        <v>20.58</v>
      </c>
      <c r="J224" s="167"/>
      <c r="K224" s="111"/>
      <c r="L224" s="111"/>
      <c r="M224" s="111"/>
      <c r="N224" s="111"/>
      <c r="O224" s="111"/>
      <c r="P224" s="111"/>
      <c r="Q224" s="111"/>
    </row>
    <row r="225" spans="1:17" s="118" customFormat="1" ht="40.799999999999997" x14ac:dyDescent="0.2">
      <c r="A225" s="148" t="s">
        <v>814</v>
      </c>
      <c r="B225" s="148" t="s">
        <v>163</v>
      </c>
      <c r="C225" s="14" t="s">
        <v>188</v>
      </c>
      <c r="D225" s="314" t="s">
        <v>719</v>
      </c>
      <c r="E225" s="148" t="s">
        <v>33</v>
      </c>
      <c r="F225" s="137">
        <v>1</v>
      </c>
      <c r="G225" s="137">
        <v>65.69</v>
      </c>
      <c r="H225" s="137">
        <f t="shared" si="20"/>
        <v>83.12</v>
      </c>
      <c r="I225" s="138">
        <f t="shared" si="21"/>
        <v>83.12</v>
      </c>
      <c r="J225" s="167"/>
      <c r="K225" s="111"/>
      <c r="L225" s="111"/>
      <c r="M225" s="111"/>
      <c r="N225" s="111"/>
      <c r="O225" s="111"/>
      <c r="P225" s="111"/>
      <c r="Q225" s="111"/>
    </row>
    <row r="226" spans="1:17" s="118" customFormat="1" ht="30.6" x14ac:dyDescent="0.2">
      <c r="A226" s="148" t="s">
        <v>815</v>
      </c>
      <c r="B226" s="148" t="s">
        <v>163</v>
      </c>
      <c r="C226" s="14" t="s">
        <v>190</v>
      </c>
      <c r="D226" s="314" t="s">
        <v>290</v>
      </c>
      <c r="E226" s="148" t="s">
        <v>33</v>
      </c>
      <c r="F226" s="137">
        <v>6</v>
      </c>
      <c r="G226" s="137">
        <v>14.55</v>
      </c>
      <c r="H226" s="137">
        <f t="shared" si="20"/>
        <v>18.41</v>
      </c>
      <c r="I226" s="138">
        <f t="shared" si="21"/>
        <v>110.46</v>
      </c>
      <c r="J226" s="167"/>
      <c r="K226" s="111"/>
      <c r="L226" s="111"/>
      <c r="M226" s="111"/>
      <c r="N226" s="111"/>
      <c r="O226" s="111"/>
      <c r="P226" s="111"/>
      <c r="Q226" s="111"/>
    </row>
    <row r="227" spans="1:17" s="145" customFormat="1" x14ac:dyDescent="0.2">
      <c r="A227" s="140" t="s">
        <v>198</v>
      </c>
      <c r="B227" s="140"/>
      <c r="C227" s="141"/>
      <c r="D227" s="112" t="s">
        <v>211</v>
      </c>
      <c r="E227" s="140"/>
      <c r="F227" s="142"/>
      <c r="G227" s="142"/>
      <c r="H227" s="142"/>
      <c r="I227" s="143">
        <f>SUM(I228:I230)</f>
        <v>542.29999999999995</v>
      </c>
      <c r="J227" s="285"/>
      <c r="K227" s="144"/>
      <c r="L227" s="144"/>
      <c r="M227" s="144"/>
      <c r="N227" s="144"/>
      <c r="O227" s="144"/>
      <c r="P227" s="144"/>
      <c r="Q227" s="144"/>
    </row>
    <row r="228" spans="1:17" s="118" customFormat="1" ht="20.399999999999999" x14ac:dyDescent="0.2">
      <c r="A228" s="148" t="s">
        <v>199</v>
      </c>
      <c r="B228" s="148" t="s">
        <v>89</v>
      </c>
      <c r="C228" s="14">
        <v>86883</v>
      </c>
      <c r="D228" s="314" t="s">
        <v>629</v>
      </c>
      <c r="E228" s="148" t="s">
        <v>31</v>
      </c>
      <c r="F228" s="137">
        <v>2</v>
      </c>
      <c r="G228" s="137">
        <v>8.1199999999999992</v>
      </c>
      <c r="H228" s="137">
        <f>ROUND(G228*(1+$L$4),2)</f>
        <v>10.27</v>
      </c>
      <c r="I228" s="138">
        <f>TRUNC(F228*H228,2)</f>
        <v>20.54</v>
      </c>
      <c r="J228" s="167"/>
      <c r="K228" s="111"/>
      <c r="L228" s="111"/>
      <c r="M228" s="111"/>
      <c r="N228" s="111"/>
      <c r="O228" s="111"/>
      <c r="P228" s="111"/>
      <c r="Q228" s="111"/>
    </row>
    <row r="229" spans="1:17" s="118" customFormat="1" ht="30.6" x14ac:dyDescent="0.2">
      <c r="A229" s="148" t="s">
        <v>200</v>
      </c>
      <c r="B229" s="148" t="s">
        <v>163</v>
      </c>
      <c r="C229" s="14" t="s">
        <v>249</v>
      </c>
      <c r="D229" s="314" t="s">
        <v>250</v>
      </c>
      <c r="E229" s="148" t="s">
        <v>32</v>
      </c>
      <c r="F229" s="137">
        <v>3</v>
      </c>
      <c r="G229" s="137">
        <v>116.1</v>
      </c>
      <c r="H229" s="137">
        <f>ROUND(G229*(1+$L$4),2)</f>
        <v>146.9</v>
      </c>
      <c r="I229" s="138">
        <f>TRUNC(F229*H229,2)</f>
        <v>440.7</v>
      </c>
      <c r="J229" s="167"/>
      <c r="K229" s="111"/>
      <c r="L229" s="111"/>
      <c r="M229" s="111"/>
      <c r="N229" s="111"/>
      <c r="O229" s="111"/>
      <c r="P229" s="111"/>
      <c r="Q229" s="111"/>
    </row>
    <row r="230" spans="1:17" s="118" customFormat="1" ht="30.6" x14ac:dyDescent="0.2">
      <c r="A230" s="148" t="s">
        <v>202</v>
      </c>
      <c r="B230" s="148" t="s">
        <v>163</v>
      </c>
      <c r="C230" s="14" t="s">
        <v>194</v>
      </c>
      <c r="D230" s="314" t="s">
        <v>252</v>
      </c>
      <c r="E230" s="148" t="s">
        <v>31</v>
      </c>
      <c r="F230" s="137">
        <v>1</v>
      </c>
      <c r="G230" s="137">
        <v>64.06</v>
      </c>
      <c r="H230" s="137">
        <f>ROUND(G230*(1+$L$4),2)</f>
        <v>81.06</v>
      </c>
      <c r="I230" s="138">
        <f>TRUNC(F230*H230,2)</f>
        <v>81.06</v>
      </c>
      <c r="J230" s="167"/>
      <c r="K230" s="111"/>
      <c r="L230" s="111"/>
      <c r="M230" s="111"/>
      <c r="N230" s="111"/>
      <c r="O230" s="111"/>
      <c r="P230" s="111"/>
      <c r="Q230" s="111"/>
    </row>
    <row r="231" spans="1:17" s="145" customFormat="1" x14ac:dyDescent="0.2">
      <c r="A231" s="140" t="s">
        <v>203</v>
      </c>
      <c r="B231" s="140"/>
      <c r="C231" s="141"/>
      <c r="D231" s="112" t="s">
        <v>80</v>
      </c>
      <c r="E231" s="140"/>
      <c r="F231" s="142"/>
      <c r="G231" s="142"/>
      <c r="H231" s="142"/>
      <c r="I231" s="143">
        <f>SUM(I232:I233)</f>
        <v>15855.92</v>
      </c>
      <c r="J231" s="285"/>
      <c r="K231" s="144"/>
      <c r="L231" s="144"/>
      <c r="M231" s="144"/>
      <c r="N231" s="144"/>
      <c r="O231" s="144"/>
      <c r="P231" s="144"/>
      <c r="Q231" s="144"/>
    </row>
    <row r="232" spans="1:17" s="118" customFormat="1" x14ac:dyDescent="0.2">
      <c r="A232" s="148" t="s">
        <v>205</v>
      </c>
      <c r="B232" s="148" t="s">
        <v>179</v>
      </c>
      <c r="C232" s="14" t="s">
        <v>316</v>
      </c>
      <c r="D232" s="314" t="s">
        <v>317</v>
      </c>
      <c r="E232" s="148" t="s">
        <v>9</v>
      </c>
      <c r="F232" s="137">
        <v>451.56</v>
      </c>
      <c r="G232" s="137">
        <f>'COMPOSICOES - SINAPI COM DESON'!G18</f>
        <v>5.79</v>
      </c>
      <c r="H232" s="137">
        <f>ROUND(G232*(1+$L$4),2)</f>
        <v>7.33</v>
      </c>
      <c r="I232" s="138">
        <f>TRUNC(F232*H232,2)</f>
        <v>3309.93</v>
      </c>
      <c r="J232" s="167"/>
      <c r="K232" s="111"/>
      <c r="L232" s="111"/>
      <c r="M232" s="111"/>
      <c r="N232" s="111"/>
      <c r="O232" s="111"/>
      <c r="P232" s="111"/>
      <c r="Q232" s="111"/>
    </row>
    <row r="233" spans="1:17" s="118" customFormat="1" ht="30.6" x14ac:dyDescent="0.2">
      <c r="A233" s="148" t="s">
        <v>206</v>
      </c>
      <c r="B233" s="148" t="s">
        <v>89</v>
      </c>
      <c r="C233" s="14">
        <v>11587</v>
      </c>
      <c r="D233" s="314" t="s">
        <v>714</v>
      </c>
      <c r="E233" s="148" t="s">
        <v>9</v>
      </c>
      <c r="F233" s="137">
        <v>165.33999999999997</v>
      </c>
      <c r="G233" s="137">
        <v>59.97</v>
      </c>
      <c r="H233" s="137">
        <f>ROUND(G233*(1+$L$4),2)</f>
        <v>75.88</v>
      </c>
      <c r="I233" s="138">
        <f>TRUNC(F233*H233,2)</f>
        <v>12545.99</v>
      </c>
      <c r="J233" s="167"/>
      <c r="K233" s="111"/>
      <c r="L233" s="111"/>
      <c r="M233" s="111"/>
      <c r="N233" s="111"/>
      <c r="O233" s="111"/>
      <c r="P233" s="111"/>
      <c r="Q233" s="111"/>
    </row>
    <row r="234" spans="1:17" s="118" customFormat="1" x14ac:dyDescent="0.2">
      <c r="A234" s="148"/>
      <c r="B234" s="148"/>
      <c r="C234" s="14"/>
      <c r="D234" s="314"/>
      <c r="E234" s="148"/>
      <c r="F234" s="137"/>
      <c r="G234" s="137"/>
      <c r="H234" s="137"/>
      <c r="I234" s="138"/>
      <c r="J234" s="167"/>
      <c r="K234" s="111"/>
      <c r="L234" s="111"/>
      <c r="M234" s="111"/>
      <c r="N234" s="111"/>
      <c r="O234" s="111"/>
      <c r="P234" s="111"/>
      <c r="Q234" s="111"/>
    </row>
    <row r="235" spans="1:17" s="241" customFormat="1" ht="13.2" x14ac:dyDescent="0.25">
      <c r="A235" s="236" t="s">
        <v>161</v>
      </c>
      <c r="B235" s="236"/>
      <c r="C235" s="237"/>
      <c r="D235" s="289" t="s">
        <v>222</v>
      </c>
      <c r="E235" s="236"/>
      <c r="F235" s="238"/>
      <c r="G235" s="238"/>
      <c r="H235" s="238"/>
      <c r="I235" s="239" t="e">
        <f>I236+I245+I249+I253+I255</f>
        <v>#VALUE!</v>
      </c>
      <c r="J235" s="284" t="e">
        <f>I235/$I$476</f>
        <v>#VALUE!</v>
      </c>
      <c r="K235" s="240"/>
      <c r="L235" s="240"/>
      <c r="M235" s="240"/>
      <c r="N235" s="240"/>
      <c r="O235" s="240"/>
      <c r="P235" s="240"/>
      <c r="Q235" s="240"/>
    </row>
    <row r="236" spans="1:17" s="145" customFormat="1" x14ac:dyDescent="0.2">
      <c r="A236" s="140" t="s">
        <v>207</v>
      </c>
      <c r="B236" s="140"/>
      <c r="C236" s="141"/>
      <c r="D236" s="112" t="s">
        <v>30</v>
      </c>
      <c r="E236" s="140"/>
      <c r="F236" s="142"/>
      <c r="G236" s="142"/>
      <c r="H236" s="142"/>
      <c r="I236" s="143" t="e">
        <f>SUM(I237:I244)</f>
        <v>#VALUE!</v>
      </c>
      <c r="J236" s="285"/>
      <c r="K236" s="144"/>
      <c r="L236" s="144"/>
      <c r="M236" s="144"/>
      <c r="N236" s="144"/>
      <c r="O236" s="144"/>
      <c r="P236" s="144"/>
      <c r="Q236" s="144"/>
    </row>
    <row r="237" spans="1:17" s="118" customFormat="1" ht="30.6" x14ac:dyDescent="0.2">
      <c r="A237" s="148" t="s">
        <v>630</v>
      </c>
      <c r="B237" s="148" t="s">
        <v>163</v>
      </c>
      <c r="C237" s="14" t="s">
        <v>240</v>
      </c>
      <c r="D237" s="314" t="s">
        <v>241</v>
      </c>
      <c r="E237" s="148" t="s">
        <v>31</v>
      </c>
      <c r="F237" s="137">
        <v>3</v>
      </c>
      <c r="G237" s="137">
        <v>73.44</v>
      </c>
      <c r="H237" s="137">
        <f t="shared" ref="H237:H244" si="22">ROUND(G237*(1+$L$4),2)</f>
        <v>92.92</v>
      </c>
      <c r="I237" s="138">
        <f t="shared" ref="I237:I244" si="23">TRUNC(F237*H237,2)</f>
        <v>278.76</v>
      </c>
      <c r="J237" s="167"/>
      <c r="K237" s="111"/>
      <c r="L237" s="111"/>
      <c r="M237" s="111"/>
      <c r="N237" s="111"/>
      <c r="O237" s="111"/>
      <c r="P237" s="111"/>
      <c r="Q237" s="111"/>
    </row>
    <row r="238" spans="1:17" s="118" customFormat="1" ht="51" x14ac:dyDescent="0.2">
      <c r="A238" s="148" t="s">
        <v>631</v>
      </c>
      <c r="B238" s="148" t="s">
        <v>179</v>
      </c>
      <c r="C238" s="14" t="s">
        <v>417</v>
      </c>
      <c r="D238" s="314" t="s">
        <v>561</v>
      </c>
      <c r="E238" s="148" t="s">
        <v>31</v>
      </c>
      <c r="F238" s="137">
        <v>6</v>
      </c>
      <c r="G238" s="137" t="e">
        <f>'COMPOSICOES - SINAPI COM DESON'!G36</f>
        <v>#VALUE!</v>
      </c>
      <c r="H238" s="137" t="e">
        <f t="shared" si="22"/>
        <v>#VALUE!</v>
      </c>
      <c r="I238" s="138" t="e">
        <f t="shared" si="23"/>
        <v>#VALUE!</v>
      </c>
      <c r="J238" s="167"/>
      <c r="K238" s="111"/>
      <c r="L238" s="111"/>
      <c r="M238" s="111"/>
      <c r="N238" s="111"/>
      <c r="O238" s="111"/>
      <c r="P238" s="111"/>
      <c r="Q238" s="111"/>
    </row>
    <row r="239" spans="1:17" s="118" customFormat="1" ht="40.799999999999997" x14ac:dyDescent="0.2">
      <c r="A239" s="148" t="s">
        <v>632</v>
      </c>
      <c r="B239" s="148" t="s">
        <v>163</v>
      </c>
      <c r="C239" s="14" t="s">
        <v>244</v>
      </c>
      <c r="D239" s="314" t="s">
        <v>245</v>
      </c>
      <c r="E239" s="148" t="s">
        <v>31</v>
      </c>
      <c r="F239" s="137">
        <v>6</v>
      </c>
      <c r="G239" s="137">
        <v>116.08</v>
      </c>
      <c r="H239" s="137">
        <f t="shared" si="22"/>
        <v>146.88</v>
      </c>
      <c r="I239" s="138">
        <f t="shared" si="23"/>
        <v>881.28</v>
      </c>
      <c r="J239" s="167"/>
      <c r="K239" s="111"/>
      <c r="L239" s="111"/>
      <c r="M239" s="111"/>
      <c r="N239" s="111"/>
      <c r="O239" s="111"/>
      <c r="P239" s="111"/>
      <c r="Q239" s="111"/>
    </row>
    <row r="240" spans="1:17" s="118" customFormat="1" ht="30.6" x14ac:dyDescent="0.2">
      <c r="A240" s="148" t="s">
        <v>633</v>
      </c>
      <c r="B240" s="148" t="s">
        <v>179</v>
      </c>
      <c r="C240" s="14" t="s">
        <v>672</v>
      </c>
      <c r="D240" s="314" t="s">
        <v>567</v>
      </c>
      <c r="E240" s="148" t="s">
        <v>33</v>
      </c>
      <c r="F240" s="137">
        <v>2</v>
      </c>
      <c r="G240" s="137">
        <f>'COMPOSICOES - SINAPI COM DESON'!G50</f>
        <v>104.48</v>
      </c>
      <c r="H240" s="137">
        <f t="shared" si="22"/>
        <v>132.19999999999999</v>
      </c>
      <c r="I240" s="138">
        <f t="shared" si="23"/>
        <v>264.39999999999998</v>
      </c>
      <c r="J240" s="167"/>
      <c r="K240" s="111"/>
      <c r="L240" s="111"/>
      <c r="M240" s="111"/>
      <c r="N240" s="111"/>
      <c r="O240" s="111"/>
      <c r="P240" s="111"/>
      <c r="Q240" s="111"/>
    </row>
    <row r="241" spans="1:17" s="118" customFormat="1" ht="40.799999999999997" x14ac:dyDescent="0.2">
      <c r="A241" s="148" t="s">
        <v>816</v>
      </c>
      <c r="B241" s="148" t="s">
        <v>89</v>
      </c>
      <c r="C241" s="14">
        <v>93144</v>
      </c>
      <c r="D241" s="314" t="s">
        <v>295</v>
      </c>
      <c r="E241" s="148" t="s">
        <v>33</v>
      </c>
      <c r="F241" s="137">
        <v>5</v>
      </c>
      <c r="G241" s="137">
        <v>166.81</v>
      </c>
      <c r="H241" s="137">
        <f t="shared" si="22"/>
        <v>211.06</v>
      </c>
      <c r="I241" s="138">
        <f t="shared" si="23"/>
        <v>1055.3</v>
      </c>
      <c r="J241" s="167"/>
      <c r="K241" s="111"/>
      <c r="L241" s="111"/>
      <c r="M241" s="111"/>
      <c r="N241" s="111"/>
      <c r="O241" s="111"/>
      <c r="P241" s="111"/>
      <c r="Q241" s="111"/>
    </row>
    <row r="242" spans="1:17" s="118" customFormat="1" ht="40.799999999999997" x14ac:dyDescent="0.2">
      <c r="A242" s="148" t="s">
        <v>817</v>
      </c>
      <c r="B242" s="148" t="s">
        <v>163</v>
      </c>
      <c r="C242" s="14" t="s">
        <v>192</v>
      </c>
      <c r="D242" s="314" t="s">
        <v>712</v>
      </c>
      <c r="E242" s="148" t="s">
        <v>31</v>
      </c>
      <c r="F242" s="137">
        <v>5</v>
      </c>
      <c r="G242" s="137">
        <v>46.44</v>
      </c>
      <c r="H242" s="137">
        <f t="shared" si="22"/>
        <v>58.76</v>
      </c>
      <c r="I242" s="138">
        <f t="shared" si="23"/>
        <v>293.8</v>
      </c>
      <c r="J242" s="167"/>
      <c r="K242" s="111"/>
      <c r="L242" s="111"/>
      <c r="M242" s="111"/>
      <c r="N242" s="111"/>
      <c r="O242" s="111"/>
      <c r="P242" s="111"/>
      <c r="Q242" s="111"/>
    </row>
    <row r="243" spans="1:17" s="118" customFormat="1" ht="40.799999999999997" x14ac:dyDescent="0.2">
      <c r="A243" s="148" t="s">
        <v>818</v>
      </c>
      <c r="B243" s="148" t="s">
        <v>163</v>
      </c>
      <c r="C243" s="14" t="s">
        <v>288</v>
      </c>
      <c r="D243" s="314" t="s">
        <v>289</v>
      </c>
      <c r="E243" s="148" t="s">
        <v>33</v>
      </c>
      <c r="F243" s="137">
        <v>1</v>
      </c>
      <c r="G243" s="137">
        <v>54</v>
      </c>
      <c r="H243" s="137">
        <f t="shared" si="22"/>
        <v>68.33</v>
      </c>
      <c r="I243" s="138">
        <f t="shared" si="23"/>
        <v>68.33</v>
      </c>
      <c r="J243" s="167"/>
      <c r="K243" s="111"/>
      <c r="L243" s="111"/>
      <c r="M243" s="111"/>
      <c r="N243" s="111"/>
      <c r="O243" s="111"/>
      <c r="P243" s="111"/>
      <c r="Q243" s="111"/>
    </row>
    <row r="244" spans="1:17" s="118" customFormat="1" ht="30.6" x14ac:dyDescent="0.2">
      <c r="A244" s="148" t="s">
        <v>819</v>
      </c>
      <c r="B244" s="148" t="s">
        <v>163</v>
      </c>
      <c r="C244" s="14" t="s">
        <v>190</v>
      </c>
      <c r="D244" s="314" t="s">
        <v>290</v>
      </c>
      <c r="E244" s="148" t="s">
        <v>33</v>
      </c>
      <c r="F244" s="137">
        <v>3</v>
      </c>
      <c r="G244" s="137">
        <v>14.55</v>
      </c>
      <c r="H244" s="137">
        <f t="shared" si="22"/>
        <v>18.41</v>
      </c>
      <c r="I244" s="138">
        <f t="shared" si="23"/>
        <v>55.23</v>
      </c>
      <c r="J244" s="167"/>
      <c r="K244" s="111"/>
      <c r="L244" s="111"/>
      <c r="M244" s="111"/>
      <c r="N244" s="111"/>
      <c r="O244" s="111"/>
      <c r="P244" s="111"/>
      <c r="Q244" s="111"/>
    </row>
    <row r="245" spans="1:17" s="145" customFormat="1" x14ac:dyDescent="0.2">
      <c r="A245" s="140" t="s">
        <v>208</v>
      </c>
      <c r="B245" s="140"/>
      <c r="C245" s="141"/>
      <c r="D245" s="112" t="s">
        <v>211</v>
      </c>
      <c r="E245" s="140"/>
      <c r="F245" s="142"/>
      <c r="G245" s="142"/>
      <c r="H245" s="142"/>
      <c r="I245" s="143">
        <f>SUM(I246:I248)</f>
        <v>355.33</v>
      </c>
      <c r="J245" s="285"/>
      <c r="K245" s="144"/>
      <c r="L245" s="144"/>
      <c r="M245" s="144"/>
      <c r="N245" s="144"/>
      <c r="O245" s="144"/>
      <c r="P245" s="144"/>
      <c r="Q245" s="144"/>
    </row>
    <row r="246" spans="1:17" s="118" customFormat="1" ht="20.399999999999999" x14ac:dyDescent="0.2">
      <c r="A246" s="148" t="s">
        <v>634</v>
      </c>
      <c r="B246" s="148" t="s">
        <v>89</v>
      </c>
      <c r="C246" s="14">
        <v>95469</v>
      </c>
      <c r="D246" s="314" t="s">
        <v>441</v>
      </c>
      <c r="E246" s="148" t="s">
        <v>33</v>
      </c>
      <c r="F246" s="137">
        <v>1</v>
      </c>
      <c r="G246" s="137">
        <v>154.4</v>
      </c>
      <c r="H246" s="137">
        <f>ROUND(G246*(1+$L$4),2)</f>
        <v>195.36</v>
      </c>
      <c r="I246" s="138">
        <f>TRUNC(F246*H246,2)</f>
        <v>195.36</v>
      </c>
      <c r="J246" s="167"/>
      <c r="K246" s="111"/>
      <c r="L246" s="111"/>
      <c r="M246" s="111"/>
      <c r="N246" s="111"/>
      <c r="O246" s="111"/>
      <c r="P246" s="111"/>
      <c r="Q246" s="111"/>
    </row>
    <row r="247" spans="1:17" s="118" customFormat="1" ht="30.6" x14ac:dyDescent="0.2">
      <c r="A247" s="148" t="s">
        <v>635</v>
      </c>
      <c r="B247" s="148" t="s">
        <v>163</v>
      </c>
      <c r="C247" s="14" t="s">
        <v>249</v>
      </c>
      <c r="D247" s="314" t="s">
        <v>250</v>
      </c>
      <c r="E247" s="148" t="s">
        <v>33</v>
      </c>
      <c r="F247" s="137">
        <v>1</v>
      </c>
      <c r="G247" s="137">
        <v>116.1</v>
      </c>
      <c r="H247" s="137">
        <f>ROUND(G247*(1+$L$4),2)</f>
        <v>146.9</v>
      </c>
      <c r="I247" s="138">
        <f>TRUNC(F247*H247,2)</f>
        <v>146.9</v>
      </c>
      <c r="J247" s="167"/>
      <c r="K247" s="111"/>
      <c r="L247" s="111"/>
      <c r="M247" s="111"/>
      <c r="N247" s="111"/>
      <c r="O247" s="111"/>
      <c r="P247" s="111"/>
      <c r="Q247" s="111"/>
    </row>
    <row r="248" spans="1:17" s="118" customFormat="1" x14ac:dyDescent="0.2">
      <c r="A248" s="148" t="s">
        <v>636</v>
      </c>
      <c r="B248" s="148" t="s">
        <v>89</v>
      </c>
      <c r="C248" s="14" t="s">
        <v>442</v>
      </c>
      <c r="D248" s="314" t="s">
        <v>443</v>
      </c>
      <c r="E248" s="148" t="s">
        <v>33</v>
      </c>
      <c r="F248" s="137">
        <v>1</v>
      </c>
      <c r="G248" s="137">
        <v>10.33</v>
      </c>
      <c r="H248" s="137">
        <f>ROUND(G248*(1+$L$4),2)</f>
        <v>13.07</v>
      </c>
      <c r="I248" s="138">
        <f>TRUNC(F248*H248,2)</f>
        <v>13.07</v>
      </c>
      <c r="J248" s="167"/>
      <c r="K248" s="111"/>
      <c r="L248" s="111"/>
      <c r="M248" s="111"/>
      <c r="N248" s="111"/>
      <c r="O248" s="111"/>
      <c r="P248" s="111"/>
      <c r="Q248" s="111"/>
    </row>
    <row r="249" spans="1:17" s="145" customFormat="1" x14ac:dyDescent="0.2">
      <c r="A249" s="140" t="s">
        <v>209</v>
      </c>
      <c r="B249" s="140"/>
      <c r="C249" s="141"/>
      <c r="D249" s="112" t="s">
        <v>28</v>
      </c>
      <c r="E249" s="140"/>
      <c r="F249" s="142"/>
      <c r="G249" s="142"/>
      <c r="H249" s="142"/>
      <c r="I249" s="143">
        <f>SUM(I250:I252)</f>
        <v>734.08999999999992</v>
      </c>
      <c r="J249" s="285"/>
      <c r="K249" s="144"/>
      <c r="L249" s="144"/>
      <c r="M249" s="144"/>
      <c r="N249" s="144"/>
      <c r="O249" s="144"/>
      <c r="P249" s="144"/>
      <c r="Q249" s="144"/>
    </row>
    <row r="250" spans="1:17" s="118" customFormat="1" ht="30.6" x14ac:dyDescent="0.2">
      <c r="A250" s="148" t="s">
        <v>820</v>
      </c>
      <c r="B250" s="148" t="s">
        <v>163</v>
      </c>
      <c r="C250" s="14" t="s">
        <v>263</v>
      </c>
      <c r="D250" s="314" t="s">
        <v>264</v>
      </c>
      <c r="E250" s="148" t="s">
        <v>9</v>
      </c>
      <c r="F250" s="137">
        <v>1.68</v>
      </c>
      <c r="G250" s="137">
        <v>287.51</v>
      </c>
      <c r="H250" s="137">
        <f>ROUND(G250*(1+$L$4),2)</f>
        <v>363.79</v>
      </c>
      <c r="I250" s="138">
        <f>TRUNC(F250*H250,2)</f>
        <v>611.16</v>
      </c>
      <c r="J250" s="167"/>
      <c r="K250" s="111"/>
      <c r="L250" s="111"/>
      <c r="M250" s="111"/>
      <c r="N250" s="111"/>
      <c r="O250" s="111"/>
      <c r="P250" s="111"/>
      <c r="Q250" s="111"/>
    </row>
    <row r="251" spans="1:17" s="118" customFormat="1" ht="30.6" x14ac:dyDescent="0.2">
      <c r="A251" s="148" t="s">
        <v>821</v>
      </c>
      <c r="B251" s="148" t="s">
        <v>89</v>
      </c>
      <c r="C251" s="14" t="s">
        <v>444</v>
      </c>
      <c r="D251" s="314" t="s">
        <v>445</v>
      </c>
      <c r="E251" s="148" t="s">
        <v>33</v>
      </c>
      <c r="F251" s="137">
        <v>2</v>
      </c>
      <c r="G251" s="137">
        <v>24.82</v>
      </c>
      <c r="H251" s="137">
        <f>ROUND(G251*(1+$L$4),2)</f>
        <v>31.4</v>
      </c>
      <c r="I251" s="138">
        <f>TRUNC(F251*H251,2)</f>
        <v>62.8</v>
      </c>
      <c r="J251" s="167"/>
      <c r="K251" s="111"/>
      <c r="L251" s="111"/>
      <c r="M251" s="111"/>
      <c r="N251" s="111"/>
      <c r="O251" s="111"/>
      <c r="P251" s="111"/>
      <c r="Q251" s="111"/>
    </row>
    <row r="252" spans="1:17" s="118" customFormat="1" ht="30.6" x14ac:dyDescent="0.2">
      <c r="A252" s="148" t="s">
        <v>822</v>
      </c>
      <c r="B252" s="148" t="s">
        <v>89</v>
      </c>
      <c r="C252" s="14">
        <v>91307</v>
      </c>
      <c r="D252" s="314" t="s">
        <v>447</v>
      </c>
      <c r="E252" s="148" t="s">
        <v>33</v>
      </c>
      <c r="F252" s="137">
        <v>1</v>
      </c>
      <c r="G252" s="137">
        <v>47.52</v>
      </c>
      <c r="H252" s="137">
        <f>ROUND(G252*(1+$L$4),2)</f>
        <v>60.13</v>
      </c>
      <c r="I252" s="138">
        <f>TRUNC(F252*H252,2)</f>
        <v>60.13</v>
      </c>
      <c r="J252" s="167"/>
      <c r="K252" s="111"/>
      <c r="L252" s="111"/>
      <c r="M252" s="111"/>
      <c r="N252" s="111"/>
      <c r="O252" s="111"/>
      <c r="P252" s="111"/>
      <c r="Q252" s="111"/>
    </row>
    <row r="253" spans="1:17" s="145" customFormat="1" x14ac:dyDescent="0.2">
      <c r="A253" s="140" t="s">
        <v>823</v>
      </c>
      <c r="B253" s="140"/>
      <c r="C253" s="141"/>
      <c r="D253" s="112" t="s">
        <v>29</v>
      </c>
      <c r="E253" s="140"/>
      <c r="F253" s="142"/>
      <c r="G253" s="142"/>
      <c r="H253" s="142"/>
      <c r="I253" s="143">
        <f>SUM(I254:I254)</f>
        <v>57.05</v>
      </c>
      <c r="J253" s="285"/>
      <c r="K253" s="144"/>
      <c r="L253" s="144"/>
      <c r="M253" s="144"/>
      <c r="N253" s="144"/>
      <c r="O253" s="144"/>
      <c r="P253" s="144"/>
      <c r="Q253" s="144"/>
    </row>
    <row r="254" spans="1:17" s="118" customFormat="1" ht="40.799999999999997" x14ac:dyDescent="0.2">
      <c r="A254" s="148" t="s">
        <v>824</v>
      </c>
      <c r="B254" s="148" t="s">
        <v>163</v>
      </c>
      <c r="C254" s="14" t="s">
        <v>176</v>
      </c>
      <c r="D254" s="314" t="s">
        <v>269</v>
      </c>
      <c r="E254" s="148" t="s">
        <v>9</v>
      </c>
      <c r="F254" s="137">
        <v>3.36</v>
      </c>
      <c r="G254" s="137">
        <v>13.42</v>
      </c>
      <c r="H254" s="137">
        <f>ROUND(G254*(1+$L$4),2)</f>
        <v>16.98</v>
      </c>
      <c r="I254" s="138">
        <f>TRUNC(F254*H254,2)</f>
        <v>57.05</v>
      </c>
      <c r="J254" s="167"/>
      <c r="K254" s="111"/>
      <c r="L254" s="111"/>
      <c r="M254" s="111"/>
      <c r="N254" s="111"/>
      <c r="O254" s="111"/>
      <c r="P254" s="111"/>
      <c r="Q254" s="111"/>
    </row>
    <row r="255" spans="1:17" s="145" customFormat="1" x14ac:dyDescent="0.2">
      <c r="A255" s="140" t="s">
        <v>825</v>
      </c>
      <c r="B255" s="140"/>
      <c r="C255" s="141"/>
      <c r="D255" s="112" t="s">
        <v>80</v>
      </c>
      <c r="E255" s="140"/>
      <c r="F255" s="142"/>
      <c r="G255" s="142"/>
      <c r="H255" s="142"/>
      <c r="I255" s="143">
        <f>SUM(I256:I257)</f>
        <v>9609.51</v>
      </c>
      <c r="J255" s="285"/>
      <c r="K255" s="144"/>
      <c r="L255" s="144"/>
      <c r="M255" s="144"/>
      <c r="N255" s="144"/>
      <c r="O255" s="144"/>
      <c r="P255" s="144"/>
      <c r="Q255" s="144"/>
    </row>
    <row r="256" spans="1:17" s="118" customFormat="1" x14ac:dyDescent="0.2">
      <c r="A256" s="148" t="s">
        <v>826</v>
      </c>
      <c r="B256" s="148" t="s">
        <v>179</v>
      </c>
      <c r="C256" s="14" t="s">
        <v>180</v>
      </c>
      <c r="D256" s="314" t="s">
        <v>77</v>
      </c>
      <c r="E256" s="148" t="s">
        <v>9</v>
      </c>
      <c r="F256" s="137">
        <v>194.88</v>
      </c>
      <c r="G256" s="137">
        <v>5.8</v>
      </c>
      <c r="H256" s="137">
        <f>ROUND(G256*(1+$L$4),2)</f>
        <v>7.34</v>
      </c>
      <c r="I256" s="138">
        <f>TRUNC(F256*H256,2)</f>
        <v>1430.41</v>
      </c>
      <c r="J256" s="167"/>
      <c r="K256" s="111"/>
      <c r="L256" s="111"/>
      <c r="M256" s="111"/>
      <c r="N256" s="111"/>
      <c r="O256" s="111"/>
      <c r="P256" s="111"/>
      <c r="Q256" s="111"/>
    </row>
    <row r="257" spans="1:17" s="118" customFormat="1" ht="30.6" x14ac:dyDescent="0.2">
      <c r="A257" s="148" t="s">
        <v>827</v>
      </c>
      <c r="B257" s="148" t="s">
        <v>89</v>
      </c>
      <c r="C257" s="14">
        <v>11587</v>
      </c>
      <c r="D257" s="314" t="s">
        <v>714</v>
      </c>
      <c r="E257" s="148" t="s">
        <v>9</v>
      </c>
      <c r="F257" s="137">
        <v>107.79000000000002</v>
      </c>
      <c r="G257" s="137">
        <v>59.97</v>
      </c>
      <c r="H257" s="137">
        <f>ROUND(G257*(1+$L$4),2)</f>
        <v>75.88</v>
      </c>
      <c r="I257" s="138">
        <f>TRUNC(F257*H257,2)</f>
        <v>8179.1</v>
      </c>
      <c r="J257" s="167"/>
      <c r="K257" s="111"/>
      <c r="L257" s="111"/>
      <c r="M257" s="111"/>
      <c r="N257" s="111"/>
      <c r="O257" s="111"/>
      <c r="P257" s="111"/>
      <c r="Q257" s="111"/>
    </row>
    <row r="258" spans="1:17" s="118" customFormat="1" x14ac:dyDescent="0.2">
      <c r="A258" s="148"/>
      <c r="B258" s="148"/>
      <c r="C258" s="14"/>
      <c r="D258" s="314"/>
      <c r="E258" s="148"/>
      <c r="F258" s="137"/>
      <c r="G258" s="137"/>
      <c r="H258" s="137"/>
      <c r="I258" s="138"/>
      <c r="J258" s="167"/>
      <c r="K258" s="111"/>
      <c r="L258" s="111"/>
      <c r="M258" s="111"/>
      <c r="N258" s="111"/>
      <c r="O258" s="111"/>
      <c r="P258" s="111"/>
      <c r="Q258" s="111"/>
    </row>
    <row r="259" spans="1:17" s="241" customFormat="1" ht="13.2" x14ac:dyDescent="0.25">
      <c r="A259" s="236" t="s">
        <v>230</v>
      </c>
      <c r="B259" s="236"/>
      <c r="C259" s="237"/>
      <c r="D259" s="289" t="s">
        <v>223</v>
      </c>
      <c r="E259" s="236"/>
      <c r="F259" s="238"/>
      <c r="G259" s="238"/>
      <c r="H259" s="238"/>
      <c r="I259" s="239" t="e">
        <f>I260+I266+I269+I273+I271</f>
        <v>#VALUE!</v>
      </c>
      <c r="J259" s="284" t="e">
        <f>I259/$I$476</f>
        <v>#VALUE!</v>
      </c>
      <c r="K259" s="240"/>
      <c r="L259" s="240"/>
      <c r="M259" s="240"/>
      <c r="N259" s="240"/>
      <c r="O259" s="240"/>
      <c r="P259" s="240"/>
      <c r="Q259" s="240"/>
    </row>
    <row r="260" spans="1:17" s="145" customFormat="1" x14ac:dyDescent="0.2">
      <c r="A260" s="140" t="s">
        <v>438</v>
      </c>
      <c r="B260" s="140"/>
      <c r="C260" s="141"/>
      <c r="D260" s="112" t="s">
        <v>30</v>
      </c>
      <c r="E260" s="140"/>
      <c r="F260" s="142"/>
      <c r="G260" s="142"/>
      <c r="H260" s="142"/>
      <c r="I260" s="143" t="e">
        <f>SUM(I261:I265)</f>
        <v>#VALUE!</v>
      </c>
      <c r="J260" s="285"/>
      <c r="K260" s="144"/>
      <c r="L260" s="144"/>
      <c r="M260" s="144"/>
      <c r="N260" s="144"/>
      <c r="O260" s="144"/>
      <c r="P260" s="144"/>
      <c r="Q260" s="144"/>
    </row>
    <row r="261" spans="1:17" s="118" customFormat="1" ht="30.6" x14ac:dyDescent="0.2">
      <c r="A261" s="148" t="s">
        <v>440</v>
      </c>
      <c r="B261" s="148" t="s">
        <v>163</v>
      </c>
      <c r="C261" s="14" t="s">
        <v>240</v>
      </c>
      <c r="D261" s="314" t="s">
        <v>241</v>
      </c>
      <c r="E261" s="148" t="s">
        <v>31</v>
      </c>
      <c r="F261" s="137">
        <v>4</v>
      </c>
      <c r="G261" s="137">
        <v>73.44</v>
      </c>
      <c r="H261" s="137">
        <f>ROUND(G261*(1+$L$4),2)</f>
        <v>92.92</v>
      </c>
      <c r="I261" s="138">
        <f>TRUNC(F261*H261,2)</f>
        <v>371.68</v>
      </c>
      <c r="J261" s="167"/>
      <c r="K261" s="111"/>
      <c r="L261" s="111"/>
      <c r="M261" s="111"/>
      <c r="N261" s="111"/>
      <c r="O261" s="111"/>
      <c r="P261" s="111"/>
      <c r="Q261" s="111"/>
    </row>
    <row r="262" spans="1:17" s="118" customFormat="1" ht="51" x14ac:dyDescent="0.2">
      <c r="A262" s="148" t="s">
        <v>439</v>
      </c>
      <c r="B262" s="148" t="s">
        <v>179</v>
      </c>
      <c r="C262" s="14" t="s">
        <v>417</v>
      </c>
      <c r="D262" s="314" t="s">
        <v>561</v>
      </c>
      <c r="E262" s="148" t="s">
        <v>31</v>
      </c>
      <c r="F262" s="137">
        <v>14</v>
      </c>
      <c r="G262" s="137" t="e">
        <f>'COMPOSICOES - SINAPI COM DESON'!G36</f>
        <v>#VALUE!</v>
      </c>
      <c r="H262" s="137" t="e">
        <f>ROUND(G262*(1+$L$4),2)</f>
        <v>#VALUE!</v>
      </c>
      <c r="I262" s="138" t="e">
        <f>TRUNC(F262*H262,2)</f>
        <v>#VALUE!</v>
      </c>
      <c r="J262" s="167"/>
      <c r="K262" s="111"/>
      <c r="L262" s="111"/>
      <c r="M262" s="111"/>
      <c r="N262" s="111"/>
      <c r="O262" s="111"/>
      <c r="P262" s="111"/>
      <c r="Q262" s="111"/>
    </row>
    <row r="263" spans="1:17" s="118" customFormat="1" ht="30.6" x14ac:dyDescent="0.2">
      <c r="A263" s="148" t="s">
        <v>448</v>
      </c>
      <c r="B263" s="148" t="s">
        <v>179</v>
      </c>
      <c r="C263" s="14" t="s">
        <v>672</v>
      </c>
      <c r="D263" s="314" t="s">
        <v>567</v>
      </c>
      <c r="E263" s="148" t="s">
        <v>33</v>
      </c>
      <c r="F263" s="137">
        <v>10</v>
      </c>
      <c r="G263" s="137">
        <f>'COMPOSICOES - SINAPI COM DESON'!G50</f>
        <v>104.48</v>
      </c>
      <c r="H263" s="137">
        <f>ROUND(G263*(1+$L$4),2)</f>
        <v>132.19999999999999</v>
      </c>
      <c r="I263" s="138">
        <f>TRUNC(F263*H263,2)</f>
        <v>1322</v>
      </c>
      <c r="J263" s="167"/>
      <c r="K263" s="111"/>
      <c r="L263" s="111"/>
      <c r="M263" s="111"/>
      <c r="N263" s="111"/>
      <c r="O263" s="111"/>
      <c r="P263" s="111"/>
      <c r="Q263" s="111"/>
    </row>
    <row r="264" spans="1:17" s="118" customFormat="1" ht="40.799999999999997" x14ac:dyDescent="0.2">
      <c r="A264" s="148" t="s">
        <v>449</v>
      </c>
      <c r="B264" s="148" t="s">
        <v>163</v>
      </c>
      <c r="C264" s="14" t="s">
        <v>288</v>
      </c>
      <c r="D264" s="314" t="s">
        <v>289</v>
      </c>
      <c r="E264" s="148" t="s">
        <v>33</v>
      </c>
      <c r="F264" s="137">
        <v>1</v>
      </c>
      <c r="G264" s="137">
        <v>54</v>
      </c>
      <c r="H264" s="137">
        <f>ROUND(G264*(1+$L$4),2)</f>
        <v>68.33</v>
      </c>
      <c r="I264" s="138">
        <f>TRUNC(F264*H264,2)</f>
        <v>68.33</v>
      </c>
      <c r="J264" s="167"/>
      <c r="K264" s="111"/>
      <c r="L264" s="111"/>
      <c r="M264" s="111"/>
      <c r="N264" s="111"/>
      <c r="O264" s="111"/>
      <c r="P264" s="111"/>
      <c r="Q264" s="111"/>
    </row>
    <row r="265" spans="1:17" s="118" customFormat="1" ht="30.6" x14ac:dyDescent="0.2">
      <c r="A265" s="148" t="s">
        <v>828</v>
      </c>
      <c r="B265" s="148" t="s">
        <v>163</v>
      </c>
      <c r="C265" s="14" t="s">
        <v>190</v>
      </c>
      <c r="D265" s="314" t="s">
        <v>290</v>
      </c>
      <c r="E265" s="148" t="s">
        <v>33</v>
      </c>
      <c r="F265" s="137">
        <v>3</v>
      </c>
      <c r="G265" s="137">
        <v>14.55</v>
      </c>
      <c r="H265" s="137">
        <f>ROUND(G265*(1+$L$4),2)</f>
        <v>18.41</v>
      </c>
      <c r="I265" s="138">
        <f>TRUNC(F265*H265,2)</f>
        <v>55.23</v>
      </c>
      <c r="J265" s="167"/>
      <c r="K265" s="111"/>
      <c r="L265" s="111"/>
      <c r="M265" s="111"/>
      <c r="N265" s="111"/>
      <c r="O265" s="111"/>
      <c r="P265" s="111"/>
      <c r="Q265" s="111"/>
    </row>
    <row r="266" spans="1:17" s="145" customFormat="1" x14ac:dyDescent="0.2">
      <c r="A266" s="140" t="s">
        <v>450</v>
      </c>
      <c r="B266" s="140"/>
      <c r="C266" s="141"/>
      <c r="D266" s="112" t="s">
        <v>211</v>
      </c>
      <c r="E266" s="140"/>
      <c r="F266" s="142"/>
      <c r="G266" s="142"/>
      <c r="H266" s="142"/>
      <c r="I266" s="143">
        <f>SUM(I267:I268)</f>
        <v>204.86</v>
      </c>
      <c r="J266" s="285"/>
      <c r="K266" s="144"/>
      <c r="L266" s="144"/>
      <c r="M266" s="144"/>
      <c r="N266" s="144"/>
      <c r="O266" s="144"/>
      <c r="P266" s="144"/>
      <c r="Q266" s="144"/>
    </row>
    <row r="267" spans="1:17" s="118" customFormat="1" ht="30.6" x14ac:dyDescent="0.2">
      <c r="A267" s="148" t="s">
        <v>451</v>
      </c>
      <c r="B267" s="148" t="s">
        <v>163</v>
      </c>
      <c r="C267" s="14" t="s">
        <v>249</v>
      </c>
      <c r="D267" s="314" t="s">
        <v>250</v>
      </c>
      <c r="E267" s="148" t="s">
        <v>33</v>
      </c>
      <c r="F267" s="137">
        <v>1</v>
      </c>
      <c r="G267" s="137">
        <v>116.1</v>
      </c>
      <c r="H267" s="137">
        <f>ROUND(G267*(1+$L$4),2)</f>
        <v>146.9</v>
      </c>
      <c r="I267" s="138">
        <f>TRUNC(F267*H267,2)</f>
        <v>146.9</v>
      </c>
      <c r="J267" s="167"/>
      <c r="K267" s="111"/>
      <c r="L267" s="111"/>
      <c r="M267" s="111"/>
      <c r="N267" s="111"/>
      <c r="O267" s="111"/>
      <c r="P267" s="111"/>
      <c r="Q267" s="111"/>
    </row>
    <row r="268" spans="1:17" s="118" customFormat="1" x14ac:dyDescent="0.2">
      <c r="A268" s="148" t="s">
        <v>452</v>
      </c>
      <c r="B268" s="148" t="s">
        <v>89</v>
      </c>
      <c r="C268" s="14" t="s">
        <v>334</v>
      </c>
      <c r="D268" s="314" t="s">
        <v>335</v>
      </c>
      <c r="E268" s="148" t="s">
        <v>33</v>
      </c>
      <c r="F268" s="137">
        <v>2</v>
      </c>
      <c r="G268" s="137">
        <v>22.9</v>
      </c>
      <c r="H268" s="137">
        <f>ROUND(G268*(1+$L$4),2)</f>
        <v>28.98</v>
      </c>
      <c r="I268" s="138">
        <f>TRUNC(F268*H268,2)</f>
        <v>57.96</v>
      </c>
      <c r="J268" s="167"/>
      <c r="K268" s="111"/>
      <c r="L268" s="111"/>
      <c r="M268" s="111"/>
      <c r="N268" s="111"/>
      <c r="O268" s="111"/>
      <c r="P268" s="111"/>
      <c r="Q268" s="111"/>
    </row>
    <row r="269" spans="1:17" s="145" customFormat="1" x14ac:dyDescent="0.2">
      <c r="A269" s="140" t="s">
        <v>453</v>
      </c>
      <c r="B269" s="140"/>
      <c r="C269" s="141"/>
      <c r="D269" s="112" t="s">
        <v>28</v>
      </c>
      <c r="E269" s="140"/>
      <c r="F269" s="142"/>
      <c r="G269" s="142"/>
      <c r="H269" s="142"/>
      <c r="I269" s="143">
        <f>SUM(I270)</f>
        <v>1222.33</v>
      </c>
      <c r="J269" s="285"/>
      <c r="K269" s="144"/>
      <c r="L269" s="144"/>
      <c r="M269" s="144"/>
      <c r="N269" s="144"/>
      <c r="O269" s="144"/>
      <c r="P269" s="144"/>
      <c r="Q269" s="144"/>
    </row>
    <row r="270" spans="1:17" s="118" customFormat="1" ht="30.6" x14ac:dyDescent="0.2">
      <c r="A270" s="148" t="s">
        <v>454</v>
      </c>
      <c r="B270" s="148" t="s">
        <v>163</v>
      </c>
      <c r="C270" s="14" t="s">
        <v>263</v>
      </c>
      <c r="D270" s="314" t="s">
        <v>264</v>
      </c>
      <c r="E270" s="148" t="s">
        <v>33</v>
      </c>
      <c r="F270" s="137">
        <v>3.36</v>
      </c>
      <c r="G270" s="137">
        <v>287.51</v>
      </c>
      <c r="H270" s="137">
        <f>ROUND(G270*(1+$L$4),2)</f>
        <v>363.79</v>
      </c>
      <c r="I270" s="138">
        <f>TRUNC(F270*H270,2)</f>
        <v>1222.33</v>
      </c>
      <c r="J270" s="167"/>
      <c r="K270" s="111"/>
      <c r="L270" s="111"/>
      <c r="M270" s="111"/>
      <c r="N270" s="111"/>
      <c r="O270" s="111"/>
      <c r="P270" s="111"/>
      <c r="Q270" s="111"/>
    </row>
    <row r="271" spans="1:17" s="145" customFormat="1" x14ac:dyDescent="0.2">
      <c r="A271" s="140" t="s">
        <v>455</v>
      </c>
      <c r="B271" s="140"/>
      <c r="C271" s="141"/>
      <c r="D271" s="112" t="s">
        <v>29</v>
      </c>
      <c r="E271" s="140"/>
      <c r="F271" s="142"/>
      <c r="G271" s="142"/>
      <c r="H271" s="142"/>
      <c r="I271" s="143">
        <f>SUM(I272:I272)</f>
        <v>114.1</v>
      </c>
      <c r="J271" s="285"/>
      <c r="K271" s="144"/>
      <c r="L271" s="144"/>
      <c r="M271" s="144"/>
      <c r="N271" s="144"/>
      <c r="O271" s="144"/>
      <c r="P271" s="144"/>
      <c r="Q271" s="144"/>
    </row>
    <row r="272" spans="1:17" s="118" customFormat="1" ht="40.799999999999997" x14ac:dyDescent="0.2">
      <c r="A272" s="148" t="s">
        <v>456</v>
      </c>
      <c r="B272" s="148" t="s">
        <v>163</v>
      </c>
      <c r="C272" s="14" t="s">
        <v>176</v>
      </c>
      <c r="D272" s="314" t="s">
        <v>269</v>
      </c>
      <c r="E272" s="148" t="s">
        <v>9</v>
      </c>
      <c r="F272" s="137">
        <v>6.72</v>
      </c>
      <c r="G272" s="137">
        <v>13.42</v>
      </c>
      <c r="H272" s="137">
        <f>ROUND(G272*(1+$L$4),2)</f>
        <v>16.98</v>
      </c>
      <c r="I272" s="138">
        <f>TRUNC(F272*H272,2)</f>
        <v>114.1</v>
      </c>
      <c r="J272" s="167"/>
      <c r="K272" s="111"/>
      <c r="L272" s="111"/>
      <c r="M272" s="111"/>
      <c r="N272" s="111"/>
      <c r="O272" s="111"/>
      <c r="P272" s="111"/>
      <c r="Q272" s="111"/>
    </row>
    <row r="273" spans="1:17" s="145" customFormat="1" x14ac:dyDescent="0.2">
      <c r="A273" s="140" t="s">
        <v>457</v>
      </c>
      <c r="B273" s="140"/>
      <c r="C273" s="141"/>
      <c r="D273" s="112" t="s">
        <v>80</v>
      </c>
      <c r="E273" s="140"/>
      <c r="F273" s="142"/>
      <c r="G273" s="142"/>
      <c r="H273" s="142"/>
      <c r="I273" s="143">
        <f>SUM(I274:I274)</f>
        <v>2447.7800000000002</v>
      </c>
      <c r="J273" s="285"/>
      <c r="K273" s="144"/>
      <c r="L273" s="144"/>
      <c r="M273" s="144"/>
      <c r="N273" s="144"/>
      <c r="O273" s="144"/>
      <c r="P273" s="144"/>
      <c r="Q273" s="144"/>
    </row>
    <row r="274" spans="1:17" s="118" customFormat="1" x14ac:dyDescent="0.2">
      <c r="A274" s="148" t="s">
        <v>458</v>
      </c>
      <c r="B274" s="148" t="s">
        <v>179</v>
      </c>
      <c r="C274" s="14" t="s">
        <v>180</v>
      </c>
      <c r="D274" s="314" t="s">
        <v>77</v>
      </c>
      <c r="E274" s="148" t="s">
        <v>9</v>
      </c>
      <c r="F274" s="137">
        <v>333.94</v>
      </c>
      <c r="G274" s="137">
        <f>'COMPOSICOES - SINAPI COM DESON'!G18</f>
        <v>5.79</v>
      </c>
      <c r="H274" s="137">
        <f>ROUND(G274*(1+$L$4),2)</f>
        <v>7.33</v>
      </c>
      <c r="I274" s="138">
        <f>TRUNC(F274*H274,2)</f>
        <v>2447.7800000000002</v>
      </c>
      <c r="J274" s="167"/>
      <c r="K274" s="111"/>
      <c r="L274" s="111"/>
      <c r="M274" s="111"/>
      <c r="N274" s="111"/>
      <c r="O274" s="111"/>
      <c r="P274" s="111"/>
      <c r="Q274" s="111"/>
    </row>
    <row r="275" spans="1:17" s="118" customFormat="1" x14ac:dyDescent="0.2">
      <c r="A275" s="148"/>
      <c r="B275" s="148"/>
      <c r="C275" s="14"/>
      <c r="D275" s="314"/>
      <c r="E275" s="148"/>
      <c r="F275" s="137"/>
      <c r="G275" s="137"/>
      <c r="H275" s="137"/>
      <c r="I275" s="138"/>
      <c r="J275" s="167"/>
      <c r="K275" s="111"/>
      <c r="L275" s="111"/>
      <c r="M275" s="111"/>
      <c r="N275" s="111"/>
      <c r="O275" s="111"/>
      <c r="P275" s="111"/>
      <c r="Q275" s="111"/>
    </row>
    <row r="276" spans="1:17" s="241" customFormat="1" ht="13.2" x14ac:dyDescent="0.25">
      <c r="A276" s="236" t="s">
        <v>231</v>
      </c>
      <c r="B276" s="236"/>
      <c r="C276" s="237"/>
      <c r="D276" s="289" t="s">
        <v>224</v>
      </c>
      <c r="E276" s="236"/>
      <c r="F276" s="238"/>
      <c r="G276" s="238"/>
      <c r="H276" s="238"/>
      <c r="I276" s="239" t="e">
        <f>I277+I286+I288+I290+I292+I297+I301</f>
        <v>#VALUE!</v>
      </c>
      <c r="J276" s="284" t="e">
        <f>I276/$I$476</f>
        <v>#VALUE!</v>
      </c>
      <c r="K276" s="240"/>
      <c r="L276" s="240"/>
      <c r="M276" s="240"/>
      <c r="N276" s="240"/>
      <c r="O276" s="240"/>
      <c r="P276" s="240"/>
      <c r="Q276" s="240"/>
    </row>
    <row r="277" spans="1:17" s="145" customFormat="1" x14ac:dyDescent="0.2">
      <c r="A277" s="140" t="s">
        <v>336</v>
      </c>
      <c r="B277" s="140"/>
      <c r="C277" s="141"/>
      <c r="D277" s="112" t="s">
        <v>30</v>
      </c>
      <c r="E277" s="140"/>
      <c r="F277" s="142"/>
      <c r="G277" s="142"/>
      <c r="H277" s="142"/>
      <c r="I277" s="143" t="e">
        <f>SUM(I278:I285)</f>
        <v>#VALUE!</v>
      </c>
      <c r="J277" s="285"/>
      <c r="K277" s="144"/>
      <c r="L277" s="144"/>
      <c r="M277" s="144"/>
      <c r="N277" s="144"/>
      <c r="O277" s="144"/>
      <c r="P277" s="144"/>
      <c r="Q277" s="144"/>
    </row>
    <row r="278" spans="1:17" s="118" customFormat="1" ht="51" x14ac:dyDescent="0.2">
      <c r="A278" s="148" t="s">
        <v>337</v>
      </c>
      <c r="B278" s="148" t="s">
        <v>179</v>
      </c>
      <c r="C278" s="14" t="s">
        <v>417</v>
      </c>
      <c r="D278" s="314" t="s">
        <v>561</v>
      </c>
      <c r="E278" s="148" t="s">
        <v>31</v>
      </c>
      <c r="F278" s="137">
        <v>9</v>
      </c>
      <c r="G278" s="137" t="e">
        <f>'COMPOSICOES - SINAPI COM DESON'!G36</f>
        <v>#VALUE!</v>
      </c>
      <c r="H278" s="137" t="e">
        <f t="shared" ref="H278:H285" si="24">ROUND(G278*(1+$L$4),2)</f>
        <v>#VALUE!</v>
      </c>
      <c r="I278" s="138" t="e">
        <f t="shared" ref="I278:I285" si="25">TRUNC(F278*H278,2)</f>
        <v>#VALUE!</v>
      </c>
      <c r="J278" s="167"/>
      <c r="K278" s="111"/>
      <c r="L278" s="111"/>
      <c r="M278" s="111"/>
      <c r="N278" s="111"/>
      <c r="O278" s="111"/>
      <c r="P278" s="111"/>
      <c r="Q278" s="111"/>
    </row>
    <row r="279" spans="1:17" s="118" customFormat="1" ht="40.799999999999997" x14ac:dyDescent="0.2">
      <c r="A279" s="148" t="s">
        <v>338</v>
      </c>
      <c r="B279" s="148" t="s">
        <v>89</v>
      </c>
      <c r="C279" s="14">
        <v>93144</v>
      </c>
      <c r="D279" s="314" t="s">
        <v>295</v>
      </c>
      <c r="E279" s="148" t="s">
        <v>33</v>
      </c>
      <c r="F279" s="137">
        <v>6</v>
      </c>
      <c r="G279" s="137">
        <v>166.81</v>
      </c>
      <c r="H279" s="137">
        <f t="shared" si="24"/>
        <v>211.06</v>
      </c>
      <c r="I279" s="138">
        <f t="shared" si="25"/>
        <v>1266.3599999999999</v>
      </c>
      <c r="J279" s="167"/>
      <c r="K279" s="111"/>
      <c r="L279" s="111"/>
      <c r="M279" s="111"/>
      <c r="N279" s="111"/>
      <c r="O279" s="111"/>
      <c r="P279" s="111"/>
      <c r="Q279" s="111"/>
    </row>
    <row r="280" spans="1:17" s="118" customFormat="1" ht="40.799999999999997" x14ac:dyDescent="0.2">
      <c r="A280" s="148" t="s">
        <v>339</v>
      </c>
      <c r="B280" s="148" t="s">
        <v>163</v>
      </c>
      <c r="C280" s="14" t="s">
        <v>192</v>
      </c>
      <c r="D280" s="314" t="s">
        <v>712</v>
      </c>
      <c r="E280" s="148" t="s">
        <v>31</v>
      </c>
      <c r="F280" s="137">
        <v>6</v>
      </c>
      <c r="G280" s="137">
        <v>46.44</v>
      </c>
      <c r="H280" s="137">
        <f t="shared" si="24"/>
        <v>58.76</v>
      </c>
      <c r="I280" s="138">
        <f t="shared" si="25"/>
        <v>352.56</v>
      </c>
      <c r="J280" s="167"/>
      <c r="K280" s="111"/>
      <c r="L280" s="111"/>
      <c r="M280" s="111"/>
      <c r="N280" s="111"/>
      <c r="O280" s="111"/>
      <c r="P280" s="111"/>
      <c r="Q280" s="111"/>
    </row>
    <row r="281" spans="1:17" s="118" customFormat="1" ht="20.399999999999999" x14ac:dyDescent="0.2">
      <c r="A281" s="148" t="s">
        <v>837</v>
      </c>
      <c r="B281" s="148" t="s">
        <v>89</v>
      </c>
      <c r="C281" s="14">
        <v>83469</v>
      </c>
      <c r="D281" s="314" t="s">
        <v>308</v>
      </c>
      <c r="E281" s="148" t="s">
        <v>33</v>
      </c>
      <c r="F281" s="137">
        <v>3</v>
      </c>
      <c r="G281" s="137">
        <v>8.1300000000000008</v>
      </c>
      <c r="H281" s="137">
        <f t="shared" si="24"/>
        <v>10.29</v>
      </c>
      <c r="I281" s="138">
        <f t="shared" si="25"/>
        <v>30.87</v>
      </c>
      <c r="J281" s="167"/>
      <c r="K281" s="111"/>
      <c r="L281" s="111"/>
      <c r="M281" s="111"/>
      <c r="N281" s="111"/>
      <c r="O281" s="111"/>
      <c r="P281" s="111"/>
      <c r="Q281" s="111"/>
    </row>
    <row r="282" spans="1:17" s="118" customFormat="1" ht="30.6" x14ac:dyDescent="0.2">
      <c r="A282" s="148" t="s">
        <v>838</v>
      </c>
      <c r="B282" s="148" t="s">
        <v>163</v>
      </c>
      <c r="C282" s="14" t="s">
        <v>240</v>
      </c>
      <c r="D282" s="314" t="s">
        <v>403</v>
      </c>
      <c r="E282" s="148" t="s">
        <v>31</v>
      </c>
      <c r="F282" s="137">
        <v>2</v>
      </c>
      <c r="G282" s="137">
        <v>73.44</v>
      </c>
      <c r="H282" s="137">
        <f t="shared" si="24"/>
        <v>92.92</v>
      </c>
      <c r="I282" s="138">
        <f t="shared" si="25"/>
        <v>185.84</v>
      </c>
      <c r="J282" s="167"/>
      <c r="K282" s="111"/>
      <c r="L282" s="111"/>
      <c r="M282" s="111"/>
      <c r="N282" s="111"/>
      <c r="O282" s="111"/>
      <c r="P282" s="111"/>
      <c r="Q282" s="111"/>
    </row>
    <row r="283" spans="1:17" s="118" customFormat="1" ht="30.6" x14ac:dyDescent="0.2">
      <c r="A283" s="148" t="s">
        <v>839</v>
      </c>
      <c r="B283" s="148" t="s">
        <v>179</v>
      </c>
      <c r="C283" s="14" t="s">
        <v>672</v>
      </c>
      <c r="D283" s="314" t="s">
        <v>567</v>
      </c>
      <c r="E283" s="148" t="s">
        <v>33</v>
      </c>
      <c r="F283" s="137">
        <v>2</v>
      </c>
      <c r="G283" s="137" t="e">
        <f>'COMPOSICOES - SINAPI COM DESON'!G36</f>
        <v>#VALUE!</v>
      </c>
      <c r="H283" s="137" t="e">
        <f t="shared" si="24"/>
        <v>#VALUE!</v>
      </c>
      <c r="I283" s="138" t="e">
        <f t="shared" si="25"/>
        <v>#VALUE!</v>
      </c>
      <c r="J283" s="167"/>
      <c r="K283" s="111"/>
      <c r="L283" s="111"/>
      <c r="M283" s="111"/>
      <c r="N283" s="111"/>
      <c r="O283" s="111"/>
      <c r="P283" s="111"/>
      <c r="Q283" s="111"/>
    </row>
    <row r="284" spans="1:17" s="118" customFormat="1" ht="40.799999999999997" x14ac:dyDescent="0.2">
      <c r="A284" s="148" t="s">
        <v>840</v>
      </c>
      <c r="B284" s="148" t="s">
        <v>163</v>
      </c>
      <c r="C284" s="14" t="s">
        <v>188</v>
      </c>
      <c r="D284" s="314" t="s">
        <v>719</v>
      </c>
      <c r="E284" s="148" t="s">
        <v>33</v>
      </c>
      <c r="F284" s="137">
        <v>1</v>
      </c>
      <c r="G284" s="137">
        <v>65.69</v>
      </c>
      <c r="H284" s="137">
        <f t="shared" si="24"/>
        <v>83.12</v>
      </c>
      <c r="I284" s="138">
        <f t="shared" si="25"/>
        <v>83.12</v>
      </c>
      <c r="J284" s="167"/>
      <c r="K284" s="111"/>
      <c r="L284" s="111"/>
      <c r="M284" s="111"/>
      <c r="N284" s="111"/>
      <c r="O284" s="111"/>
      <c r="P284" s="111"/>
      <c r="Q284" s="111"/>
    </row>
    <row r="285" spans="1:17" s="118" customFormat="1" ht="30.6" x14ac:dyDescent="0.2">
      <c r="A285" s="148" t="s">
        <v>841</v>
      </c>
      <c r="B285" s="148" t="s">
        <v>163</v>
      </c>
      <c r="C285" s="14" t="s">
        <v>190</v>
      </c>
      <c r="D285" s="314" t="s">
        <v>290</v>
      </c>
      <c r="E285" s="148" t="s">
        <v>33</v>
      </c>
      <c r="F285" s="137">
        <v>6</v>
      </c>
      <c r="G285" s="137">
        <v>14.55</v>
      </c>
      <c r="H285" s="137">
        <f t="shared" si="24"/>
        <v>18.41</v>
      </c>
      <c r="I285" s="138">
        <f t="shared" si="25"/>
        <v>110.46</v>
      </c>
      <c r="J285" s="167"/>
      <c r="K285" s="111"/>
      <c r="L285" s="111"/>
      <c r="M285" s="111"/>
      <c r="N285" s="111"/>
      <c r="O285" s="111"/>
      <c r="P285" s="111"/>
      <c r="Q285" s="111"/>
    </row>
    <row r="286" spans="1:17" s="145" customFormat="1" x14ac:dyDescent="0.2">
      <c r="A286" s="140" t="s">
        <v>340</v>
      </c>
      <c r="B286" s="140"/>
      <c r="C286" s="141"/>
      <c r="D286" s="112" t="s">
        <v>211</v>
      </c>
      <c r="E286" s="140"/>
      <c r="F286" s="142"/>
      <c r="G286" s="142"/>
      <c r="H286" s="142"/>
      <c r="I286" s="143">
        <f>SUM(I287:I287)</f>
        <v>213.51</v>
      </c>
      <c r="J286" s="285"/>
      <c r="K286" s="144"/>
      <c r="L286" s="144"/>
      <c r="M286" s="144"/>
      <c r="N286" s="144"/>
      <c r="O286" s="144"/>
      <c r="P286" s="144"/>
      <c r="Q286" s="144"/>
    </row>
    <row r="287" spans="1:17" s="118" customFormat="1" ht="51" x14ac:dyDescent="0.2">
      <c r="A287" s="148" t="s">
        <v>341</v>
      </c>
      <c r="B287" s="148" t="s">
        <v>89</v>
      </c>
      <c r="C287" s="14">
        <v>86942</v>
      </c>
      <c r="D287" s="314" t="s">
        <v>661</v>
      </c>
      <c r="E287" s="148" t="s">
        <v>33</v>
      </c>
      <c r="F287" s="137">
        <v>1</v>
      </c>
      <c r="G287" s="137">
        <v>168.74</v>
      </c>
      <c r="H287" s="137">
        <f>ROUND(G287*(1+$L$4),2)</f>
        <v>213.51</v>
      </c>
      <c r="I287" s="138">
        <f>TRUNC(F287*H287,2)</f>
        <v>213.51</v>
      </c>
      <c r="J287" s="167"/>
      <c r="K287" s="111"/>
      <c r="L287" s="111"/>
      <c r="M287" s="111"/>
      <c r="N287" s="111"/>
      <c r="O287" s="111"/>
      <c r="P287" s="111"/>
      <c r="Q287" s="111"/>
    </row>
    <row r="288" spans="1:17" s="145" customFormat="1" x14ac:dyDescent="0.2">
      <c r="A288" s="140" t="s">
        <v>342</v>
      </c>
      <c r="B288" s="140"/>
      <c r="C288" s="141"/>
      <c r="D288" s="112" t="s">
        <v>28</v>
      </c>
      <c r="E288" s="140"/>
      <c r="F288" s="142"/>
      <c r="G288" s="142"/>
      <c r="H288" s="142"/>
      <c r="I288" s="143">
        <f>SUM(I289:I289)</f>
        <v>2368.27</v>
      </c>
      <c r="J288" s="285"/>
      <c r="K288" s="144"/>
      <c r="L288" s="144"/>
      <c r="M288" s="144"/>
      <c r="N288" s="144"/>
      <c r="O288" s="144"/>
      <c r="P288" s="144"/>
      <c r="Q288" s="144"/>
    </row>
    <row r="289" spans="1:17" s="118" customFormat="1" ht="30.6" x14ac:dyDescent="0.2">
      <c r="A289" s="148" t="s">
        <v>343</v>
      </c>
      <c r="B289" s="148" t="s">
        <v>163</v>
      </c>
      <c r="C289" s="14" t="s">
        <v>263</v>
      </c>
      <c r="D289" s="314" t="s">
        <v>423</v>
      </c>
      <c r="E289" s="148" t="s">
        <v>9</v>
      </c>
      <c r="F289" s="137">
        <v>6.51</v>
      </c>
      <c r="G289" s="137">
        <v>287.51</v>
      </c>
      <c r="H289" s="137">
        <f>ROUND(G289*(1+$L$4),2)</f>
        <v>363.79</v>
      </c>
      <c r="I289" s="138">
        <f>TRUNC(F289*H289,2)</f>
        <v>2368.27</v>
      </c>
      <c r="J289" s="167"/>
      <c r="K289" s="111"/>
      <c r="L289" s="111"/>
      <c r="M289" s="111"/>
      <c r="N289" s="111"/>
      <c r="O289" s="111"/>
      <c r="P289" s="111"/>
      <c r="Q289" s="111"/>
    </row>
    <row r="290" spans="1:17" s="145" customFormat="1" x14ac:dyDescent="0.2">
      <c r="A290" s="140" t="s">
        <v>344</v>
      </c>
      <c r="B290" s="140"/>
      <c r="C290" s="141"/>
      <c r="D290" s="112" t="s">
        <v>29</v>
      </c>
      <c r="E290" s="140"/>
      <c r="F290" s="142"/>
      <c r="G290" s="142"/>
      <c r="H290" s="142"/>
      <c r="I290" s="143">
        <f>SUM(I291:I291)</f>
        <v>221.07</v>
      </c>
      <c r="J290" s="285"/>
      <c r="K290" s="144"/>
      <c r="L290" s="144"/>
      <c r="M290" s="144"/>
      <c r="N290" s="144"/>
      <c r="O290" s="144"/>
      <c r="P290" s="144"/>
      <c r="Q290" s="144"/>
    </row>
    <row r="291" spans="1:17" s="118" customFormat="1" ht="40.799999999999997" x14ac:dyDescent="0.2">
      <c r="A291" s="148" t="s">
        <v>637</v>
      </c>
      <c r="B291" s="148" t="s">
        <v>163</v>
      </c>
      <c r="C291" s="14" t="s">
        <v>176</v>
      </c>
      <c r="D291" s="314" t="s">
        <v>269</v>
      </c>
      <c r="E291" s="148" t="s">
        <v>9</v>
      </c>
      <c r="F291" s="137">
        <v>13.02</v>
      </c>
      <c r="G291" s="137">
        <v>13.42</v>
      </c>
      <c r="H291" s="137">
        <f>ROUND(G291*(1+$L$4),2)</f>
        <v>16.98</v>
      </c>
      <c r="I291" s="138">
        <f>TRUNC(F291*H291,2)</f>
        <v>221.07</v>
      </c>
      <c r="J291" s="167"/>
      <c r="K291" s="111"/>
      <c r="L291" s="111"/>
      <c r="M291" s="111"/>
      <c r="N291" s="111"/>
      <c r="O291" s="111"/>
      <c r="P291" s="111"/>
      <c r="Q291" s="111"/>
    </row>
    <row r="292" spans="1:17" s="145" customFormat="1" x14ac:dyDescent="0.2">
      <c r="A292" s="140" t="s">
        <v>638</v>
      </c>
      <c r="B292" s="140"/>
      <c r="C292" s="141"/>
      <c r="D292" s="112" t="s">
        <v>80</v>
      </c>
      <c r="E292" s="140"/>
      <c r="F292" s="142"/>
      <c r="G292" s="142"/>
      <c r="H292" s="142"/>
      <c r="I292" s="143">
        <f>SUM(I293:I296)</f>
        <v>22104.58</v>
      </c>
      <c r="J292" s="285"/>
      <c r="K292" s="144"/>
      <c r="L292" s="144"/>
      <c r="M292" s="144"/>
      <c r="N292" s="144"/>
      <c r="O292" s="144"/>
      <c r="P292" s="144"/>
      <c r="Q292" s="144"/>
    </row>
    <row r="293" spans="1:17" s="118" customFormat="1" ht="30.6" x14ac:dyDescent="0.2">
      <c r="A293" s="148" t="s">
        <v>639</v>
      </c>
      <c r="B293" s="148" t="s">
        <v>89</v>
      </c>
      <c r="C293" s="14">
        <v>11587</v>
      </c>
      <c r="D293" s="314" t="s">
        <v>714</v>
      </c>
      <c r="E293" s="148" t="s">
        <v>9</v>
      </c>
      <c r="F293" s="137">
        <v>163</v>
      </c>
      <c r="G293" s="137">
        <v>59.97</v>
      </c>
      <c r="H293" s="137">
        <f>ROUND(G293*(1+$L$4),2)</f>
        <v>75.88</v>
      </c>
      <c r="I293" s="138">
        <f>TRUNC(F293*H293,2)</f>
        <v>12368.44</v>
      </c>
      <c r="J293" s="167"/>
      <c r="K293" s="111"/>
      <c r="L293" s="111"/>
      <c r="M293" s="111"/>
      <c r="N293" s="111"/>
      <c r="O293" s="111"/>
      <c r="P293" s="111"/>
      <c r="Q293" s="111"/>
    </row>
    <row r="294" spans="1:17" s="118" customFormat="1" x14ac:dyDescent="0.2">
      <c r="A294" s="148" t="s">
        <v>829</v>
      </c>
      <c r="B294" s="148" t="s">
        <v>179</v>
      </c>
      <c r="C294" s="14" t="s">
        <v>316</v>
      </c>
      <c r="D294" s="314" t="s">
        <v>317</v>
      </c>
      <c r="E294" s="148" t="s">
        <v>9</v>
      </c>
      <c r="F294" s="137">
        <v>224.07</v>
      </c>
      <c r="G294" s="137">
        <f>'COMPOSICOES - SINAPI COM DESON'!G18</f>
        <v>5.79</v>
      </c>
      <c r="H294" s="137">
        <f>ROUND(G294*(1+$L$4),2)</f>
        <v>7.33</v>
      </c>
      <c r="I294" s="138">
        <f>TRUNC(F294*H294,2)</f>
        <v>1642.43</v>
      </c>
      <c r="J294" s="167"/>
      <c r="K294" s="111"/>
      <c r="L294" s="111"/>
      <c r="M294" s="111"/>
      <c r="N294" s="111"/>
      <c r="O294" s="111"/>
      <c r="P294" s="111"/>
      <c r="Q294" s="111"/>
    </row>
    <row r="295" spans="1:17" s="118" customFormat="1" ht="30.6" x14ac:dyDescent="0.2">
      <c r="A295" s="148" t="s">
        <v>830</v>
      </c>
      <c r="B295" s="148" t="s">
        <v>89</v>
      </c>
      <c r="C295" s="14">
        <v>94201</v>
      </c>
      <c r="D295" s="314" t="s">
        <v>425</v>
      </c>
      <c r="E295" s="148" t="s">
        <v>9</v>
      </c>
      <c r="F295" s="137">
        <v>96.03</v>
      </c>
      <c r="G295" s="137">
        <v>35.01</v>
      </c>
      <c r="H295" s="137">
        <f>ROUND(G295*(1+$L$4),2)</f>
        <v>44.3</v>
      </c>
      <c r="I295" s="138">
        <f>TRUNC(F295*H295,2)</f>
        <v>4254.12</v>
      </c>
      <c r="J295" s="167"/>
      <c r="K295" s="111"/>
      <c r="L295" s="111"/>
      <c r="M295" s="111"/>
      <c r="N295" s="111"/>
      <c r="O295" s="111"/>
      <c r="P295" s="111"/>
      <c r="Q295" s="111"/>
    </row>
    <row r="296" spans="1:17" s="118" customFormat="1" ht="20.399999999999999" x14ac:dyDescent="0.2">
      <c r="A296" s="148" t="s">
        <v>831</v>
      </c>
      <c r="B296" s="148" t="s">
        <v>163</v>
      </c>
      <c r="C296" s="14" t="s">
        <v>185</v>
      </c>
      <c r="D296" s="314" t="s">
        <v>655</v>
      </c>
      <c r="E296" s="148"/>
      <c r="F296" s="137">
        <v>32.01</v>
      </c>
      <c r="G296" s="137">
        <v>94.8</v>
      </c>
      <c r="H296" s="137">
        <f>ROUND(G296*(1+$L$4),2)</f>
        <v>119.95</v>
      </c>
      <c r="I296" s="138">
        <f>TRUNC(F296*H296,2)</f>
        <v>3839.59</v>
      </c>
      <c r="J296" s="167"/>
      <c r="K296" s="111"/>
      <c r="L296" s="111"/>
      <c r="M296" s="111"/>
      <c r="N296" s="111"/>
      <c r="O296" s="111"/>
      <c r="P296" s="111"/>
      <c r="Q296" s="111"/>
    </row>
    <row r="297" spans="1:17" s="145" customFormat="1" x14ac:dyDescent="0.2">
      <c r="A297" s="140" t="s">
        <v>832</v>
      </c>
      <c r="B297" s="140"/>
      <c r="C297" s="141"/>
      <c r="D297" s="112" t="s">
        <v>204</v>
      </c>
      <c r="E297" s="140"/>
      <c r="F297" s="142"/>
      <c r="G297" s="142"/>
      <c r="H297" s="142"/>
      <c r="I297" s="143">
        <f>SUM(I298:I300)</f>
        <v>2902.42</v>
      </c>
      <c r="J297" s="285"/>
      <c r="K297" s="144"/>
      <c r="L297" s="144"/>
      <c r="M297" s="144"/>
      <c r="N297" s="144"/>
      <c r="O297" s="144"/>
      <c r="P297" s="144"/>
      <c r="Q297" s="144"/>
    </row>
    <row r="298" spans="1:17" s="118" customFormat="1" ht="30.6" x14ac:dyDescent="0.2">
      <c r="A298" s="148" t="s">
        <v>833</v>
      </c>
      <c r="B298" s="148" t="s">
        <v>163</v>
      </c>
      <c r="C298" s="14" t="s">
        <v>959</v>
      </c>
      <c r="D298" s="314" t="s">
        <v>508</v>
      </c>
      <c r="E298" s="148" t="s">
        <v>9</v>
      </c>
      <c r="F298" s="137">
        <v>35.130000000000003</v>
      </c>
      <c r="G298" s="137">
        <v>37.07</v>
      </c>
      <c r="H298" s="137">
        <f>ROUND(G298*(1+$L$4),2)</f>
        <v>46.9</v>
      </c>
      <c r="I298" s="138">
        <f>TRUNC(F298*H298,2)</f>
        <v>1647.59</v>
      </c>
      <c r="J298" s="167"/>
      <c r="K298" s="111"/>
      <c r="L298" s="111"/>
      <c r="M298" s="111"/>
      <c r="N298" s="111"/>
      <c r="O298" s="111"/>
      <c r="P298" s="111"/>
      <c r="Q298" s="111"/>
    </row>
    <row r="299" spans="1:17" s="118" customFormat="1" ht="20.399999999999999" x14ac:dyDescent="0.2">
      <c r="A299" s="148" t="s">
        <v>834</v>
      </c>
      <c r="B299" s="148" t="s">
        <v>163</v>
      </c>
      <c r="C299" s="14" t="s">
        <v>186</v>
      </c>
      <c r="D299" s="314" t="s">
        <v>510</v>
      </c>
      <c r="E299" s="148" t="s">
        <v>9</v>
      </c>
      <c r="F299" s="137">
        <v>35.130000000000003</v>
      </c>
      <c r="G299" s="137">
        <v>5.98</v>
      </c>
      <c r="H299" s="137">
        <f>ROUND(G299*(1+$L$4),2)</f>
        <v>7.57</v>
      </c>
      <c r="I299" s="138">
        <f>TRUNC(F299*H299,2)</f>
        <v>265.93</v>
      </c>
      <c r="J299" s="167"/>
      <c r="K299" s="111"/>
      <c r="L299" s="111"/>
      <c r="M299" s="111"/>
      <c r="N299" s="111"/>
      <c r="O299" s="111"/>
      <c r="P299" s="111"/>
      <c r="Q299" s="111"/>
    </row>
    <row r="300" spans="1:17" s="118" customFormat="1" ht="20.399999999999999" x14ac:dyDescent="0.2">
      <c r="A300" s="148" t="s">
        <v>835</v>
      </c>
      <c r="B300" s="148" t="s">
        <v>163</v>
      </c>
      <c r="C300" s="14" t="s">
        <v>173</v>
      </c>
      <c r="D300" s="314" t="s">
        <v>511</v>
      </c>
      <c r="E300" s="148" t="s">
        <v>9</v>
      </c>
      <c r="F300" s="137">
        <v>35.130000000000003</v>
      </c>
      <c r="G300" s="137">
        <v>22.25</v>
      </c>
      <c r="H300" s="137">
        <f>ROUND(G300*(1+$L$4),2)</f>
        <v>28.15</v>
      </c>
      <c r="I300" s="138">
        <f>TRUNC(F300*H300,2)</f>
        <v>988.9</v>
      </c>
      <c r="J300" s="167"/>
      <c r="K300" s="111"/>
      <c r="L300" s="111"/>
      <c r="M300" s="111"/>
      <c r="N300" s="111"/>
      <c r="O300" s="111"/>
      <c r="P300" s="111"/>
      <c r="Q300" s="111"/>
    </row>
    <row r="301" spans="1:17" s="145" customFormat="1" x14ac:dyDescent="0.2">
      <c r="A301" s="140" t="s">
        <v>836</v>
      </c>
      <c r="B301" s="140"/>
      <c r="C301" s="141"/>
      <c r="D301" s="112" t="s">
        <v>267</v>
      </c>
      <c r="E301" s="140"/>
      <c r="F301" s="142"/>
      <c r="G301" s="142"/>
      <c r="H301" s="142"/>
      <c r="I301" s="143">
        <f>SUM(I302:I310)</f>
        <v>1786.29</v>
      </c>
      <c r="J301" s="285"/>
      <c r="K301" s="144"/>
      <c r="L301" s="144"/>
      <c r="M301" s="144"/>
      <c r="N301" s="144"/>
      <c r="O301" s="144"/>
      <c r="P301" s="144"/>
      <c r="Q301" s="144"/>
    </row>
    <row r="302" spans="1:17" s="313" customFormat="1" x14ac:dyDescent="0.2">
      <c r="A302" s="6" t="s">
        <v>846</v>
      </c>
      <c r="B302" s="6"/>
      <c r="C302" s="7"/>
      <c r="D302" s="310" t="s">
        <v>845</v>
      </c>
      <c r="E302" s="6"/>
      <c r="F302" s="136"/>
      <c r="G302" s="136"/>
      <c r="H302" s="136"/>
      <c r="I302" s="199"/>
      <c r="J302" s="283"/>
      <c r="K302" s="312"/>
      <c r="L302" s="312"/>
      <c r="M302" s="312"/>
      <c r="N302" s="312"/>
      <c r="O302" s="312"/>
      <c r="P302" s="312"/>
      <c r="Q302" s="312"/>
    </row>
    <row r="303" spans="1:17" s="118" customFormat="1" ht="20.399999999999999" x14ac:dyDescent="0.2">
      <c r="A303" s="148" t="s">
        <v>847</v>
      </c>
      <c r="B303" s="148" t="s">
        <v>163</v>
      </c>
      <c r="C303" s="14" t="s">
        <v>168</v>
      </c>
      <c r="D303" s="314" t="s">
        <v>679</v>
      </c>
      <c r="E303" s="148" t="s">
        <v>42</v>
      </c>
      <c r="F303" s="137">
        <v>0.47</v>
      </c>
      <c r="G303" s="137">
        <v>18.440000000000001</v>
      </c>
      <c r="H303" s="137">
        <f>ROUND(G303*(1+$L$4),2)</f>
        <v>23.33</v>
      </c>
      <c r="I303" s="138">
        <f>TRUNC(F303*H303,2)</f>
        <v>10.96</v>
      </c>
      <c r="J303" s="167"/>
      <c r="K303" s="111"/>
      <c r="L303" s="111"/>
      <c r="M303" s="111"/>
      <c r="N303" s="111"/>
      <c r="O303" s="111"/>
      <c r="P303" s="111"/>
      <c r="Q303" s="111"/>
    </row>
    <row r="304" spans="1:17" s="118" customFormat="1" ht="30.6" x14ac:dyDescent="0.2">
      <c r="A304" s="148" t="s">
        <v>848</v>
      </c>
      <c r="B304" s="148" t="s">
        <v>163</v>
      </c>
      <c r="C304" s="14" t="s">
        <v>169</v>
      </c>
      <c r="D304" s="314" t="s">
        <v>683</v>
      </c>
      <c r="E304" s="148" t="s">
        <v>42</v>
      </c>
      <c r="F304" s="137">
        <v>0.26</v>
      </c>
      <c r="G304" s="137">
        <v>25.14</v>
      </c>
      <c r="H304" s="137">
        <f>ROUND(G304*(1+$L$4),2)</f>
        <v>31.81</v>
      </c>
      <c r="I304" s="138">
        <f>TRUNC(F304*H304,2)</f>
        <v>8.27</v>
      </c>
      <c r="J304" s="167"/>
      <c r="K304" s="111"/>
      <c r="L304" s="111"/>
      <c r="M304" s="111"/>
      <c r="N304" s="111"/>
      <c r="O304" s="111"/>
      <c r="P304" s="111"/>
      <c r="Q304" s="111"/>
    </row>
    <row r="305" spans="1:17" s="118" customFormat="1" ht="20.399999999999999" x14ac:dyDescent="0.2">
      <c r="A305" s="148" t="s">
        <v>849</v>
      </c>
      <c r="B305" s="148" t="s">
        <v>163</v>
      </c>
      <c r="C305" s="14" t="s">
        <v>170</v>
      </c>
      <c r="D305" s="314" t="s">
        <v>680</v>
      </c>
      <c r="E305" s="148" t="s">
        <v>42</v>
      </c>
      <c r="F305" s="137">
        <v>0.04</v>
      </c>
      <c r="G305" s="137">
        <v>375.94</v>
      </c>
      <c r="H305" s="137">
        <f>ROUND(G305*(1+$L$4),2)</f>
        <v>475.68</v>
      </c>
      <c r="I305" s="138">
        <f>TRUNC(F305*H305,2)</f>
        <v>19.02</v>
      </c>
      <c r="J305" s="167"/>
      <c r="K305" s="111"/>
      <c r="L305" s="111"/>
      <c r="M305" s="111"/>
      <c r="N305" s="111"/>
      <c r="O305" s="111"/>
      <c r="P305" s="111"/>
      <c r="Q305" s="111"/>
    </row>
    <row r="306" spans="1:17" s="118" customFormat="1" ht="30.6" x14ac:dyDescent="0.2">
      <c r="A306" s="148" t="s">
        <v>850</v>
      </c>
      <c r="B306" s="148" t="s">
        <v>163</v>
      </c>
      <c r="C306" s="14" t="s">
        <v>171</v>
      </c>
      <c r="D306" s="314" t="s">
        <v>678</v>
      </c>
      <c r="E306" s="148" t="s">
        <v>42</v>
      </c>
      <c r="F306" s="137">
        <v>0.17</v>
      </c>
      <c r="G306" s="137">
        <v>1396.31</v>
      </c>
      <c r="H306" s="137">
        <f>ROUND(G306*(1+$L$4),2)</f>
        <v>1766.75</v>
      </c>
      <c r="I306" s="138">
        <f>TRUNC(F306*H306,2)</f>
        <v>300.33999999999997</v>
      </c>
      <c r="J306" s="167"/>
      <c r="K306" s="111"/>
      <c r="L306" s="111"/>
      <c r="M306" s="111"/>
      <c r="N306" s="111"/>
      <c r="O306" s="111"/>
      <c r="P306" s="111"/>
      <c r="Q306" s="111"/>
    </row>
    <row r="307" spans="1:17" s="118" customFormat="1" ht="30.6" x14ac:dyDescent="0.2">
      <c r="A307" s="148" t="s">
        <v>851</v>
      </c>
      <c r="B307" s="148" t="s">
        <v>163</v>
      </c>
      <c r="C307" s="14" t="s">
        <v>172</v>
      </c>
      <c r="D307" s="314" t="s">
        <v>677</v>
      </c>
      <c r="E307" s="148" t="s">
        <v>42</v>
      </c>
      <c r="F307" s="137">
        <v>0.25</v>
      </c>
      <c r="G307" s="137">
        <v>2349.37</v>
      </c>
      <c r="H307" s="137">
        <f>ROUND(G307*(1+$L$4),2)</f>
        <v>2972.66</v>
      </c>
      <c r="I307" s="138">
        <f>TRUNC(F307*H307,2)</f>
        <v>743.16</v>
      </c>
      <c r="J307" s="167"/>
      <c r="K307" s="111"/>
      <c r="L307" s="111"/>
      <c r="M307" s="111"/>
      <c r="N307" s="111"/>
      <c r="O307" s="111"/>
      <c r="P307" s="111"/>
      <c r="Q307" s="111"/>
    </row>
    <row r="308" spans="1:17" s="313" customFormat="1" x14ac:dyDescent="0.2">
      <c r="A308" s="6" t="s">
        <v>842</v>
      </c>
      <c r="B308" s="6"/>
      <c r="C308" s="7"/>
      <c r="D308" s="310" t="s">
        <v>844</v>
      </c>
      <c r="E308" s="6"/>
      <c r="F308" s="136"/>
      <c r="G308" s="136"/>
      <c r="H308" s="136"/>
      <c r="I308" s="199"/>
      <c r="J308" s="283"/>
      <c r="K308" s="312"/>
      <c r="L308" s="312"/>
      <c r="M308" s="312"/>
      <c r="N308" s="312"/>
      <c r="O308" s="312"/>
      <c r="P308" s="312"/>
      <c r="Q308" s="312"/>
    </row>
    <row r="309" spans="1:17" s="118" customFormat="1" ht="20.399999999999999" x14ac:dyDescent="0.2">
      <c r="A309" s="148" t="s">
        <v>843</v>
      </c>
      <c r="B309" s="148" t="s">
        <v>163</v>
      </c>
      <c r="C309" s="14" t="s">
        <v>186</v>
      </c>
      <c r="D309" s="314" t="s">
        <v>510</v>
      </c>
      <c r="E309" s="148" t="s">
        <v>9</v>
      </c>
      <c r="F309" s="137">
        <v>14.93</v>
      </c>
      <c r="G309" s="137">
        <v>5.98</v>
      </c>
      <c r="H309" s="137">
        <f>ROUND(G309*(1+$L$4),2)</f>
        <v>7.57</v>
      </c>
      <c r="I309" s="138">
        <f>TRUNC(F309*H309,2)</f>
        <v>113.02</v>
      </c>
      <c r="J309" s="167"/>
      <c r="K309" s="111"/>
      <c r="L309" s="111"/>
      <c r="M309" s="111"/>
      <c r="N309" s="111"/>
      <c r="O309" s="111"/>
      <c r="P309" s="111"/>
      <c r="Q309" s="111"/>
    </row>
    <row r="310" spans="1:17" s="118" customFormat="1" ht="30.6" x14ac:dyDescent="0.2">
      <c r="A310" s="148" t="s">
        <v>852</v>
      </c>
      <c r="B310" s="148" t="s">
        <v>163</v>
      </c>
      <c r="C310" s="14" t="s">
        <v>691</v>
      </c>
      <c r="D310" s="314" t="s">
        <v>692</v>
      </c>
      <c r="E310" s="148" t="s">
        <v>9</v>
      </c>
      <c r="F310" s="137">
        <v>14.93</v>
      </c>
      <c r="G310" s="137">
        <v>31.31</v>
      </c>
      <c r="H310" s="137">
        <f>ROUND(G310*(1+$L$4),2)</f>
        <v>39.619999999999997</v>
      </c>
      <c r="I310" s="138">
        <f>TRUNC(F310*H310,2)</f>
        <v>591.52</v>
      </c>
      <c r="J310" s="167"/>
      <c r="K310" s="111"/>
      <c r="L310" s="111"/>
      <c r="M310" s="111"/>
      <c r="N310" s="111"/>
      <c r="O310" s="111"/>
      <c r="P310" s="111"/>
      <c r="Q310" s="111"/>
    </row>
    <row r="311" spans="1:17" s="118" customFormat="1" x14ac:dyDescent="0.2">
      <c r="A311" s="148"/>
      <c r="B311" s="148"/>
      <c r="C311" s="14"/>
      <c r="D311" s="314"/>
      <c r="E311" s="148"/>
      <c r="F311" s="137"/>
      <c r="G311" s="137"/>
      <c r="H311" s="137"/>
      <c r="I311" s="138"/>
      <c r="J311" s="167"/>
      <c r="K311" s="111"/>
      <c r="L311" s="111"/>
      <c r="M311" s="111"/>
      <c r="N311" s="111"/>
      <c r="O311" s="111"/>
      <c r="P311" s="111"/>
      <c r="Q311" s="111"/>
    </row>
    <row r="312" spans="1:17" s="241" customFormat="1" ht="26.4" x14ac:dyDescent="0.25">
      <c r="A312" s="236" t="s">
        <v>232</v>
      </c>
      <c r="B312" s="236"/>
      <c r="C312" s="237"/>
      <c r="D312" s="289" t="s">
        <v>225</v>
      </c>
      <c r="E312" s="236"/>
      <c r="F312" s="238"/>
      <c r="G312" s="238"/>
      <c r="H312" s="238"/>
      <c r="I312" s="239" t="e">
        <f>I313+I319+I323+I328+I331+I326</f>
        <v>#VALUE!</v>
      </c>
      <c r="J312" s="284" t="e">
        <f>I312/$I$476</f>
        <v>#VALUE!</v>
      </c>
      <c r="K312" s="240"/>
      <c r="L312" s="240"/>
      <c r="M312" s="240"/>
      <c r="N312" s="240"/>
      <c r="O312" s="240"/>
      <c r="P312" s="240"/>
      <c r="Q312" s="240"/>
    </row>
    <row r="313" spans="1:17" s="145" customFormat="1" x14ac:dyDescent="0.2">
      <c r="A313" s="140" t="s">
        <v>640</v>
      </c>
      <c r="B313" s="140"/>
      <c r="C313" s="141"/>
      <c r="D313" s="112" t="s">
        <v>30</v>
      </c>
      <c r="E313" s="140"/>
      <c r="F313" s="142"/>
      <c r="G313" s="142"/>
      <c r="H313" s="142"/>
      <c r="I313" s="143" t="e">
        <f>SUM(I314:I318)</f>
        <v>#VALUE!</v>
      </c>
      <c r="J313" s="285"/>
      <c r="K313" s="144"/>
      <c r="L313" s="144"/>
      <c r="M313" s="144"/>
      <c r="N313" s="144"/>
      <c r="O313" s="144"/>
      <c r="P313" s="144"/>
      <c r="Q313" s="144"/>
    </row>
    <row r="314" spans="1:17" s="118" customFormat="1" ht="51" x14ac:dyDescent="0.2">
      <c r="A314" s="148" t="s">
        <v>641</v>
      </c>
      <c r="B314" s="148" t="s">
        <v>179</v>
      </c>
      <c r="C314" s="14" t="s">
        <v>673</v>
      </c>
      <c r="D314" s="314" t="s">
        <v>561</v>
      </c>
      <c r="E314" s="148" t="s">
        <v>31</v>
      </c>
      <c r="F314" s="137">
        <v>17</v>
      </c>
      <c r="G314" s="137" t="e">
        <f>'COMPOSICOES - SINAPI COM DESON'!G36</f>
        <v>#VALUE!</v>
      </c>
      <c r="H314" s="137" t="e">
        <f>ROUND(G314*(1+$L$4),2)</f>
        <v>#VALUE!</v>
      </c>
      <c r="I314" s="138" t="e">
        <f>TRUNC(F314*H314,2)</f>
        <v>#VALUE!</v>
      </c>
      <c r="J314" s="167"/>
      <c r="K314" s="111"/>
      <c r="L314" s="111"/>
      <c r="M314" s="111"/>
      <c r="N314" s="111"/>
      <c r="O314" s="111"/>
      <c r="P314" s="111"/>
      <c r="Q314" s="111"/>
    </row>
    <row r="315" spans="1:17" s="118" customFormat="1" ht="40.799999999999997" x14ac:dyDescent="0.2">
      <c r="A315" s="148" t="s">
        <v>642</v>
      </c>
      <c r="B315" s="148" t="s">
        <v>163</v>
      </c>
      <c r="C315" s="14" t="s">
        <v>244</v>
      </c>
      <c r="D315" s="314" t="s">
        <v>245</v>
      </c>
      <c r="E315" s="148" t="s">
        <v>31</v>
      </c>
      <c r="F315" s="137">
        <v>10</v>
      </c>
      <c r="G315" s="137">
        <v>116.08</v>
      </c>
      <c r="H315" s="137">
        <f>ROUND(G315*(1+$L$4),2)</f>
        <v>146.88</v>
      </c>
      <c r="I315" s="138">
        <f>TRUNC(F315*H315,2)</f>
        <v>1468.8</v>
      </c>
      <c r="J315" s="167"/>
      <c r="K315" s="111"/>
      <c r="L315" s="111"/>
      <c r="M315" s="111"/>
      <c r="N315" s="111"/>
      <c r="O315" s="111"/>
      <c r="P315" s="111"/>
      <c r="Q315" s="111"/>
    </row>
    <row r="316" spans="1:17" s="118" customFormat="1" ht="30.6" x14ac:dyDescent="0.2">
      <c r="A316" s="148" t="s">
        <v>643</v>
      </c>
      <c r="B316" s="148" t="s">
        <v>179</v>
      </c>
      <c r="C316" s="14" t="s">
        <v>672</v>
      </c>
      <c r="D316" s="314" t="s">
        <v>567</v>
      </c>
      <c r="E316" s="148" t="s">
        <v>33</v>
      </c>
      <c r="F316" s="137">
        <v>5</v>
      </c>
      <c r="G316" s="137">
        <f>'COMPOSICOES - SINAPI COM DESON'!G50</f>
        <v>104.48</v>
      </c>
      <c r="H316" s="137">
        <f>ROUND(G316*(1+$L$4),2)</f>
        <v>132.19999999999999</v>
      </c>
      <c r="I316" s="138">
        <f>TRUNC(F316*H316,2)</f>
        <v>661</v>
      </c>
      <c r="J316" s="167"/>
      <c r="K316" s="111"/>
      <c r="L316" s="111"/>
      <c r="M316" s="111"/>
      <c r="N316" s="111"/>
      <c r="O316" s="111"/>
      <c r="P316" s="111"/>
      <c r="Q316" s="111"/>
    </row>
    <row r="317" spans="1:17" s="118" customFormat="1" ht="40.799999999999997" x14ac:dyDescent="0.2">
      <c r="A317" s="148" t="s">
        <v>644</v>
      </c>
      <c r="B317" s="148" t="s">
        <v>163</v>
      </c>
      <c r="C317" s="14" t="s">
        <v>188</v>
      </c>
      <c r="D317" s="314" t="s">
        <v>719</v>
      </c>
      <c r="E317" s="148" t="s">
        <v>33</v>
      </c>
      <c r="F317" s="137">
        <v>1</v>
      </c>
      <c r="G317" s="137">
        <v>65.69</v>
      </c>
      <c r="H317" s="137">
        <f>ROUND(G317*(1+$L$4),2)</f>
        <v>83.12</v>
      </c>
      <c r="I317" s="138">
        <f>TRUNC(F317*H317,2)</f>
        <v>83.12</v>
      </c>
      <c r="J317" s="167"/>
      <c r="K317" s="111"/>
      <c r="L317" s="111"/>
      <c r="M317" s="111"/>
      <c r="N317" s="111"/>
      <c r="O317" s="111"/>
      <c r="P317" s="111"/>
      <c r="Q317" s="111"/>
    </row>
    <row r="318" spans="1:17" s="118" customFormat="1" ht="30.6" x14ac:dyDescent="0.2">
      <c r="A318" s="148" t="s">
        <v>645</v>
      </c>
      <c r="B318" s="148" t="s">
        <v>163</v>
      </c>
      <c r="C318" s="14" t="s">
        <v>190</v>
      </c>
      <c r="D318" s="314" t="s">
        <v>290</v>
      </c>
      <c r="E318" s="148" t="s">
        <v>33</v>
      </c>
      <c r="F318" s="137">
        <v>6</v>
      </c>
      <c r="G318" s="137">
        <v>14.55</v>
      </c>
      <c r="H318" s="137">
        <f>ROUND(G318*(1+$L$4),2)</f>
        <v>18.41</v>
      </c>
      <c r="I318" s="138">
        <f>TRUNC(F318*H318,2)</f>
        <v>110.46</v>
      </c>
      <c r="J318" s="167"/>
      <c r="K318" s="111"/>
      <c r="L318" s="111"/>
      <c r="M318" s="111"/>
      <c r="N318" s="111"/>
      <c r="O318" s="111"/>
      <c r="P318" s="111"/>
      <c r="Q318" s="111"/>
    </row>
    <row r="319" spans="1:17" s="145" customFormat="1" x14ac:dyDescent="0.2">
      <c r="A319" s="140" t="s">
        <v>646</v>
      </c>
      <c r="B319" s="140"/>
      <c r="C319" s="141"/>
      <c r="D319" s="112" t="s">
        <v>211</v>
      </c>
      <c r="E319" s="140"/>
      <c r="F319" s="142"/>
      <c r="G319" s="142"/>
      <c r="H319" s="142"/>
      <c r="I319" s="143">
        <f>SUM(I320:I322)</f>
        <v>360.09000000000003</v>
      </c>
      <c r="J319" s="285"/>
      <c r="K319" s="144"/>
      <c r="L319" s="144"/>
      <c r="M319" s="144"/>
      <c r="N319" s="144"/>
      <c r="O319" s="144"/>
      <c r="P319" s="144"/>
      <c r="Q319" s="144"/>
    </row>
    <row r="320" spans="1:17" s="118" customFormat="1" ht="30.6" x14ac:dyDescent="0.2">
      <c r="A320" s="148" t="s">
        <v>647</v>
      </c>
      <c r="B320" s="148" t="s">
        <v>163</v>
      </c>
      <c r="C320" s="14" t="s">
        <v>249</v>
      </c>
      <c r="D320" s="314" t="s">
        <v>250</v>
      </c>
      <c r="E320" s="148" t="s">
        <v>33</v>
      </c>
      <c r="F320" s="137">
        <v>1</v>
      </c>
      <c r="G320" s="137">
        <v>116.1</v>
      </c>
      <c r="H320" s="137">
        <f>ROUND(G320*(1+$L$4),2)</f>
        <v>146.9</v>
      </c>
      <c r="I320" s="138">
        <f>TRUNC(F320*H320,2)</f>
        <v>146.9</v>
      </c>
      <c r="J320" s="167"/>
      <c r="K320" s="111"/>
      <c r="L320" s="111"/>
      <c r="M320" s="111"/>
      <c r="N320" s="111"/>
      <c r="O320" s="111"/>
      <c r="P320" s="111"/>
      <c r="Q320" s="111"/>
    </row>
    <row r="321" spans="1:17" s="118" customFormat="1" ht="30.6" x14ac:dyDescent="0.2">
      <c r="A321" s="148" t="s">
        <v>853</v>
      </c>
      <c r="B321" s="148" t="s">
        <v>163</v>
      </c>
      <c r="C321" s="14" t="s">
        <v>193</v>
      </c>
      <c r="D321" s="314" t="s">
        <v>383</v>
      </c>
      <c r="E321" s="148" t="s">
        <v>33</v>
      </c>
      <c r="F321" s="137">
        <v>1</v>
      </c>
      <c r="G321" s="137">
        <v>73.67</v>
      </c>
      <c r="H321" s="137">
        <f>ROUND(G321*(1+$L$4),2)</f>
        <v>93.21</v>
      </c>
      <c r="I321" s="138">
        <f>TRUNC(F321*H321,2)</f>
        <v>93.21</v>
      </c>
      <c r="J321" s="167"/>
      <c r="K321" s="111"/>
      <c r="L321" s="111"/>
      <c r="M321" s="111"/>
      <c r="N321" s="111"/>
      <c r="O321" s="111"/>
      <c r="P321" s="111"/>
      <c r="Q321" s="111"/>
    </row>
    <row r="322" spans="1:17" s="118" customFormat="1" ht="30.6" x14ac:dyDescent="0.2">
      <c r="A322" s="148" t="s">
        <v>854</v>
      </c>
      <c r="B322" s="148" t="s">
        <v>89</v>
      </c>
      <c r="C322" s="14">
        <v>86906</v>
      </c>
      <c r="D322" s="314" t="s">
        <v>261</v>
      </c>
      <c r="E322" s="148" t="s">
        <v>33</v>
      </c>
      <c r="F322" s="137">
        <v>2</v>
      </c>
      <c r="G322" s="137">
        <v>47.41</v>
      </c>
      <c r="H322" s="137">
        <f>ROUND(G322*(1+$L$4),2)</f>
        <v>59.99</v>
      </c>
      <c r="I322" s="138">
        <f>TRUNC(F322*H322,2)</f>
        <v>119.98</v>
      </c>
      <c r="J322" s="167"/>
      <c r="K322" s="111"/>
      <c r="L322" s="111"/>
      <c r="M322" s="111"/>
      <c r="N322" s="111"/>
      <c r="O322" s="111"/>
      <c r="P322" s="111"/>
      <c r="Q322" s="111"/>
    </row>
    <row r="323" spans="1:17" s="145" customFormat="1" x14ac:dyDescent="0.2">
      <c r="A323" s="140" t="s">
        <v>648</v>
      </c>
      <c r="B323" s="140"/>
      <c r="C323" s="141"/>
      <c r="D323" s="112" t="s">
        <v>28</v>
      </c>
      <c r="E323" s="140"/>
      <c r="F323" s="142"/>
      <c r="G323" s="142"/>
      <c r="H323" s="142"/>
      <c r="I323" s="143">
        <f>SUM(I324:I325)</f>
        <v>687.14</v>
      </c>
      <c r="J323" s="285"/>
      <c r="K323" s="144"/>
      <c r="L323" s="144"/>
      <c r="M323" s="144"/>
      <c r="N323" s="144"/>
      <c r="O323" s="144"/>
      <c r="P323" s="144"/>
      <c r="Q323" s="144"/>
    </row>
    <row r="324" spans="1:17" s="118" customFormat="1" ht="30.6" x14ac:dyDescent="0.2">
      <c r="A324" s="148" t="s">
        <v>649</v>
      </c>
      <c r="B324" s="148" t="s">
        <v>163</v>
      </c>
      <c r="C324" s="14" t="s">
        <v>263</v>
      </c>
      <c r="D324" s="314" t="s">
        <v>264</v>
      </c>
      <c r="E324" s="148" t="s">
        <v>33</v>
      </c>
      <c r="F324" s="137">
        <v>1.68</v>
      </c>
      <c r="G324" s="137">
        <v>287.51</v>
      </c>
      <c r="H324" s="137">
        <f>ROUND(G324*(1+$L$4),2)</f>
        <v>363.79</v>
      </c>
      <c r="I324" s="138">
        <f>TRUNC(F324*H324,2)</f>
        <v>611.16</v>
      </c>
      <c r="J324" s="167"/>
      <c r="K324" s="111"/>
      <c r="L324" s="111"/>
      <c r="M324" s="111"/>
      <c r="N324" s="111"/>
      <c r="O324" s="111"/>
      <c r="P324" s="111"/>
      <c r="Q324" s="111"/>
    </row>
    <row r="325" spans="1:17" s="118" customFormat="1" ht="30.6" x14ac:dyDescent="0.2">
      <c r="A325" s="148" t="s">
        <v>855</v>
      </c>
      <c r="B325" s="148" t="s">
        <v>89</v>
      </c>
      <c r="C325" s="14">
        <v>91304</v>
      </c>
      <c r="D325" s="314" t="s">
        <v>373</v>
      </c>
      <c r="E325" s="148" t="s">
        <v>33</v>
      </c>
      <c r="F325" s="137">
        <v>1</v>
      </c>
      <c r="G325" s="137">
        <v>60.05</v>
      </c>
      <c r="H325" s="137">
        <f>ROUND(G325*(1+$L$4),2)</f>
        <v>75.98</v>
      </c>
      <c r="I325" s="138">
        <f>TRUNC(F325*H325,2)</f>
        <v>75.98</v>
      </c>
      <c r="J325" s="167"/>
      <c r="K325" s="111"/>
      <c r="L325" s="111"/>
      <c r="M325" s="111"/>
      <c r="N325" s="111"/>
      <c r="O325" s="111"/>
      <c r="P325" s="111"/>
      <c r="Q325" s="111"/>
    </row>
    <row r="326" spans="1:17" s="145" customFormat="1" x14ac:dyDescent="0.2">
      <c r="A326" s="140" t="s">
        <v>650</v>
      </c>
      <c r="B326" s="140"/>
      <c r="C326" s="141"/>
      <c r="D326" s="112" t="s">
        <v>29</v>
      </c>
      <c r="E326" s="140"/>
      <c r="F326" s="142"/>
      <c r="G326" s="142"/>
      <c r="H326" s="142"/>
      <c r="I326" s="143">
        <f>SUM(I327:I327)</f>
        <v>57.05</v>
      </c>
      <c r="J326" s="285"/>
      <c r="K326" s="144"/>
      <c r="L326" s="144"/>
      <c r="M326" s="144"/>
      <c r="N326" s="144"/>
      <c r="O326" s="144"/>
      <c r="P326" s="144"/>
      <c r="Q326" s="144"/>
    </row>
    <row r="327" spans="1:17" s="118" customFormat="1" ht="40.799999999999997" x14ac:dyDescent="0.2">
      <c r="A327" s="148" t="s">
        <v>651</v>
      </c>
      <c r="B327" s="148" t="s">
        <v>163</v>
      </c>
      <c r="C327" s="14" t="s">
        <v>176</v>
      </c>
      <c r="D327" s="314" t="s">
        <v>269</v>
      </c>
      <c r="E327" s="148" t="s">
        <v>9</v>
      </c>
      <c r="F327" s="137">
        <v>3.36</v>
      </c>
      <c r="G327" s="137">
        <v>13.42</v>
      </c>
      <c r="H327" s="137">
        <f>ROUND(G327*(1+$L$4),2)</f>
        <v>16.98</v>
      </c>
      <c r="I327" s="138">
        <f>TRUNC(F327*H327,2)</f>
        <v>57.05</v>
      </c>
      <c r="J327" s="167"/>
      <c r="K327" s="111"/>
      <c r="L327" s="111"/>
      <c r="M327" s="111"/>
      <c r="N327" s="111"/>
      <c r="O327" s="111"/>
      <c r="P327" s="111"/>
      <c r="Q327" s="111"/>
    </row>
    <row r="328" spans="1:17" s="145" customFormat="1" x14ac:dyDescent="0.2">
      <c r="A328" s="140" t="s">
        <v>652</v>
      </c>
      <c r="B328" s="140"/>
      <c r="C328" s="141"/>
      <c r="D328" s="112" t="s">
        <v>80</v>
      </c>
      <c r="E328" s="140"/>
      <c r="F328" s="142"/>
      <c r="G328" s="142"/>
      <c r="H328" s="142"/>
      <c r="I328" s="143">
        <f>SUM(I329:I330)</f>
        <v>35869.47</v>
      </c>
      <c r="J328" s="285"/>
      <c r="K328" s="144"/>
      <c r="L328" s="144"/>
      <c r="M328" s="144"/>
      <c r="N328" s="144"/>
      <c r="O328" s="144"/>
      <c r="P328" s="144"/>
      <c r="Q328" s="144"/>
    </row>
    <row r="329" spans="1:17" s="118" customFormat="1" ht="30.6" x14ac:dyDescent="0.2">
      <c r="A329" s="148" t="s">
        <v>653</v>
      </c>
      <c r="B329" s="148" t="s">
        <v>89</v>
      </c>
      <c r="C329" s="14">
        <v>11587</v>
      </c>
      <c r="D329" s="314" t="s">
        <v>714</v>
      </c>
      <c r="E329" s="148" t="s">
        <v>9</v>
      </c>
      <c r="F329" s="137">
        <v>396.37999999999988</v>
      </c>
      <c r="G329" s="137">
        <v>59.97</v>
      </c>
      <c r="H329" s="137">
        <f>ROUND(G329*(1+$L$4),2)</f>
        <v>75.88</v>
      </c>
      <c r="I329" s="138">
        <f>TRUNC(F329*H329,2)</f>
        <v>30077.31</v>
      </c>
      <c r="J329" s="167"/>
      <c r="K329" s="111"/>
      <c r="L329" s="111"/>
      <c r="M329" s="111"/>
      <c r="N329" s="111"/>
      <c r="O329" s="111"/>
      <c r="P329" s="111"/>
      <c r="Q329" s="111"/>
    </row>
    <row r="330" spans="1:17" s="118" customFormat="1" x14ac:dyDescent="0.2">
      <c r="A330" s="148" t="s">
        <v>654</v>
      </c>
      <c r="B330" s="148" t="s">
        <v>179</v>
      </c>
      <c r="C330" s="14" t="s">
        <v>180</v>
      </c>
      <c r="D330" s="314" t="s">
        <v>77</v>
      </c>
      <c r="E330" s="148" t="s">
        <v>9</v>
      </c>
      <c r="F330" s="137">
        <v>790.2</v>
      </c>
      <c r="G330" s="137">
        <f>'COMPOSICOES - SINAPI COM DESON'!G18</f>
        <v>5.79</v>
      </c>
      <c r="H330" s="137">
        <f>ROUND(G330*(1+$L$4),2)</f>
        <v>7.33</v>
      </c>
      <c r="I330" s="138">
        <f>TRUNC(F330*H330,2)</f>
        <v>5792.16</v>
      </c>
      <c r="J330" s="167"/>
      <c r="K330" s="111"/>
      <c r="L330" s="111"/>
      <c r="M330" s="111"/>
      <c r="N330" s="111"/>
      <c r="O330" s="111"/>
      <c r="P330" s="111"/>
      <c r="Q330" s="111"/>
    </row>
    <row r="331" spans="1:17" s="145" customFormat="1" x14ac:dyDescent="0.2">
      <c r="A331" s="140" t="s">
        <v>656</v>
      </c>
      <c r="B331" s="140"/>
      <c r="C331" s="141"/>
      <c r="D331" s="112" t="s">
        <v>267</v>
      </c>
      <c r="E331" s="140"/>
      <c r="F331" s="142"/>
      <c r="G331" s="142"/>
      <c r="H331" s="142"/>
      <c r="I331" s="143">
        <f>SUM(I332:I332)</f>
        <v>55.32</v>
      </c>
      <c r="J331" s="285"/>
      <c r="K331" s="144"/>
      <c r="L331" s="144"/>
      <c r="M331" s="144"/>
      <c r="N331" s="144"/>
      <c r="O331" s="144"/>
      <c r="P331" s="144"/>
      <c r="Q331" s="144"/>
    </row>
    <row r="332" spans="1:17" s="118" customFormat="1" x14ac:dyDescent="0.2">
      <c r="A332" s="148" t="s">
        <v>657</v>
      </c>
      <c r="B332" s="148" t="s">
        <v>89</v>
      </c>
      <c r="C332" s="14">
        <v>6171</v>
      </c>
      <c r="D332" s="314" t="s">
        <v>268</v>
      </c>
      <c r="E332" s="148" t="s">
        <v>33</v>
      </c>
      <c r="F332" s="137">
        <v>2</v>
      </c>
      <c r="G332" s="137">
        <v>21.86</v>
      </c>
      <c r="H332" s="137">
        <f>ROUND(G332*(1+$L$4),2)</f>
        <v>27.66</v>
      </c>
      <c r="I332" s="138">
        <f>TRUNC(F332*H332,2)</f>
        <v>55.32</v>
      </c>
      <c r="J332" s="167"/>
      <c r="K332" s="111"/>
      <c r="L332" s="111"/>
      <c r="M332" s="111"/>
      <c r="N332" s="111"/>
      <c r="O332" s="111"/>
      <c r="P332" s="111"/>
      <c r="Q332" s="111"/>
    </row>
    <row r="333" spans="1:17" s="118" customFormat="1" x14ac:dyDescent="0.2">
      <c r="A333" s="148"/>
      <c r="B333" s="148"/>
      <c r="C333" s="14"/>
      <c r="D333" s="314"/>
      <c r="E333" s="148"/>
      <c r="F333" s="137"/>
      <c r="G333" s="137"/>
      <c r="H333" s="137"/>
      <c r="I333" s="138"/>
      <c r="J333" s="167"/>
      <c r="K333" s="111"/>
      <c r="L333" s="111"/>
      <c r="M333" s="111"/>
      <c r="N333" s="111"/>
      <c r="O333" s="111"/>
      <c r="P333" s="111"/>
      <c r="Q333" s="111"/>
    </row>
    <row r="334" spans="1:17" s="241" customFormat="1" ht="26.4" x14ac:dyDescent="0.25">
      <c r="A334" s="236" t="s">
        <v>233</v>
      </c>
      <c r="B334" s="236"/>
      <c r="C334" s="237"/>
      <c r="D334" s="289" t="s">
        <v>226</v>
      </c>
      <c r="E334" s="236"/>
      <c r="F334" s="238"/>
      <c r="G334" s="238"/>
      <c r="H334" s="238"/>
      <c r="I334" s="239" t="e">
        <f>SUM(I335,I343,I348,I351)</f>
        <v>#VALUE!</v>
      </c>
      <c r="J334" s="284" t="e">
        <f>I334/$I$476</f>
        <v>#VALUE!</v>
      </c>
      <c r="K334" s="240"/>
      <c r="L334" s="240"/>
      <c r="M334" s="240"/>
      <c r="N334" s="240"/>
      <c r="O334" s="240"/>
      <c r="P334" s="240"/>
      <c r="Q334" s="240"/>
    </row>
    <row r="335" spans="1:17" s="145" customFormat="1" x14ac:dyDescent="0.2">
      <c r="A335" s="140" t="s">
        <v>380</v>
      </c>
      <c r="B335" s="140"/>
      <c r="C335" s="141"/>
      <c r="D335" s="112" t="s">
        <v>30</v>
      </c>
      <c r="E335" s="140"/>
      <c r="F335" s="142"/>
      <c r="G335" s="142"/>
      <c r="H335" s="142"/>
      <c r="I335" s="143" t="e">
        <f>SUM(I336:I342)</f>
        <v>#VALUE!</v>
      </c>
      <c r="J335" s="285"/>
      <c r="K335" s="144"/>
      <c r="L335" s="144"/>
      <c r="M335" s="144"/>
      <c r="N335" s="144"/>
      <c r="O335" s="144"/>
      <c r="P335" s="144"/>
      <c r="Q335" s="144"/>
    </row>
    <row r="336" spans="1:17" s="118" customFormat="1" ht="30.6" x14ac:dyDescent="0.2">
      <c r="A336" s="148" t="s">
        <v>381</v>
      </c>
      <c r="B336" s="148" t="s">
        <v>163</v>
      </c>
      <c r="C336" s="14" t="s">
        <v>240</v>
      </c>
      <c r="D336" s="314" t="s">
        <v>241</v>
      </c>
      <c r="E336" s="148" t="s">
        <v>31</v>
      </c>
      <c r="F336" s="137">
        <v>2</v>
      </c>
      <c r="G336" s="137">
        <v>73.44</v>
      </c>
      <c r="H336" s="137">
        <f t="shared" ref="H336:H342" si="26">ROUND(G336*(1+$L$4),2)</f>
        <v>92.92</v>
      </c>
      <c r="I336" s="138">
        <f t="shared" ref="I336:I342" si="27">TRUNC(F336*H336,2)</f>
        <v>185.84</v>
      </c>
      <c r="J336" s="167"/>
      <c r="K336" s="111"/>
      <c r="L336" s="111"/>
      <c r="M336" s="111"/>
      <c r="N336" s="111"/>
      <c r="O336" s="111"/>
      <c r="P336" s="111"/>
      <c r="Q336" s="111"/>
    </row>
    <row r="337" spans="1:17" s="118" customFormat="1" ht="30.6" x14ac:dyDescent="0.2">
      <c r="A337" s="148" t="s">
        <v>386</v>
      </c>
      <c r="B337" s="148" t="s">
        <v>179</v>
      </c>
      <c r="C337" s="14" t="s">
        <v>672</v>
      </c>
      <c r="D337" s="314" t="s">
        <v>567</v>
      </c>
      <c r="E337" s="148" t="s">
        <v>33</v>
      </c>
      <c r="F337" s="137">
        <v>4</v>
      </c>
      <c r="G337" s="137">
        <f>'COMPOSICOES - SINAPI COM DESON'!G50</f>
        <v>104.48</v>
      </c>
      <c r="H337" s="137">
        <f t="shared" si="26"/>
        <v>132.19999999999999</v>
      </c>
      <c r="I337" s="138">
        <f t="shared" si="27"/>
        <v>528.79999999999995</v>
      </c>
      <c r="J337" s="167"/>
      <c r="K337" s="111"/>
      <c r="L337" s="111"/>
      <c r="M337" s="111"/>
      <c r="N337" s="111"/>
      <c r="O337" s="111"/>
      <c r="P337" s="111"/>
      <c r="Q337" s="111"/>
    </row>
    <row r="338" spans="1:17" s="118" customFormat="1" ht="51" x14ac:dyDescent="0.2">
      <c r="A338" s="148" t="s">
        <v>857</v>
      </c>
      <c r="B338" s="148" t="s">
        <v>179</v>
      </c>
      <c r="C338" s="14" t="s">
        <v>417</v>
      </c>
      <c r="D338" s="314" t="s">
        <v>561</v>
      </c>
      <c r="E338" s="148" t="s">
        <v>31</v>
      </c>
      <c r="F338" s="137">
        <v>11</v>
      </c>
      <c r="G338" s="137" t="e">
        <f>'COMPOSICOES - SINAPI COM DESON'!G36</f>
        <v>#VALUE!</v>
      </c>
      <c r="H338" s="137" t="e">
        <f t="shared" si="26"/>
        <v>#VALUE!</v>
      </c>
      <c r="I338" s="138" t="e">
        <f t="shared" si="27"/>
        <v>#VALUE!</v>
      </c>
      <c r="J338" s="167"/>
      <c r="K338" s="111"/>
      <c r="L338" s="111"/>
      <c r="M338" s="111"/>
      <c r="N338" s="111"/>
      <c r="O338" s="111"/>
      <c r="P338" s="111"/>
      <c r="Q338" s="111"/>
    </row>
    <row r="339" spans="1:17" s="118" customFormat="1" ht="40.799999999999997" x14ac:dyDescent="0.2">
      <c r="A339" s="148" t="s">
        <v>858</v>
      </c>
      <c r="B339" s="148" t="s">
        <v>163</v>
      </c>
      <c r="C339" s="14" t="s">
        <v>288</v>
      </c>
      <c r="D339" s="314" t="s">
        <v>289</v>
      </c>
      <c r="E339" s="148" t="s">
        <v>33</v>
      </c>
      <c r="F339" s="137">
        <v>1</v>
      </c>
      <c r="G339" s="137">
        <v>54</v>
      </c>
      <c r="H339" s="137">
        <f t="shared" si="26"/>
        <v>68.33</v>
      </c>
      <c r="I339" s="138">
        <f t="shared" si="27"/>
        <v>68.33</v>
      </c>
      <c r="J339" s="167"/>
      <c r="K339" s="111"/>
      <c r="L339" s="111"/>
      <c r="M339" s="111"/>
      <c r="N339" s="111"/>
      <c r="O339" s="111"/>
      <c r="P339" s="111"/>
      <c r="Q339" s="111"/>
    </row>
    <row r="340" spans="1:17" s="118" customFormat="1" ht="30.6" x14ac:dyDescent="0.2">
      <c r="A340" s="148" t="s">
        <v>859</v>
      </c>
      <c r="B340" s="148" t="s">
        <v>163</v>
      </c>
      <c r="C340" s="14" t="s">
        <v>190</v>
      </c>
      <c r="D340" s="314" t="s">
        <v>290</v>
      </c>
      <c r="E340" s="148" t="s">
        <v>33</v>
      </c>
      <c r="F340" s="137">
        <v>3</v>
      </c>
      <c r="G340" s="137">
        <v>14.55</v>
      </c>
      <c r="H340" s="137">
        <f t="shared" si="26"/>
        <v>18.41</v>
      </c>
      <c r="I340" s="138">
        <f t="shared" si="27"/>
        <v>55.23</v>
      </c>
      <c r="J340" s="167"/>
      <c r="K340" s="111"/>
      <c r="L340" s="111"/>
      <c r="M340" s="111"/>
      <c r="N340" s="111"/>
      <c r="O340" s="111"/>
      <c r="P340" s="111"/>
      <c r="Q340" s="111"/>
    </row>
    <row r="341" spans="1:17" s="118" customFormat="1" ht="40.799999999999997" x14ac:dyDescent="0.2">
      <c r="A341" s="148" t="s">
        <v>860</v>
      </c>
      <c r="B341" s="148" t="s">
        <v>89</v>
      </c>
      <c r="C341" s="14">
        <v>93144</v>
      </c>
      <c r="D341" s="314" t="s">
        <v>295</v>
      </c>
      <c r="E341" s="148" t="s">
        <v>33</v>
      </c>
      <c r="F341" s="137">
        <v>5</v>
      </c>
      <c r="G341" s="137">
        <v>166.81</v>
      </c>
      <c r="H341" s="137">
        <f t="shared" si="26"/>
        <v>211.06</v>
      </c>
      <c r="I341" s="138">
        <f t="shared" si="27"/>
        <v>1055.3</v>
      </c>
      <c r="J341" s="167"/>
      <c r="K341" s="111"/>
      <c r="L341" s="111"/>
      <c r="M341" s="111"/>
      <c r="N341" s="111"/>
      <c r="O341" s="111"/>
      <c r="P341" s="111"/>
      <c r="Q341" s="111"/>
    </row>
    <row r="342" spans="1:17" s="118" customFormat="1" ht="40.799999999999997" x14ac:dyDescent="0.2">
      <c r="A342" s="148" t="s">
        <v>861</v>
      </c>
      <c r="B342" s="148" t="s">
        <v>163</v>
      </c>
      <c r="C342" s="14" t="s">
        <v>192</v>
      </c>
      <c r="D342" s="314" t="s">
        <v>712</v>
      </c>
      <c r="E342" s="148" t="s">
        <v>31</v>
      </c>
      <c r="F342" s="137">
        <v>5</v>
      </c>
      <c r="G342" s="137">
        <v>46.44</v>
      </c>
      <c r="H342" s="137">
        <f t="shared" si="26"/>
        <v>58.76</v>
      </c>
      <c r="I342" s="138">
        <f t="shared" si="27"/>
        <v>293.8</v>
      </c>
      <c r="J342" s="167"/>
      <c r="K342" s="111"/>
      <c r="L342" s="111"/>
      <c r="M342" s="111"/>
      <c r="N342" s="111"/>
      <c r="O342" s="111"/>
      <c r="P342" s="111"/>
      <c r="Q342" s="111"/>
    </row>
    <row r="343" spans="1:17" s="145" customFormat="1" x14ac:dyDescent="0.2">
      <c r="A343" s="140" t="s">
        <v>387</v>
      </c>
      <c r="B343" s="140"/>
      <c r="C343" s="141"/>
      <c r="D343" s="112" t="s">
        <v>211</v>
      </c>
      <c r="E343" s="140"/>
      <c r="F343" s="142"/>
      <c r="G343" s="142"/>
      <c r="H343" s="142"/>
      <c r="I343" s="143">
        <f>SUM(I344:I347)</f>
        <v>724.47</v>
      </c>
      <c r="J343" s="285"/>
      <c r="K343" s="144"/>
      <c r="L343" s="144"/>
      <c r="M343" s="144"/>
      <c r="N343" s="144"/>
      <c r="O343" s="144"/>
      <c r="P343" s="144"/>
      <c r="Q343" s="144"/>
    </row>
    <row r="344" spans="1:17" s="118" customFormat="1" ht="20.399999999999999" x14ac:dyDescent="0.2">
      <c r="A344" s="148" t="s">
        <v>388</v>
      </c>
      <c r="B344" s="148" t="s">
        <v>89</v>
      </c>
      <c r="C344" s="14">
        <v>86883</v>
      </c>
      <c r="D344" s="314" t="s">
        <v>629</v>
      </c>
      <c r="E344" s="148" t="s">
        <v>33</v>
      </c>
      <c r="F344" s="137">
        <v>1</v>
      </c>
      <c r="G344" s="137">
        <v>8.1199999999999992</v>
      </c>
      <c r="H344" s="137">
        <f>ROUND(G344*(1+$L$4),2)</f>
        <v>10.27</v>
      </c>
      <c r="I344" s="138">
        <f>TRUNC(F344*H344,2)</f>
        <v>10.27</v>
      </c>
      <c r="J344" s="167"/>
      <c r="K344" s="111"/>
      <c r="L344" s="111"/>
      <c r="M344" s="111"/>
      <c r="N344" s="111"/>
      <c r="O344" s="111"/>
      <c r="P344" s="111"/>
      <c r="Q344" s="111"/>
    </row>
    <row r="345" spans="1:17" s="118" customFormat="1" ht="30.6" x14ac:dyDescent="0.2">
      <c r="A345" s="148" t="s">
        <v>389</v>
      </c>
      <c r="B345" s="148" t="s">
        <v>89</v>
      </c>
      <c r="C345" s="14">
        <v>86906</v>
      </c>
      <c r="D345" s="314" t="s">
        <v>261</v>
      </c>
      <c r="E345" s="148" t="s">
        <v>33</v>
      </c>
      <c r="F345" s="137">
        <v>1</v>
      </c>
      <c r="G345" s="137">
        <v>47.41</v>
      </c>
      <c r="H345" s="137">
        <f>ROUND(G345*(1+$L$4),2)</f>
        <v>59.99</v>
      </c>
      <c r="I345" s="138">
        <f>TRUNC(F345*H345,2)</f>
        <v>59.99</v>
      </c>
      <c r="J345" s="167"/>
      <c r="K345" s="111"/>
      <c r="L345" s="111"/>
      <c r="M345" s="111"/>
      <c r="N345" s="111"/>
      <c r="O345" s="111"/>
      <c r="P345" s="111"/>
      <c r="Q345" s="111"/>
    </row>
    <row r="346" spans="1:17" s="118" customFormat="1" ht="51" x14ac:dyDescent="0.2">
      <c r="A346" s="148" t="s">
        <v>390</v>
      </c>
      <c r="B346" s="148" t="s">
        <v>89</v>
      </c>
      <c r="C346" s="14">
        <v>86942</v>
      </c>
      <c r="D346" s="314" t="s">
        <v>262</v>
      </c>
      <c r="E346" s="148" t="s">
        <v>33</v>
      </c>
      <c r="F346" s="137">
        <v>1</v>
      </c>
      <c r="G346" s="137">
        <v>168.74</v>
      </c>
      <c r="H346" s="137">
        <f>ROUND(G346*(1+$L$4),2)</f>
        <v>213.51</v>
      </c>
      <c r="I346" s="138">
        <f>TRUNC(F346*H346,2)</f>
        <v>213.51</v>
      </c>
      <c r="J346" s="167"/>
      <c r="K346" s="111"/>
      <c r="L346" s="111"/>
      <c r="M346" s="111"/>
      <c r="N346" s="111"/>
      <c r="O346" s="111"/>
      <c r="P346" s="111"/>
      <c r="Q346" s="111"/>
    </row>
    <row r="347" spans="1:17" s="118" customFormat="1" ht="30.6" x14ac:dyDescent="0.2">
      <c r="A347" s="148" t="s">
        <v>856</v>
      </c>
      <c r="B347" s="148" t="s">
        <v>163</v>
      </c>
      <c r="C347" s="14" t="s">
        <v>249</v>
      </c>
      <c r="D347" s="314" t="s">
        <v>250</v>
      </c>
      <c r="E347" s="148" t="s">
        <v>33</v>
      </c>
      <c r="F347" s="137">
        <v>3</v>
      </c>
      <c r="G347" s="137">
        <v>116.1</v>
      </c>
      <c r="H347" s="137">
        <f>ROUND(G347*(1+$L$4),2)</f>
        <v>146.9</v>
      </c>
      <c r="I347" s="138">
        <f>TRUNC(F347*H347,2)</f>
        <v>440.7</v>
      </c>
      <c r="J347" s="167"/>
      <c r="K347" s="111"/>
      <c r="L347" s="111"/>
      <c r="M347" s="111"/>
      <c r="N347" s="111"/>
      <c r="O347" s="111"/>
      <c r="P347" s="111"/>
      <c r="Q347" s="111"/>
    </row>
    <row r="348" spans="1:17" s="145" customFormat="1" x14ac:dyDescent="0.2">
      <c r="A348" s="140" t="s">
        <v>391</v>
      </c>
      <c r="B348" s="140"/>
      <c r="C348" s="141"/>
      <c r="D348" s="112" t="s">
        <v>80</v>
      </c>
      <c r="E348" s="140"/>
      <c r="F348" s="142"/>
      <c r="G348" s="142"/>
      <c r="H348" s="142"/>
      <c r="I348" s="143">
        <f>SUM(I349:I350)</f>
        <v>8369.76</v>
      </c>
      <c r="J348" s="285"/>
      <c r="K348" s="144"/>
      <c r="L348" s="144"/>
      <c r="M348" s="144"/>
      <c r="N348" s="144"/>
      <c r="O348" s="144"/>
      <c r="P348" s="144"/>
      <c r="Q348" s="144"/>
    </row>
    <row r="349" spans="1:17" s="118" customFormat="1" ht="30.6" x14ac:dyDescent="0.2">
      <c r="A349" s="148" t="s">
        <v>392</v>
      </c>
      <c r="B349" s="148" t="s">
        <v>89</v>
      </c>
      <c r="C349" s="14">
        <v>11587</v>
      </c>
      <c r="D349" s="314" t="s">
        <v>714</v>
      </c>
      <c r="E349" s="148" t="s">
        <v>9</v>
      </c>
      <c r="F349" s="137">
        <v>92.88</v>
      </c>
      <c r="G349" s="137">
        <v>59.97</v>
      </c>
      <c r="H349" s="137">
        <f>ROUND(G349*(1+$L$4),2)</f>
        <v>75.88</v>
      </c>
      <c r="I349" s="138">
        <f>TRUNC(F349*H349,2)</f>
        <v>7047.73</v>
      </c>
      <c r="J349" s="167"/>
      <c r="K349" s="111"/>
      <c r="L349" s="111"/>
      <c r="M349" s="111"/>
      <c r="N349" s="111"/>
      <c r="O349" s="111"/>
      <c r="P349" s="111"/>
      <c r="Q349" s="111"/>
    </row>
    <row r="350" spans="1:17" s="118" customFormat="1" x14ac:dyDescent="0.2">
      <c r="A350" s="148" t="s">
        <v>393</v>
      </c>
      <c r="B350" s="148" t="s">
        <v>179</v>
      </c>
      <c r="C350" s="14" t="s">
        <v>180</v>
      </c>
      <c r="D350" s="314" t="s">
        <v>77</v>
      </c>
      <c r="E350" s="148" t="s">
        <v>9</v>
      </c>
      <c r="F350" s="137">
        <v>180.35999999999999</v>
      </c>
      <c r="G350" s="137">
        <f>'COMPOSICOES - SINAPI COM DESON'!G18</f>
        <v>5.79</v>
      </c>
      <c r="H350" s="137">
        <f>ROUND(G350*(1+$L$4),2)</f>
        <v>7.33</v>
      </c>
      <c r="I350" s="138">
        <f>TRUNC(F350*H350,2)</f>
        <v>1322.03</v>
      </c>
      <c r="J350" s="167"/>
      <c r="K350" s="111"/>
      <c r="L350" s="111"/>
      <c r="M350" s="111"/>
      <c r="N350" s="111"/>
      <c r="O350" s="111"/>
      <c r="P350" s="111"/>
      <c r="Q350" s="111"/>
    </row>
    <row r="351" spans="1:17" s="145" customFormat="1" x14ac:dyDescent="0.2">
      <c r="A351" s="140" t="s">
        <v>394</v>
      </c>
      <c r="B351" s="140"/>
      <c r="C351" s="141"/>
      <c r="D351" s="112" t="s">
        <v>267</v>
      </c>
      <c r="E351" s="140"/>
      <c r="F351" s="142"/>
      <c r="G351" s="142"/>
      <c r="H351" s="142"/>
      <c r="I351" s="143">
        <f>SUM(I352:I352)</f>
        <v>3990.28</v>
      </c>
      <c r="J351" s="285"/>
      <c r="K351" s="144"/>
      <c r="L351" s="144"/>
      <c r="M351" s="144"/>
      <c r="N351" s="144"/>
      <c r="O351" s="144"/>
      <c r="P351" s="144"/>
      <c r="Q351" s="144"/>
    </row>
    <row r="352" spans="1:17" s="118" customFormat="1" ht="20.399999999999999" x14ac:dyDescent="0.2">
      <c r="A352" s="148" t="s">
        <v>395</v>
      </c>
      <c r="B352" s="148" t="s">
        <v>659</v>
      </c>
      <c r="C352" s="14" t="s">
        <v>658</v>
      </c>
      <c r="D352" s="314" t="s">
        <v>660</v>
      </c>
      <c r="E352" s="148" t="s">
        <v>9</v>
      </c>
      <c r="F352" s="137">
        <v>70.8</v>
      </c>
      <c r="G352" s="137">
        <v>44.54</v>
      </c>
      <c r="H352" s="137">
        <f>ROUND(G352*(1+$L$4),2)</f>
        <v>56.36</v>
      </c>
      <c r="I352" s="138">
        <f>TRUNC(F352*H352,2)</f>
        <v>3990.28</v>
      </c>
      <c r="J352" s="167"/>
      <c r="K352" s="111"/>
      <c r="L352" s="111"/>
      <c r="M352" s="111"/>
      <c r="N352" s="111"/>
      <c r="O352" s="111"/>
      <c r="P352" s="111"/>
      <c r="Q352" s="111"/>
    </row>
    <row r="353" spans="1:17" s="118" customFormat="1" x14ac:dyDescent="0.2">
      <c r="A353" s="148"/>
      <c r="B353" s="148"/>
      <c r="C353" s="14"/>
      <c r="D353" s="314"/>
      <c r="E353" s="148"/>
      <c r="F353" s="137"/>
      <c r="G353" s="137"/>
      <c r="H353" s="137"/>
      <c r="I353" s="138"/>
      <c r="J353" s="167"/>
      <c r="K353" s="111"/>
      <c r="L353" s="111"/>
      <c r="M353" s="111"/>
      <c r="N353" s="111"/>
      <c r="O353" s="111"/>
      <c r="P353" s="111"/>
      <c r="Q353" s="111"/>
    </row>
    <row r="354" spans="1:17" s="241" customFormat="1" ht="26.4" x14ac:dyDescent="0.25">
      <c r="A354" s="236" t="s">
        <v>234</v>
      </c>
      <c r="B354" s="236"/>
      <c r="C354" s="237"/>
      <c r="D354" s="289" t="s">
        <v>298</v>
      </c>
      <c r="E354" s="236"/>
      <c r="F354" s="238"/>
      <c r="G354" s="238"/>
      <c r="H354" s="238"/>
      <c r="I354" s="239" t="e">
        <f>I355+I363+I365</f>
        <v>#VALUE!</v>
      </c>
      <c r="J354" s="284" t="e">
        <f>I354/$I$476</f>
        <v>#VALUE!</v>
      </c>
      <c r="K354" s="240"/>
      <c r="L354" s="240"/>
      <c r="M354" s="240"/>
      <c r="N354" s="240"/>
      <c r="O354" s="240"/>
      <c r="P354" s="240"/>
      <c r="Q354" s="240"/>
    </row>
    <row r="355" spans="1:17" s="145" customFormat="1" x14ac:dyDescent="0.2">
      <c r="A355" s="140" t="s">
        <v>866</v>
      </c>
      <c r="B355" s="140"/>
      <c r="C355" s="141"/>
      <c r="D355" s="112" t="s">
        <v>30</v>
      </c>
      <c r="E355" s="140"/>
      <c r="F355" s="142"/>
      <c r="G355" s="142"/>
      <c r="H355" s="142"/>
      <c r="I355" s="143" t="e">
        <f>SUM(I356:I362)</f>
        <v>#VALUE!</v>
      </c>
      <c r="J355" s="285"/>
      <c r="K355" s="144"/>
      <c r="L355" s="144"/>
      <c r="M355" s="144"/>
      <c r="N355" s="144"/>
      <c r="O355" s="144"/>
      <c r="P355" s="144"/>
      <c r="Q355" s="144"/>
    </row>
    <row r="356" spans="1:17" s="118" customFormat="1" ht="51" x14ac:dyDescent="0.2">
      <c r="A356" s="148" t="s">
        <v>867</v>
      </c>
      <c r="B356" s="148" t="s">
        <v>179</v>
      </c>
      <c r="C356" s="14" t="s">
        <v>417</v>
      </c>
      <c r="D356" s="314" t="s">
        <v>561</v>
      </c>
      <c r="E356" s="148" t="s">
        <v>31</v>
      </c>
      <c r="F356" s="137">
        <v>12</v>
      </c>
      <c r="G356" s="137" t="e">
        <f>'COMPOSICOES - SINAPI COM DESON'!G36</f>
        <v>#VALUE!</v>
      </c>
      <c r="H356" s="137" t="e">
        <f t="shared" ref="H356:H362" si="28">ROUND(G356*(1+$L$4),2)</f>
        <v>#VALUE!</v>
      </c>
      <c r="I356" s="138" t="e">
        <f t="shared" ref="I356:I362" si="29">TRUNC(F356*H356,2)</f>
        <v>#VALUE!</v>
      </c>
      <c r="J356" s="167"/>
      <c r="K356" s="111"/>
      <c r="L356" s="111"/>
      <c r="M356" s="111"/>
      <c r="N356" s="111"/>
      <c r="O356" s="111"/>
      <c r="P356" s="111"/>
      <c r="Q356" s="111"/>
    </row>
    <row r="357" spans="1:17" s="118" customFormat="1" ht="40.799999999999997" x14ac:dyDescent="0.2">
      <c r="A357" s="148" t="s">
        <v>869</v>
      </c>
      <c r="B357" s="148" t="s">
        <v>89</v>
      </c>
      <c r="C357" s="14">
        <v>93144</v>
      </c>
      <c r="D357" s="314" t="s">
        <v>295</v>
      </c>
      <c r="E357" s="148" t="s">
        <v>33</v>
      </c>
      <c r="F357" s="137">
        <v>6</v>
      </c>
      <c r="G357" s="137">
        <v>166.81</v>
      </c>
      <c r="H357" s="137">
        <f t="shared" si="28"/>
        <v>211.06</v>
      </c>
      <c r="I357" s="138">
        <f t="shared" si="29"/>
        <v>1266.3599999999999</v>
      </c>
      <c r="J357" s="167"/>
      <c r="K357" s="111"/>
      <c r="L357" s="111"/>
      <c r="M357" s="111"/>
      <c r="N357" s="111"/>
      <c r="O357" s="111"/>
      <c r="P357" s="111"/>
      <c r="Q357" s="111"/>
    </row>
    <row r="358" spans="1:17" s="118" customFormat="1" ht="40.799999999999997" x14ac:dyDescent="0.2">
      <c r="A358" s="148" t="s">
        <v>870</v>
      </c>
      <c r="B358" s="148" t="s">
        <v>163</v>
      </c>
      <c r="C358" s="14" t="s">
        <v>192</v>
      </c>
      <c r="D358" s="314" t="s">
        <v>712</v>
      </c>
      <c r="E358" s="148" t="s">
        <v>31</v>
      </c>
      <c r="F358" s="137">
        <v>6</v>
      </c>
      <c r="G358" s="137">
        <v>46.44</v>
      </c>
      <c r="H358" s="137">
        <f t="shared" si="28"/>
        <v>58.76</v>
      </c>
      <c r="I358" s="138">
        <f t="shared" si="29"/>
        <v>352.56</v>
      </c>
      <c r="J358" s="167"/>
      <c r="K358" s="111"/>
      <c r="L358" s="111"/>
      <c r="M358" s="111"/>
      <c r="N358" s="111"/>
      <c r="O358" s="111"/>
      <c r="P358" s="111"/>
      <c r="Q358" s="111"/>
    </row>
    <row r="359" spans="1:17" s="118" customFormat="1" ht="30.6" x14ac:dyDescent="0.2">
      <c r="A359" s="148" t="s">
        <v>871</v>
      </c>
      <c r="B359" s="148" t="s">
        <v>179</v>
      </c>
      <c r="C359" s="14" t="s">
        <v>672</v>
      </c>
      <c r="D359" s="314" t="s">
        <v>567</v>
      </c>
      <c r="E359" s="148" t="s">
        <v>33</v>
      </c>
      <c r="F359" s="137">
        <v>2</v>
      </c>
      <c r="G359" s="137">
        <f>'COMPOSICOES - SINAPI COM DESON'!G50</f>
        <v>104.48</v>
      </c>
      <c r="H359" s="137">
        <f t="shared" si="28"/>
        <v>132.19999999999999</v>
      </c>
      <c r="I359" s="138">
        <f t="shared" si="29"/>
        <v>264.39999999999998</v>
      </c>
      <c r="J359" s="167"/>
      <c r="K359" s="111"/>
      <c r="L359" s="111"/>
      <c r="M359" s="111"/>
      <c r="N359" s="111"/>
      <c r="O359" s="111"/>
      <c r="P359" s="111"/>
      <c r="Q359" s="111"/>
    </row>
    <row r="360" spans="1:17" s="118" customFormat="1" ht="20.399999999999999" x14ac:dyDescent="0.2">
      <c r="A360" s="148" t="s">
        <v>872</v>
      </c>
      <c r="B360" s="148" t="s">
        <v>89</v>
      </c>
      <c r="C360" s="14">
        <v>83469</v>
      </c>
      <c r="D360" s="314" t="s">
        <v>308</v>
      </c>
      <c r="E360" s="148" t="s">
        <v>33</v>
      </c>
      <c r="F360" s="137">
        <v>3</v>
      </c>
      <c r="G360" s="137">
        <v>8.1300000000000008</v>
      </c>
      <c r="H360" s="137">
        <f t="shared" si="28"/>
        <v>10.29</v>
      </c>
      <c r="I360" s="138">
        <f t="shared" si="29"/>
        <v>30.87</v>
      </c>
      <c r="J360" s="167"/>
      <c r="K360" s="111"/>
      <c r="L360" s="111"/>
      <c r="M360" s="111"/>
      <c r="N360" s="111"/>
      <c r="O360" s="111"/>
      <c r="P360" s="111"/>
      <c r="Q360" s="111"/>
    </row>
    <row r="361" spans="1:17" s="118" customFormat="1" ht="40.799999999999997" x14ac:dyDescent="0.2">
      <c r="A361" s="148" t="s">
        <v>873</v>
      </c>
      <c r="B361" s="148" t="s">
        <v>163</v>
      </c>
      <c r="C361" s="14" t="s">
        <v>188</v>
      </c>
      <c r="D361" s="314" t="s">
        <v>719</v>
      </c>
      <c r="E361" s="148" t="s">
        <v>33</v>
      </c>
      <c r="F361" s="137">
        <v>1</v>
      </c>
      <c r="G361" s="137">
        <v>65.69</v>
      </c>
      <c r="H361" s="137">
        <f t="shared" si="28"/>
        <v>83.12</v>
      </c>
      <c r="I361" s="138">
        <f t="shared" si="29"/>
        <v>83.12</v>
      </c>
      <c r="J361" s="167"/>
      <c r="K361" s="111"/>
      <c r="L361" s="111"/>
      <c r="M361" s="111"/>
      <c r="N361" s="111"/>
      <c r="O361" s="111"/>
      <c r="P361" s="111"/>
      <c r="Q361" s="111"/>
    </row>
    <row r="362" spans="1:17" s="118" customFormat="1" ht="30.6" x14ac:dyDescent="0.2">
      <c r="A362" s="148" t="s">
        <v>874</v>
      </c>
      <c r="B362" s="148" t="s">
        <v>163</v>
      </c>
      <c r="C362" s="14" t="s">
        <v>190</v>
      </c>
      <c r="D362" s="314" t="s">
        <v>290</v>
      </c>
      <c r="E362" s="148" t="s">
        <v>33</v>
      </c>
      <c r="F362" s="137">
        <v>6</v>
      </c>
      <c r="G362" s="137">
        <v>14.55</v>
      </c>
      <c r="H362" s="137">
        <f t="shared" si="28"/>
        <v>18.41</v>
      </c>
      <c r="I362" s="138">
        <f t="shared" si="29"/>
        <v>110.46</v>
      </c>
      <c r="J362" s="167"/>
      <c r="K362" s="111"/>
      <c r="L362" s="111"/>
      <c r="M362" s="111"/>
      <c r="N362" s="111"/>
      <c r="O362" s="111"/>
      <c r="P362" s="111"/>
      <c r="Q362" s="111"/>
    </row>
    <row r="363" spans="1:17" s="145" customFormat="1" x14ac:dyDescent="0.2">
      <c r="A363" s="140" t="s">
        <v>864</v>
      </c>
      <c r="B363" s="140"/>
      <c r="C363" s="141"/>
      <c r="D363" s="112" t="s">
        <v>211</v>
      </c>
      <c r="E363" s="140"/>
      <c r="F363" s="142"/>
      <c r="G363" s="142"/>
      <c r="H363" s="142"/>
      <c r="I363" s="143">
        <f>SUM(I364:I364)</f>
        <v>427.02</v>
      </c>
      <c r="J363" s="285"/>
      <c r="K363" s="144"/>
      <c r="L363" s="144"/>
      <c r="M363" s="144"/>
      <c r="N363" s="144"/>
      <c r="O363" s="144"/>
      <c r="P363" s="144"/>
      <c r="Q363" s="144"/>
    </row>
    <row r="364" spans="1:17" s="118" customFormat="1" ht="51" x14ac:dyDescent="0.2">
      <c r="A364" s="148" t="s">
        <v>865</v>
      </c>
      <c r="B364" s="148" t="s">
        <v>89</v>
      </c>
      <c r="C364" s="14">
        <v>86942</v>
      </c>
      <c r="D364" s="314" t="s">
        <v>661</v>
      </c>
      <c r="E364" s="148" t="s">
        <v>33</v>
      </c>
      <c r="F364" s="137">
        <v>2</v>
      </c>
      <c r="G364" s="137">
        <v>168.74</v>
      </c>
      <c r="H364" s="137">
        <f>ROUND(G364*(1+$L$4),2)</f>
        <v>213.51</v>
      </c>
      <c r="I364" s="138">
        <f>TRUNC(F364*H364,2)</f>
        <v>427.02</v>
      </c>
      <c r="J364" s="167"/>
      <c r="K364" s="111"/>
      <c r="L364" s="111"/>
      <c r="M364" s="111"/>
      <c r="N364" s="111"/>
      <c r="O364" s="111"/>
      <c r="P364" s="111"/>
      <c r="Q364" s="111"/>
    </row>
    <row r="365" spans="1:17" s="145" customFormat="1" x14ac:dyDescent="0.2">
      <c r="A365" s="140" t="s">
        <v>862</v>
      </c>
      <c r="B365" s="140"/>
      <c r="C365" s="141"/>
      <c r="D365" s="112" t="s">
        <v>80</v>
      </c>
      <c r="E365" s="140"/>
      <c r="F365" s="142"/>
      <c r="G365" s="142"/>
      <c r="H365" s="142"/>
      <c r="I365" s="143">
        <f>SUM(I366:I366)</f>
        <v>5273.78</v>
      </c>
      <c r="J365" s="285"/>
      <c r="K365" s="144"/>
      <c r="L365" s="144"/>
      <c r="M365" s="144"/>
      <c r="N365" s="144"/>
      <c r="O365" s="144"/>
      <c r="P365" s="144"/>
      <c r="Q365" s="144"/>
    </row>
    <row r="366" spans="1:17" s="118" customFormat="1" x14ac:dyDescent="0.2">
      <c r="A366" s="148" t="s">
        <v>863</v>
      </c>
      <c r="B366" s="148" t="s">
        <v>179</v>
      </c>
      <c r="C366" s="14" t="s">
        <v>180</v>
      </c>
      <c r="D366" s="314" t="s">
        <v>77</v>
      </c>
      <c r="E366" s="148" t="s">
        <v>9</v>
      </c>
      <c r="F366" s="137">
        <v>719.48</v>
      </c>
      <c r="G366" s="137">
        <f>'COMPOSICOES - SINAPI COM DESON'!G18</f>
        <v>5.79</v>
      </c>
      <c r="H366" s="137">
        <f>ROUND(G366*(1+$L$4),2)</f>
        <v>7.33</v>
      </c>
      <c r="I366" s="138">
        <f>TRUNC(F366*H366,2)</f>
        <v>5273.78</v>
      </c>
      <c r="J366" s="167"/>
      <c r="K366" s="111"/>
      <c r="L366" s="111"/>
      <c r="M366" s="111"/>
      <c r="N366" s="111"/>
      <c r="O366" s="111"/>
      <c r="P366" s="111"/>
      <c r="Q366" s="111"/>
    </row>
    <row r="367" spans="1:17" s="118" customFormat="1" x14ac:dyDescent="0.2">
      <c r="A367" s="148"/>
      <c r="B367" s="148"/>
      <c r="C367" s="14"/>
      <c r="D367" s="314"/>
      <c r="E367" s="148"/>
      <c r="F367" s="137"/>
      <c r="G367" s="137"/>
      <c r="H367" s="137"/>
      <c r="I367" s="138"/>
      <c r="J367" s="167"/>
      <c r="K367" s="111"/>
      <c r="L367" s="111"/>
      <c r="M367" s="111"/>
      <c r="N367" s="111"/>
      <c r="O367" s="111"/>
      <c r="P367" s="111"/>
      <c r="Q367" s="111"/>
    </row>
    <row r="368" spans="1:17" s="241" customFormat="1" ht="26.4" x14ac:dyDescent="0.25">
      <c r="A368" s="236" t="s">
        <v>235</v>
      </c>
      <c r="B368" s="236"/>
      <c r="C368" s="237"/>
      <c r="D368" s="289" t="s">
        <v>227</v>
      </c>
      <c r="E368" s="236"/>
      <c r="F368" s="238"/>
      <c r="G368" s="238"/>
      <c r="H368" s="238"/>
      <c r="I368" s="239" t="e">
        <f>SUM(I369,I377,I381,I383,I385,I388)</f>
        <v>#VALUE!</v>
      </c>
      <c r="J368" s="284" t="e">
        <f>I368/$I$476</f>
        <v>#VALUE!</v>
      </c>
      <c r="K368" s="240"/>
      <c r="L368" s="240"/>
      <c r="M368" s="240"/>
      <c r="N368" s="240"/>
      <c r="O368" s="240"/>
      <c r="P368" s="240"/>
      <c r="Q368" s="240"/>
    </row>
    <row r="369" spans="1:17" s="145" customFormat="1" x14ac:dyDescent="0.2">
      <c r="A369" s="140" t="s">
        <v>271</v>
      </c>
      <c r="B369" s="140"/>
      <c r="C369" s="141"/>
      <c r="D369" s="112" t="s">
        <v>30</v>
      </c>
      <c r="E369" s="140"/>
      <c r="F369" s="142"/>
      <c r="G369" s="142"/>
      <c r="H369" s="142"/>
      <c r="I369" s="143" t="e">
        <f>SUM(I370:I376)</f>
        <v>#VALUE!</v>
      </c>
      <c r="J369" s="285"/>
      <c r="K369" s="144"/>
      <c r="L369" s="144"/>
      <c r="M369" s="144"/>
      <c r="N369" s="144"/>
      <c r="O369" s="144"/>
      <c r="P369" s="144"/>
      <c r="Q369" s="144"/>
    </row>
    <row r="370" spans="1:17" s="118" customFormat="1" ht="51" x14ac:dyDescent="0.2">
      <c r="A370" s="148" t="s">
        <v>273</v>
      </c>
      <c r="B370" s="148" t="s">
        <v>179</v>
      </c>
      <c r="C370" s="14" t="s">
        <v>417</v>
      </c>
      <c r="D370" s="314" t="s">
        <v>561</v>
      </c>
      <c r="E370" s="148" t="s">
        <v>31</v>
      </c>
      <c r="F370" s="137">
        <v>16</v>
      </c>
      <c r="G370" s="137" t="e">
        <f>'COMPOSICOES - SINAPI COM DESON'!G36</f>
        <v>#VALUE!</v>
      </c>
      <c r="H370" s="137" t="e">
        <f t="shared" ref="H370:H376" si="30">ROUND(G370*(1+$L$4),2)</f>
        <v>#VALUE!</v>
      </c>
      <c r="I370" s="138" t="e">
        <f t="shared" ref="I370:I376" si="31">TRUNC(F370*H370,2)</f>
        <v>#VALUE!</v>
      </c>
      <c r="J370" s="167"/>
      <c r="K370" s="111"/>
      <c r="L370" s="111"/>
      <c r="M370" s="111"/>
      <c r="N370" s="111"/>
      <c r="O370" s="111"/>
      <c r="P370" s="111"/>
      <c r="Q370" s="111"/>
    </row>
    <row r="371" spans="1:17" s="118" customFormat="1" ht="40.799999999999997" x14ac:dyDescent="0.2">
      <c r="A371" s="148" t="s">
        <v>272</v>
      </c>
      <c r="B371" s="148" t="s">
        <v>163</v>
      </c>
      <c r="C371" s="14" t="s">
        <v>244</v>
      </c>
      <c r="D371" s="314" t="s">
        <v>245</v>
      </c>
      <c r="E371" s="148" t="s">
        <v>31</v>
      </c>
      <c r="F371" s="137">
        <v>8</v>
      </c>
      <c r="G371" s="137">
        <v>116.08</v>
      </c>
      <c r="H371" s="137">
        <f t="shared" si="30"/>
        <v>146.88</v>
      </c>
      <c r="I371" s="138">
        <f t="shared" si="31"/>
        <v>1175.04</v>
      </c>
      <c r="J371" s="167"/>
      <c r="K371" s="111"/>
      <c r="L371" s="111"/>
      <c r="M371" s="111"/>
      <c r="N371" s="111"/>
      <c r="O371" s="111"/>
      <c r="P371" s="111"/>
      <c r="Q371" s="111"/>
    </row>
    <row r="372" spans="1:17" s="118" customFormat="1" ht="30.6" x14ac:dyDescent="0.2">
      <c r="A372" s="148" t="s">
        <v>291</v>
      </c>
      <c r="B372" s="148" t="s">
        <v>179</v>
      </c>
      <c r="C372" s="14" t="s">
        <v>672</v>
      </c>
      <c r="D372" s="314" t="s">
        <v>567</v>
      </c>
      <c r="E372" s="148" t="s">
        <v>33</v>
      </c>
      <c r="F372" s="137">
        <v>1</v>
      </c>
      <c r="G372" s="137">
        <f>'COMPOSICOES - SINAPI COM DESON'!G50</f>
        <v>104.48</v>
      </c>
      <c r="H372" s="137">
        <f t="shared" si="30"/>
        <v>132.19999999999999</v>
      </c>
      <c r="I372" s="138">
        <f t="shared" si="31"/>
        <v>132.19999999999999</v>
      </c>
      <c r="J372" s="167"/>
      <c r="K372" s="111"/>
      <c r="L372" s="111"/>
      <c r="M372" s="111"/>
      <c r="N372" s="111"/>
      <c r="O372" s="111"/>
      <c r="P372" s="111"/>
      <c r="Q372" s="111"/>
    </row>
    <row r="373" spans="1:17" s="118" customFormat="1" ht="40.799999999999997" x14ac:dyDescent="0.2">
      <c r="A373" s="148" t="s">
        <v>292</v>
      </c>
      <c r="B373" s="148" t="s">
        <v>89</v>
      </c>
      <c r="C373" s="14">
        <v>93144</v>
      </c>
      <c r="D373" s="314" t="s">
        <v>295</v>
      </c>
      <c r="E373" s="148" t="s">
        <v>33</v>
      </c>
      <c r="F373" s="137">
        <v>10</v>
      </c>
      <c r="G373" s="137">
        <v>166.81</v>
      </c>
      <c r="H373" s="137">
        <f t="shared" si="30"/>
        <v>211.06</v>
      </c>
      <c r="I373" s="138">
        <f t="shared" si="31"/>
        <v>2110.6</v>
      </c>
      <c r="J373" s="167"/>
      <c r="K373" s="111"/>
      <c r="L373" s="111"/>
      <c r="M373" s="111"/>
      <c r="N373" s="111"/>
      <c r="O373" s="111"/>
      <c r="P373" s="111"/>
      <c r="Q373" s="111"/>
    </row>
    <row r="374" spans="1:17" s="118" customFormat="1" ht="40.799999999999997" x14ac:dyDescent="0.2">
      <c r="A374" s="148" t="s">
        <v>293</v>
      </c>
      <c r="B374" s="148" t="s">
        <v>163</v>
      </c>
      <c r="C374" s="14" t="s">
        <v>192</v>
      </c>
      <c r="D374" s="314" t="s">
        <v>712</v>
      </c>
      <c r="E374" s="148" t="s">
        <v>31</v>
      </c>
      <c r="F374" s="137">
        <v>10</v>
      </c>
      <c r="G374" s="137">
        <v>46.44</v>
      </c>
      <c r="H374" s="137">
        <f t="shared" si="30"/>
        <v>58.76</v>
      </c>
      <c r="I374" s="138">
        <f t="shared" si="31"/>
        <v>587.6</v>
      </c>
      <c r="J374" s="167"/>
      <c r="K374" s="111"/>
      <c r="L374" s="111"/>
      <c r="M374" s="111"/>
      <c r="N374" s="111"/>
      <c r="O374" s="111"/>
      <c r="P374" s="111"/>
      <c r="Q374" s="111"/>
    </row>
    <row r="375" spans="1:17" s="118" customFormat="1" ht="40.799999999999997" x14ac:dyDescent="0.2">
      <c r="A375" s="148" t="s">
        <v>294</v>
      </c>
      <c r="B375" s="148" t="s">
        <v>163</v>
      </c>
      <c r="C375" s="14" t="s">
        <v>188</v>
      </c>
      <c r="D375" s="314" t="s">
        <v>719</v>
      </c>
      <c r="E375" s="148" t="s">
        <v>33</v>
      </c>
      <c r="F375" s="137">
        <v>1</v>
      </c>
      <c r="G375" s="137">
        <v>65.69</v>
      </c>
      <c r="H375" s="137">
        <f t="shared" si="30"/>
        <v>83.12</v>
      </c>
      <c r="I375" s="138">
        <f t="shared" si="31"/>
        <v>83.12</v>
      </c>
      <c r="J375" s="167"/>
      <c r="K375" s="111"/>
      <c r="L375" s="111"/>
      <c r="M375" s="111"/>
      <c r="N375" s="111"/>
      <c r="O375" s="111"/>
      <c r="P375" s="111"/>
      <c r="Q375" s="111"/>
    </row>
    <row r="376" spans="1:17" s="118" customFormat="1" ht="30.6" x14ac:dyDescent="0.2">
      <c r="A376" s="148" t="s">
        <v>878</v>
      </c>
      <c r="B376" s="148" t="s">
        <v>163</v>
      </c>
      <c r="C376" s="14" t="s">
        <v>190</v>
      </c>
      <c r="D376" s="314" t="s">
        <v>290</v>
      </c>
      <c r="E376" s="148" t="s">
        <v>33</v>
      </c>
      <c r="F376" s="137">
        <v>6</v>
      </c>
      <c r="G376" s="137">
        <v>14.55</v>
      </c>
      <c r="H376" s="137">
        <f t="shared" si="30"/>
        <v>18.41</v>
      </c>
      <c r="I376" s="138">
        <f t="shared" si="31"/>
        <v>110.46</v>
      </c>
      <c r="J376" s="167"/>
      <c r="K376" s="111"/>
      <c r="L376" s="111"/>
      <c r="M376" s="111"/>
      <c r="N376" s="111"/>
      <c r="O376" s="111"/>
      <c r="P376" s="111"/>
      <c r="Q376" s="111"/>
    </row>
    <row r="377" spans="1:17" s="145" customFormat="1" x14ac:dyDescent="0.2">
      <c r="A377" s="140" t="s">
        <v>274</v>
      </c>
      <c r="B377" s="140"/>
      <c r="C377" s="141"/>
      <c r="D377" s="112" t="s">
        <v>211</v>
      </c>
      <c r="E377" s="140"/>
      <c r="F377" s="142"/>
      <c r="G377" s="142"/>
      <c r="H377" s="142"/>
      <c r="I377" s="143">
        <f>SUM(I378:I380)</f>
        <v>354.03</v>
      </c>
      <c r="J377" s="285"/>
      <c r="K377" s="144"/>
      <c r="L377" s="144"/>
      <c r="M377" s="144"/>
      <c r="N377" s="144"/>
      <c r="O377" s="144"/>
      <c r="P377" s="144"/>
      <c r="Q377" s="144"/>
    </row>
    <row r="378" spans="1:17" s="118" customFormat="1" ht="20.399999999999999" x14ac:dyDescent="0.2">
      <c r="A378" s="148" t="s">
        <v>275</v>
      </c>
      <c r="B378" s="148" t="s">
        <v>89</v>
      </c>
      <c r="C378" s="14">
        <v>86883</v>
      </c>
      <c r="D378" s="314" t="s">
        <v>247</v>
      </c>
      <c r="E378" s="148" t="s">
        <v>33</v>
      </c>
      <c r="F378" s="137">
        <v>2</v>
      </c>
      <c r="G378" s="137">
        <v>8.1199999999999992</v>
      </c>
      <c r="H378" s="137">
        <f>ROUND(G378*(1+$L$4),2)</f>
        <v>10.27</v>
      </c>
      <c r="I378" s="138">
        <f>TRUNC(F378*H378,2)</f>
        <v>20.54</v>
      </c>
      <c r="J378" s="167"/>
      <c r="K378" s="111"/>
      <c r="L378" s="111"/>
      <c r="M378" s="111"/>
      <c r="N378" s="111"/>
      <c r="O378" s="111"/>
      <c r="P378" s="111"/>
      <c r="Q378" s="111"/>
    </row>
    <row r="379" spans="1:17" s="118" customFormat="1" ht="30.6" x14ac:dyDescent="0.2">
      <c r="A379" s="148" t="s">
        <v>276</v>
      </c>
      <c r="B379" s="148" t="s">
        <v>89</v>
      </c>
      <c r="C379" s="14">
        <v>86906</v>
      </c>
      <c r="D379" s="314" t="s">
        <v>261</v>
      </c>
      <c r="E379" s="148" t="s">
        <v>33</v>
      </c>
      <c r="F379" s="137">
        <v>2</v>
      </c>
      <c r="G379" s="137">
        <v>47.41</v>
      </c>
      <c r="H379" s="137">
        <f>ROUND(G379*(1+$L$4),2)</f>
        <v>59.99</v>
      </c>
      <c r="I379" s="138">
        <f>TRUNC(F379*H379,2)</f>
        <v>119.98</v>
      </c>
      <c r="J379" s="167"/>
      <c r="K379" s="111"/>
      <c r="L379" s="111"/>
      <c r="M379" s="111"/>
      <c r="N379" s="111"/>
      <c r="O379" s="111"/>
      <c r="P379" s="111"/>
      <c r="Q379" s="111"/>
    </row>
    <row r="380" spans="1:17" s="118" customFormat="1" ht="51" x14ac:dyDescent="0.2">
      <c r="A380" s="148" t="s">
        <v>277</v>
      </c>
      <c r="B380" s="148" t="s">
        <v>89</v>
      </c>
      <c r="C380" s="14">
        <v>86942</v>
      </c>
      <c r="D380" s="314" t="s">
        <v>262</v>
      </c>
      <c r="E380" s="148" t="s">
        <v>33</v>
      </c>
      <c r="F380" s="137">
        <v>1</v>
      </c>
      <c r="G380" s="137">
        <v>168.74</v>
      </c>
      <c r="H380" s="137">
        <f>ROUND(G380*(1+$L$4),2)</f>
        <v>213.51</v>
      </c>
      <c r="I380" s="138">
        <f>TRUNC(F380*H380,2)</f>
        <v>213.51</v>
      </c>
      <c r="J380" s="167"/>
      <c r="K380" s="111"/>
      <c r="L380" s="111"/>
      <c r="M380" s="111"/>
      <c r="N380" s="111"/>
      <c r="O380" s="111"/>
      <c r="P380" s="111"/>
      <c r="Q380" s="111"/>
    </row>
    <row r="381" spans="1:17" s="145" customFormat="1" x14ac:dyDescent="0.2">
      <c r="A381" s="140" t="s">
        <v>278</v>
      </c>
      <c r="B381" s="140"/>
      <c r="C381" s="141"/>
      <c r="D381" s="112" t="s">
        <v>28</v>
      </c>
      <c r="E381" s="140"/>
      <c r="F381" s="142"/>
      <c r="G381" s="142"/>
      <c r="H381" s="142"/>
      <c r="I381" s="143">
        <f>SUM(I382:I382)</f>
        <v>2302.79</v>
      </c>
      <c r="J381" s="285"/>
      <c r="K381" s="144"/>
      <c r="L381" s="144"/>
      <c r="M381" s="144"/>
      <c r="N381" s="144"/>
      <c r="O381" s="144"/>
      <c r="P381" s="144"/>
      <c r="Q381" s="144"/>
    </row>
    <row r="382" spans="1:17" s="118" customFormat="1" ht="30.6" x14ac:dyDescent="0.2">
      <c r="A382" s="148" t="s">
        <v>279</v>
      </c>
      <c r="B382" s="148" t="s">
        <v>163</v>
      </c>
      <c r="C382" s="14" t="s">
        <v>263</v>
      </c>
      <c r="D382" s="314" t="s">
        <v>264</v>
      </c>
      <c r="E382" s="148" t="s">
        <v>33</v>
      </c>
      <c r="F382" s="137">
        <v>6.3299999999999992</v>
      </c>
      <c r="G382" s="137">
        <v>287.51</v>
      </c>
      <c r="H382" s="137">
        <f>ROUND(G382*(1+$L$4),2)</f>
        <v>363.79</v>
      </c>
      <c r="I382" s="138">
        <f>TRUNC(F382*H382,2)</f>
        <v>2302.79</v>
      </c>
      <c r="J382" s="167"/>
      <c r="K382" s="111"/>
      <c r="L382" s="111"/>
      <c r="M382" s="111"/>
      <c r="N382" s="111"/>
      <c r="O382" s="111"/>
      <c r="P382" s="111"/>
      <c r="Q382" s="111"/>
    </row>
    <row r="383" spans="1:17" s="145" customFormat="1" x14ac:dyDescent="0.2">
      <c r="A383" s="140" t="s">
        <v>280</v>
      </c>
      <c r="B383" s="140"/>
      <c r="C383" s="141"/>
      <c r="D383" s="112" t="s">
        <v>29</v>
      </c>
      <c r="E383" s="140"/>
      <c r="F383" s="142"/>
      <c r="G383" s="142"/>
      <c r="H383" s="142"/>
      <c r="I383" s="143">
        <f>SUM(I384:I384)</f>
        <v>214.96</v>
      </c>
      <c r="J383" s="285"/>
      <c r="K383" s="144"/>
      <c r="L383" s="144"/>
      <c r="M383" s="144"/>
      <c r="N383" s="144"/>
      <c r="O383" s="144"/>
      <c r="P383" s="144"/>
      <c r="Q383" s="144"/>
    </row>
    <row r="384" spans="1:17" s="118" customFormat="1" ht="40.799999999999997" x14ac:dyDescent="0.2">
      <c r="A384" s="148" t="s">
        <v>281</v>
      </c>
      <c r="B384" s="148" t="s">
        <v>163</v>
      </c>
      <c r="C384" s="14" t="s">
        <v>176</v>
      </c>
      <c r="D384" s="314" t="s">
        <v>269</v>
      </c>
      <c r="E384" s="148" t="s">
        <v>9</v>
      </c>
      <c r="F384" s="137">
        <v>12.659999999999998</v>
      </c>
      <c r="G384" s="137">
        <v>13.42</v>
      </c>
      <c r="H384" s="137">
        <f>ROUND(G384*(1+$L$4),2)</f>
        <v>16.98</v>
      </c>
      <c r="I384" s="138">
        <f>TRUNC(F384*H384,2)</f>
        <v>214.96</v>
      </c>
      <c r="J384" s="167"/>
      <c r="K384" s="111"/>
      <c r="L384" s="111"/>
      <c r="M384" s="111"/>
      <c r="N384" s="111"/>
      <c r="O384" s="111"/>
      <c r="P384" s="111"/>
      <c r="Q384" s="111"/>
    </row>
    <row r="385" spans="1:17" s="145" customFormat="1" x14ac:dyDescent="0.2">
      <c r="A385" s="140" t="s">
        <v>875</v>
      </c>
      <c r="B385" s="140"/>
      <c r="C385" s="141"/>
      <c r="D385" s="112" t="s">
        <v>80</v>
      </c>
      <c r="E385" s="140"/>
      <c r="F385" s="142"/>
      <c r="G385" s="142"/>
      <c r="H385" s="142"/>
      <c r="I385" s="143">
        <f>SUM(I386:I387)</f>
        <v>23288.22</v>
      </c>
      <c r="J385" s="285"/>
      <c r="K385" s="144"/>
      <c r="L385" s="144"/>
      <c r="M385" s="144"/>
      <c r="N385" s="144"/>
      <c r="O385" s="144"/>
      <c r="P385" s="144"/>
      <c r="Q385" s="144"/>
    </row>
    <row r="386" spans="1:17" s="118" customFormat="1" ht="30.6" x14ac:dyDescent="0.2">
      <c r="A386" s="148" t="s">
        <v>879</v>
      </c>
      <c r="B386" s="148" t="s">
        <v>89</v>
      </c>
      <c r="C386" s="14">
        <v>11587</v>
      </c>
      <c r="D386" s="314" t="s">
        <v>714</v>
      </c>
      <c r="E386" s="148" t="s">
        <v>9</v>
      </c>
      <c r="F386" s="137">
        <v>215.89</v>
      </c>
      <c r="G386" s="137">
        <v>59.97</v>
      </c>
      <c r="H386" s="137">
        <f>ROUND(G386*(1+$L$4),2)</f>
        <v>75.88</v>
      </c>
      <c r="I386" s="138">
        <f>TRUNC(F386*H386,2)</f>
        <v>16381.73</v>
      </c>
      <c r="J386" s="167"/>
      <c r="K386" s="111"/>
      <c r="L386" s="111"/>
      <c r="M386" s="111"/>
      <c r="N386" s="111"/>
      <c r="O386" s="111"/>
      <c r="P386" s="111"/>
      <c r="Q386" s="111"/>
    </row>
    <row r="387" spans="1:17" s="118" customFormat="1" x14ac:dyDescent="0.2">
      <c r="A387" s="148" t="s">
        <v>880</v>
      </c>
      <c r="B387" s="148" t="s">
        <v>179</v>
      </c>
      <c r="C387" s="14" t="s">
        <v>316</v>
      </c>
      <c r="D387" s="314" t="s">
        <v>317</v>
      </c>
      <c r="E387" s="148" t="s">
        <v>9</v>
      </c>
      <c r="F387" s="137">
        <v>940.94</v>
      </c>
      <c r="G387" s="137">
        <v>5.8</v>
      </c>
      <c r="H387" s="137">
        <f>ROUND(G387*(1+$L$4),2)</f>
        <v>7.34</v>
      </c>
      <c r="I387" s="138">
        <f>TRUNC(F387*H387,2)</f>
        <v>6906.49</v>
      </c>
      <c r="J387" s="167"/>
      <c r="K387" s="111"/>
      <c r="L387" s="111"/>
      <c r="M387" s="111"/>
      <c r="N387" s="111"/>
      <c r="O387" s="111"/>
      <c r="P387" s="111"/>
      <c r="Q387" s="111"/>
    </row>
    <row r="388" spans="1:17" s="145" customFormat="1" x14ac:dyDescent="0.2">
      <c r="A388" s="140" t="s">
        <v>876</v>
      </c>
      <c r="B388" s="140"/>
      <c r="C388" s="141"/>
      <c r="D388" s="112" t="s">
        <v>267</v>
      </c>
      <c r="E388" s="140"/>
      <c r="F388" s="142"/>
      <c r="G388" s="142"/>
      <c r="H388" s="142"/>
      <c r="I388" s="143">
        <f>SUM(I389:I398)</f>
        <v>2655.02</v>
      </c>
      <c r="J388" s="285"/>
      <c r="K388" s="144"/>
      <c r="L388" s="144"/>
      <c r="M388" s="144"/>
      <c r="N388" s="144"/>
      <c r="O388" s="144"/>
      <c r="P388" s="144"/>
      <c r="Q388" s="144"/>
    </row>
    <row r="389" spans="1:17" s="313" customFormat="1" x14ac:dyDescent="0.2">
      <c r="A389" s="6" t="s">
        <v>877</v>
      </c>
      <c r="B389" s="6"/>
      <c r="C389" s="7"/>
      <c r="D389" s="310" t="s">
        <v>884</v>
      </c>
      <c r="E389" s="6"/>
      <c r="F389" s="136"/>
      <c r="G389" s="136"/>
      <c r="H389" s="136"/>
      <c r="I389" s="199"/>
      <c r="J389" s="283"/>
      <c r="K389" s="312"/>
      <c r="L389" s="312"/>
      <c r="M389" s="312"/>
      <c r="N389" s="312"/>
      <c r="O389" s="312"/>
      <c r="P389" s="312"/>
      <c r="Q389" s="312"/>
    </row>
    <row r="390" spans="1:17" s="118" customFormat="1" ht="20.399999999999999" x14ac:dyDescent="0.2">
      <c r="A390" s="148" t="s">
        <v>885</v>
      </c>
      <c r="B390" s="148" t="s">
        <v>163</v>
      </c>
      <c r="C390" s="14" t="s">
        <v>168</v>
      </c>
      <c r="D390" s="314" t="s">
        <v>679</v>
      </c>
      <c r="E390" s="148" t="s">
        <v>42</v>
      </c>
      <c r="F390" s="137">
        <v>1.87</v>
      </c>
      <c r="G390" s="137">
        <v>18.440000000000001</v>
      </c>
      <c r="H390" s="137">
        <f t="shared" ref="H390:H396" si="32">ROUND(G390*(1+$L$4),2)</f>
        <v>23.33</v>
      </c>
      <c r="I390" s="138">
        <f t="shared" ref="I390:I396" si="33">TRUNC(F390*H390,2)</f>
        <v>43.62</v>
      </c>
      <c r="J390" s="167"/>
      <c r="K390" s="111"/>
      <c r="L390" s="111"/>
      <c r="M390" s="111"/>
      <c r="N390" s="111"/>
      <c r="O390" s="111"/>
      <c r="P390" s="111"/>
      <c r="Q390" s="111"/>
    </row>
    <row r="391" spans="1:17" s="118" customFormat="1" ht="30.6" x14ac:dyDescent="0.2">
      <c r="A391" s="148" t="s">
        <v>886</v>
      </c>
      <c r="B391" s="148" t="s">
        <v>163</v>
      </c>
      <c r="C391" s="14" t="s">
        <v>169</v>
      </c>
      <c r="D391" s="314" t="s">
        <v>683</v>
      </c>
      <c r="E391" s="148" t="s">
        <v>42</v>
      </c>
      <c r="F391" s="137">
        <v>1.24</v>
      </c>
      <c r="G391" s="137">
        <v>25.14</v>
      </c>
      <c r="H391" s="137">
        <f t="shared" si="32"/>
        <v>31.81</v>
      </c>
      <c r="I391" s="138">
        <f t="shared" si="33"/>
        <v>39.44</v>
      </c>
      <c r="J391" s="167"/>
      <c r="K391" s="111"/>
      <c r="L391" s="111"/>
      <c r="M391" s="111"/>
      <c r="N391" s="111"/>
      <c r="O391" s="111"/>
      <c r="P391" s="111"/>
      <c r="Q391" s="111"/>
    </row>
    <row r="392" spans="1:17" s="118" customFormat="1" ht="20.399999999999999" x14ac:dyDescent="0.2">
      <c r="A392" s="148" t="s">
        <v>887</v>
      </c>
      <c r="B392" s="148" t="s">
        <v>163</v>
      </c>
      <c r="C392" s="14" t="s">
        <v>170</v>
      </c>
      <c r="D392" s="314" t="s">
        <v>680</v>
      </c>
      <c r="E392" s="148" t="s">
        <v>42</v>
      </c>
      <c r="F392" s="137">
        <v>0.14000000000000001</v>
      </c>
      <c r="G392" s="137">
        <v>375.94</v>
      </c>
      <c r="H392" s="137">
        <f t="shared" si="32"/>
        <v>475.68</v>
      </c>
      <c r="I392" s="138">
        <f t="shared" si="33"/>
        <v>66.59</v>
      </c>
      <c r="J392" s="167"/>
      <c r="K392" s="111"/>
      <c r="L392" s="111"/>
      <c r="M392" s="111"/>
      <c r="N392" s="111"/>
      <c r="O392" s="111"/>
      <c r="P392" s="111"/>
      <c r="Q392" s="111"/>
    </row>
    <row r="393" spans="1:17" s="118" customFormat="1" ht="30.6" x14ac:dyDescent="0.2">
      <c r="A393" s="148" t="s">
        <v>889</v>
      </c>
      <c r="B393" s="148" t="s">
        <v>163</v>
      </c>
      <c r="C393" s="14" t="s">
        <v>171</v>
      </c>
      <c r="D393" s="314" t="s">
        <v>678</v>
      </c>
      <c r="E393" s="148" t="s">
        <v>42</v>
      </c>
      <c r="F393" s="137">
        <v>0.49</v>
      </c>
      <c r="G393" s="137">
        <v>1396.31</v>
      </c>
      <c r="H393" s="137">
        <f t="shared" si="32"/>
        <v>1766.75</v>
      </c>
      <c r="I393" s="138">
        <f t="shared" si="33"/>
        <v>865.7</v>
      </c>
      <c r="J393" s="167"/>
      <c r="K393" s="111"/>
      <c r="L393" s="111"/>
      <c r="M393" s="111"/>
      <c r="N393" s="111"/>
      <c r="O393" s="111"/>
      <c r="P393" s="111"/>
      <c r="Q393" s="111"/>
    </row>
    <row r="394" spans="1:17" s="118" customFormat="1" ht="30.6" x14ac:dyDescent="0.2">
      <c r="A394" s="148" t="s">
        <v>890</v>
      </c>
      <c r="B394" s="148" t="s">
        <v>163</v>
      </c>
      <c r="C394" s="14" t="s">
        <v>172</v>
      </c>
      <c r="D394" s="314" t="s">
        <v>677</v>
      </c>
      <c r="E394" s="148" t="s">
        <v>42</v>
      </c>
      <c r="F394" s="137">
        <v>0.45</v>
      </c>
      <c r="G394" s="137">
        <v>2349.37</v>
      </c>
      <c r="H394" s="137">
        <f t="shared" si="32"/>
        <v>2972.66</v>
      </c>
      <c r="I394" s="138">
        <f t="shared" si="33"/>
        <v>1337.69</v>
      </c>
      <c r="J394" s="167"/>
      <c r="K394" s="111"/>
      <c r="L394" s="111"/>
      <c r="M394" s="111"/>
      <c r="N394" s="111"/>
      <c r="O394" s="111"/>
      <c r="P394" s="111"/>
      <c r="Q394" s="111"/>
    </row>
    <row r="395" spans="1:17" s="118" customFormat="1" ht="20.399999999999999" x14ac:dyDescent="0.2">
      <c r="A395" s="148" t="s">
        <v>891</v>
      </c>
      <c r="B395" s="148" t="s">
        <v>163</v>
      </c>
      <c r="C395" s="14" t="s">
        <v>186</v>
      </c>
      <c r="D395" s="314" t="s">
        <v>510</v>
      </c>
      <c r="E395" s="148" t="s">
        <v>9</v>
      </c>
      <c r="F395" s="137">
        <v>7.6800000000000006</v>
      </c>
      <c r="G395" s="137">
        <v>5.98</v>
      </c>
      <c r="H395" s="137">
        <f t="shared" si="32"/>
        <v>7.57</v>
      </c>
      <c r="I395" s="138">
        <f t="shared" si="33"/>
        <v>58.13</v>
      </c>
      <c r="J395" s="167"/>
      <c r="K395" s="111"/>
      <c r="L395" s="111"/>
      <c r="M395" s="111"/>
      <c r="N395" s="111"/>
      <c r="O395" s="111"/>
      <c r="P395" s="111"/>
      <c r="Q395" s="111"/>
    </row>
    <row r="396" spans="1:17" s="118" customFormat="1" ht="20.399999999999999" x14ac:dyDescent="0.2">
      <c r="A396" s="148" t="s">
        <v>892</v>
      </c>
      <c r="B396" s="148" t="s">
        <v>163</v>
      </c>
      <c r="C396" s="14" t="s">
        <v>173</v>
      </c>
      <c r="D396" s="314" t="s">
        <v>511</v>
      </c>
      <c r="E396" s="148" t="s">
        <v>9</v>
      </c>
      <c r="F396" s="137">
        <v>7.6800000000000006</v>
      </c>
      <c r="G396" s="137">
        <v>22.25</v>
      </c>
      <c r="H396" s="137">
        <f t="shared" si="32"/>
        <v>28.15</v>
      </c>
      <c r="I396" s="138">
        <f t="shared" si="33"/>
        <v>216.19</v>
      </c>
      <c r="J396" s="167"/>
      <c r="K396" s="111"/>
      <c r="L396" s="111"/>
      <c r="M396" s="111"/>
      <c r="N396" s="111"/>
      <c r="O396" s="111"/>
      <c r="P396" s="111"/>
      <c r="Q396" s="111"/>
    </row>
    <row r="397" spans="1:17" s="313" customFormat="1" x14ac:dyDescent="0.2">
      <c r="A397" s="6" t="s">
        <v>881</v>
      </c>
      <c r="B397" s="6"/>
      <c r="C397" s="7"/>
      <c r="D397" s="310" t="s">
        <v>883</v>
      </c>
      <c r="E397" s="6"/>
      <c r="F397" s="136"/>
      <c r="G397" s="136"/>
      <c r="H397" s="136"/>
      <c r="I397" s="199"/>
      <c r="J397" s="283"/>
      <c r="K397" s="312"/>
      <c r="L397" s="312"/>
      <c r="M397" s="312"/>
      <c r="N397" s="312"/>
      <c r="O397" s="312"/>
      <c r="P397" s="312"/>
      <c r="Q397" s="312"/>
    </row>
    <row r="398" spans="1:17" s="118" customFormat="1" x14ac:dyDescent="0.2">
      <c r="A398" s="148" t="s">
        <v>882</v>
      </c>
      <c r="B398" s="148" t="s">
        <v>89</v>
      </c>
      <c r="C398" s="14">
        <v>6171</v>
      </c>
      <c r="D398" s="314" t="s">
        <v>268</v>
      </c>
      <c r="E398" s="148" t="s">
        <v>33</v>
      </c>
      <c r="F398" s="137">
        <v>1</v>
      </c>
      <c r="G398" s="137">
        <v>21.86</v>
      </c>
      <c r="H398" s="137">
        <f>ROUND(G398*(1+$L$4),2)</f>
        <v>27.66</v>
      </c>
      <c r="I398" s="138">
        <f>TRUNC(F398*H398,2)</f>
        <v>27.66</v>
      </c>
      <c r="J398" s="167"/>
      <c r="K398" s="111"/>
      <c r="L398" s="111"/>
      <c r="M398" s="111"/>
      <c r="N398" s="111"/>
      <c r="O398" s="111"/>
      <c r="P398" s="111"/>
      <c r="Q398" s="111"/>
    </row>
    <row r="399" spans="1:17" s="118" customFormat="1" x14ac:dyDescent="0.2">
      <c r="A399" s="148"/>
      <c r="B399" s="148"/>
      <c r="C399" s="14"/>
      <c r="D399" s="314"/>
      <c r="E399" s="148"/>
      <c r="F399" s="137"/>
      <c r="G399" s="137"/>
      <c r="H399" s="137"/>
      <c r="I399" s="138"/>
      <c r="J399" s="167"/>
      <c r="K399" s="111"/>
      <c r="L399" s="111"/>
      <c r="M399" s="111"/>
      <c r="N399" s="111"/>
      <c r="O399" s="111"/>
      <c r="P399" s="111"/>
      <c r="Q399" s="111"/>
    </row>
    <row r="400" spans="1:17" s="241" customFormat="1" ht="26.4" x14ac:dyDescent="0.25">
      <c r="A400" s="236" t="s">
        <v>236</v>
      </c>
      <c r="B400" s="236"/>
      <c r="C400" s="237"/>
      <c r="D400" s="289" t="s">
        <v>228</v>
      </c>
      <c r="E400" s="236"/>
      <c r="F400" s="238"/>
      <c r="G400" s="238"/>
      <c r="H400" s="238"/>
      <c r="I400" s="239">
        <f>I401+I405+I407</f>
        <v>6081.85</v>
      </c>
      <c r="J400" s="284" t="e">
        <f>I400/$I$476</f>
        <v>#VALUE!</v>
      </c>
      <c r="K400" s="240"/>
      <c r="L400" s="240"/>
      <c r="M400" s="240"/>
      <c r="N400" s="240"/>
      <c r="O400" s="240"/>
      <c r="P400" s="240"/>
      <c r="Q400" s="240"/>
    </row>
    <row r="401" spans="1:17" s="145" customFormat="1" x14ac:dyDescent="0.2">
      <c r="A401" s="140" t="s">
        <v>894</v>
      </c>
      <c r="B401" s="140"/>
      <c r="C401" s="141"/>
      <c r="D401" s="112" t="s">
        <v>211</v>
      </c>
      <c r="E401" s="140"/>
      <c r="F401" s="142"/>
      <c r="G401" s="142"/>
      <c r="H401" s="142"/>
      <c r="I401" s="143">
        <f>SUM(I402:I404)</f>
        <v>2992.98</v>
      </c>
      <c r="J401" s="285"/>
      <c r="K401" s="144"/>
      <c r="L401" s="144"/>
      <c r="M401" s="144"/>
      <c r="N401" s="144"/>
      <c r="O401" s="144"/>
      <c r="P401" s="144"/>
      <c r="Q401" s="144"/>
    </row>
    <row r="402" spans="1:17" s="118" customFormat="1" ht="51" x14ac:dyDescent="0.2">
      <c r="A402" s="148" t="s">
        <v>895</v>
      </c>
      <c r="B402" s="148" t="s">
        <v>89</v>
      </c>
      <c r="C402" s="14">
        <v>72739</v>
      </c>
      <c r="D402" s="314" t="s">
        <v>311</v>
      </c>
      <c r="E402" s="148" t="s">
        <v>33</v>
      </c>
      <c r="F402" s="137">
        <v>4</v>
      </c>
      <c r="G402" s="137">
        <v>410.89</v>
      </c>
      <c r="H402" s="137">
        <f>ROUND(G402*(1+$L$4),2)</f>
        <v>519.9</v>
      </c>
      <c r="I402" s="138">
        <f>TRUNC(F402*H402,2)</f>
        <v>2079.6</v>
      </c>
      <c r="J402" s="167"/>
      <c r="K402" s="111"/>
      <c r="L402" s="111"/>
      <c r="M402" s="111"/>
      <c r="N402" s="111"/>
      <c r="O402" s="111"/>
      <c r="P402" s="111"/>
      <c r="Q402" s="111"/>
    </row>
    <row r="403" spans="1:17" s="118" customFormat="1" ht="30.6" x14ac:dyDescent="0.2">
      <c r="A403" s="148" t="s">
        <v>896</v>
      </c>
      <c r="B403" s="148" t="s">
        <v>163</v>
      </c>
      <c r="C403" s="14" t="s">
        <v>194</v>
      </c>
      <c r="D403" s="314" t="s">
        <v>315</v>
      </c>
      <c r="E403" s="148" t="s">
        <v>31</v>
      </c>
      <c r="F403" s="137">
        <v>6</v>
      </c>
      <c r="G403" s="137">
        <v>64.06</v>
      </c>
      <c r="H403" s="137">
        <f>ROUND(G403*(1+$L$4),2)</f>
        <v>81.06</v>
      </c>
      <c r="I403" s="138">
        <f>TRUNC(F403*H403,2)</f>
        <v>486.36</v>
      </c>
      <c r="J403" s="167"/>
      <c r="K403" s="111"/>
      <c r="L403" s="111"/>
      <c r="M403" s="111"/>
      <c r="N403" s="111"/>
      <c r="O403" s="111"/>
      <c r="P403" s="111"/>
      <c r="Q403" s="111"/>
    </row>
    <row r="404" spans="1:17" s="118" customFormat="1" ht="51" x14ac:dyDescent="0.2">
      <c r="A404" s="148" t="s">
        <v>897</v>
      </c>
      <c r="B404" s="148" t="s">
        <v>89</v>
      </c>
      <c r="C404" s="14">
        <v>86942</v>
      </c>
      <c r="D404" s="314" t="s">
        <v>661</v>
      </c>
      <c r="E404" s="148" t="s">
        <v>33</v>
      </c>
      <c r="F404" s="137">
        <v>2</v>
      </c>
      <c r="G404" s="137">
        <v>168.74</v>
      </c>
      <c r="H404" s="137">
        <f>ROUND(G404*(1+$L$4),2)</f>
        <v>213.51</v>
      </c>
      <c r="I404" s="138">
        <f>TRUNC(F404*H404,2)</f>
        <v>427.02</v>
      </c>
      <c r="J404" s="167"/>
      <c r="K404" s="111"/>
      <c r="L404" s="111"/>
      <c r="M404" s="111"/>
      <c r="N404" s="111"/>
      <c r="O404" s="111"/>
      <c r="P404" s="111"/>
      <c r="Q404" s="111"/>
    </row>
    <row r="405" spans="1:17" s="145" customFormat="1" x14ac:dyDescent="0.2">
      <c r="A405" s="140" t="s">
        <v>898</v>
      </c>
      <c r="B405" s="140"/>
      <c r="C405" s="141"/>
      <c r="D405" s="112" t="s">
        <v>80</v>
      </c>
      <c r="E405" s="140"/>
      <c r="F405" s="142"/>
      <c r="G405" s="142"/>
      <c r="H405" s="142"/>
      <c r="I405" s="143">
        <f>SUM(I406:I406)</f>
        <v>3002.06</v>
      </c>
      <c r="J405" s="285"/>
      <c r="K405" s="144"/>
      <c r="L405" s="144"/>
      <c r="M405" s="144"/>
      <c r="N405" s="144"/>
      <c r="O405" s="144"/>
      <c r="P405" s="144"/>
      <c r="Q405" s="144"/>
    </row>
    <row r="406" spans="1:17" s="118" customFormat="1" x14ac:dyDescent="0.2">
      <c r="A406" s="148" t="s">
        <v>899</v>
      </c>
      <c r="B406" s="148" t="s">
        <v>179</v>
      </c>
      <c r="C406" s="14" t="s">
        <v>316</v>
      </c>
      <c r="D406" s="314" t="s">
        <v>317</v>
      </c>
      <c r="E406" s="148" t="s">
        <v>9</v>
      </c>
      <c r="F406" s="137">
        <v>409</v>
      </c>
      <c r="G406" s="137">
        <v>5.8</v>
      </c>
      <c r="H406" s="137">
        <f>ROUND(G406*(1+$L$4),2)</f>
        <v>7.34</v>
      </c>
      <c r="I406" s="138">
        <f>TRUNC(F406*H406,2)</f>
        <v>3002.06</v>
      </c>
      <c r="J406" s="167"/>
      <c r="K406" s="111"/>
      <c r="L406" s="111"/>
      <c r="M406" s="111"/>
      <c r="N406" s="111"/>
      <c r="O406" s="111"/>
      <c r="P406" s="111"/>
      <c r="Q406" s="111"/>
    </row>
    <row r="407" spans="1:17" s="145" customFormat="1" x14ac:dyDescent="0.2">
      <c r="A407" s="140" t="s">
        <v>900</v>
      </c>
      <c r="B407" s="140"/>
      <c r="C407" s="141"/>
      <c r="D407" s="112" t="s">
        <v>318</v>
      </c>
      <c r="E407" s="140"/>
      <c r="F407" s="142"/>
      <c r="G407" s="142"/>
      <c r="H407" s="142"/>
      <c r="I407" s="143">
        <f>SUM(I408:I408)</f>
        <v>86.81</v>
      </c>
      <c r="J407" s="285"/>
      <c r="K407" s="144"/>
      <c r="L407" s="144"/>
      <c r="M407" s="144"/>
      <c r="N407" s="144"/>
      <c r="O407" s="144"/>
      <c r="P407" s="144"/>
      <c r="Q407" s="144"/>
    </row>
    <row r="408" spans="1:17" s="118" customFormat="1" ht="20.399999999999999" x14ac:dyDescent="0.2">
      <c r="A408" s="148" t="s">
        <v>901</v>
      </c>
      <c r="B408" s="148" t="s">
        <v>89</v>
      </c>
      <c r="C408" s="14">
        <v>72144</v>
      </c>
      <c r="D408" s="314" t="s">
        <v>319</v>
      </c>
      <c r="E408" s="148" t="s">
        <v>33</v>
      </c>
      <c r="F408" s="137">
        <v>1</v>
      </c>
      <c r="G408" s="137">
        <v>68.61</v>
      </c>
      <c r="H408" s="137">
        <f>ROUND(G408*(1+$L$4),2)</f>
        <v>86.81</v>
      </c>
      <c r="I408" s="138">
        <f>TRUNC(F408*H408,2)</f>
        <v>86.81</v>
      </c>
      <c r="J408" s="167"/>
      <c r="K408" s="111"/>
      <c r="L408" s="111"/>
      <c r="M408" s="111"/>
      <c r="N408" s="111"/>
      <c r="O408" s="111"/>
      <c r="P408" s="111"/>
      <c r="Q408" s="111"/>
    </row>
    <row r="409" spans="1:17" s="118" customFormat="1" x14ac:dyDescent="0.2">
      <c r="A409" s="148"/>
      <c r="B409" s="148"/>
      <c r="C409" s="14"/>
      <c r="D409" s="314"/>
      <c r="E409" s="148"/>
      <c r="F409" s="137"/>
      <c r="G409" s="137"/>
      <c r="H409" s="137"/>
      <c r="I409" s="138"/>
      <c r="J409" s="167"/>
      <c r="K409" s="111"/>
      <c r="L409" s="111"/>
      <c r="M409" s="111"/>
      <c r="N409" s="111"/>
      <c r="O409" s="111"/>
      <c r="P409" s="111"/>
      <c r="Q409" s="111"/>
    </row>
    <row r="410" spans="1:17" s="241" customFormat="1" ht="26.4" x14ac:dyDescent="0.25">
      <c r="A410" s="236" t="s">
        <v>237</v>
      </c>
      <c r="B410" s="236"/>
      <c r="C410" s="237"/>
      <c r="D410" s="289" t="s">
        <v>329</v>
      </c>
      <c r="E410" s="236"/>
      <c r="F410" s="238"/>
      <c r="G410" s="238"/>
      <c r="H410" s="238"/>
      <c r="I410" s="239">
        <f>I411+I420+I430+I418+I428</f>
        <v>14973.65</v>
      </c>
      <c r="J410" s="284" t="e">
        <f>I410/$I$476</f>
        <v>#VALUE!</v>
      </c>
      <c r="K410" s="240"/>
      <c r="L410" s="240"/>
      <c r="M410" s="240"/>
      <c r="N410" s="240"/>
      <c r="O410" s="240"/>
      <c r="P410" s="240"/>
      <c r="Q410" s="240"/>
    </row>
    <row r="411" spans="1:17" s="145" customFormat="1" x14ac:dyDescent="0.2">
      <c r="A411" s="140" t="s">
        <v>902</v>
      </c>
      <c r="B411" s="140"/>
      <c r="C411" s="141"/>
      <c r="D411" s="112" t="s">
        <v>30</v>
      </c>
      <c r="E411" s="140"/>
      <c r="F411" s="142"/>
      <c r="G411" s="142"/>
      <c r="H411" s="142"/>
      <c r="I411" s="143">
        <f>SUM(I412:I417)</f>
        <v>1814.12</v>
      </c>
      <c r="J411" s="285"/>
      <c r="K411" s="144"/>
      <c r="L411" s="144"/>
      <c r="M411" s="144"/>
      <c r="N411" s="144"/>
      <c r="O411" s="144"/>
      <c r="P411" s="144"/>
      <c r="Q411" s="144"/>
    </row>
    <row r="412" spans="1:17" s="118" customFormat="1" ht="30.6" x14ac:dyDescent="0.2">
      <c r="A412" s="148" t="s">
        <v>917</v>
      </c>
      <c r="B412" s="148" t="s">
        <v>163</v>
      </c>
      <c r="C412" s="14" t="s">
        <v>240</v>
      </c>
      <c r="D412" s="314" t="s">
        <v>403</v>
      </c>
      <c r="E412" s="148" t="s">
        <v>31</v>
      </c>
      <c r="F412" s="137">
        <v>6</v>
      </c>
      <c r="G412" s="137">
        <v>73.44</v>
      </c>
      <c r="H412" s="137">
        <f t="shared" ref="H412:H417" si="34">ROUND(G412*(1+$L$4),2)</f>
        <v>92.92</v>
      </c>
      <c r="I412" s="138">
        <f t="shared" ref="I412:I417" si="35">TRUNC(F412*H412,2)</f>
        <v>557.52</v>
      </c>
      <c r="J412" s="167"/>
      <c r="K412" s="111"/>
      <c r="L412" s="111"/>
      <c r="M412" s="111"/>
      <c r="N412" s="111"/>
      <c r="O412" s="111"/>
      <c r="P412" s="111"/>
      <c r="Q412" s="111"/>
    </row>
    <row r="413" spans="1:17" s="118" customFormat="1" ht="30.6" x14ac:dyDescent="0.2">
      <c r="A413" s="148" t="s">
        <v>919</v>
      </c>
      <c r="B413" s="148" t="s">
        <v>179</v>
      </c>
      <c r="C413" s="14" t="s">
        <v>672</v>
      </c>
      <c r="D413" s="314" t="s">
        <v>567</v>
      </c>
      <c r="E413" s="148" t="s">
        <v>33</v>
      </c>
      <c r="F413" s="137">
        <v>6</v>
      </c>
      <c r="G413" s="137">
        <f>'COMPOSICOES - SINAPI COM DESON'!G50</f>
        <v>104.48</v>
      </c>
      <c r="H413" s="137">
        <f t="shared" si="34"/>
        <v>132.19999999999999</v>
      </c>
      <c r="I413" s="138">
        <f t="shared" si="35"/>
        <v>793.2</v>
      </c>
      <c r="J413" s="167"/>
      <c r="K413" s="111"/>
      <c r="L413" s="111"/>
      <c r="M413" s="111"/>
      <c r="N413" s="111"/>
      <c r="O413" s="111"/>
      <c r="P413" s="111"/>
      <c r="Q413" s="111"/>
    </row>
    <row r="414" spans="1:17" s="118" customFormat="1" ht="40.799999999999997" x14ac:dyDescent="0.2">
      <c r="A414" s="148" t="s">
        <v>920</v>
      </c>
      <c r="B414" s="148" t="s">
        <v>89</v>
      </c>
      <c r="C414" s="14">
        <v>93144</v>
      </c>
      <c r="D414" s="314" t="s">
        <v>295</v>
      </c>
      <c r="E414" s="148" t="s">
        <v>33</v>
      </c>
      <c r="F414" s="137">
        <v>1</v>
      </c>
      <c r="G414" s="137">
        <v>166.81</v>
      </c>
      <c r="H414" s="137">
        <f t="shared" si="34"/>
        <v>211.06</v>
      </c>
      <c r="I414" s="138">
        <f t="shared" si="35"/>
        <v>211.06</v>
      </c>
      <c r="J414" s="167"/>
      <c r="K414" s="111"/>
      <c r="L414" s="111"/>
      <c r="M414" s="111"/>
      <c r="N414" s="111"/>
      <c r="O414" s="111"/>
      <c r="P414" s="111"/>
      <c r="Q414" s="111"/>
    </row>
    <row r="415" spans="1:17" s="118" customFormat="1" ht="40.799999999999997" x14ac:dyDescent="0.2">
      <c r="A415" s="148" t="s">
        <v>921</v>
      </c>
      <c r="B415" s="148" t="s">
        <v>163</v>
      </c>
      <c r="C415" s="14" t="s">
        <v>192</v>
      </c>
      <c r="D415" s="314" t="s">
        <v>712</v>
      </c>
      <c r="E415" s="148" t="s">
        <v>31</v>
      </c>
      <c r="F415" s="137">
        <v>1</v>
      </c>
      <c r="G415" s="137">
        <v>46.44</v>
      </c>
      <c r="H415" s="137">
        <f t="shared" si="34"/>
        <v>58.76</v>
      </c>
      <c r="I415" s="138">
        <f t="shared" si="35"/>
        <v>58.76</v>
      </c>
      <c r="J415" s="167"/>
      <c r="K415" s="111"/>
      <c r="L415" s="111"/>
      <c r="M415" s="111"/>
      <c r="N415" s="111"/>
      <c r="O415" s="111"/>
      <c r="P415" s="111"/>
      <c r="Q415" s="111"/>
    </row>
    <row r="416" spans="1:17" s="118" customFormat="1" ht="40.799999999999997" x14ac:dyDescent="0.2">
      <c r="A416" s="148" t="s">
        <v>922</v>
      </c>
      <c r="B416" s="148" t="s">
        <v>163</v>
      </c>
      <c r="C416" s="14" t="s">
        <v>188</v>
      </c>
      <c r="D416" s="314" t="s">
        <v>719</v>
      </c>
      <c r="E416" s="148" t="s">
        <v>33</v>
      </c>
      <c r="F416" s="137">
        <v>1</v>
      </c>
      <c r="G416" s="137">
        <v>65.69</v>
      </c>
      <c r="H416" s="137">
        <f t="shared" si="34"/>
        <v>83.12</v>
      </c>
      <c r="I416" s="138">
        <f t="shared" si="35"/>
        <v>83.12</v>
      </c>
      <c r="J416" s="167"/>
      <c r="K416" s="111"/>
      <c r="L416" s="111"/>
      <c r="M416" s="111"/>
      <c r="N416" s="111"/>
      <c r="O416" s="111"/>
      <c r="P416" s="111"/>
      <c r="Q416" s="111"/>
    </row>
    <row r="417" spans="1:17" s="118" customFormat="1" ht="30.6" x14ac:dyDescent="0.2">
      <c r="A417" s="148" t="s">
        <v>923</v>
      </c>
      <c r="B417" s="148" t="s">
        <v>163</v>
      </c>
      <c r="C417" s="14" t="s">
        <v>190</v>
      </c>
      <c r="D417" s="314" t="s">
        <v>290</v>
      </c>
      <c r="E417" s="148" t="s">
        <v>33</v>
      </c>
      <c r="F417" s="137">
        <v>6</v>
      </c>
      <c r="G417" s="137">
        <v>14.55</v>
      </c>
      <c r="H417" s="137">
        <f t="shared" si="34"/>
        <v>18.41</v>
      </c>
      <c r="I417" s="138">
        <f t="shared" si="35"/>
        <v>110.46</v>
      </c>
      <c r="J417" s="167"/>
      <c r="K417" s="111"/>
      <c r="L417" s="111"/>
      <c r="M417" s="111"/>
      <c r="N417" s="111"/>
      <c r="O417" s="111"/>
      <c r="P417" s="111"/>
      <c r="Q417" s="111"/>
    </row>
    <row r="418" spans="1:17" s="145" customFormat="1" x14ac:dyDescent="0.2">
      <c r="A418" s="140" t="s">
        <v>903</v>
      </c>
      <c r="B418" s="140"/>
      <c r="C418" s="141"/>
      <c r="D418" s="112" t="s">
        <v>28</v>
      </c>
      <c r="E418" s="140"/>
      <c r="F418" s="142"/>
      <c r="G418" s="142"/>
      <c r="H418" s="142"/>
      <c r="I418" s="143">
        <f>SUM(I419:I419)</f>
        <v>2368.27</v>
      </c>
      <c r="J418" s="285"/>
      <c r="K418" s="144"/>
      <c r="L418" s="144"/>
      <c r="M418" s="144"/>
      <c r="N418" s="144"/>
      <c r="O418" s="144"/>
      <c r="P418" s="144"/>
      <c r="Q418" s="144"/>
    </row>
    <row r="419" spans="1:17" s="118" customFormat="1" ht="30.6" x14ac:dyDescent="0.2">
      <c r="A419" s="148" t="s">
        <v>904</v>
      </c>
      <c r="B419" s="148" t="s">
        <v>163</v>
      </c>
      <c r="C419" s="14" t="s">
        <v>263</v>
      </c>
      <c r="D419" s="314" t="s">
        <v>264</v>
      </c>
      <c r="E419" s="148" t="s">
        <v>33</v>
      </c>
      <c r="F419" s="137">
        <v>6.51</v>
      </c>
      <c r="G419" s="137">
        <v>287.51</v>
      </c>
      <c r="H419" s="137">
        <f>ROUND(G419*(1+$L$4),2)</f>
        <v>363.79</v>
      </c>
      <c r="I419" s="138">
        <f>TRUNC(F419*H419,2)</f>
        <v>2368.27</v>
      </c>
      <c r="J419" s="167"/>
      <c r="K419" s="111"/>
      <c r="L419" s="111"/>
      <c r="M419" s="111"/>
      <c r="N419" s="111"/>
      <c r="O419" s="111"/>
      <c r="P419" s="111"/>
      <c r="Q419" s="111"/>
    </row>
    <row r="420" spans="1:17" s="145" customFormat="1" x14ac:dyDescent="0.2">
      <c r="A420" s="140" t="s">
        <v>905</v>
      </c>
      <c r="B420" s="140"/>
      <c r="C420" s="141"/>
      <c r="D420" s="112" t="s">
        <v>211</v>
      </c>
      <c r="E420" s="140"/>
      <c r="F420" s="142"/>
      <c r="G420" s="142"/>
      <c r="H420" s="142"/>
      <c r="I420" s="143">
        <f>SUM(I421:I427)</f>
        <v>6363.6399999999994</v>
      </c>
      <c r="J420" s="285"/>
      <c r="K420" s="144"/>
      <c r="L420" s="144"/>
      <c r="M420" s="144"/>
      <c r="N420" s="144"/>
      <c r="O420" s="144"/>
      <c r="P420" s="144"/>
      <c r="Q420" s="144"/>
    </row>
    <row r="421" spans="1:17" s="118" customFormat="1" ht="51" x14ac:dyDescent="0.2">
      <c r="A421" s="148" t="s">
        <v>906</v>
      </c>
      <c r="B421" s="148" t="s">
        <v>89</v>
      </c>
      <c r="C421" s="14">
        <v>86942</v>
      </c>
      <c r="D421" s="314" t="s">
        <v>661</v>
      </c>
      <c r="E421" s="148" t="s">
        <v>33</v>
      </c>
      <c r="F421" s="137">
        <v>8</v>
      </c>
      <c r="G421" s="137">
        <v>168.74</v>
      </c>
      <c r="H421" s="137">
        <f t="shared" ref="H421:H427" si="36">ROUND(G421*(1+$L$4),2)</f>
        <v>213.51</v>
      </c>
      <c r="I421" s="138">
        <f t="shared" ref="I421:I427" si="37">TRUNC(F421*H421,2)</f>
        <v>1708.08</v>
      </c>
      <c r="J421" s="167"/>
      <c r="K421" s="111"/>
      <c r="L421" s="111"/>
      <c r="M421" s="111"/>
      <c r="N421" s="111"/>
      <c r="O421" s="111"/>
      <c r="P421" s="111"/>
      <c r="Q421" s="111"/>
    </row>
    <row r="422" spans="1:17" s="118" customFormat="1" ht="20.399999999999999" x14ac:dyDescent="0.2">
      <c r="A422" s="148" t="s">
        <v>907</v>
      </c>
      <c r="B422" s="148" t="s">
        <v>163</v>
      </c>
      <c r="C422" s="14" t="s">
        <v>349</v>
      </c>
      <c r="D422" s="314" t="s">
        <v>350</v>
      </c>
      <c r="E422" s="148" t="s">
        <v>33</v>
      </c>
      <c r="F422" s="137">
        <v>4</v>
      </c>
      <c r="G422" s="137">
        <v>12.45</v>
      </c>
      <c r="H422" s="137">
        <f t="shared" si="36"/>
        <v>15.75</v>
      </c>
      <c r="I422" s="138">
        <f t="shared" si="37"/>
        <v>63</v>
      </c>
      <c r="J422" s="167"/>
      <c r="K422" s="111"/>
      <c r="L422" s="111"/>
      <c r="M422" s="111"/>
      <c r="N422" s="111"/>
      <c r="O422" s="111"/>
      <c r="P422" s="111"/>
      <c r="Q422" s="111"/>
    </row>
    <row r="423" spans="1:17" s="118" customFormat="1" ht="30.6" x14ac:dyDescent="0.2">
      <c r="A423" s="148" t="s">
        <v>908</v>
      </c>
      <c r="B423" s="148" t="s">
        <v>89</v>
      </c>
      <c r="C423" s="14">
        <v>86906</v>
      </c>
      <c r="D423" s="314" t="s">
        <v>261</v>
      </c>
      <c r="E423" s="148" t="s">
        <v>33</v>
      </c>
      <c r="F423" s="137">
        <v>8</v>
      </c>
      <c r="G423" s="137">
        <v>47.41</v>
      </c>
      <c r="H423" s="137">
        <f t="shared" si="36"/>
        <v>59.99</v>
      </c>
      <c r="I423" s="138">
        <f t="shared" si="37"/>
        <v>479.92</v>
      </c>
      <c r="J423" s="167"/>
      <c r="K423" s="111"/>
      <c r="L423" s="111"/>
      <c r="M423" s="111"/>
      <c r="N423" s="111"/>
      <c r="O423" s="111"/>
      <c r="P423" s="111"/>
      <c r="Q423" s="111"/>
    </row>
    <row r="424" spans="1:17" s="118" customFormat="1" ht="30.6" x14ac:dyDescent="0.2">
      <c r="A424" s="148" t="s">
        <v>909</v>
      </c>
      <c r="B424" s="148" t="s">
        <v>163</v>
      </c>
      <c r="C424" s="14" t="s">
        <v>194</v>
      </c>
      <c r="D424" s="314" t="s">
        <v>252</v>
      </c>
      <c r="E424" s="148" t="s">
        <v>31</v>
      </c>
      <c r="F424" s="137">
        <v>6</v>
      </c>
      <c r="G424" s="137">
        <v>64.06</v>
      </c>
      <c r="H424" s="137">
        <f t="shared" si="36"/>
        <v>81.06</v>
      </c>
      <c r="I424" s="138">
        <f t="shared" si="37"/>
        <v>486.36</v>
      </c>
      <c r="J424" s="167"/>
      <c r="K424" s="111"/>
      <c r="L424" s="111"/>
      <c r="M424" s="111"/>
      <c r="N424" s="111"/>
      <c r="O424" s="111"/>
      <c r="P424" s="111"/>
      <c r="Q424" s="111"/>
    </row>
    <row r="425" spans="1:17" s="118" customFormat="1" ht="20.399999999999999" x14ac:dyDescent="0.2">
      <c r="A425" s="148" t="s">
        <v>910</v>
      </c>
      <c r="B425" s="148" t="s">
        <v>89</v>
      </c>
      <c r="C425" s="14">
        <v>95469</v>
      </c>
      <c r="D425" s="314" t="s">
        <v>441</v>
      </c>
      <c r="E425" s="148" t="s">
        <v>33</v>
      </c>
      <c r="F425" s="137">
        <v>3</v>
      </c>
      <c r="G425" s="137">
        <v>154.4</v>
      </c>
      <c r="H425" s="137">
        <f t="shared" si="36"/>
        <v>195.36</v>
      </c>
      <c r="I425" s="138">
        <f t="shared" si="37"/>
        <v>586.08000000000004</v>
      </c>
      <c r="J425" s="167"/>
      <c r="K425" s="111"/>
      <c r="L425" s="111"/>
      <c r="M425" s="111"/>
      <c r="N425" s="111"/>
      <c r="O425" s="111"/>
      <c r="P425" s="111"/>
      <c r="Q425" s="111"/>
    </row>
    <row r="426" spans="1:17" s="118" customFormat="1" ht="30.6" x14ac:dyDescent="0.2">
      <c r="A426" s="148" t="s">
        <v>911</v>
      </c>
      <c r="B426" s="148" t="s">
        <v>163</v>
      </c>
      <c r="C426" s="14" t="s">
        <v>249</v>
      </c>
      <c r="D426" s="314" t="s">
        <v>250</v>
      </c>
      <c r="E426" s="148" t="s">
        <v>33</v>
      </c>
      <c r="F426" s="137">
        <v>3</v>
      </c>
      <c r="G426" s="137">
        <v>116.1</v>
      </c>
      <c r="H426" s="137">
        <f t="shared" si="36"/>
        <v>146.9</v>
      </c>
      <c r="I426" s="138">
        <f t="shared" si="37"/>
        <v>440.7</v>
      </c>
      <c r="J426" s="167"/>
      <c r="K426" s="111"/>
      <c r="L426" s="111"/>
      <c r="M426" s="111"/>
      <c r="N426" s="111"/>
      <c r="O426" s="111"/>
      <c r="P426" s="111"/>
      <c r="Q426" s="111"/>
    </row>
    <row r="427" spans="1:17" s="118" customFormat="1" ht="51" x14ac:dyDescent="0.2">
      <c r="A427" s="148" t="s">
        <v>912</v>
      </c>
      <c r="B427" s="148" t="s">
        <v>89</v>
      </c>
      <c r="C427" s="14">
        <v>72739</v>
      </c>
      <c r="D427" s="314" t="s">
        <v>311</v>
      </c>
      <c r="E427" s="148" t="s">
        <v>33</v>
      </c>
      <c r="F427" s="137">
        <v>5</v>
      </c>
      <c r="G427" s="137">
        <v>410.89</v>
      </c>
      <c r="H427" s="137">
        <f t="shared" si="36"/>
        <v>519.9</v>
      </c>
      <c r="I427" s="138">
        <f t="shared" si="37"/>
        <v>2599.5</v>
      </c>
      <c r="J427" s="167"/>
      <c r="K427" s="111"/>
      <c r="L427" s="111"/>
      <c r="M427" s="111"/>
      <c r="N427" s="111"/>
      <c r="O427" s="111"/>
      <c r="P427" s="111"/>
      <c r="Q427" s="111"/>
    </row>
    <row r="428" spans="1:17" s="145" customFormat="1" x14ac:dyDescent="0.2">
      <c r="A428" s="140" t="s">
        <v>913</v>
      </c>
      <c r="B428" s="140"/>
      <c r="C428" s="141"/>
      <c r="D428" s="112" t="s">
        <v>29</v>
      </c>
      <c r="E428" s="140"/>
      <c r="F428" s="142"/>
      <c r="G428" s="142"/>
      <c r="H428" s="142"/>
      <c r="I428" s="143">
        <f>SUM(I429:I429)</f>
        <v>110.53</v>
      </c>
      <c r="J428" s="285"/>
      <c r="K428" s="144"/>
      <c r="L428" s="144"/>
      <c r="M428" s="144"/>
      <c r="N428" s="144"/>
      <c r="O428" s="144"/>
      <c r="P428" s="144"/>
      <c r="Q428" s="144"/>
    </row>
    <row r="429" spans="1:17" s="118" customFormat="1" ht="40.799999999999997" x14ac:dyDescent="0.2">
      <c r="A429" s="148" t="s">
        <v>914</v>
      </c>
      <c r="B429" s="148" t="s">
        <v>163</v>
      </c>
      <c r="C429" s="14" t="s">
        <v>176</v>
      </c>
      <c r="D429" s="314" t="s">
        <v>269</v>
      </c>
      <c r="E429" s="148" t="s">
        <v>9</v>
      </c>
      <c r="F429" s="137">
        <v>6.51</v>
      </c>
      <c r="G429" s="137">
        <v>13.42</v>
      </c>
      <c r="H429" s="137">
        <f>ROUND(G429*(1+$L$4),2)</f>
        <v>16.98</v>
      </c>
      <c r="I429" s="138">
        <f>TRUNC(F429*H429,2)</f>
        <v>110.53</v>
      </c>
      <c r="J429" s="167"/>
      <c r="K429" s="111"/>
      <c r="L429" s="111"/>
      <c r="M429" s="111"/>
      <c r="N429" s="111"/>
      <c r="O429" s="111"/>
      <c r="P429" s="111"/>
      <c r="Q429" s="111"/>
    </row>
    <row r="430" spans="1:17" s="145" customFormat="1" x14ac:dyDescent="0.2">
      <c r="A430" s="140" t="s">
        <v>915</v>
      </c>
      <c r="B430" s="140"/>
      <c r="C430" s="141"/>
      <c r="D430" s="112" t="s">
        <v>80</v>
      </c>
      <c r="E430" s="140"/>
      <c r="F430" s="142"/>
      <c r="G430" s="142"/>
      <c r="H430" s="142"/>
      <c r="I430" s="143">
        <f>SUM(I431:I431)</f>
        <v>4317.09</v>
      </c>
      <c r="J430" s="285"/>
      <c r="K430" s="144"/>
      <c r="L430" s="144"/>
      <c r="M430" s="144"/>
      <c r="N430" s="144"/>
      <c r="O430" s="144"/>
      <c r="P430" s="144"/>
      <c r="Q430" s="144"/>
    </row>
    <row r="431" spans="1:17" s="118" customFormat="1" x14ac:dyDescent="0.2">
      <c r="A431" s="148" t="s">
        <v>916</v>
      </c>
      <c r="B431" s="148" t="s">
        <v>179</v>
      </c>
      <c r="C431" s="14" t="s">
        <v>316</v>
      </c>
      <c r="D431" s="314" t="s">
        <v>317</v>
      </c>
      <c r="E431" s="148" t="s">
        <v>9</v>
      </c>
      <c r="F431" s="137">
        <v>588.16</v>
      </c>
      <c r="G431" s="137">
        <v>5.8</v>
      </c>
      <c r="H431" s="137">
        <f>ROUND(G431*(1+$L$4),2)</f>
        <v>7.34</v>
      </c>
      <c r="I431" s="138">
        <f>TRUNC(F431*H431,2)</f>
        <v>4317.09</v>
      </c>
      <c r="J431" s="167"/>
      <c r="K431" s="111"/>
      <c r="L431" s="111"/>
      <c r="M431" s="111"/>
      <c r="N431" s="111"/>
      <c r="O431" s="111"/>
      <c r="P431" s="111"/>
      <c r="Q431" s="111"/>
    </row>
    <row r="432" spans="1:17" s="118" customFormat="1" x14ac:dyDescent="0.2">
      <c r="A432" s="148"/>
      <c r="B432" s="148"/>
      <c r="C432" s="14"/>
      <c r="D432" s="314"/>
      <c r="E432" s="148"/>
      <c r="F432" s="137"/>
      <c r="G432" s="137"/>
      <c r="H432" s="137"/>
      <c r="I432" s="138"/>
      <c r="J432" s="167"/>
      <c r="K432" s="111"/>
      <c r="L432" s="111"/>
      <c r="M432" s="111"/>
      <c r="N432" s="111"/>
      <c r="O432" s="111"/>
      <c r="P432" s="111"/>
      <c r="Q432" s="111"/>
    </row>
    <row r="433" spans="1:17" s="241" customFormat="1" ht="13.2" x14ac:dyDescent="0.25">
      <c r="A433" s="236" t="s">
        <v>238</v>
      </c>
      <c r="B433" s="236"/>
      <c r="C433" s="237"/>
      <c r="D433" s="289" t="s">
        <v>229</v>
      </c>
      <c r="E433" s="236"/>
      <c r="F433" s="238"/>
      <c r="G433" s="238"/>
      <c r="H433" s="238"/>
      <c r="I433" s="239" t="e">
        <f>I434+I440+I443+I446+I450+I452</f>
        <v>#VALUE!</v>
      </c>
      <c r="J433" s="284" t="e">
        <f>I433/$I$476</f>
        <v>#VALUE!</v>
      </c>
      <c r="K433" s="240"/>
      <c r="L433" s="240"/>
      <c r="M433" s="240"/>
      <c r="N433" s="240"/>
      <c r="O433" s="240"/>
      <c r="P433" s="240"/>
      <c r="Q433" s="240"/>
    </row>
    <row r="434" spans="1:17" s="145" customFormat="1" x14ac:dyDescent="0.2">
      <c r="A434" s="140" t="s">
        <v>321</v>
      </c>
      <c r="B434" s="140"/>
      <c r="C434" s="141"/>
      <c r="D434" s="112" t="s">
        <v>30</v>
      </c>
      <c r="E434" s="140"/>
      <c r="F434" s="142"/>
      <c r="G434" s="142"/>
      <c r="H434" s="142"/>
      <c r="I434" s="143" t="e">
        <f>SUM(I435:I439)</f>
        <v>#VALUE!</v>
      </c>
      <c r="J434" s="285"/>
      <c r="K434" s="144"/>
      <c r="L434" s="144"/>
      <c r="M434" s="144"/>
      <c r="N434" s="144"/>
      <c r="O434" s="144"/>
      <c r="P434" s="144"/>
      <c r="Q434" s="144"/>
    </row>
    <row r="435" spans="1:17" s="118" customFormat="1" ht="51" x14ac:dyDescent="0.2">
      <c r="A435" s="148" t="s">
        <v>322</v>
      </c>
      <c r="B435" s="148" t="s">
        <v>179</v>
      </c>
      <c r="C435" s="14" t="s">
        <v>417</v>
      </c>
      <c r="D435" s="314" t="s">
        <v>561</v>
      </c>
      <c r="E435" s="148" t="s">
        <v>31</v>
      </c>
      <c r="F435" s="137">
        <v>11</v>
      </c>
      <c r="G435" s="137" t="e">
        <f>'COMPOSICOES - SINAPI COM DESON'!G36</f>
        <v>#VALUE!</v>
      </c>
      <c r="H435" s="137" t="e">
        <f>ROUND(G435*(1+$L$4),2)</f>
        <v>#VALUE!</v>
      </c>
      <c r="I435" s="138" t="e">
        <f>TRUNC(F435*H435,2)</f>
        <v>#VALUE!</v>
      </c>
      <c r="J435" s="167"/>
      <c r="K435" s="111"/>
      <c r="L435" s="111"/>
      <c r="M435" s="111"/>
      <c r="N435" s="111"/>
      <c r="O435" s="111"/>
      <c r="P435" s="111"/>
      <c r="Q435" s="111"/>
    </row>
    <row r="436" spans="1:17" s="118" customFormat="1" ht="40.799999999999997" x14ac:dyDescent="0.2">
      <c r="A436" s="148" t="s">
        <v>323</v>
      </c>
      <c r="B436" s="148" t="s">
        <v>163</v>
      </c>
      <c r="C436" s="14" t="s">
        <v>244</v>
      </c>
      <c r="D436" s="314" t="s">
        <v>245</v>
      </c>
      <c r="E436" s="148" t="s">
        <v>31</v>
      </c>
      <c r="F436" s="137">
        <v>5</v>
      </c>
      <c r="G436" s="137">
        <v>116.08</v>
      </c>
      <c r="H436" s="137">
        <f>ROUND(G436*(1+$L$4),2)</f>
        <v>146.88</v>
      </c>
      <c r="I436" s="138">
        <f>TRUNC(F436*H436,2)</f>
        <v>734.4</v>
      </c>
      <c r="J436" s="167"/>
      <c r="K436" s="111"/>
      <c r="L436" s="111"/>
      <c r="M436" s="111"/>
      <c r="N436" s="111"/>
      <c r="O436" s="111"/>
      <c r="P436" s="111"/>
      <c r="Q436" s="111"/>
    </row>
    <row r="437" spans="1:17" s="118" customFormat="1" ht="30.6" x14ac:dyDescent="0.2">
      <c r="A437" s="148" t="s">
        <v>324</v>
      </c>
      <c r="B437" s="148" t="s">
        <v>179</v>
      </c>
      <c r="C437" s="14" t="s">
        <v>672</v>
      </c>
      <c r="D437" s="314" t="s">
        <v>567</v>
      </c>
      <c r="E437" s="148" t="s">
        <v>33</v>
      </c>
      <c r="F437" s="137">
        <v>37</v>
      </c>
      <c r="G437" s="137">
        <f>'COMPOSICOES - SINAPI COM DESON'!G50</f>
        <v>104.48</v>
      </c>
      <c r="H437" s="137">
        <f>ROUND(G437*(1+$L$4),2)</f>
        <v>132.19999999999999</v>
      </c>
      <c r="I437" s="138">
        <f>TRUNC(F437*H437,2)</f>
        <v>4891.3999999999996</v>
      </c>
      <c r="J437" s="167"/>
      <c r="K437" s="111"/>
      <c r="L437" s="111"/>
      <c r="M437" s="111"/>
      <c r="N437" s="111"/>
      <c r="O437" s="111"/>
      <c r="P437" s="111"/>
      <c r="Q437" s="111"/>
    </row>
    <row r="438" spans="1:17" s="118" customFormat="1" ht="40.799999999999997" x14ac:dyDescent="0.2">
      <c r="A438" s="148" t="s">
        <v>935</v>
      </c>
      <c r="B438" s="148" t="s">
        <v>163</v>
      </c>
      <c r="C438" s="14" t="s">
        <v>188</v>
      </c>
      <c r="D438" s="314" t="s">
        <v>719</v>
      </c>
      <c r="E438" s="148" t="s">
        <v>33</v>
      </c>
      <c r="F438" s="137">
        <v>1</v>
      </c>
      <c r="G438" s="137">
        <v>65.69</v>
      </c>
      <c r="H438" s="137">
        <f>ROUND(G438*(1+$L$4),2)</f>
        <v>83.12</v>
      </c>
      <c r="I438" s="138">
        <f>TRUNC(F438*H438,2)</f>
        <v>83.12</v>
      </c>
      <c r="J438" s="167"/>
      <c r="K438" s="111"/>
      <c r="L438" s="111"/>
      <c r="M438" s="111"/>
      <c r="N438" s="111"/>
      <c r="O438" s="111"/>
      <c r="P438" s="111"/>
      <c r="Q438" s="111"/>
    </row>
    <row r="439" spans="1:17" s="118" customFormat="1" ht="30.6" x14ac:dyDescent="0.2">
      <c r="A439" s="148" t="s">
        <v>936</v>
      </c>
      <c r="B439" s="148" t="s">
        <v>163</v>
      </c>
      <c r="C439" s="14" t="s">
        <v>190</v>
      </c>
      <c r="D439" s="314" t="s">
        <v>290</v>
      </c>
      <c r="E439" s="148" t="s">
        <v>33</v>
      </c>
      <c r="F439" s="137">
        <v>6</v>
      </c>
      <c r="G439" s="137">
        <v>14.55</v>
      </c>
      <c r="H439" s="137">
        <f>ROUND(G439*(1+$L$4),2)</f>
        <v>18.41</v>
      </c>
      <c r="I439" s="138">
        <f>TRUNC(F439*H439,2)</f>
        <v>110.46</v>
      </c>
      <c r="J439" s="167"/>
      <c r="K439" s="111"/>
      <c r="L439" s="111"/>
      <c r="M439" s="111"/>
      <c r="N439" s="111"/>
      <c r="O439" s="111"/>
      <c r="P439" s="111"/>
      <c r="Q439" s="111"/>
    </row>
    <row r="440" spans="1:17" s="145" customFormat="1" x14ac:dyDescent="0.2">
      <c r="A440" s="140" t="s">
        <v>325</v>
      </c>
      <c r="B440" s="140"/>
      <c r="C440" s="141"/>
      <c r="D440" s="112" t="s">
        <v>211</v>
      </c>
      <c r="E440" s="140"/>
      <c r="F440" s="142"/>
      <c r="G440" s="142"/>
      <c r="H440" s="142"/>
      <c r="I440" s="143">
        <f>SUM(I441:I442)</f>
        <v>1043.52</v>
      </c>
      <c r="J440" s="285"/>
      <c r="K440" s="144"/>
      <c r="L440" s="144"/>
      <c r="M440" s="144"/>
      <c r="N440" s="144"/>
      <c r="O440" s="144"/>
      <c r="P440" s="144"/>
      <c r="Q440" s="144"/>
    </row>
    <row r="441" spans="1:17" s="118" customFormat="1" ht="30.6" x14ac:dyDescent="0.2">
      <c r="A441" s="148" t="s">
        <v>326</v>
      </c>
      <c r="B441" s="148" t="s">
        <v>163</v>
      </c>
      <c r="C441" s="14" t="s">
        <v>249</v>
      </c>
      <c r="D441" s="314" t="s">
        <v>414</v>
      </c>
      <c r="E441" s="148" t="s">
        <v>33</v>
      </c>
      <c r="F441" s="137">
        <v>6</v>
      </c>
      <c r="G441" s="137">
        <v>116.1</v>
      </c>
      <c r="H441" s="137">
        <f>ROUND(G441*(1+$L$4),2)</f>
        <v>146.9</v>
      </c>
      <c r="I441" s="138">
        <f>TRUNC(F441*H441,2)</f>
        <v>881.4</v>
      </c>
      <c r="J441" s="167"/>
      <c r="K441" s="111"/>
      <c r="L441" s="111"/>
      <c r="M441" s="111"/>
      <c r="N441" s="111"/>
      <c r="O441" s="111"/>
      <c r="P441" s="111"/>
      <c r="Q441" s="111"/>
    </row>
    <row r="442" spans="1:17" s="118" customFormat="1" ht="30.6" x14ac:dyDescent="0.2">
      <c r="A442" s="148" t="s">
        <v>924</v>
      </c>
      <c r="B442" s="148" t="s">
        <v>163</v>
      </c>
      <c r="C442" s="14" t="s">
        <v>194</v>
      </c>
      <c r="D442" s="314" t="s">
        <v>252</v>
      </c>
      <c r="E442" s="148" t="s">
        <v>31</v>
      </c>
      <c r="F442" s="137">
        <v>2</v>
      </c>
      <c r="G442" s="137">
        <v>64.06</v>
      </c>
      <c r="H442" s="137">
        <f>ROUND(G442*(1+$L$4),2)</f>
        <v>81.06</v>
      </c>
      <c r="I442" s="138">
        <f>TRUNC(F442*H442,2)</f>
        <v>162.12</v>
      </c>
      <c r="J442" s="167"/>
      <c r="K442" s="111"/>
      <c r="L442" s="111"/>
      <c r="M442" s="111"/>
      <c r="N442" s="111"/>
      <c r="O442" s="111"/>
      <c r="P442" s="111"/>
      <c r="Q442" s="111"/>
    </row>
    <row r="443" spans="1:17" s="145" customFormat="1" x14ac:dyDescent="0.2">
      <c r="A443" s="140" t="s">
        <v>327</v>
      </c>
      <c r="B443" s="140"/>
      <c r="C443" s="141"/>
      <c r="D443" s="112" t="s">
        <v>80</v>
      </c>
      <c r="E443" s="140"/>
      <c r="F443" s="142"/>
      <c r="G443" s="142"/>
      <c r="H443" s="142"/>
      <c r="I443" s="143">
        <f>SUM(I444:I445)</f>
        <v>13917.900000000001</v>
      </c>
      <c r="J443" s="285"/>
      <c r="K443" s="144"/>
      <c r="L443" s="144"/>
      <c r="M443" s="144"/>
      <c r="N443" s="144"/>
      <c r="O443" s="144"/>
      <c r="P443" s="144"/>
      <c r="Q443" s="144"/>
    </row>
    <row r="444" spans="1:17" s="118" customFormat="1" x14ac:dyDescent="0.2">
      <c r="A444" s="148" t="s">
        <v>328</v>
      </c>
      <c r="B444" s="148" t="s">
        <v>179</v>
      </c>
      <c r="C444" s="14" t="s">
        <v>180</v>
      </c>
      <c r="D444" s="314" t="s">
        <v>77</v>
      </c>
      <c r="E444" s="148" t="s">
        <v>9</v>
      </c>
      <c r="F444" s="137">
        <v>818.14</v>
      </c>
      <c r="G444" s="137">
        <v>5.8</v>
      </c>
      <c r="H444" s="137">
        <f>ROUND(G444*(1+$L$4),2)</f>
        <v>7.34</v>
      </c>
      <c r="I444" s="138">
        <f>TRUNC(F444*H444,2)</f>
        <v>6005.14</v>
      </c>
      <c r="J444" s="167"/>
      <c r="K444" s="111"/>
      <c r="L444" s="111"/>
      <c r="M444" s="111"/>
      <c r="N444" s="111"/>
      <c r="O444" s="111"/>
      <c r="P444" s="111"/>
      <c r="Q444" s="111"/>
    </row>
    <row r="445" spans="1:17" s="118" customFormat="1" ht="30.6" x14ac:dyDescent="0.2">
      <c r="A445" s="148" t="s">
        <v>925</v>
      </c>
      <c r="B445" s="148" t="s">
        <v>89</v>
      </c>
      <c r="C445" s="14">
        <v>11587</v>
      </c>
      <c r="D445" s="314" t="s">
        <v>714</v>
      </c>
      <c r="E445" s="148" t="s">
        <v>9</v>
      </c>
      <c r="F445" s="137">
        <v>104.28000000000002</v>
      </c>
      <c r="G445" s="137">
        <v>59.97</v>
      </c>
      <c r="H445" s="137">
        <f>ROUND(G445*(1+$L$4),2)</f>
        <v>75.88</v>
      </c>
      <c r="I445" s="138">
        <f>TRUNC(F445*H445,2)</f>
        <v>7912.76</v>
      </c>
      <c r="J445" s="167"/>
      <c r="K445" s="111"/>
      <c r="L445" s="111"/>
      <c r="M445" s="111"/>
      <c r="N445" s="111"/>
      <c r="O445" s="111"/>
      <c r="P445" s="111"/>
      <c r="Q445" s="111"/>
    </row>
    <row r="446" spans="1:17" s="145" customFormat="1" x14ac:dyDescent="0.2">
      <c r="A446" s="140" t="s">
        <v>926</v>
      </c>
      <c r="B446" s="140"/>
      <c r="C446" s="141"/>
      <c r="D446" s="112" t="s">
        <v>436</v>
      </c>
      <c r="E446" s="140"/>
      <c r="F446" s="142"/>
      <c r="G446" s="142"/>
      <c r="H446" s="142"/>
      <c r="I446" s="143">
        <f>SUM(I447:I449)</f>
        <v>1118.92</v>
      </c>
      <c r="J446" s="285"/>
      <c r="K446" s="144"/>
      <c r="L446" s="144"/>
      <c r="M446" s="144"/>
      <c r="N446" s="144"/>
      <c r="O446" s="144"/>
      <c r="P446" s="144"/>
      <c r="Q446" s="144"/>
    </row>
    <row r="447" spans="1:17" s="118" customFormat="1" ht="30.6" x14ac:dyDescent="0.2">
      <c r="A447" s="148" t="s">
        <v>927</v>
      </c>
      <c r="B447" s="148" t="s">
        <v>163</v>
      </c>
      <c r="C447" s="14" t="s">
        <v>263</v>
      </c>
      <c r="D447" s="314" t="s">
        <v>264</v>
      </c>
      <c r="E447" s="148" t="s">
        <v>33</v>
      </c>
      <c r="F447" s="137">
        <v>1.37</v>
      </c>
      <c r="G447" s="137">
        <v>287.51</v>
      </c>
      <c r="H447" s="137">
        <f>ROUND(G447*(1+$L$4),2)</f>
        <v>363.79</v>
      </c>
      <c r="I447" s="138">
        <f>TRUNC(F447*H447,2)</f>
        <v>498.39</v>
      </c>
      <c r="J447" s="167"/>
      <c r="K447" s="111"/>
      <c r="L447" s="111"/>
      <c r="M447" s="111"/>
      <c r="N447" s="111"/>
      <c r="O447" s="111"/>
      <c r="P447" s="111"/>
      <c r="Q447" s="111"/>
    </row>
    <row r="448" spans="1:17" s="118" customFormat="1" ht="20.399999999999999" x14ac:dyDescent="0.2">
      <c r="A448" s="148" t="s">
        <v>928</v>
      </c>
      <c r="B448" s="148" t="s">
        <v>163</v>
      </c>
      <c r="C448" s="14" t="s">
        <v>695</v>
      </c>
      <c r="D448" s="314" t="s">
        <v>696</v>
      </c>
      <c r="E448" s="148" t="s">
        <v>33</v>
      </c>
      <c r="F448" s="137">
        <v>1.5</v>
      </c>
      <c r="G448" s="137">
        <v>221.95</v>
      </c>
      <c r="H448" s="137">
        <f>ROUND(G448*(1+$L$4),2)</f>
        <v>280.83</v>
      </c>
      <c r="I448" s="138">
        <f>TRUNC(F448*H448,2)</f>
        <v>421.24</v>
      </c>
      <c r="J448" s="167"/>
      <c r="K448" s="111"/>
      <c r="L448" s="111"/>
      <c r="M448" s="111"/>
      <c r="N448" s="111"/>
      <c r="O448" s="111"/>
      <c r="P448" s="111"/>
      <c r="Q448" s="111"/>
    </row>
    <row r="449" spans="1:17" s="118" customFormat="1" ht="20.399999999999999" x14ac:dyDescent="0.2">
      <c r="A449" s="148" t="s">
        <v>929</v>
      </c>
      <c r="B449" s="148" t="s">
        <v>163</v>
      </c>
      <c r="C449" s="14" t="s">
        <v>474</v>
      </c>
      <c r="D449" s="314" t="s">
        <v>475</v>
      </c>
      <c r="E449" s="148" t="s">
        <v>33</v>
      </c>
      <c r="F449" s="137">
        <v>1.5</v>
      </c>
      <c r="G449" s="137">
        <v>105</v>
      </c>
      <c r="H449" s="137">
        <f>ROUND(G449*(1+$L$4),2)</f>
        <v>132.86000000000001</v>
      </c>
      <c r="I449" s="138">
        <f>TRUNC(F449*H449,2)</f>
        <v>199.29</v>
      </c>
      <c r="J449" s="167"/>
      <c r="K449" s="111"/>
      <c r="L449" s="111"/>
      <c r="M449" s="111"/>
      <c r="N449" s="111"/>
      <c r="O449" s="111"/>
      <c r="P449" s="111"/>
      <c r="Q449" s="111"/>
    </row>
    <row r="450" spans="1:17" s="145" customFormat="1" x14ac:dyDescent="0.2">
      <c r="A450" s="140" t="s">
        <v>930</v>
      </c>
      <c r="B450" s="140"/>
      <c r="C450" s="141"/>
      <c r="D450" s="112" t="s">
        <v>29</v>
      </c>
      <c r="E450" s="140"/>
      <c r="F450" s="142"/>
      <c r="G450" s="142"/>
      <c r="H450" s="142"/>
      <c r="I450" s="143">
        <f>SUM(I451:I451)</f>
        <v>46.35</v>
      </c>
      <c r="J450" s="285"/>
      <c r="K450" s="144"/>
      <c r="L450" s="144"/>
      <c r="M450" s="144"/>
      <c r="N450" s="144"/>
      <c r="O450" s="144"/>
      <c r="P450" s="144"/>
      <c r="Q450" s="144"/>
    </row>
    <row r="451" spans="1:17" s="118" customFormat="1" ht="40.799999999999997" x14ac:dyDescent="0.2">
      <c r="A451" s="148" t="s">
        <v>931</v>
      </c>
      <c r="B451" s="148" t="s">
        <v>163</v>
      </c>
      <c r="C451" s="14" t="s">
        <v>176</v>
      </c>
      <c r="D451" s="314" t="s">
        <v>269</v>
      </c>
      <c r="E451" s="148" t="s">
        <v>9</v>
      </c>
      <c r="F451" s="137">
        <v>2.73</v>
      </c>
      <c r="G451" s="137">
        <v>13.42</v>
      </c>
      <c r="H451" s="137">
        <f>ROUND(G451*(1+$L$4),2)</f>
        <v>16.98</v>
      </c>
      <c r="I451" s="138">
        <f>TRUNC(F451*H451,2)</f>
        <v>46.35</v>
      </c>
      <c r="J451" s="167"/>
      <c r="K451" s="111"/>
      <c r="L451" s="111"/>
      <c r="M451" s="111"/>
      <c r="N451" s="111"/>
      <c r="O451" s="111"/>
      <c r="P451" s="111"/>
      <c r="Q451" s="111"/>
    </row>
    <row r="452" spans="1:17" s="145" customFormat="1" x14ac:dyDescent="0.2">
      <c r="A452" s="140" t="s">
        <v>932</v>
      </c>
      <c r="B452" s="140"/>
      <c r="C452" s="141"/>
      <c r="D452" s="112" t="s">
        <v>204</v>
      </c>
      <c r="E452" s="140"/>
      <c r="F452" s="142"/>
      <c r="G452" s="142"/>
      <c r="H452" s="142"/>
      <c r="I452" s="143">
        <f>SUM(I453:I454)</f>
        <v>706.63000000000011</v>
      </c>
      <c r="J452" s="285"/>
      <c r="K452" s="144"/>
      <c r="L452" s="144"/>
      <c r="M452" s="144"/>
      <c r="N452" s="144"/>
      <c r="O452" s="144"/>
      <c r="P452" s="144"/>
      <c r="Q452" s="144"/>
    </row>
    <row r="453" spans="1:17" s="118" customFormat="1" ht="30.6" x14ac:dyDescent="0.2">
      <c r="A453" s="148" t="s">
        <v>933</v>
      </c>
      <c r="B453" s="148" t="s">
        <v>163</v>
      </c>
      <c r="C453" s="14" t="s">
        <v>959</v>
      </c>
      <c r="D453" s="314" t="s">
        <v>508</v>
      </c>
      <c r="E453" s="148" t="s">
        <v>9</v>
      </c>
      <c r="F453" s="137">
        <v>11.39</v>
      </c>
      <c r="G453" s="137">
        <v>37.07</v>
      </c>
      <c r="H453" s="137">
        <f>ROUND(G453*(1+$L$4),2)</f>
        <v>46.9</v>
      </c>
      <c r="I453" s="138">
        <f>TRUNC(F453*H453,2)</f>
        <v>534.19000000000005</v>
      </c>
      <c r="J453" s="167"/>
      <c r="K453" s="111"/>
      <c r="L453" s="111"/>
      <c r="M453" s="111"/>
      <c r="N453" s="111"/>
      <c r="O453" s="111"/>
      <c r="P453" s="111"/>
      <c r="Q453" s="111"/>
    </row>
    <row r="454" spans="1:17" s="118" customFormat="1" ht="20.399999999999999" x14ac:dyDescent="0.2">
      <c r="A454" s="148" t="s">
        <v>934</v>
      </c>
      <c r="B454" s="148" t="s">
        <v>163</v>
      </c>
      <c r="C454" s="14" t="s">
        <v>186</v>
      </c>
      <c r="D454" s="314" t="s">
        <v>510</v>
      </c>
      <c r="E454" s="148" t="s">
        <v>9</v>
      </c>
      <c r="F454" s="137">
        <v>22.78</v>
      </c>
      <c r="G454" s="137">
        <v>5.98</v>
      </c>
      <c r="H454" s="137">
        <f>ROUND(G454*(1+$L$4),2)</f>
        <v>7.57</v>
      </c>
      <c r="I454" s="138">
        <f>TRUNC(F454*H454,2)</f>
        <v>172.44</v>
      </c>
      <c r="J454" s="167"/>
      <c r="K454" s="111"/>
      <c r="L454" s="111"/>
      <c r="M454" s="111"/>
      <c r="N454" s="111"/>
      <c r="O454" s="111"/>
      <c r="P454" s="111"/>
      <c r="Q454" s="111"/>
    </row>
    <row r="455" spans="1:17" s="118" customFormat="1" x14ac:dyDescent="0.2">
      <c r="A455" s="148"/>
      <c r="B455" s="148"/>
      <c r="C455" s="14"/>
      <c r="D455" s="314"/>
      <c r="E455" s="148"/>
      <c r="F455" s="137"/>
      <c r="G455" s="137"/>
      <c r="H455" s="137"/>
      <c r="I455" s="138"/>
      <c r="J455" s="167"/>
      <c r="K455" s="111"/>
      <c r="L455" s="111"/>
      <c r="M455" s="111"/>
      <c r="N455" s="111"/>
      <c r="O455" s="111"/>
      <c r="P455" s="111"/>
      <c r="Q455" s="111"/>
    </row>
    <row r="456" spans="1:17" s="241" customFormat="1" ht="26.4" x14ac:dyDescent="0.25">
      <c r="A456" s="236" t="s">
        <v>239</v>
      </c>
      <c r="B456" s="236"/>
      <c r="C456" s="237"/>
      <c r="D456" s="289" t="s">
        <v>513</v>
      </c>
      <c r="E456" s="236"/>
      <c r="F456" s="238"/>
      <c r="G456" s="238"/>
      <c r="H456" s="238"/>
      <c r="I456" s="239">
        <f>I457+I462+I465</f>
        <v>35991.83</v>
      </c>
      <c r="J456" s="284" t="e">
        <f>I456/$I$476</f>
        <v>#VALUE!</v>
      </c>
      <c r="K456" s="240"/>
      <c r="L456" s="240"/>
      <c r="M456" s="240"/>
      <c r="N456" s="240"/>
      <c r="O456" s="240"/>
      <c r="P456" s="240"/>
      <c r="Q456" s="240"/>
    </row>
    <row r="457" spans="1:17" s="145" customFormat="1" x14ac:dyDescent="0.2">
      <c r="A457" s="140" t="s">
        <v>662</v>
      </c>
      <c r="B457" s="140"/>
      <c r="C457" s="141"/>
      <c r="D457" s="112" t="s">
        <v>30</v>
      </c>
      <c r="E457" s="140"/>
      <c r="F457" s="142"/>
      <c r="G457" s="142"/>
      <c r="H457" s="142"/>
      <c r="I457" s="143">
        <f>SUM(I458:I461)</f>
        <v>3525.2799999999997</v>
      </c>
      <c r="J457" s="285"/>
      <c r="K457" s="144"/>
      <c r="L457" s="144"/>
      <c r="M457" s="144"/>
      <c r="N457" s="144"/>
      <c r="O457" s="144"/>
      <c r="P457" s="144"/>
      <c r="Q457" s="144"/>
    </row>
    <row r="458" spans="1:17" s="118" customFormat="1" ht="30.6" x14ac:dyDescent="0.2">
      <c r="A458" s="148" t="s">
        <v>663</v>
      </c>
      <c r="B458" s="148" t="s">
        <v>163</v>
      </c>
      <c r="C458" s="14" t="s">
        <v>240</v>
      </c>
      <c r="D458" s="314" t="s">
        <v>403</v>
      </c>
      <c r="E458" s="148" t="s">
        <v>31</v>
      </c>
      <c r="F458" s="137">
        <v>11</v>
      </c>
      <c r="G458" s="315">
        <v>73.44</v>
      </c>
      <c r="H458" s="137">
        <f>ROUND(G458*(1+$L$4),2)</f>
        <v>92.92</v>
      </c>
      <c r="I458" s="138">
        <f>TRUNC(F458*H458,2)</f>
        <v>1022.12</v>
      </c>
      <c r="J458" s="123"/>
      <c r="K458" s="111"/>
      <c r="L458" s="111"/>
      <c r="M458" s="111"/>
      <c r="N458" s="111"/>
      <c r="O458" s="111"/>
      <c r="P458" s="111"/>
      <c r="Q458" s="111"/>
    </row>
    <row r="459" spans="1:17" s="118" customFormat="1" ht="30.6" x14ac:dyDescent="0.2">
      <c r="A459" s="148" t="s">
        <v>664</v>
      </c>
      <c r="B459" s="148" t="s">
        <v>179</v>
      </c>
      <c r="C459" s="14" t="s">
        <v>672</v>
      </c>
      <c r="D459" s="314" t="s">
        <v>567</v>
      </c>
      <c r="E459" s="148" t="s">
        <v>33</v>
      </c>
      <c r="F459" s="137">
        <v>18</v>
      </c>
      <c r="G459" s="315">
        <f>'COMPOSICOES - SINAPI COM DESON'!G50</f>
        <v>104.48</v>
      </c>
      <c r="H459" s="137">
        <f>ROUND(G459*(1+$L$4),2)</f>
        <v>132.19999999999999</v>
      </c>
      <c r="I459" s="138">
        <f>TRUNC(F459*H459,2)</f>
        <v>2379.6</v>
      </c>
      <c r="J459" s="123"/>
      <c r="K459" s="111"/>
      <c r="L459" s="111"/>
      <c r="M459" s="111"/>
      <c r="N459" s="111"/>
      <c r="O459" s="111"/>
      <c r="P459" s="111"/>
      <c r="Q459" s="111"/>
    </row>
    <row r="460" spans="1:17" s="118" customFormat="1" ht="40.799999999999997" x14ac:dyDescent="0.2">
      <c r="A460" s="148" t="s">
        <v>665</v>
      </c>
      <c r="B460" s="148" t="s">
        <v>163</v>
      </c>
      <c r="C460" s="14" t="s">
        <v>288</v>
      </c>
      <c r="D460" s="314" t="s">
        <v>289</v>
      </c>
      <c r="E460" s="148" t="s">
        <v>33</v>
      </c>
      <c r="F460" s="137">
        <v>1</v>
      </c>
      <c r="G460" s="315">
        <v>54</v>
      </c>
      <c r="H460" s="137">
        <f>ROUND(G460*(1+$L$4),2)</f>
        <v>68.33</v>
      </c>
      <c r="I460" s="138">
        <f>TRUNC(F460*H460,2)</f>
        <v>68.33</v>
      </c>
      <c r="J460" s="123"/>
      <c r="K460" s="111"/>
      <c r="L460" s="111"/>
      <c r="M460" s="111"/>
      <c r="N460" s="111"/>
      <c r="O460" s="111"/>
      <c r="P460" s="111"/>
      <c r="Q460" s="111"/>
    </row>
    <row r="461" spans="1:17" s="118" customFormat="1" ht="30.6" x14ac:dyDescent="0.2">
      <c r="A461" s="148" t="s">
        <v>937</v>
      </c>
      <c r="B461" s="148" t="s">
        <v>163</v>
      </c>
      <c r="C461" s="14" t="s">
        <v>190</v>
      </c>
      <c r="D461" s="314" t="s">
        <v>290</v>
      </c>
      <c r="E461" s="148" t="s">
        <v>33</v>
      </c>
      <c r="F461" s="137">
        <v>3</v>
      </c>
      <c r="G461" s="315">
        <v>14.55</v>
      </c>
      <c r="H461" s="137">
        <f>ROUND(G461*(1+$L$4),2)</f>
        <v>18.41</v>
      </c>
      <c r="I461" s="138">
        <f>TRUNC(F461*H461,2)</f>
        <v>55.23</v>
      </c>
      <c r="J461" s="123"/>
      <c r="K461" s="111"/>
      <c r="L461" s="111"/>
      <c r="M461" s="111"/>
      <c r="N461" s="111"/>
      <c r="O461" s="111"/>
      <c r="P461" s="111"/>
      <c r="Q461" s="111"/>
    </row>
    <row r="462" spans="1:17" s="145" customFormat="1" x14ac:dyDescent="0.2">
      <c r="A462" s="140" t="s">
        <v>666</v>
      </c>
      <c r="B462" s="140"/>
      <c r="C462" s="141"/>
      <c r="D462" s="112" t="s">
        <v>80</v>
      </c>
      <c r="E462" s="140"/>
      <c r="F462" s="142"/>
      <c r="G462" s="142"/>
      <c r="H462" s="142"/>
      <c r="I462" s="143">
        <f>SUM(I463:I464)</f>
        <v>25250.590000000004</v>
      </c>
      <c r="J462" s="285"/>
      <c r="K462" s="144"/>
      <c r="L462" s="144"/>
      <c r="M462" s="144"/>
      <c r="N462" s="144"/>
      <c r="O462" s="144"/>
      <c r="P462" s="144"/>
      <c r="Q462" s="144"/>
    </row>
    <row r="463" spans="1:17" s="118" customFormat="1" x14ac:dyDescent="0.2">
      <c r="A463" s="148" t="s">
        <v>667</v>
      </c>
      <c r="B463" s="148" t="s">
        <v>179</v>
      </c>
      <c r="C463" s="14" t="s">
        <v>180</v>
      </c>
      <c r="D463" s="314" t="s">
        <v>77</v>
      </c>
      <c r="E463" s="148" t="s">
        <v>9</v>
      </c>
      <c r="F463" s="137">
        <v>447</v>
      </c>
      <c r="G463" s="315">
        <f>'COMPOSICOES - SINAPI COM DESON'!G18</f>
        <v>5.79</v>
      </c>
      <c r="H463" s="137">
        <f>ROUND(G463*(1+$L$4),2)</f>
        <v>7.33</v>
      </c>
      <c r="I463" s="138">
        <f>TRUNC(F463*H463,2)</f>
        <v>3276.51</v>
      </c>
      <c r="J463" s="123"/>
      <c r="K463" s="111"/>
      <c r="L463" s="111"/>
      <c r="M463" s="111"/>
      <c r="N463" s="111"/>
      <c r="O463" s="111"/>
      <c r="P463" s="111"/>
      <c r="Q463" s="111"/>
    </row>
    <row r="464" spans="1:17" s="118" customFormat="1" ht="30.6" x14ac:dyDescent="0.2">
      <c r="A464" s="148" t="s">
        <v>938</v>
      </c>
      <c r="B464" s="148" t="s">
        <v>89</v>
      </c>
      <c r="C464" s="14">
        <v>11587</v>
      </c>
      <c r="D464" s="314" t="s">
        <v>714</v>
      </c>
      <c r="E464" s="148" t="s">
        <v>9</v>
      </c>
      <c r="F464" s="137">
        <v>289.59000000000003</v>
      </c>
      <c r="G464" s="315">
        <v>59.97</v>
      </c>
      <c r="H464" s="137">
        <f>ROUND(G464*(1+$L$4),2)</f>
        <v>75.88</v>
      </c>
      <c r="I464" s="138">
        <f>TRUNC(F464*H464,2)</f>
        <v>21974.080000000002</v>
      </c>
      <c r="J464" s="123"/>
      <c r="K464" s="111"/>
      <c r="L464" s="111"/>
      <c r="M464" s="111"/>
      <c r="N464" s="111"/>
      <c r="O464" s="111"/>
      <c r="P464" s="111"/>
      <c r="Q464" s="111"/>
    </row>
    <row r="465" spans="1:18" s="145" customFormat="1" x14ac:dyDescent="0.2">
      <c r="A465" s="140" t="s">
        <v>668</v>
      </c>
      <c r="B465" s="140"/>
      <c r="C465" s="141"/>
      <c r="D465" s="112" t="s">
        <v>267</v>
      </c>
      <c r="E465" s="140"/>
      <c r="F465" s="142"/>
      <c r="G465" s="142"/>
      <c r="H465" s="142"/>
      <c r="I465" s="143">
        <f>SUM(I466:I474)</f>
        <v>7215.9600000000009</v>
      </c>
      <c r="J465" s="306"/>
      <c r="K465" s="144"/>
      <c r="L465" s="144"/>
      <c r="M465" s="144"/>
      <c r="N465" s="144"/>
      <c r="O465" s="144"/>
      <c r="P465" s="144"/>
      <c r="Q465" s="144"/>
    </row>
    <row r="466" spans="1:18" s="313" customFormat="1" x14ac:dyDescent="0.2">
      <c r="A466" s="6" t="s">
        <v>669</v>
      </c>
      <c r="B466" s="6"/>
      <c r="C466" s="7"/>
      <c r="D466" s="310" t="s">
        <v>939</v>
      </c>
      <c r="E466" s="6"/>
      <c r="F466" s="136"/>
      <c r="G466" s="311"/>
      <c r="H466" s="136"/>
      <c r="I466" s="199"/>
      <c r="J466" s="200" t="s">
        <v>955</v>
      </c>
      <c r="K466" s="312"/>
      <c r="L466" s="312"/>
      <c r="M466" s="312"/>
      <c r="N466" s="312"/>
      <c r="O466" s="312"/>
      <c r="P466" s="312"/>
      <c r="Q466" s="312"/>
    </row>
    <row r="467" spans="1:18" s="118" customFormat="1" ht="20.399999999999999" x14ac:dyDescent="0.2">
      <c r="A467" s="148" t="s">
        <v>940</v>
      </c>
      <c r="B467" s="148" t="s">
        <v>163</v>
      </c>
      <c r="C467" s="14" t="s">
        <v>168</v>
      </c>
      <c r="D467" s="314" t="s">
        <v>679</v>
      </c>
      <c r="E467" s="148" t="s">
        <v>42</v>
      </c>
      <c r="F467" s="137">
        <v>4.75</v>
      </c>
      <c r="G467" s="315">
        <v>18.440000000000001</v>
      </c>
      <c r="H467" s="137">
        <f t="shared" ref="H467:H474" si="38">ROUND(G467*(1+$L$4),2)</f>
        <v>23.33</v>
      </c>
      <c r="I467" s="138">
        <f t="shared" ref="I467:I474" si="39">TRUNC(F467*H467,2)</f>
        <v>110.81</v>
      </c>
      <c r="J467" s="123"/>
      <c r="K467" s="111"/>
      <c r="L467" s="111"/>
      <c r="M467" s="111"/>
      <c r="N467" s="111"/>
      <c r="O467" s="111"/>
      <c r="P467" s="111"/>
      <c r="Q467" s="111"/>
    </row>
    <row r="468" spans="1:18" s="118" customFormat="1" ht="30.6" x14ac:dyDescent="0.2">
      <c r="A468" s="148" t="s">
        <v>946</v>
      </c>
      <c r="B468" s="148" t="s">
        <v>163</v>
      </c>
      <c r="C468" s="14" t="s">
        <v>169</v>
      </c>
      <c r="D468" s="314" t="s">
        <v>683</v>
      </c>
      <c r="E468" s="148" t="s">
        <v>42</v>
      </c>
      <c r="F468" s="137">
        <v>3.2</v>
      </c>
      <c r="G468" s="315">
        <v>25.14</v>
      </c>
      <c r="H468" s="137">
        <f t="shared" si="38"/>
        <v>31.81</v>
      </c>
      <c r="I468" s="138">
        <f t="shared" si="39"/>
        <v>101.79</v>
      </c>
      <c r="J468" s="123"/>
      <c r="K468" s="111"/>
      <c r="L468" s="111"/>
      <c r="M468" s="111"/>
      <c r="N468" s="111"/>
      <c r="O468" s="111"/>
      <c r="P468" s="111"/>
      <c r="Q468" s="111"/>
    </row>
    <row r="469" spans="1:18" s="118" customFormat="1" ht="20.399999999999999" x14ac:dyDescent="0.2">
      <c r="A469" s="148" t="s">
        <v>947</v>
      </c>
      <c r="B469" s="148" t="s">
        <v>163</v>
      </c>
      <c r="C469" s="14" t="s">
        <v>170</v>
      </c>
      <c r="D469" s="314" t="s">
        <v>680</v>
      </c>
      <c r="E469" s="148" t="s">
        <v>42</v>
      </c>
      <c r="F469" s="137">
        <v>0.33</v>
      </c>
      <c r="G469" s="315">
        <v>375.94</v>
      </c>
      <c r="H469" s="137">
        <f t="shared" si="38"/>
        <v>475.68</v>
      </c>
      <c r="I469" s="138">
        <f t="shared" si="39"/>
        <v>156.97</v>
      </c>
      <c r="J469" s="123"/>
      <c r="K469" s="111"/>
      <c r="L469" s="111"/>
      <c r="M469" s="111"/>
      <c r="N469" s="111"/>
      <c r="O469" s="111"/>
      <c r="P469" s="111"/>
      <c r="Q469" s="111"/>
    </row>
    <row r="470" spans="1:18" s="118" customFormat="1" ht="35.25" customHeight="1" x14ac:dyDescent="0.2">
      <c r="A470" s="148" t="s">
        <v>948</v>
      </c>
      <c r="B470" s="148" t="s">
        <v>163</v>
      </c>
      <c r="C470" s="14" t="s">
        <v>171</v>
      </c>
      <c r="D470" s="314" t="s">
        <v>678</v>
      </c>
      <c r="E470" s="148" t="s">
        <v>42</v>
      </c>
      <c r="F470" s="137">
        <v>1.22</v>
      </c>
      <c r="G470" s="315">
        <v>1396.31</v>
      </c>
      <c r="H470" s="137">
        <f t="shared" si="38"/>
        <v>1766.75</v>
      </c>
      <c r="I470" s="138">
        <f t="shared" si="39"/>
        <v>2155.4299999999998</v>
      </c>
      <c r="J470" s="123"/>
      <c r="K470" s="111"/>
      <c r="L470" s="111"/>
      <c r="M470" s="111"/>
      <c r="N470" s="111"/>
      <c r="O470" s="111"/>
      <c r="P470" s="111"/>
      <c r="Q470" s="111"/>
    </row>
    <row r="471" spans="1:18" s="118" customFormat="1" ht="35.25" customHeight="1" x14ac:dyDescent="0.2">
      <c r="A471" s="148" t="s">
        <v>949</v>
      </c>
      <c r="B471" s="148" t="s">
        <v>163</v>
      </c>
      <c r="C471" s="14" t="s">
        <v>172</v>
      </c>
      <c r="D471" s="314" t="s">
        <v>677</v>
      </c>
      <c r="E471" s="148" t="s">
        <v>42</v>
      </c>
      <c r="F471" s="137">
        <v>1.02</v>
      </c>
      <c r="G471" s="315">
        <v>2349.37</v>
      </c>
      <c r="H471" s="137">
        <f t="shared" si="38"/>
        <v>2972.66</v>
      </c>
      <c r="I471" s="138">
        <f t="shared" si="39"/>
        <v>3032.11</v>
      </c>
      <c r="J471" s="123"/>
      <c r="K471" s="111"/>
      <c r="L471" s="111"/>
      <c r="M471" s="111"/>
      <c r="N471" s="111"/>
      <c r="O471" s="111"/>
      <c r="P471" s="111"/>
      <c r="Q471" s="111"/>
    </row>
    <row r="472" spans="1:18" s="118" customFormat="1" ht="35.25" customHeight="1" x14ac:dyDescent="0.2">
      <c r="A472" s="148" t="s">
        <v>950</v>
      </c>
      <c r="B472" s="148" t="s">
        <v>163</v>
      </c>
      <c r="C472" s="14" t="s">
        <v>941</v>
      </c>
      <c r="D472" s="314" t="s">
        <v>942</v>
      </c>
      <c r="E472" s="148" t="s">
        <v>42</v>
      </c>
      <c r="F472" s="137">
        <v>0.38</v>
      </c>
      <c r="G472" s="315">
        <v>2023.72</v>
      </c>
      <c r="H472" s="137">
        <f t="shared" si="38"/>
        <v>2560.61</v>
      </c>
      <c r="I472" s="138">
        <f t="shared" si="39"/>
        <v>973.03</v>
      </c>
      <c r="J472" s="123"/>
      <c r="K472" s="111"/>
      <c r="L472" s="111"/>
      <c r="M472" s="111"/>
      <c r="N472" s="111"/>
      <c r="O472" s="111"/>
      <c r="P472" s="111"/>
      <c r="Q472" s="111"/>
    </row>
    <row r="473" spans="1:18" s="118" customFormat="1" ht="20.399999999999999" x14ac:dyDescent="0.2">
      <c r="A473" s="148" t="s">
        <v>951</v>
      </c>
      <c r="B473" s="148" t="s">
        <v>163</v>
      </c>
      <c r="C473" s="14" t="s">
        <v>186</v>
      </c>
      <c r="D473" s="108" t="s">
        <v>510</v>
      </c>
      <c r="E473" s="148" t="s">
        <v>9</v>
      </c>
      <c r="F473" s="137">
        <v>19.2</v>
      </c>
      <c r="G473" s="315">
        <v>5.98</v>
      </c>
      <c r="H473" s="137">
        <f t="shared" si="38"/>
        <v>7.57</v>
      </c>
      <c r="I473" s="138">
        <f t="shared" si="39"/>
        <v>145.34</v>
      </c>
      <c r="J473" s="123"/>
      <c r="K473" s="111"/>
      <c r="L473" s="111"/>
      <c r="M473" s="111"/>
      <c r="N473" s="111"/>
      <c r="O473" s="111"/>
      <c r="P473" s="111"/>
      <c r="Q473" s="111"/>
    </row>
    <row r="474" spans="1:18" s="118" customFormat="1" ht="20.399999999999999" x14ac:dyDescent="0.2">
      <c r="A474" s="148" t="s">
        <v>952</v>
      </c>
      <c r="B474" s="148" t="s">
        <v>163</v>
      </c>
      <c r="C474" s="14" t="s">
        <v>173</v>
      </c>
      <c r="D474" s="108" t="s">
        <v>511</v>
      </c>
      <c r="E474" s="148" t="s">
        <v>9</v>
      </c>
      <c r="F474" s="137">
        <v>19.2</v>
      </c>
      <c r="G474" s="315">
        <v>22.25</v>
      </c>
      <c r="H474" s="137">
        <f t="shared" si="38"/>
        <v>28.15</v>
      </c>
      <c r="I474" s="138">
        <f t="shared" si="39"/>
        <v>540.48</v>
      </c>
      <c r="J474" s="123"/>
      <c r="K474" s="111"/>
      <c r="L474" s="111"/>
      <c r="M474" s="111"/>
      <c r="N474" s="111"/>
      <c r="O474" s="111"/>
      <c r="P474" s="111"/>
      <c r="Q474" s="111"/>
    </row>
    <row r="475" spans="1:18" s="118" customFormat="1" x14ac:dyDescent="0.2">
      <c r="A475" s="148"/>
      <c r="B475" s="148"/>
      <c r="C475" s="14"/>
      <c r="D475" s="314"/>
      <c r="E475" s="148"/>
      <c r="F475" s="137"/>
      <c r="G475" s="137"/>
      <c r="H475" s="137"/>
      <c r="I475" s="138"/>
      <c r="J475" s="167"/>
      <c r="K475" s="111"/>
      <c r="L475" s="111"/>
      <c r="M475" s="111"/>
      <c r="N475" s="111"/>
      <c r="O475" s="111"/>
      <c r="P475" s="111"/>
      <c r="Q475" s="111"/>
    </row>
    <row r="476" spans="1:18" s="304" customFormat="1" ht="13.8" x14ac:dyDescent="0.25">
      <c r="A476" s="600" t="s">
        <v>750</v>
      </c>
      <c r="B476" s="600"/>
      <c r="C476" s="600"/>
      <c r="D476" s="600"/>
      <c r="E476" s="600"/>
      <c r="F476" s="600"/>
      <c r="G476" s="600"/>
      <c r="H476" s="600"/>
      <c r="I476" s="301" t="e">
        <f>I9+I13+I32+I55+I75+I97+I122+I139+I160+I180+I192+I218+I235+I259+I276+I312+I334+I354+I368+I400+I410+I433+I456</f>
        <v>#VALUE!</v>
      </c>
      <c r="J476" s="284" t="e">
        <f>I476/$I$476</f>
        <v>#VALUE!</v>
      </c>
      <c r="K476" s="302"/>
      <c r="L476" s="302"/>
      <c r="M476" s="302"/>
      <c r="N476" s="302"/>
      <c r="O476" s="302"/>
      <c r="P476" s="302"/>
      <c r="Q476" s="302"/>
      <c r="R476" s="302"/>
    </row>
    <row r="477" spans="1:18" x14ac:dyDescent="0.2">
      <c r="I477" s="305" t="e">
        <f>ROUND(SUM(I9:I474)/3-I476,0)</f>
        <v>#VALUE!</v>
      </c>
    </row>
    <row r="479" spans="1:18" x14ac:dyDescent="0.2">
      <c r="L479" s="166"/>
    </row>
    <row r="485" spans="1:22" s="189" customFormat="1" ht="30.6" hidden="1" x14ac:dyDescent="0.2">
      <c r="A485" s="184" t="s">
        <v>597</v>
      </c>
      <c r="B485" s="184" t="s">
        <v>89</v>
      </c>
      <c r="C485" s="185">
        <v>92541</v>
      </c>
      <c r="D485" s="235" t="s">
        <v>674</v>
      </c>
      <c r="E485" s="184" t="s">
        <v>9</v>
      </c>
      <c r="F485" s="186" t="e">
        <f>#REF!</f>
        <v>#REF!</v>
      </c>
      <c r="G485" s="186">
        <v>54.84</v>
      </c>
      <c r="H485" s="186">
        <f>ROUND(G485*(1+$L$4),2)</f>
        <v>69.39</v>
      </c>
      <c r="I485" s="187" t="e">
        <f>TRUNC(F485*H485,2)</f>
        <v>#REF!</v>
      </c>
      <c r="J485" s="286"/>
      <c r="K485" s="188"/>
      <c r="L485" s="188"/>
      <c r="M485" s="188"/>
      <c r="N485" s="188"/>
      <c r="O485" s="188"/>
      <c r="P485" s="188"/>
      <c r="Q485" s="188"/>
      <c r="R485" s="188"/>
      <c r="S485" s="188"/>
      <c r="T485" s="188"/>
      <c r="U485" s="188"/>
      <c r="V485" s="188"/>
    </row>
  </sheetData>
  <autoFilter ref="A8:I477" xr:uid="{00000000-0009-0000-0000-000008000000}"/>
  <mergeCells count="4">
    <mergeCell ref="A1:I1"/>
    <mergeCell ref="A2:E2"/>
    <mergeCell ref="A476:H476"/>
    <mergeCell ref="B3:I3"/>
  </mergeCells>
  <dataValidations count="1">
    <dataValidation allowBlank="1" showInputMessage="1" showErrorMessage="1" promptTitle="Atenção!!!" prompt="Inserir o BDI em valor percentual." sqref="L1 L4:M4" xr:uid="{00000000-0002-0000-0800-000000000000}"/>
  </dataValidations>
  <printOptions horizontalCentered="1"/>
  <pageMargins left="0.59055118110236227" right="0.39370078740157483" top="1.3779527559055118" bottom="0.59055118110236227" header="0.39370078740157483" footer="0.39370078740157483"/>
  <pageSetup paperSize="9" scale="77" orientation="portrait" r:id="rId1"/>
  <headerFooter>
    <oddHeader>&amp;C&amp;G</oddHeader>
    <oddFooter>&amp;R&amp;"Arial,Normal"&amp;8Pág. &amp;P de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</sheetPr>
  <dimension ref="A1:G49"/>
  <sheetViews>
    <sheetView view="pageBreakPreview" topLeftCell="A7" zoomScaleNormal="100" zoomScaleSheetLayoutView="100" workbookViewId="0">
      <pane ySplit="744" activePane="bottomLeft"/>
      <selection activeCell="A7" sqref="A1:XFD1048576"/>
      <selection pane="bottomLeft" activeCell="D18" sqref="D18"/>
    </sheetView>
  </sheetViews>
  <sheetFormatPr defaultColWidth="9.109375" defaultRowHeight="10.199999999999999" x14ac:dyDescent="0.2"/>
  <cols>
    <col min="1" max="1" width="7.88671875" style="456" customWidth="1"/>
    <col min="2" max="2" width="80.88671875" style="458" customWidth="1"/>
    <col min="3" max="3" width="15.6640625" style="456" customWidth="1"/>
    <col min="4" max="4" width="14.6640625" style="459" customWidth="1"/>
    <col min="5" max="16384" width="9.109375" style="161"/>
  </cols>
  <sheetData>
    <row r="1" spans="1:7" s="118" customFormat="1" ht="17.399999999999999" x14ac:dyDescent="0.3">
      <c r="A1" s="619" t="str">
        <f>CRONOGRAMA!A1</f>
        <v>REFORMA DO CENTRO DE CONVIVÊNCIA DOS IDOSOS DO MUNICÍPIO DE LIMOEIRO-PE</v>
      </c>
      <c r="B1" s="619"/>
      <c r="C1" s="619"/>
      <c r="D1" s="619"/>
    </row>
    <row r="2" spans="1:7" s="118" customFormat="1" ht="17.399999999999999" x14ac:dyDescent="0.3">
      <c r="A2" s="624" t="s">
        <v>91</v>
      </c>
      <c r="B2" s="625"/>
      <c r="C2" s="625"/>
      <c r="D2" s="626"/>
    </row>
    <row r="3" spans="1:7" s="118" customFormat="1" ht="17.399999999999999" x14ac:dyDescent="0.3">
      <c r="A3" s="619"/>
      <c r="B3" s="619"/>
      <c r="C3" s="486"/>
      <c r="D3" s="459"/>
    </row>
    <row r="4" spans="1:7" s="487" customFormat="1" ht="27.75" customHeight="1" x14ac:dyDescent="0.25">
      <c r="A4" s="621" t="str">
        <f>'ORÇAMENTO SEM DESON'!A4</f>
        <v>LOCALIZAÇÃO: LIMOEIRO - PE</v>
      </c>
      <c r="B4" s="622"/>
      <c r="C4" s="622"/>
      <c r="D4" s="623"/>
    </row>
    <row r="5" spans="1:7" s="487" customFormat="1" ht="13.2" x14ac:dyDescent="0.25">
      <c r="A5" s="488" t="str">
        <f>'ORÇAMENTO SEM DESON'!A5</f>
        <v>FONTES DE PREÇOS: EMLURB 2018 / SINAPI JANEIRO-2022 / SEINFRA 027 MARÇO-2021 - SEM DESONERAÇÃO (BDI = 20,84%)</v>
      </c>
      <c r="B5" s="488"/>
      <c r="C5" s="494"/>
      <c r="D5" s="489"/>
    </row>
    <row r="6" spans="1:7" s="487" customFormat="1" ht="15" customHeight="1" x14ac:dyDescent="0.25">
      <c r="A6" s="494" t="str">
        <f>'ORÇAMENTO SEM DESON'!A6</f>
        <v>DATA: ABRIL/2022</v>
      </c>
      <c r="B6" s="488"/>
      <c r="C6" s="494"/>
      <c r="D6" s="489"/>
    </row>
    <row r="7" spans="1:7" s="118" customFormat="1" x14ac:dyDescent="0.2">
      <c r="A7" s="6"/>
      <c r="B7" s="427"/>
      <c r="C7" s="137"/>
      <c r="D7" s="459"/>
    </row>
    <row r="8" spans="1:7" s="135" customFormat="1" ht="34.200000000000003" customHeight="1" x14ac:dyDescent="0.2">
      <c r="A8" s="538" t="s">
        <v>1</v>
      </c>
      <c r="B8" s="538" t="s">
        <v>88</v>
      </c>
      <c r="C8" s="539" t="s">
        <v>162</v>
      </c>
      <c r="D8" s="540" t="s">
        <v>961</v>
      </c>
    </row>
    <row r="9" spans="1:7" s="118" customFormat="1" ht="15.6" x14ac:dyDescent="0.2">
      <c r="A9" s="464"/>
      <c r="B9" s="476"/>
      <c r="C9" s="490"/>
      <c r="D9" s="491"/>
    </row>
    <row r="10" spans="1:7" s="241" customFormat="1" ht="15.6" x14ac:dyDescent="0.25">
      <c r="A10" s="541" t="str">
        <f>'ORÇAMENTO SEM DESON'!A9</f>
        <v>1.0</v>
      </c>
      <c r="B10" s="542" t="str">
        <f>'ORÇAMENTO SEM DESON'!D9</f>
        <v>SERVIÇOS PRELIMINARES</v>
      </c>
      <c r="C10" s="543">
        <f>'ORÇAMENTO SEM DESON'!I9</f>
        <v>45237.279999999999</v>
      </c>
      <c r="D10" s="544">
        <f>C10/$C$40</f>
        <v>6.1495127516332015E-2</v>
      </c>
    </row>
    <row r="11" spans="1:7" s="118" customFormat="1" ht="15.6" x14ac:dyDescent="0.2">
      <c r="A11" s="464"/>
      <c r="B11" s="476"/>
      <c r="C11" s="490"/>
      <c r="D11" s="491"/>
      <c r="G11" s="495">
        <f>C10+C18+C20+C22+C30+C32</f>
        <v>420262.61000000004</v>
      </c>
    </row>
    <row r="12" spans="1:7" s="241" customFormat="1" ht="15.6" x14ac:dyDescent="0.25">
      <c r="A12" s="546">
        <f>'ORÇAMENTO SEM DESON'!A20</f>
        <v>2</v>
      </c>
      <c r="B12" s="542" t="str">
        <f>'ORÇAMENTO SEM DESON'!D20</f>
        <v>MOVIMENTO DE TERRA</v>
      </c>
      <c r="C12" s="543">
        <f>'ORÇAMENTO SEM DESON'!I20</f>
        <v>3737.67</v>
      </c>
      <c r="D12" s="544">
        <f>C12/$C$40</f>
        <v>5.0809529941669507E-3</v>
      </c>
    </row>
    <row r="13" spans="1:7" s="118" customFormat="1" ht="15.6" x14ac:dyDescent="0.2">
      <c r="A13" s="464"/>
      <c r="B13" s="476"/>
      <c r="C13" s="490"/>
      <c r="D13" s="491"/>
      <c r="G13" s="495">
        <f>C12+C20+C22+C30+C32+C40</f>
        <v>976182.96000000008</v>
      </c>
    </row>
    <row r="14" spans="1:7" s="241" customFormat="1" ht="15.6" x14ac:dyDescent="0.25">
      <c r="A14" s="546">
        <f>'ORÇAMENTO SEM DESON'!A23</f>
        <v>3</v>
      </c>
      <c r="B14" s="542" t="str">
        <f>'ORÇAMENTO SEM DESON'!D23</f>
        <v>FUNDAÇÃO</v>
      </c>
      <c r="C14" s="543">
        <f>'ORÇAMENTO SEM DESON'!I23</f>
        <v>49534.280000000006</v>
      </c>
      <c r="D14" s="544">
        <f>C14/$C$40</f>
        <v>6.733642838450267E-2</v>
      </c>
    </row>
    <row r="15" spans="1:7" s="118" customFormat="1" ht="15.6" x14ac:dyDescent="0.2">
      <c r="A15" s="464"/>
      <c r="B15" s="476"/>
      <c r="C15" s="490"/>
      <c r="D15" s="491"/>
      <c r="G15" s="495">
        <f>C14+C22+C30+C32+C40+C42</f>
        <v>972745.39000000013</v>
      </c>
    </row>
    <row r="16" spans="1:7" s="241" customFormat="1" ht="15.6" x14ac:dyDescent="0.25">
      <c r="A16" s="546">
        <f>'ORÇAMENTO SEM DESON'!A28</f>
        <v>4</v>
      </c>
      <c r="B16" s="542" t="str">
        <f>'ORÇAMENTO SEM DESON'!D28</f>
        <v>ESTRUTURA</v>
      </c>
      <c r="C16" s="543">
        <f>'ORÇAMENTO SEM DESON'!I28</f>
        <v>29113.550000000003</v>
      </c>
      <c r="D16" s="544">
        <f>C16/$C$40</f>
        <v>3.9576682543758339E-2</v>
      </c>
    </row>
    <row r="17" spans="1:7" s="118" customFormat="1" ht="15.6" x14ac:dyDescent="0.2">
      <c r="A17" s="464"/>
      <c r="B17" s="476"/>
      <c r="C17" s="490"/>
      <c r="D17" s="491"/>
      <c r="G17" s="495">
        <f>C16+C30+C32+C40+C42+C44</f>
        <v>862445.32000000007</v>
      </c>
    </row>
    <row r="18" spans="1:7" s="241" customFormat="1" ht="15.6" x14ac:dyDescent="0.25">
      <c r="A18" s="546">
        <f>'ORÇAMENTO SEM DESON'!A32</f>
        <v>5</v>
      </c>
      <c r="B18" s="542" t="str">
        <f>'ORÇAMENTO SEM DESON'!D32</f>
        <v>PAREDES E PAINÉIS</v>
      </c>
      <c r="C18" s="543">
        <f>'ORÇAMENTO SEM DESON'!I32</f>
        <v>138203.85</v>
      </c>
      <c r="D18" s="544">
        <f>C18/$C$40</f>
        <v>0.18787299720491646</v>
      </c>
    </row>
    <row r="19" spans="1:7" s="118" customFormat="1" ht="15.6" x14ac:dyDescent="0.2">
      <c r="A19" s="464"/>
      <c r="B19" s="476"/>
      <c r="C19" s="490"/>
      <c r="D19" s="491"/>
    </row>
    <row r="20" spans="1:7" s="241" customFormat="1" ht="15.6" x14ac:dyDescent="0.25">
      <c r="A20" s="546">
        <f>'ORÇAMENTO SEM DESON'!A44</f>
        <v>6</v>
      </c>
      <c r="B20" s="542" t="str">
        <f>'ORÇAMENTO SEM DESON'!D44</f>
        <v>PINTURA</v>
      </c>
      <c r="C20" s="543">
        <f>'ORÇAMENTO SEM DESON'!I44</f>
        <v>49234.18</v>
      </c>
      <c r="D20" s="544">
        <f>C20/$C$40</f>
        <v>6.6928475303158E-2</v>
      </c>
    </row>
    <row r="21" spans="1:7" s="118" customFormat="1" ht="15.6" x14ac:dyDescent="0.2">
      <c r="A21" s="464"/>
      <c r="B21" s="476"/>
      <c r="C21" s="490"/>
      <c r="D21" s="491"/>
    </row>
    <row r="22" spans="1:7" s="241" customFormat="1" ht="15.6" x14ac:dyDescent="0.25">
      <c r="A22" s="546">
        <f>'ORÇAMENTO SEM DESON'!A55</f>
        <v>7</v>
      </c>
      <c r="B22" s="542" t="str">
        <f>'ORÇAMENTO SEM DESON'!D55</f>
        <v>ESQUADRIAS</v>
      </c>
      <c r="C22" s="543">
        <f>'ORÇAMENTO SEM DESON'!I55</f>
        <v>89879.34</v>
      </c>
      <c r="D22" s="544">
        <f>C22/$C$40</f>
        <v>0.12218111863453684</v>
      </c>
    </row>
    <row r="23" spans="1:7" s="118" customFormat="1" ht="15.6" x14ac:dyDescent="0.2">
      <c r="A23" s="464"/>
      <c r="B23" s="476"/>
      <c r="C23" s="490"/>
      <c r="D23" s="491"/>
    </row>
    <row r="24" spans="1:7" s="241" customFormat="1" ht="15.6" x14ac:dyDescent="0.25">
      <c r="A24" s="546">
        <f>'ORÇAMENTO SEM DESON'!A68</f>
        <v>8</v>
      </c>
      <c r="B24" s="542" t="str">
        <f>'ORÇAMENTO SEM DESON'!D68</f>
        <v>FORRO</v>
      </c>
      <c r="C24" s="543">
        <f>'ORÇAMENTO SEM DESON'!I68</f>
        <v>8906.1299999999992</v>
      </c>
      <c r="D24" s="544">
        <f>C24/$C$40</f>
        <v>1.2106908285092075E-2</v>
      </c>
    </row>
    <row r="25" spans="1:7" s="118" customFormat="1" ht="15.6" x14ac:dyDescent="0.2">
      <c r="A25" s="464"/>
      <c r="B25" s="476"/>
      <c r="C25" s="490"/>
      <c r="D25" s="491"/>
    </row>
    <row r="26" spans="1:7" s="241" customFormat="1" ht="15.6" x14ac:dyDescent="0.25">
      <c r="A26" s="546">
        <f>'ORÇAMENTO SEM DESON'!A70</f>
        <v>9</v>
      </c>
      <c r="B26" s="542" t="str">
        <f>'ORÇAMENTO SEM DESON'!D70</f>
        <v>PAVIMENTAÇÃO</v>
      </c>
      <c r="C26" s="543">
        <f>'ORÇAMENTO SEM DESON'!I70</f>
        <v>122298.60999999999</v>
      </c>
      <c r="D26" s="544">
        <f>C26/$C$40</f>
        <v>0.16625156545707781</v>
      </c>
    </row>
    <row r="27" spans="1:7" s="118" customFormat="1" ht="15.6" x14ac:dyDescent="0.2">
      <c r="A27" s="464"/>
      <c r="B27" s="476"/>
      <c r="C27" s="490"/>
      <c r="D27" s="491"/>
    </row>
    <row r="28" spans="1:7" s="241" customFormat="1" ht="15.6" x14ac:dyDescent="0.25">
      <c r="A28" s="546">
        <f>'ORÇAMENTO SEM DESON'!A79</f>
        <v>10</v>
      </c>
      <c r="B28" s="542" t="str">
        <f>'ORÇAMENTO SEM DESON'!D79</f>
        <v>LOUÇAS, METAIS E MARMOARIA</v>
      </c>
      <c r="C28" s="543">
        <f>'ORÇAMENTO SEM DESON'!I79</f>
        <v>33868.400000000001</v>
      </c>
      <c r="D28" s="544">
        <f>C28/$C$40</f>
        <v>4.6040380340598271E-2</v>
      </c>
    </row>
    <row r="29" spans="1:7" s="118" customFormat="1" ht="15.6" x14ac:dyDescent="0.2">
      <c r="A29" s="464"/>
      <c r="B29" s="476"/>
      <c r="C29" s="490"/>
      <c r="D29" s="491"/>
    </row>
    <row r="30" spans="1:7" s="241" customFormat="1" ht="15.6" x14ac:dyDescent="0.25">
      <c r="A30" s="546">
        <f>'ORÇAMENTO SEM DESON'!A97</f>
        <v>11</v>
      </c>
      <c r="B30" s="542" t="str">
        <f>'ORÇAMENTO SEM DESON'!D97</f>
        <v>PISO</v>
      </c>
      <c r="C30" s="543">
        <f>'ORÇAMENTO SEM DESON'!I97</f>
        <v>72899.199999999997</v>
      </c>
      <c r="D30" s="544">
        <f>C30/$C$40</f>
        <v>9.9098478065847262E-2</v>
      </c>
    </row>
    <row r="31" spans="1:7" s="118" customFormat="1" ht="15.6" x14ac:dyDescent="0.2">
      <c r="A31" s="464"/>
      <c r="B31" s="476"/>
      <c r="C31" s="490"/>
      <c r="D31" s="491"/>
    </row>
    <row r="32" spans="1:7" s="241" customFormat="1" ht="15.6" x14ac:dyDescent="0.25">
      <c r="A32" s="546">
        <f>'ORÇAMENTO SEM DESON'!A101</f>
        <v>12</v>
      </c>
      <c r="B32" s="542" t="str">
        <f>'ORÇAMENTO SEM DESON'!D101</f>
        <v>INSTALAÇÕES ELÉTRICAS</v>
      </c>
      <c r="C32" s="543">
        <f>'ORÇAMENTO SEM DESON'!I101</f>
        <v>24808.76</v>
      </c>
      <c r="D32" s="544">
        <f>C32/$C$40</f>
        <v>3.37247920237927E-2</v>
      </c>
    </row>
    <row r="33" spans="1:4" s="118" customFormat="1" ht="15.6" x14ac:dyDescent="0.2">
      <c r="A33" s="464"/>
      <c r="B33" s="476"/>
      <c r="C33" s="490"/>
      <c r="D33" s="491"/>
    </row>
    <row r="34" spans="1:4" s="241" customFormat="1" ht="15.6" x14ac:dyDescent="0.25">
      <c r="A34" s="546">
        <f>'ORÇAMENTO SEM DESON'!A121</f>
        <v>13</v>
      </c>
      <c r="B34" s="542" t="str">
        <f>'ORÇAMENTO SEM DESON'!D121</f>
        <v>INSTALAÇÕES HIDROSSANITÁRIAS</v>
      </c>
      <c r="C34" s="543">
        <f>'ORÇAMENTO SEM DESON'!I121</f>
        <v>22374.639999999999</v>
      </c>
      <c r="D34" s="544">
        <f>C34/$C$40</f>
        <v>3.0415872482430929E-2</v>
      </c>
    </row>
    <row r="35" spans="1:4" s="118" customFormat="1" ht="15.6" x14ac:dyDescent="0.2">
      <c r="A35" s="464"/>
      <c r="B35" s="476"/>
      <c r="C35" s="490"/>
      <c r="D35" s="491"/>
    </row>
    <row r="36" spans="1:4" s="241" customFormat="1" ht="15.6" x14ac:dyDescent="0.25">
      <c r="A36" s="546">
        <f>'ORÇAMENTO SEM DESON'!A134</f>
        <v>14</v>
      </c>
      <c r="B36" s="542" t="str">
        <f>'ORÇAMENTO SEM DESON'!D134</f>
        <v>PAISAGISMO</v>
      </c>
      <c r="C36" s="543">
        <f>'ORÇAMENTO SEM DESON'!I134</f>
        <v>9918.61</v>
      </c>
      <c r="D36" s="544">
        <f>C36/$C$40</f>
        <v>1.348326395253574E-2</v>
      </c>
    </row>
    <row r="37" spans="1:4" s="118" customFormat="1" ht="15.6" x14ac:dyDescent="0.2">
      <c r="A37" s="464"/>
      <c r="B37" s="476"/>
      <c r="C37" s="490"/>
      <c r="D37" s="491"/>
    </row>
    <row r="38" spans="1:4" s="241" customFormat="1" ht="15.6" x14ac:dyDescent="0.25">
      <c r="A38" s="546">
        <f>'ORÇAMENTO SEM DESON'!A138</f>
        <v>15</v>
      </c>
      <c r="B38" s="542" t="str">
        <f>'ORÇAMENTO SEM DESON'!D138</f>
        <v>SERVIÇOS COMPLEMENTARES</v>
      </c>
      <c r="C38" s="543">
        <f>'ORÇAMENTO SEM DESON'!I138</f>
        <v>35609.31</v>
      </c>
      <c r="D38" s="544">
        <f>C38/$C$40</f>
        <v>4.8406956811253829E-2</v>
      </c>
    </row>
    <row r="39" spans="1:4" s="118" customFormat="1" ht="15.6" x14ac:dyDescent="0.2">
      <c r="A39" s="464"/>
      <c r="B39" s="476"/>
      <c r="C39" s="490"/>
      <c r="D39" s="491"/>
    </row>
    <row r="40" spans="1:4" s="321" customFormat="1" ht="21.75" customHeight="1" x14ac:dyDescent="0.25">
      <c r="A40" s="620" t="s">
        <v>750</v>
      </c>
      <c r="B40" s="620"/>
      <c r="C40" s="545">
        <f>SUM(C10:C39)</f>
        <v>735623.81</v>
      </c>
      <c r="D40" s="577">
        <f>SUM(D10:D39)</f>
        <v>1</v>
      </c>
    </row>
    <row r="41" spans="1:4" x14ac:dyDescent="0.2">
      <c r="C41" s="492"/>
    </row>
    <row r="49" spans="1:4" s="189" customFormat="1" ht="20.399999999999999" hidden="1" x14ac:dyDescent="0.2">
      <c r="A49" s="184" t="s">
        <v>597</v>
      </c>
      <c r="B49" s="235" t="s">
        <v>674</v>
      </c>
      <c r="C49" s="186" t="e">
        <f>TRUNC(#REF!*#REF!,2)</f>
        <v>#REF!</v>
      </c>
      <c r="D49" s="493"/>
    </row>
  </sheetData>
  <mergeCells count="5">
    <mergeCell ref="A3:B3"/>
    <mergeCell ref="A40:B40"/>
    <mergeCell ref="A1:D1"/>
    <mergeCell ref="A4:D4"/>
    <mergeCell ref="A2:D2"/>
  </mergeCells>
  <printOptions horizontalCentered="1"/>
  <pageMargins left="0.59055118110236227" right="0.39370078740157483" top="1.5748031496062993" bottom="1.2598425196850394" header="0.39370078740157483" footer="0.39370078740157483"/>
  <pageSetup paperSize="9" scale="77" orientation="portrait" r:id="rId1"/>
  <headerFooter>
    <oddHeader>&amp;C
&amp;G</oddHeader>
    <oddFooter>&amp;C&amp;G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-0.249977111117893"/>
    <pageSetUpPr fitToPage="1"/>
  </sheetPr>
  <dimension ref="A1:M155"/>
  <sheetViews>
    <sheetView view="pageBreakPreview" topLeftCell="A90" zoomScale="134" zoomScaleNormal="100" zoomScaleSheetLayoutView="134" workbookViewId="0">
      <selection activeCell="D98" sqref="D98"/>
    </sheetView>
  </sheetViews>
  <sheetFormatPr defaultColWidth="9.109375" defaultRowHeight="10.199999999999999" x14ac:dyDescent="0.2"/>
  <cols>
    <col min="1" max="1" width="6.44140625" style="456" customWidth="1"/>
    <col min="2" max="2" width="12" style="456" customWidth="1"/>
    <col min="3" max="3" width="10.109375" style="457" bestFit="1" customWidth="1"/>
    <col min="4" max="4" width="47.5546875" style="458" customWidth="1"/>
    <col min="5" max="5" width="4.88671875" style="456" bestFit="1" customWidth="1"/>
    <col min="6" max="6" width="7.5546875" style="456" customWidth="1"/>
    <col min="7" max="7" width="9.6640625" style="456" customWidth="1"/>
    <col min="8" max="8" width="13" style="456" customWidth="1"/>
    <col min="9" max="9" width="19.33203125" style="456" bestFit="1" customWidth="1"/>
    <col min="10" max="10" width="11.6640625" style="451" bestFit="1" customWidth="1"/>
    <col min="11" max="11" width="10.77734375" style="161" bestFit="1" customWidth="1"/>
    <col min="12" max="12" width="12.6640625" style="451" bestFit="1" customWidth="1"/>
    <col min="13" max="13" width="13.33203125" style="161" bestFit="1" customWidth="1"/>
    <col min="14" max="16384" width="9.109375" style="161"/>
  </cols>
  <sheetData>
    <row r="1" spans="1:13" ht="27" customHeight="1" x14ac:dyDescent="0.2">
      <c r="A1" s="630" t="s">
        <v>1161</v>
      </c>
      <c r="B1" s="631"/>
      <c r="C1" s="631"/>
      <c r="D1" s="631"/>
      <c r="E1" s="631"/>
      <c r="F1" s="631"/>
      <c r="G1" s="631"/>
      <c r="H1" s="631"/>
      <c r="I1" s="632"/>
    </row>
    <row r="2" spans="1:13" s="118" customFormat="1" ht="19.95" customHeight="1" x14ac:dyDescent="0.2">
      <c r="A2" s="627" t="s">
        <v>23</v>
      </c>
      <c r="B2" s="628"/>
      <c r="C2" s="628"/>
      <c r="D2" s="628"/>
      <c r="E2" s="628"/>
      <c r="F2" s="628"/>
      <c r="G2" s="628"/>
      <c r="H2" s="628"/>
      <c r="I2" s="629"/>
      <c r="J2" s="451"/>
      <c r="L2" s="452"/>
    </row>
    <row r="3" spans="1:13" s="118" customFormat="1" ht="16.2" customHeight="1" x14ac:dyDescent="0.2">
      <c r="A3" s="640"/>
      <c r="B3" s="641"/>
      <c r="C3" s="641"/>
      <c r="D3" s="641"/>
      <c r="E3" s="641"/>
      <c r="F3" s="641"/>
      <c r="G3" s="641"/>
      <c r="H3" s="641"/>
      <c r="I3" s="642"/>
      <c r="J3" s="451"/>
      <c r="L3" s="453"/>
      <c r="M3" s="453" t="s">
        <v>723</v>
      </c>
    </row>
    <row r="4" spans="1:13" s="428" customFormat="1" ht="14.4" customHeight="1" x14ac:dyDescent="0.2">
      <c r="A4" s="460" t="s">
        <v>1115</v>
      </c>
      <c r="B4" s="460"/>
      <c r="C4" s="460"/>
      <c r="D4" s="460"/>
      <c r="E4" s="6"/>
      <c r="F4" s="460"/>
      <c r="G4" s="460"/>
      <c r="H4" s="460"/>
      <c r="I4" s="460"/>
      <c r="L4" s="452"/>
      <c r="M4" s="452">
        <v>0.2084</v>
      </c>
    </row>
    <row r="5" spans="1:13" s="428" customFormat="1" ht="14.4" customHeight="1" x14ac:dyDescent="0.2">
      <c r="A5" s="460" t="s">
        <v>1463</v>
      </c>
      <c r="B5" s="460"/>
      <c r="C5" s="460"/>
      <c r="D5" s="460"/>
      <c r="E5" s="6"/>
      <c r="F5" s="460"/>
      <c r="G5" s="460"/>
      <c r="H5" s="460"/>
      <c r="I5" s="460"/>
    </row>
    <row r="6" spans="1:13" s="428" customFormat="1" ht="15" customHeight="1" x14ac:dyDescent="0.2">
      <c r="A6" s="460" t="s">
        <v>1162</v>
      </c>
      <c r="B6" s="460"/>
      <c r="C6" s="460"/>
      <c r="D6" s="460"/>
      <c r="E6" s="6"/>
      <c r="F6" s="460"/>
      <c r="G6" s="460"/>
      <c r="H6" s="460"/>
      <c r="I6" s="460"/>
    </row>
    <row r="7" spans="1:13" s="118" customFormat="1" ht="14.4" customHeight="1" x14ac:dyDescent="0.2">
      <c r="A7" s="6"/>
      <c r="B7" s="6"/>
      <c r="C7" s="7"/>
      <c r="D7" s="427"/>
      <c r="E7" s="7"/>
      <c r="F7" s="15"/>
      <c r="G7" s="137"/>
      <c r="H7" s="137"/>
      <c r="I7" s="137"/>
      <c r="J7" s="451"/>
    </row>
    <row r="8" spans="1:13" s="462" customFormat="1" ht="21.6" customHeight="1" x14ac:dyDescent="0.3">
      <c r="A8" s="531" t="s">
        <v>1</v>
      </c>
      <c r="B8" s="531" t="s">
        <v>87</v>
      </c>
      <c r="C8" s="532" t="s">
        <v>22</v>
      </c>
      <c r="D8" s="531" t="s">
        <v>88</v>
      </c>
      <c r="E8" s="531" t="s">
        <v>2</v>
      </c>
      <c r="F8" s="533" t="s">
        <v>720</v>
      </c>
      <c r="G8" s="535" t="s">
        <v>254</v>
      </c>
      <c r="H8" s="535" t="s">
        <v>255</v>
      </c>
      <c r="I8" s="535" t="s">
        <v>162</v>
      </c>
      <c r="J8" s="461"/>
    </row>
    <row r="9" spans="1:13" s="431" customFormat="1" x14ac:dyDescent="0.2">
      <c r="A9" s="498" t="s">
        <v>6</v>
      </c>
      <c r="B9" s="498"/>
      <c r="C9" s="499"/>
      <c r="D9" s="500" t="s">
        <v>7</v>
      </c>
      <c r="E9" s="498"/>
      <c r="F9" s="501"/>
      <c r="G9" s="502"/>
      <c r="H9" s="502"/>
      <c r="I9" s="503">
        <f>SUM(I10:I19)</f>
        <v>45237.279999999999</v>
      </c>
      <c r="J9" s="429">
        <f>I9/I$148</f>
        <v>6.1495127516332015E-2</v>
      </c>
    </row>
    <row r="10" spans="1:13" s="118" customFormat="1" ht="20.399999999999999" x14ac:dyDescent="0.2">
      <c r="A10" s="148">
        <v>1.1000000000000001</v>
      </c>
      <c r="B10" s="148" t="s">
        <v>421</v>
      </c>
      <c r="C10" s="14">
        <v>4813</v>
      </c>
      <c r="D10" s="421" t="s">
        <v>962</v>
      </c>
      <c r="E10" s="148" t="s">
        <v>9</v>
      </c>
      <c r="F10" s="137">
        <v>4.5</v>
      </c>
      <c r="G10" s="137">
        <v>285.57</v>
      </c>
      <c r="H10" s="137">
        <f>ROUND(G10*(1+$M$4),2)</f>
        <v>345.08</v>
      </c>
      <c r="I10" s="137">
        <f>TRUNC(F10*H10,2)</f>
        <v>1552.86</v>
      </c>
      <c r="J10" s="451"/>
    </row>
    <row r="11" spans="1:13" s="118" customFormat="1" ht="20.399999999999999" x14ac:dyDescent="0.2">
      <c r="A11" s="148">
        <v>1.2</v>
      </c>
      <c r="B11" s="148" t="s">
        <v>163</v>
      </c>
      <c r="C11" s="14" t="s">
        <v>1117</v>
      </c>
      <c r="D11" s="421" t="s">
        <v>1116</v>
      </c>
      <c r="E11" s="148" t="s">
        <v>9</v>
      </c>
      <c r="F11" s="137">
        <f>'MEMORIA DE CALCULO'!J31</f>
        <v>125.82000000000001</v>
      </c>
      <c r="G11" s="137">
        <v>16.55</v>
      </c>
      <c r="H11" s="137">
        <f t="shared" ref="H11" si="0">ROUND(G11*(1+$M$4),2)</f>
        <v>20</v>
      </c>
      <c r="I11" s="137">
        <f t="shared" ref="I11" si="1">TRUNC(F11*H11,2)</f>
        <v>2516.4</v>
      </c>
      <c r="J11" s="451"/>
    </row>
    <row r="12" spans="1:13" s="118" customFormat="1" ht="20.399999999999999" x14ac:dyDescent="0.2">
      <c r="A12" s="148">
        <v>1.3</v>
      </c>
      <c r="B12" s="148" t="s">
        <v>89</v>
      </c>
      <c r="C12" s="14">
        <v>97633</v>
      </c>
      <c r="D12" s="421" t="s">
        <v>1148</v>
      </c>
      <c r="E12" s="148" t="s">
        <v>9</v>
      </c>
      <c r="F12" s="137">
        <f>'MEMORIA DE CALCULO'!J40</f>
        <v>96</v>
      </c>
      <c r="G12" s="137">
        <v>18.809999999999999</v>
      </c>
      <c r="H12" s="137">
        <f t="shared" ref="H12:H13" si="2">ROUND(G12*(1+$M$4),2)</f>
        <v>22.73</v>
      </c>
      <c r="I12" s="137">
        <f t="shared" ref="I12:I13" si="3">TRUNC(F12*H12,2)</f>
        <v>2182.08</v>
      </c>
      <c r="J12" s="451"/>
    </row>
    <row r="13" spans="1:13" s="118" customFormat="1" ht="20.399999999999999" x14ac:dyDescent="0.2">
      <c r="A13" s="148">
        <v>1.4</v>
      </c>
      <c r="B13" s="148" t="s">
        <v>89</v>
      </c>
      <c r="C13" s="14">
        <v>97644</v>
      </c>
      <c r="D13" s="421" t="s">
        <v>1169</v>
      </c>
      <c r="E13" s="148" t="s">
        <v>9</v>
      </c>
      <c r="F13" s="137">
        <f>'MEMORIA DE CALCULO'!J52</f>
        <v>33.410000000000004</v>
      </c>
      <c r="G13" s="137">
        <v>7.65</v>
      </c>
      <c r="H13" s="137">
        <f t="shared" si="2"/>
        <v>9.24</v>
      </c>
      <c r="I13" s="137">
        <f t="shared" si="3"/>
        <v>308.7</v>
      </c>
      <c r="J13" s="451"/>
    </row>
    <row r="14" spans="1:13" s="118" customFormat="1" ht="20.399999999999999" x14ac:dyDescent="0.2">
      <c r="A14" s="148">
        <v>1.5</v>
      </c>
      <c r="B14" s="148" t="s">
        <v>89</v>
      </c>
      <c r="C14" s="14">
        <v>97645</v>
      </c>
      <c r="D14" s="421" t="s">
        <v>1170</v>
      </c>
      <c r="E14" s="148" t="s">
        <v>9</v>
      </c>
      <c r="F14" s="137">
        <f>'MEMORIA DE CALCULO'!J59</f>
        <v>19.940000000000001</v>
      </c>
      <c r="G14" s="137">
        <v>29.31</v>
      </c>
      <c r="H14" s="137">
        <f t="shared" ref="H14" si="4">ROUND(G14*(1+$M$4),2)</f>
        <v>35.42</v>
      </c>
      <c r="I14" s="137">
        <f t="shared" ref="I14" si="5">TRUNC(F14*H14,2)</f>
        <v>706.27</v>
      </c>
      <c r="J14" s="451"/>
    </row>
    <row r="15" spans="1:13" s="118" customFormat="1" ht="20.399999999999999" x14ac:dyDescent="0.2">
      <c r="A15" s="148">
        <v>1.6</v>
      </c>
      <c r="B15" s="148" t="s">
        <v>89</v>
      </c>
      <c r="C15" s="14">
        <v>97663</v>
      </c>
      <c r="D15" s="421" t="s">
        <v>1171</v>
      </c>
      <c r="E15" s="148" t="s">
        <v>33</v>
      </c>
      <c r="F15" s="137">
        <f>'MEMORIA DE CALCULO'!J71</f>
        <v>13</v>
      </c>
      <c r="G15" s="137">
        <v>10.119999999999999</v>
      </c>
      <c r="H15" s="137">
        <f t="shared" ref="H15:H16" si="6">ROUND(G15*(1+$M$4),2)</f>
        <v>12.23</v>
      </c>
      <c r="I15" s="137">
        <f t="shared" ref="I15:I16" si="7">TRUNC(F15*H15,2)</f>
        <v>158.99</v>
      </c>
      <c r="J15" s="451"/>
    </row>
    <row r="16" spans="1:13" s="118" customFormat="1" ht="20.399999999999999" x14ac:dyDescent="0.2">
      <c r="A16" s="148">
        <v>1.7</v>
      </c>
      <c r="B16" s="148" t="s">
        <v>89</v>
      </c>
      <c r="C16" s="14">
        <v>97665</v>
      </c>
      <c r="D16" s="421" t="s">
        <v>1172</v>
      </c>
      <c r="E16" s="148" t="s">
        <v>33</v>
      </c>
      <c r="F16" s="137">
        <f>'MEMORIA DE CALCULO'!J76</f>
        <v>30</v>
      </c>
      <c r="G16" s="137">
        <v>1.06</v>
      </c>
      <c r="H16" s="137">
        <f t="shared" si="6"/>
        <v>1.28</v>
      </c>
      <c r="I16" s="137">
        <f t="shared" si="7"/>
        <v>38.4</v>
      </c>
      <c r="J16" s="451"/>
    </row>
    <row r="17" spans="1:10" s="118" customFormat="1" x14ac:dyDescent="0.2">
      <c r="A17" s="148">
        <v>1.8</v>
      </c>
      <c r="B17" s="148" t="s">
        <v>163</v>
      </c>
      <c r="C17" s="14" t="s">
        <v>1369</v>
      </c>
      <c r="D17" s="421" t="s">
        <v>1370</v>
      </c>
      <c r="E17" s="148" t="s">
        <v>9</v>
      </c>
      <c r="F17" s="137">
        <f>'MEMORIA DE CALCULO'!J94</f>
        <v>346.55999999999995</v>
      </c>
      <c r="G17" s="137">
        <v>9.52</v>
      </c>
      <c r="H17" s="137">
        <f t="shared" ref="H17" si="8">ROUND(G17*(1+$M$4),2)</f>
        <v>11.5</v>
      </c>
      <c r="I17" s="137">
        <f t="shared" ref="I17" si="9">TRUNC(F17*H17,2)</f>
        <v>3985.44</v>
      </c>
      <c r="J17" s="451"/>
    </row>
    <row r="18" spans="1:10" s="118" customFormat="1" x14ac:dyDescent="0.2">
      <c r="A18" s="148">
        <v>1.9</v>
      </c>
      <c r="B18" s="148" t="s">
        <v>659</v>
      </c>
      <c r="C18" s="14" t="s">
        <v>1381</v>
      </c>
      <c r="D18" s="421" t="s">
        <v>1382</v>
      </c>
      <c r="E18" s="148" t="s">
        <v>9</v>
      </c>
      <c r="F18" s="137">
        <f>'MEMORIA DE CALCULO'!J99</f>
        <v>447.58</v>
      </c>
      <c r="G18" s="137">
        <v>48.6</v>
      </c>
      <c r="H18" s="137">
        <f t="shared" ref="H18" si="10">ROUND(G18*(1+$M$4),2)</f>
        <v>58.73</v>
      </c>
      <c r="I18" s="137">
        <f t="shared" ref="I18" si="11">TRUNC(F18*H18,2)</f>
        <v>26286.37</v>
      </c>
      <c r="J18" s="451"/>
    </row>
    <row r="19" spans="1:10" s="118" customFormat="1" ht="40.799999999999997" x14ac:dyDescent="0.2">
      <c r="A19" s="522">
        <v>1.1000000000000001</v>
      </c>
      <c r="B19" s="148" t="s">
        <v>89</v>
      </c>
      <c r="C19" s="14">
        <v>92541</v>
      </c>
      <c r="D19" s="421" t="s">
        <v>1384</v>
      </c>
      <c r="E19" s="148" t="s">
        <v>9</v>
      </c>
      <c r="F19" s="137">
        <f>'MEMORIA DE CALCULO'!J104</f>
        <v>89.52</v>
      </c>
      <c r="G19" s="137">
        <v>69.349999999999994</v>
      </c>
      <c r="H19" s="137">
        <f t="shared" ref="H19" si="12">ROUND(G19*(1+$M$4),2)</f>
        <v>83.8</v>
      </c>
      <c r="I19" s="137">
        <f t="shared" ref="I19" si="13">TRUNC(F19*H19,2)</f>
        <v>7501.77</v>
      </c>
      <c r="J19" s="451"/>
    </row>
    <row r="20" spans="1:10" s="431" customFormat="1" x14ac:dyDescent="0.2">
      <c r="A20" s="505">
        <v>2</v>
      </c>
      <c r="B20" s="549"/>
      <c r="C20" s="499"/>
      <c r="D20" s="500" t="s">
        <v>1163</v>
      </c>
      <c r="E20" s="549"/>
      <c r="F20" s="501"/>
      <c r="G20" s="502"/>
      <c r="H20" s="502"/>
      <c r="I20" s="503">
        <f>SUM(I21:I22)</f>
        <v>3737.67</v>
      </c>
      <c r="J20" s="429">
        <f>I20/I$148</f>
        <v>5.0809529941669507E-3</v>
      </c>
    </row>
    <row r="21" spans="1:10" s="118" customFormat="1" ht="20.399999999999999" x14ac:dyDescent="0.2">
      <c r="A21" s="148">
        <v>2.1</v>
      </c>
      <c r="B21" s="416" t="s">
        <v>163</v>
      </c>
      <c r="C21" s="414" t="s">
        <v>168</v>
      </c>
      <c r="D21" s="556" t="s">
        <v>1191</v>
      </c>
      <c r="E21" s="148" t="s">
        <v>1190</v>
      </c>
      <c r="F21" s="137">
        <f>'MEMORIA DE CALCULO'!J114</f>
        <v>55.889999999999993</v>
      </c>
      <c r="G21" s="443">
        <v>31.06</v>
      </c>
      <c r="H21" s="137">
        <f t="shared" ref="H21" si="14">ROUND(G21*(1+$M$4),2)</f>
        <v>37.53</v>
      </c>
      <c r="I21" s="137">
        <f>TRUNC(F21*H21,2)</f>
        <v>2097.5500000000002</v>
      </c>
      <c r="J21" s="451"/>
    </row>
    <row r="22" spans="1:10" s="412" customFormat="1" ht="23.4" customHeight="1" x14ac:dyDescent="0.2">
      <c r="A22" s="416">
        <v>2.2000000000000002</v>
      </c>
      <c r="B22" s="416" t="s">
        <v>163</v>
      </c>
      <c r="C22" s="414" t="s">
        <v>169</v>
      </c>
      <c r="D22" s="557" t="s">
        <v>1192</v>
      </c>
      <c r="E22" s="443" t="s">
        <v>42</v>
      </c>
      <c r="F22" s="411">
        <f>'MEMORIA DE CALCULO'!J122</f>
        <v>32.04</v>
      </c>
      <c r="G22" s="411">
        <v>42.36</v>
      </c>
      <c r="H22" s="411">
        <f>ROUND(G22*(1+$M$4),2)</f>
        <v>51.19</v>
      </c>
      <c r="I22" s="411">
        <f>TRUNC(F22*H22,2)</f>
        <v>1640.12</v>
      </c>
      <c r="J22" s="422"/>
    </row>
    <row r="23" spans="1:10" s="431" customFormat="1" x14ac:dyDescent="0.2">
      <c r="A23" s="505">
        <v>3</v>
      </c>
      <c r="B23" s="549"/>
      <c r="C23" s="499"/>
      <c r="D23" s="500" t="s">
        <v>1202</v>
      </c>
      <c r="E23" s="549"/>
      <c r="F23" s="501"/>
      <c r="G23" s="502"/>
      <c r="H23" s="502"/>
      <c r="I23" s="503">
        <f>SUM(I24:I27)</f>
        <v>49534.280000000006</v>
      </c>
      <c r="J23" s="429">
        <f>I23/I$148</f>
        <v>6.733642838450267E-2</v>
      </c>
    </row>
    <row r="24" spans="1:10" s="412" customFormat="1" ht="30.6" x14ac:dyDescent="0.2">
      <c r="A24" s="416">
        <v>3.1</v>
      </c>
      <c r="B24" s="416" t="s">
        <v>163</v>
      </c>
      <c r="C24" s="414" t="s">
        <v>171</v>
      </c>
      <c r="D24" s="421" t="s">
        <v>1194</v>
      </c>
      <c r="E24" s="416" t="s">
        <v>42</v>
      </c>
      <c r="F24" s="411">
        <f>'MEMORIA DE CALCULO'!J134</f>
        <v>14.060000000000002</v>
      </c>
      <c r="G24" s="411">
        <v>1634.89</v>
      </c>
      <c r="H24" s="411">
        <f>ROUND(G24*(1+$M$4),2)</f>
        <v>1975.6</v>
      </c>
      <c r="I24" s="411">
        <f>TRUNC(F24*H24,2)</f>
        <v>27776.93</v>
      </c>
      <c r="J24" s="422"/>
    </row>
    <row r="25" spans="1:10" s="412" customFormat="1" ht="30.6" x14ac:dyDescent="0.2">
      <c r="A25" s="416">
        <v>3.2</v>
      </c>
      <c r="B25" s="416" t="s">
        <v>163</v>
      </c>
      <c r="C25" s="414" t="s">
        <v>1195</v>
      </c>
      <c r="D25" s="557" t="s">
        <v>1196</v>
      </c>
      <c r="E25" s="416" t="s">
        <v>9</v>
      </c>
      <c r="F25" s="411">
        <f>'MEMORIA DE CALCULO'!J141</f>
        <v>123.78</v>
      </c>
      <c r="G25" s="411">
        <v>84.1</v>
      </c>
      <c r="H25" s="411">
        <f>ROUND(G25*(1+$M$4),2)</f>
        <v>101.63</v>
      </c>
      <c r="I25" s="411">
        <f>TRUNC(F25*H25,2)</f>
        <v>12579.76</v>
      </c>
      <c r="J25" s="422"/>
    </row>
    <row r="26" spans="1:10" s="412" customFormat="1" ht="20.399999999999999" x14ac:dyDescent="0.2">
      <c r="A26" s="416">
        <v>3.3</v>
      </c>
      <c r="B26" s="416" t="s">
        <v>89</v>
      </c>
      <c r="C26" s="414">
        <v>98557</v>
      </c>
      <c r="D26" s="557" t="s">
        <v>1197</v>
      </c>
      <c r="E26" s="416" t="s">
        <v>9</v>
      </c>
      <c r="F26" s="411">
        <f>'MEMORIA DE CALCULO'!J147</f>
        <v>122.08</v>
      </c>
      <c r="G26" s="411">
        <v>40.44</v>
      </c>
      <c r="H26" s="411">
        <f>ROUND(G26*(1+$M$4),2)</f>
        <v>48.87</v>
      </c>
      <c r="I26" s="411">
        <f>TRUNC(F26*H26,2)</f>
        <v>5966.04</v>
      </c>
      <c r="J26" s="422"/>
    </row>
    <row r="27" spans="1:10" s="412" customFormat="1" ht="20.399999999999999" x14ac:dyDescent="0.2">
      <c r="A27" s="416">
        <v>3.4</v>
      </c>
      <c r="B27" s="416" t="s">
        <v>89</v>
      </c>
      <c r="C27" s="414">
        <v>95241</v>
      </c>
      <c r="D27" s="557" t="s">
        <v>1379</v>
      </c>
      <c r="E27" s="416" t="s">
        <v>9</v>
      </c>
      <c r="F27" s="411">
        <f>'MEMORIA DE CALCULO'!J154</f>
        <v>102.54</v>
      </c>
      <c r="G27" s="411">
        <v>25.92</v>
      </c>
      <c r="H27" s="411">
        <f>ROUND(G27*(1+$M$4),2)</f>
        <v>31.32</v>
      </c>
      <c r="I27" s="411">
        <f>TRUNC(F27*H27,2)</f>
        <v>3211.55</v>
      </c>
      <c r="J27" s="422"/>
    </row>
    <row r="28" spans="1:10" s="431" customFormat="1" x14ac:dyDescent="0.2">
      <c r="A28" s="505">
        <v>4</v>
      </c>
      <c r="B28" s="549"/>
      <c r="C28" s="499"/>
      <c r="D28" s="500" t="s">
        <v>1203</v>
      </c>
      <c r="E28" s="549"/>
      <c r="F28" s="501"/>
      <c r="G28" s="502"/>
      <c r="H28" s="502"/>
      <c r="I28" s="503">
        <f>SUM(I29:I31)</f>
        <v>29113.550000000003</v>
      </c>
      <c r="J28" s="429">
        <f>I28/I$148</f>
        <v>3.9576682543758339E-2</v>
      </c>
    </row>
    <row r="29" spans="1:10" s="412" customFormat="1" ht="30.6" x14ac:dyDescent="0.2">
      <c r="A29" s="416">
        <v>4.0999999999999996</v>
      </c>
      <c r="B29" s="416" t="s">
        <v>163</v>
      </c>
      <c r="C29" s="414" t="s">
        <v>172</v>
      </c>
      <c r="D29" s="557" t="s">
        <v>1204</v>
      </c>
      <c r="E29" s="416" t="s">
        <v>42</v>
      </c>
      <c r="F29" s="411">
        <f>'MEMORIA DE CALCULO'!J164</f>
        <v>3.1500000000000004</v>
      </c>
      <c r="G29" s="411">
        <v>2835.22</v>
      </c>
      <c r="H29" s="411">
        <f>ROUND(G29*(1+$M$4),2)</f>
        <v>3426.08</v>
      </c>
      <c r="I29" s="411">
        <f>TRUNC(F29*H29,2)</f>
        <v>10792.15</v>
      </c>
      <c r="J29" s="422"/>
    </row>
    <row r="30" spans="1:10" s="412" customFormat="1" ht="30.6" x14ac:dyDescent="0.2">
      <c r="A30" s="416">
        <v>4.2</v>
      </c>
      <c r="B30" s="416" t="s">
        <v>163</v>
      </c>
      <c r="C30" s="414" t="s">
        <v>1210</v>
      </c>
      <c r="D30" s="421" t="s">
        <v>1211</v>
      </c>
      <c r="E30" s="416" t="s">
        <v>42</v>
      </c>
      <c r="F30" s="411">
        <f>'MEMORIA DE CALCULO'!J169</f>
        <v>0.86</v>
      </c>
      <c r="G30" s="411">
        <v>2061.36</v>
      </c>
      <c r="H30" s="411">
        <f>ROUND(G30*(1+$M$4),2)</f>
        <v>2490.9499999999998</v>
      </c>
      <c r="I30" s="411">
        <f>TRUNC(F30*H30,2)</f>
        <v>2142.21</v>
      </c>
      <c r="J30" s="422"/>
    </row>
    <row r="31" spans="1:10" s="412" customFormat="1" ht="30.6" x14ac:dyDescent="0.2">
      <c r="A31" s="416">
        <v>4.3</v>
      </c>
      <c r="B31" s="416" t="s">
        <v>163</v>
      </c>
      <c r="C31" s="414" t="s">
        <v>1205</v>
      </c>
      <c r="D31" s="421" t="s">
        <v>1206</v>
      </c>
      <c r="E31" s="416" t="s">
        <v>42</v>
      </c>
      <c r="F31" s="411">
        <f>'MEMORIA DE CALCULO'!J175</f>
        <v>5.4899999999999993</v>
      </c>
      <c r="G31" s="411">
        <v>2438.79</v>
      </c>
      <c r="H31" s="411">
        <f>ROUND(G31*(1+$M$4),2)</f>
        <v>2947.03</v>
      </c>
      <c r="I31" s="411">
        <f>TRUNC(F31*H31,2)</f>
        <v>16179.19</v>
      </c>
      <c r="J31" s="422"/>
    </row>
    <row r="32" spans="1:10" s="145" customFormat="1" x14ac:dyDescent="0.2">
      <c r="A32" s="505">
        <v>5</v>
      </c>
      <c r="B32" s="498"/>
      <c r="C32" s="499"/>
      <c r="D32" s="504" t="s">
        <v>1118</v>
      </c>
      <c r="E32" s="498"/>
      <c r="F32" s="502"/>
      <c r="G32" s="502"/>
      <c r="H32" s="502"/>
      <c r="I32" s="503">
        <f>SUM(I33:I43)</f>
        <v>138203.85</v>
      </c>
      <c r="J32" s="429">
        <f>I32/I$148</f>
        <v>0.18787299720491646</v>
      </c>
    </row>
    <row r="33" spans="1:10" s="118" customFormat="1" ht="20.399999999999999" x14ac:dyDescent="0.2">
      <c r="A33" s="148">
        <v>5.0999999999999996</v>
      </c>
      <c r="B33" s="148" t="s">
        <v>163</v>
      </c>
      <c r="C33" s="14" t="s">
        <v>186</v>
      </c>
      <c r="D33" s="421" t="s">
        <v>510</v>
      </c>
      <c r="E33" s="148" t="s">
        <v>9</v>
      </c>
      <c r="F33" s="137">
        <f>'MEMORIA DE CALCULO'!J198</f>
        <v>1174.0099999999995</v>
      </c>
      <c r="G33" s="137">
        <v>8.32</v>
      </c>
      <c r="H33" s="137">
        <f>ROUND(G33*(1+$M$4),2)</f>
        <v>10.050000000000001</v>
      </c>
      <c r="I33" s="137">
        <f>TRUNC(F33*H33,2)</f>
        <v>11798.8</v>
      </c>
      <c r="J33" s="451"/>
    </row>
    <row r="34" spans="1:10" s="118" customFormat="1" ht="20.399999999999999" x14ac:dyDescent="0.2">
      <c r="A34" s="148">
        <v>5.2</v>
      </c>
      <c r="B34" s="148" t="s">
        <v>163</v>
      </c>
      <c r="C34" s="14" t="s">
        <v>1119</v>
      </c>
      <c r="D34" s="314" t="s">
        <v>1120</v>
      </c>
      <c r="E34" s="148" t="s">
        <v>9</v>
      </c>
      <c r="F34" s="137">
        <f>'MEMORIA DE CALCULO'!J220</f>
        <v>1192.0099999999995</v>
      </c>
      <c r="G34" s="137">
        <v>31.35</v>
      </c>
      <c r="H34" s="137">
        <f>ROUND(G34*(1+$M$4),2)</f>
        <v>37.880000000000003</v>
      </c>
      <c r="I34" s="137">
        <f>TRUNC(F34*H34,2)</f>
        <v>45153.33</v>
      </c>
      <c r="J34" s="451"/>
    </row>
    <row r="35" spans="1:10" s="118" customFormat="1" ht="20.399999999999999" x14ac:dyDescent="0.2">
      <c r="A35" s="148">
        <v>5.3</v>
      </c>
      <c r="B35" s="148" t="s">
        <v>163</v>
      </c>
      <c r="C35" s="455" t="s">
        <v>1111</v>
      </c>
      <c r="D35" s="425" t="s">
        <v>1121</v>
      </c>
      <c r="E35" s="148" t="s">
        <v>9</v>
      </c>
      <c r="F35" s="137">
        <f>'MEMORIA DE CALCULO'!J241</f>
        <v>1134.04</v>
      </c>
      <c r="G35" s="137">
        <v>28.38</v>
      </c>
      <c r="H35" s="137">
        <f t="shared" ref="H35:H45" si="15">ROUND(G35*(1+$M$4),2)</f>
        <v>34.29</v>
      </c>
      <c r="I35" s="137">
        <f t="shared" ref="I35:I37" si="16">TRUNC(F35*H35,2)</f>
        <v>38886.230000000003</v>
      </c>
      <c r="J35" s="451"/>
    </row>
    <row r="36" spans="1:10" s="118" customFormat="1" ht="30.6" x14ac:dyDescent="0.2">
      <c r="A36" s="148">
        <v>5.4</v>
      </c>
      <c r="B36" s="148" t="s">
        <v>163</v>
      </c>
      <c r="C36" s="440" t="s">
        <v>1213</v>
      </c>
      <c r="D36" s="421" t="s">
        <v>1214</v>
      </c>
      <c r="E36" s="148" t="s">
        <v>9</v>
      </c>
      <c r="F36" s="137">
        <f>'MEMORIA DE CALCULO'!J260</f>
        <v>486.36999999999989</v>
      </c>
      <c r="G36" s="443">
        <v>45.78</v>
      </c>
      <c r="H36" s="137">
        <f t="shared" si="15"/>
        <v>55.32</v>
      </c>
      <c r="I36" s="137">
        <f t="shared" si="16"/>
        <v>26905.98</v>
      </c>
      <c r="J36" s="451"/>
    </row>
    <row r="37" spans="1:10" s="412" customFormat="1" ht="51" x14ac:dyDescent="0.2">
      <c r="A37" s="148">
        <v>5.5</v>
      </c>
      <c r="B37" s="416" t="s">
        <v>163</v>
      </c>
      <c r="C37" s="414" t="s">
        <v>1122</v>
      </c>
      <c r="D37" s="441" t="s">
        <v>1123</v>
      </c>
      <c r="E37" s="148" t="s">
        <v>9</v>
      </c>
      <c r="F37" s="411">
        <f>'MEMORIA DE CALCULO'!J275</f>
        <v>273.76</v>
      </c>
      <c r="G37" s="411">
        <v>37.15</v>
      </c>
      <c r="H37" s="411">
        <f t="shared" si="15"/>
        <v>44.89</v>
      </c>
      <c r="I37" s="411">
        <f t="shared" si="16"/>
        <v>12289.08</v>
      </c>
      <c r="J37" s="422"/>
    </row>
    <row r="38" spans="1:10" s="412" customFormat="1" ht="20.399999999999999" x14ac:dyDescent="0.2">
      <c r="A38" s="148">
        <v>5.6</v>
      </c>
      <c r="B38" s="416" t="s">
        <v>89</v>
      </c>
      <c r="C38" s="414">
        <v>93184</v>
      </c>
      <c r="D38" s="441" t="s">
        <v>1146</v>
      </c>
      <c r="E38" s="148" t="s">
        <v>43</v>
      </c>
      <c r="F38" s="411">
        <f>'MEMORIA DE CALCULO'!J284</f>
        <v>4.4000000000000004</v>
      </c>
      <c r="G38" s="411">
        <v>32.630000000000003</v>
      </c>
      <c r="H38" s="411">
        <f t="shared" ref="H38:H39" si="17">ROUND(G38*(1+$M$4),2)</f>
        <v>39.43</v>
      </c>
      <c r="I38" s="411">
        <f t="shared" ref="I38:I39" si="18">TRUNC(F38*H38,2)</f>
        <v>173.49</v>
      </c>
      <c r="J38" s="422"/>
    </row>
    <row r="39" spans="1:10" s="412" customFormat="1" ht="20.399999999999999" x14ac:dyDescent="0.2">
      <c r="A39" s="148">
        <v>5.7</v>
      </c>
      <c r="B39" s="416" t="s">
        <v>89</v>
      </c>
      <c r="C39" s="414">
        <v>97631</v>
      </c>
      <c r="D39" s="441" t="s">
        <v>1147</v>
      </c>
      <c r="E39" s="148" t="s">
        <v>9</v>
      </c>
      <c r="F39" s="411">
        <f>'MEMORIA DE CALCULO'!J289</f>
        <v>51.11</v>
      </c>
      <c r="G39" s="411">
        <v>2.75</v>
      </c>
      <c r="H39" s="411">
        <f t="shared" si="17"/>
        <v>3.32</v>
      </c>
      <c r="I39" s="411">
        <f t="shared" si="18"/>
        <v>169.68</v>
      </c>
      <c r="J39" s="422"/>
    </row>
    <row r="40" spans="1:10" s="412" customFormat="1" ht="51" x14ac:dyDescent="0.2">
      <c r="A40" s="148">
        <v>5.8</v>
      </c>
      <c r="B40" s="416" t="s">
        <v>163</v>
      </c>
      <c r="C40" s="414" t="s">
        <v>1234</v>
      </c>
      <c r="D40" s="441" t="s">
        <v>1235</v>
      </c>
      <c r="E40" s="148" t="s">
        <v>9</v>
      </c>
      <c r="F40" s="411">
        <f>'MEMORIA DE CALCULO'!J294</f>
        <v>2.25</v>
      </c>
      <c r="G40" s="411">
        <v>60.25</v>
      </c>
      <c r="H40" s="411">
        <f t="shared" ref="H40" si="19">ROUND(G40*(1+$M$4),2)</f>
        <v>72.81</v>
      </c>
      <c r="I40" s="411">
        <f t="shared" ref="I40" si="20">TRUNC(F40*H40,2)</f>
        <v>163.82</v>
      </c>
      <c r="J40" s="422"/>
    </row>
    <row r="41" spans="1:10" s="412" customFormat="1" ht="20.399999999999999" x14ac:dyDescent="0.2">
      <c r="A41" s="148">
        <v>5.9</v>
      </c>
      <c r="B41" s="416" t="s">
        <v>89</v>
      </c>
      <c r="C41" s="414">
        <v>93185</v>
      </c>
      <c r="D41" s="441" t="s">
        <v>1236</v>
      </c>
      <c r="E41" s="148" t="s">
        <v>43</v>
      </c>
      <c r="F41" s="411">
        <f>'MEMORIA DE CALCULO'!J300</f>
        <v>4.2</v>
      </c>
      <c r="G41" s="411">
        <v>56.14</v>
      </c>
      <c r="H41" s="411">
        <f t="shared" ref="H41" si="21">ROUND(G41*(1+$M$4),2)</f>
        <v>67.84</v>
      </c>
      <c r="I41" s="411">
        <f t="shared" ref="I41" si="22">TRUNC(F41*H41,2)</f>
        <v>284.92</v>
      </c>
      <c r="J41" s="422"/>
    </row>
    <row r="42" spans="1:10" s="412" customFormat="1" ht="20.399999999999999" x14ac:dyDescent="0.2">
      <c r="A42" s="522">
        <v>5.0999999999999996</v>
      </c>
      <c r="B42" s="416" t="s">
        <v>89</v>
      </c>
      <c r="C42" s="414">
        <v>93183</v>
      </c>
      <c r="D42" s="441" t="s">
        <v>1237</v>
      </c>
      <c r="E42" s="148" t="s">
        <v>43</v>
      </c>
      <c r="F42" s="411">
        <f>'MEMORIA DE CALCULO'!J307</f>
        <v>19.3</v>
      </c>
      <c r="G42" s="411">
        <v>56.94</v>
      </c>
      <c r="H42" s="411">
        <f t="shared" ref="H42" si="23">ROUND(G42*(1+$M$4),2)</f>
        <v>68.81</v>
      </c>
      <c r="I42" s="411">
        <f t="shared" ref="I42" si="24">TRUNC(F42*H42,2)</f>
        <v>1328.03</v>
      </c>
      <c r="J42" s="422"/>
    </row>
    <row r="43" spans="1:10" s="412" customFormat="1" ht="30.6" x14ac:dyDescent="0.2">
      <c r="A43" s="522">
        <v>5.1100000000000003</v>
      </c>
      <c r="B43" s="416" t="s">
        <v>89</v>
      </c>
      <c r="C43" s="414">
        <v>93191</v>
      </c>
      <c r="D43" s="441" t="s">
        <v>1238</v>
      </c>
      <c r="E43" s="148" t="s">
        <v>43</v>
      </c>
      <c r="F43" s="411">
        <f>'MEMORIA DE CALCULO'!J314</f>
        <v>19.3</v>
      </c>
      <c r="G43" s="411">
        <v>45.04</v>
      </c>
      <c r="H43" s="411">
        <f t="shared" ref="H43" si="25">ROUND(G43*(1+$M$4),2)</f>
        <v>54.43</v>
      </c>
      <c r="I43" s="411">
        <f t="shared" ref="I43" si="26">TRUNC(F43*H43,2)</f>
        <v>1050.49</v>
      </c>
      <c r="J43" s="422"/>
    </row>
    <row r="44" spans="1:10" s="118" customFormat="1" x14ac:dyDescent="0.2">
      <c r="A44" s="505">
        <v>6</v>
      </c>
      <c r="B44" s="498"/>
      <c r="C44" s="499"/>
      <c r="D44" s="506" t="s">
        <v>29</v>
      </c>
      <c r="E44" s="498"/>
      <c r="F44" s="503"/>
      <c r="G44" s="503"/>
      <c r="H44" s="503"/>
      <c r="I44" s="503">
        <f>SUM(I45:I54)</f>
        <v>49234.18</v>
      </c>
      <c r="J44" s="429">
        <f>I44/I$148</f>
        <v>6.6928475303158E-2</v>
      </c>
    </row>
    <row r="45" spans="1:10" s="118" customFormat="1" ht="30.6" x14ac:dyDescent="0.2">
      <c r="A45" s="148">
        <v>6.1</v>
      </c>
      <c r="B45" s="148" t="s">
        <v>163</v>
      </c>
      <c r="C45" s="14" t="s">
        <v>1124</v>
      </c>
      <c r="D45" s="454" t="s">
        <v>1125</v>
      </c>
      <c r="E45" s="148" t="s">
        <v>9</v>
      </c>
      <c r="F45" s="524">
        <f>'MEMORIA DE CALCULO'!J331</f>
        <v>340.71199999999993</v>
      </c>
      <c r="G45" s="137">
        <v>15.19</v>
      </c>
      <c r="H45" s="137">
        <f t="shared" si="15"/>
        <v>18.36</v>
      </c>
      <c r="I45" s="137">
        <f t="shared" ref="I45" si="27">TRUNC(F45*H45,2)</f>
        <v>6255.47</v>
      </c>
      <c r="J45" s="451"/>
    </row>
    <row r="46" spans="1:10" s="118" customFormat="1" ht="30.6" x14ac:dyDescent="0.2">
      <c r="A46" s="148">
        <v>6.2</v>
      </c>
      <c r="B46" s="148" t="s">
        <v>163</v>
      </c>
      <c r="C46" s="14" t="s">
        <v>1127</v>
      </c>
      <c r="D46" s="454" t="s">
        <v>1126</v>
      </c>
      <c r="E46" s="148" t="s">
        <v>9</v>
      </c>
      <c r="F46" s="524">
        <f>'MEMORIA DE CALCULO'!J340</f>
        <v>1010.558</v>
      </c>
      <c r="G46" s="137">
        <v>16.489999999999998</v>
      </c>
      <c r="H46" s="137">
        <f t="shared" ref="H46" si="28">ROUND(G46*(1+$M$4),2)</f>
        <v>19.93</v>
      </c>
      <c r="I46" s="137">
        <f t="shared" ref="I46" si="29">TRUNC(F46*H46,2)</f>
        <v>20140.419999999998</v>
      </c>
      <c r="J46" s="451"/>
    </row>
    <row r="47" spans="1:10" s="118" customFormat="1" ht="20.399999999999999" x14ac:dyDescent="0.2">
      <c r="A47" s="148">
        <v>6.3</v>
      </c>
      <c r="B47" s="148" t="s">
        <v>89</v>
      </c>
      <c r="C47" s="14">
        <v>88497</v>
      </c>
      <c r="D47" s="454" t="s">
        <v>1128</v>
      </c>
      <c r="E47" s="148" t="s">
        <v>9</v>
      </c>
      <c r="F47" s="524">
        <f>'MEMORIA DE CALCULO'!J346</f>
        <v>170.01999999999998</v>
      </c>
      <c r="G47" s="137">
        <v>13.31</v>
      </c>
      <c r="H47" s="137">
        <f t="shared" ref="H47:H49" si="30">ROUND(G47*(1+$M$4),2)</f>
        <v>16.079999999999998</v>
      </c>
      <c r="I47" s="137">
        <f t="shared" ref="I47:I49" si="31">TRUNC(F47*H47,2)</f>
        <v>2733.92</v>
      </c>
      <c r="J47" s="451"/>
    </row>
    <row r="48" spans="1:10" s="118" customFormat="1" x14ac:dyDescent="0.2">
      <c r="A48" s="148">
        <v>6.4</v>
      </c>
      <c r="B48" s="148" t="s">
        <v>659</v>
      </c>
      <c r="C48" s="445" t="s">
        <v>1129</v>
      </c>
      <c r="D48" s="497" t="s">
        <v>1109</v>
      </c>
      <c r="E48" s="148" t="s">
        <v>9</v>
      </c>
      <c r="F48" s="137">
        <f>'MEMORIA DE CALCULO'!J361</f>
        <v>215.96299999999999</v>
      </c>
      <c r="G48" s="443">
        <v>22.35</v>
      </c>
      <c r="H48" s="137">
        <f t="shared" si="30"/>
        <v>27.01</v>
      </c>
      <c r="I48" s="137">
        <f t="shared" si="31"/>
        <v>5833.16</v>
      </c>
      <c r="J48" s="451"/>
    </row>
    <row r="49" spans="1:10" s="118" customFormat="1" ht="25.2" customHeight="1" x14ac:dyDescent="0.2">
      <c r="A49" s="148">
        <v>6.5</v>
      </c>
      <c r="B49" s="148" t="s">
        <v>89</v>
      </c>
      <c r="C49" s="14">
        <v>88488</v>
      </c>
      <c r="D49" s="381" t="s">
        <v>990</v>
      </c>
      <c r="E49" s="148" t="s">
        <v>9</v>
      </c>
      <c r="F49" s="137">
        <f>'MEMORIA DE CALCULO'!J377</f>
        <v>226.26159999999999</v>
      </c>
      <c r="G49" s="137">
        <v>16.329999999999998</v>
      </c>
      <c r="H49" s="137">
        <f t="shared" si="30"/>
        <v>19.73</v>
      </c>
      <c r="I49" s="137">
        <f t="shared" si="31"/>
        <v>4464.1400000000003</v>
      </c>
      <c r="J49" s="451"/>
    </row>
    <row r="50" spans="1:10" s="118" customFormat="1" ht="25.2" customHeight="1" x14ac:dyDescent="0.2">
      <c r="A50" s="148">
        <v>6.6</v>
      </c>
      <c r="B50" s="148" t="s">
        <v>89</v>
      </c>
      <c r="C50" s="14">
        <v>88484</v>
      </c>
      <c r="D50" s="381" t="s">
        <v>1112</v>
      </c>
      <c r="E50" s="148" t="s">
        <v>9</v>
      </c>
      <c r="F50" s="137">
        <f>'MEMORIA DE CALCULO'!J394</f>
        <v>228.01159999999999</v>
      </c>
      <c r="G50" s="137">
        <v>3.04</v>
      </c>
      <c r="H50" s="137">
        <f t="shared" ref="H50:H51" si="32">ROUND(G50*(1+$M$4),2)</f>
        <v>3.67</v>
      </c>
      <c r="I50" s="137">
        <f t="shared" ref="I50:I51" si="33">TRUNC(F50*H50,2)</f>
        <v>836.8</v>
      </c>
      <c r="J50" s="451"/>
    </row>
    <row r="51" spans="1:10" s="118" customFormat="1" x14ac:dyDescent="0.2">
      <c r="A51" s="148">
        <v>6.7</v>
      </c>
      <c r="B51" s="148" t="s">
        <v>659</v>
      </c>
      <c r="C51" s="14" t="s">
        <v>1132</v>
      </c>
      <c r="D51" s="381" t="s">
        <v>1131</v>
      </c>
      <c r="E51" s="148" t="s">
        <v>9</v>
      </c>
      <c r="F51" s="137">
        <f>'MEMORIA DE CALCULO'!J401</f>
        <v>37.799999999999997</v>
      </c>
      <c r="G51" s="137">
        <v>22.34</v>
      </c>
      <c r="H51" s="137">
        <f t="shared" si="32"/>
        <v>27</v>
      </c>
      <c r="I51" s="137">
        <f t="shared" si="33"/>
        <v>1020.6</v>
      </c>
      <c r="J51" s="451"/>
    </row>
    <row r="52" spans="1:10" s="118" customFormat="1" ht="20.399999999999999" x14ac:dyDescent="0.2">
      <c r="A52" s="148">
        <v>6.8</v>
      </c>
      <c r="B52" s="148" t="s">
        <v>89</v>
      </c>
      <c r="C52" s="14">
        <v>102193</v>
      </c>
      <c r="D52" s="381" t="s">
        <v>973</v>
      </c>
      <c r="E52" s="148" t="s">
        <v>9</v>
      </c>
      <c r="F52" s="137">
        <f>'MEMORIA DE CALCULO'!J408</f>
        <v>37.799999999999997</v>
      </c>
      <c r="G52" s="137">
        <v>1.59</v>
      </c>
      <c r="H52" s="137">
        <f t="shared" ref="H52" si="34">ROUND(G52*(1+$M$4),2)</f>
        <v>1.92</v>
      </c>
      <c r="I52" s="137">
        <f t="shared" ref="I52" si="35">TRUNC(F52*H52,2)</f>
        <v>72.569999999999993</v>
      </c>
      <c r="J52" s="451"/>
    </row>
    <row r="53" spans="1:10" s="118" customFormat="1" ht="40.799999999999997" x14ac:dyDescent="0.2">
      <c r="A53" s="148">
        <v>6.9</v>
      </c>
      <c r="B53" s="148" t="s">
        <v>89</v>
      </c>
      <c r="C53" s="14">
        <v>100740</v>
      </c>
      <c r="D53" s="381" t="s">
        <v>1264</v>
      </c>
      <c r="E53" s="148" t="s">
        <v>9</v>
      </c>
      <c r="F53" s="137">
        <f>'MEMORIA DE CALCULO'!J419</f>
        <v>151.54</v>
      </c>
      <c r="G53" s="137">
        <v>9.2200000000000006</v>
      </c>
      <c r="H53" s="137">
        <f t="shared" ref="H53" si="36">ROUND(G53*(1+$M$4),2)</f>
        <v>11.14</v>
      </c>
      <c r="I53" s="137">
        <f t="shared" ref="I53" si="37">TRUNC(F53*H53,2)</f>
        <v>1688.15</v>
      </c>
      <c r="J53" s="451"/>
    </row>
    <row r="54" spans="1:10" s="118" customFormat="1" ht="20.399999999999999" x14ac:dyDescent="0.2">
      <c r="A54" s="522">
        <v>6.1</v>
      </c>
      <c r="B54" s="148" t="s">
        <v>89</v>
      </c>
      <c r="C54" s="14">
        <v>102491</v>
      </c>
      <c r="D54" s="381" t="s">
        <v>1342</v>
      </c>
      <c r="E54" s="148" t="s">
        <v>9</v>
      </c>
      <c r="F54" s="137">
        <f>'MEMORIA DE CALCULO'!J424</f>
        <v>285.60000000000002</v>
      </c>
      <c r="G54" s="137">
        <v>17.93</v>
      </c>
      <c r="H54" s="137">
        <f t="shared" ref="H54" si="38">ROUND(G54*(1+$M$4),2)</f>
        <v>21.67</v>
      </c>
      <c r="I54" s="137">
        <f t="shared" ref="I54" si="39">TRUNC(F54*H54,2)</f>
        <v>6188.95</v>
      </c>
      <c r="J54" s="451"/>
    </row>
    <row r="55" spans="1:10" s="145" customFormat="1" x14ac:dyDescent="0.2">
      <c r="A55" s="505">
        <v>7</v>
      </c>
      <c r="B55" s="498"/>
      <c r="C55" s="499"/>
      <c r="D55" s="504" t="s">
        <v>28</v>
      </c>
      <c r="E55" s="498"/>
      <c r="F55" s="501"/>
      <c r="G55" s="501"/>
      <c r="H55" s="502"/>
      <c r="I55" s="503">
        <f>SUM(I56:I67)</f>
        <v>89879.34</v>
      </c>
      <c r="J55" s="429">
        <f>I55/I$148</f>
        <v>0.12218111863453684</v>
      </c>
    </row>
    <row r="56" spans="1:10" s="145" customFormat="1" ht="30.6" x14ac:dyDescent="0.2">
      <c r="A56" s="148">
        <v>7.1</v>
      </c>
      <c r="B56" s="148" t="s">
        <v>89</v>
      </c>
      <c r="C56" s="14">
        <v>90806</v>
      </c>
      <c r="D56" s="421" t="s">
        <v>1130</v>
      </c>
      <c r="E56" s="148" t="s">
        <v>33</v>
      </c>
      <c r="F56" s="137">
        <f>'MEMORIA DE CALCULO'!J441</f>
        <v>11</v>
      </c>
      <c r="G56" s="137">
        <v>332.75</v>
      </c>
      <c r="H56" s="137">
        <f>ROUND(G56*(1+$M$4),2)</f>
        <v>402.1</v>
      </c>
      <c r="I56" s="137">
        <f>TRUNC(F56*H56,2)</f>
        <v>4423.1000000000004</v>
      </c>
      <c r="J56" s="442"/>
    </row>
    <row r="57" spans="1:10" s="118" customFormat="1" ht="51" x14ac:dyDescent="0.2">
      <c r="A57" s="148">
        <v>7.2</v>
      </c>
      <c r="B57" s="148" t="s">
        <v>89</v>
      </c>
      <c r="C57" s="14">
        <v>90842</v>
      </c>
      <c r="D57" s="421" t="s">
        <v>1144</v>
      </c>
      <c r="E57" s="148" t="s">
        <v>33</v>
      </c>
      <c r="F57" s="444">
        <f>'MEMORIA DE CALCULO'!J448</f>
        <v>3</v>
      </c>
      <c r="G57" s="137">
        <v>844.81</v>
      </c>
      <c r="H57" s="137">
        <f t="shared" ref="H57" si="40">ROUND(G57*(1+$M$4),2)</f>
        <v>1020.87</v>
      </c>
      <c r="I57" s="137">
        <f t="shared" ref="I57" si="41">TRUNC(F57*H57,2)</f>
        <v>3062.61</v>
      </c>
      <c r="J57" s="451"/>
    </row>
    <row r="58" spans="1:10" s="118" customFormat="1" ht="51" x14ac:dyDescent="0.2">
      <c r="A58" s="148">
        <v>7.3</v>
      </c>
      <c r="B58" s="148" t="s">
        <v>89</v>
      </c>
      <c r="C58" s="14">
        <v>90843</v>
      </c>
      <c r="D58" s="421" t="s">
        <v>1145</v>
      </c>
      <c r="E58" s="148" t="s">
        <v>33</v>
      </c>
      <c r="F58" s="444">
        <f>'MEMORIA DE CALCULO'!J455</f>
        <v>3</v>
      </c>
      <c r="G58" s="137">
        <v>884.36</v>
      </c>
      <c r="H58" s="137">
        <f t="shared" ref="H58" si="42">ROUND(G58*(1+$M$4),2)</f>
        <v>1068.6600000000001</v>
      </c>
      <c r="I58" s="137">
        <f t="shared" ref="I58" si="43">TRUNC(F58*H58,2)</f>
        <v>3205.98</v>
      </c>
      <c r="J58" s="451"/>
    </row>
    <row r="59" spans="1:10" s="118" customFormat="1" ht="30.6" x14ac:dyDescent="0.2">
      <c r="A59" s="148">
        <v>7.4</v>
      </c>
      <c r="B59" s="148" t="s">
        <v>89</v>
      </c>
      <c r="C59" s="14">
        <v>91338</v>
      </c>
      <c r="D59" s="381" t="s">
        <v>1151</v>
      </c>
      <c r="E59" s="148" t="s">
        <v>9</v>
      </c>
      <c r="F59" s="137">
        <f>'MEMORIA DE CALCULO'!J461</f>
        <v>9</v>
      </c>
      <c r="G59" s="137">
        <v>703.45</v>
      </c>
      <c r="H59" s="137">
        <f>ROUND(G59*(1+$M$4),2)</f>
        <v>850.05</v>
      </c>
      <c r="I59" s="137">
        <f>TRUNC(F59*H59,2)</f>
        <v>7650.45</v>
      </c>
      <c r="J59" s="451"/>
    </row>
    <row r="60" spans="1:10" s="118" customFormat="1" x14ac:dyDescent="0.2">
      <c r="A60" s="148">
        <v>7.5</v>
      </c>
      <c r="B60" s="148" t="s">
        <v>659</v>
      </c>
      <c r="C60" s="14" t="s">
        <v>1247</v>
      </c>
      <c r="D60" s="381" t="s">
        <v>1248</v>
      </c>
      <c r="E60" s="148" t="s">
        <v>9</v>
      </c>
      <c r="F60" s="137">
        <f>'MEMORIA DE CALCULO'!J467</f>
        <v>13.44</v>
      </c>
      <c r="G60" s="137">
        <v>398.57</v>
      </c>
      <c r="H60" s="137">
        <f>ROUND(G60*(1+$M$4),2)</f>
        <v>481.63</v>
      </c>
      <c r="I60" s="137">
        <f>TRUNC(F60*H60,2)</f>
        <v>6473.1</v>
      </c>
      <c r="J60" s="451"/>
    </row>
    <row r="61" spans="1:10" s="118" customFormat="1" ht="40.799999999999997" x14ac:dyDescent="0.2">
      <c r="A61" s="148">
        <v>7.6</v>
      </c>
      <c r="B61" s="148" t="s">
        <v>89</v>
      </c>
      <c r="C61" s="14">
        <v>94573</v>
      </c>
      <c r="D61" s="381" t="s">
        <v>1250</v>
      </c>
      <c r="E61" s="148" t="s">
        <v>9</v>
      </c>
      <c r="F61" s="137">
        <f>'MEMORIA DE CALCULO'!J476</f>
        <v>15</v>
      </c>
      <c r="G61" s="137">
        <v>367.7</v>
      </c>
      <c r="H61" s="137">
        <f>ROUND(G61*(1+$M$4),2)</f>
        <v>444.33</v>
      </c>
      <c r="I61" s="137">
        <f>TRUNC(F61*H61,2)</f>
        <v>6664.95</v>
      </c>
      <c r="J61" s="451"/>
    </row>
    <row r="62" spans="1:10" s="118" customFormat="1" ht="20.399999999999999" x14ac:dyDescent="0.2">
      <c r="A62" s="148">
        <v>7.7</v>
      </c>
      <c r="B62" s="148" t="s">
        <v>89</v>
      </c>
      <c r="C62" s="14" t="s">
        <v>1154</v>
      </c>
      <c r="D62" s="381" t="s">
        <v>1285</v>
      </c>
      <c r="E62" s="148" t="s">
        <v>33</v>
      </c>
      <c r="F62" s="137">
        <f>'MEMORIA DE CALCULO'!J482</f>
        <v>6</v>
      </c>
      <c r="G62" s="137">
        <v>307.48</v>
      </c>
      <c r="H62" s="137">
        <f>ROUND(G62*(1+$M$4),2)</f>
        <v>371.56</v>
      </c>
      <c r="I62" s="137">
        <f>TRUNC(F62*H62,2)</f>
        <v>2229.36</v>
      </c>
      <c r="J62" s="451"/>
    </row>
    <row r="63" spans="1:10" s="118" customFormat="1" ht="51" x14ac:dyDescent="0.2">
      <c r="A63" s="148">
        <v>7.8</v>
      </c>
      <c r="B63" s="148" t="s">
        <v>89</v>
      </c>
      <c r="C63" s="14">
        <v>90844</v>
      </c>
      <c r="D63" s="421" t="s">
        <v>1246</v>
      </c>
      <c r="E63" s="148" t="s">
        <v>33</v>
      </c>
      <c r="F63" s="444">
        <f>'MEMORIA DE CALCULO'!J491</f>
        <v>5</v>
      </c>
      <c r="G63" s="137">
        <v>944.02</v>
      </c>
      <c r="H63" s="137">
        <f t="shared" ref="H63:H64" si="44">ROUND(G63*(1+$M$4),2)</f>
        <v>1140.75</v>
      </c>
      <c r="I63" s="137">
        <f t="shared" ref="I63:I64" si="45">TRUNC(F63*H63,2)</f>
        <v>5703.75</v>
      </c>
      <c r="J63" s="451"/>
    </row>
    <row r="64" spans="1:10" s="118" customFormat="1" ht="20.399999999999999" x14ac:dyDescent="0.2">
      <c r="A64" s="148">
        <v>7.9</v>
      </c>
      <c r="B64" s="148" t="s">
        <v>89</v>
      </c>
      <c r="C64" s="14">
        <v>99861</v>
      </c>
      <c r="D64" s="421" t="s">
        <v>1252</v>
      </c>
      <c r="E64" s="148" t="s">
        <v>9</v>
      </c>
      <c r="F64" s="444">
        <f>'MEMORIA DE CALCULO'!J499</f>
        <v>13</v>
      </c>
      <c r="G64" s="137">
        <v>605.42999999999995</v>
      </c>
      <c r="H64" s="137">
        <f t="shared" si="44"/>
        <v>731.6</v>
      </c>
      <c r="I64" s="137">
        <f t="shared" si="45"/>
        <v>9510.7999999999993</v>
      </c>
      <c r="J64" s="451"/>
    </row>
    <row r="65" spans="1:10" s="118" customFormat="1" ht="20.399999999999999" x14ac:dyDescent="0.2">
      <c r="A65" s="522">
        <v>7.1</v>
      </c>
      <c r="B65" s="148" t="s">
        <v>659</v>
      </c>
      <c r="C65" s="14" t="s">
        <v>1255</v>
      </c>
      <c r="D65" s="421" t="s">
        <v>1256</v>
      </c>
      <c r="E65" s="148" t="s">
        <v>9</v>
      </c>
      <c r="F65" s="444">
        <f>'MEMORIA DE CALCULO'!J504</f>
        <v>56.89</v>
      </c>
      <c r="G65" s="137">
        <v>376.15</v>
      </c>
      <c r="H65" s="137">
        <f t="shared" ref="H65" si="46">ROUND(G65*(1+$M$4),2)</f>
        <v>454.54</v>
      </c>
      <c r="I65" s="137">
        <f t="shared" ref="I65" si="47">TRUNC(F65*H65,2)</f>
        <v>25858.78</v>
      </c>
      <c r="J65" s="451"/>
    </row>
    <row r="66" spans="1:10" s="118" customFormat="1" ht="40.799999999999997" x14ac:dyDescent="0.2">
      <c r="A66" s="522">
        <v>7.11</v>
      </c>
      <c r="B66" s="148" t="s">
        <v>163</v>
      </c>
      <c r="C66" s="14" t="s">
        <v>1259</v>
      </c>
      <c r="D66" s="421" t="s">
        <v>1260</v>
      </c>
      <c r="E66" s="148" t="s">
        <v>9</v>
      </c>
      <c r="F66" s="444">
        <f>'MEMORIA DE CALCULO'!J510</f>
        <v>11.76</v>
      </c>
      <c r="G66" s="137">
        <v>236.64</v>
      </c>
      <c r="H66" s="137">
        <f t="shared" ref="H66" si="48">ROUND(G66*(1+$M$4),2)</f>
        <v>285.95999999999998</v>
      </c>
      <c r="I66" s="137">
        <f t="shared" ref="I66" si="49">TRUNC(F66*H66,2)</f>
        <v>3362.88</v>
      </c>
      <c r="J66" s="451"/>
    </row>
    <row r="67" spans="1:10" s="118" customFormat="1" ht="20.399999999999999" x14ac:dyDescent="0.2">
      <c r="A67" s="522">
        <v>7.12</v>
      </c>
      <c r="B67" s="148" t="s">
        <v>659</v>
      </c>
      <c r="C67" s="14" t="s">
        <v>1327</v>
      </c>
      <c r="D67" s="421" t="s">
        <v>1328</v>
      </c>
      <c r="E67" s="148" t="s">
        <v>9</v>
      </c>
      <c r="F67" s="444">
        <f>'MEMORIA DE CALCULO'!J516</f>
        <v>27.6</v>
      </c>
      <c r="G67" s="137">
        <v>351.81</v>
      </c>
      <c r="H67" s="137">
        <f t="shared" ref="H67" si="50">ROUND(G67*(1+$M$4),2)</f>
        <v>425.13</v>
      </c>
      <c r="I67" s="137">
        <f t="shared" ref="I67" si="51">TRUNC(F67*H67,2)</f>
        <v>11733.58</v>
      </c>
      <c r="J67" s="451"/>
    </row>
    <row r="68" spans="1:10" s="145" customFormat="1" x14ac:dyDescent="0.2">
      <c r="A68" s="505">
        <v>8</v>
      </c>
      <c r="B68" s="549"/>
      <c r="C68" s="499"/>
      <c r="D68" s="504" t="s">
        <v>1265</v>
      </c>
      <c r="E68" s="549"/>
      <c r="F68" s="501"/>
      <c r="G68" s="501"/>
      <c r="H68" s="502"/>
      <c r="I68" s="503">
        <f>SUM(I69:I69)</f>
        <v>8906.1299999999992</v>
      </c>
      <c r="J68" s="429">
        <f>I68/I$148</f>
        <v>1.2106908285092075E-2</v>
      </c>
    </row>
    <row r="69" spans="1:10" s="118" customFormat="1" ht="20.399999999999999" x14ac:dyDescent="0.2">
      <c r="A69" s="148">
        <v>8.1</v>
      </c>
      <c r="B69" s="416" t="s">
        <v>89</v>
      </c>
      <c r="C69" s="414">
        <v>96113</v>
      </c>
      <c r="D69" s="562" t="s">
        <v>1266</v>
      </c>
      <c r="E69" s="416" t="s">
        <v>9</v>
      </c>
      <c r="F69" s="411">
        <f>'MEMORIA DE CALCULO'!J535</f>
        <v>228.01159999999999</v>
      </c>
      <c r="G69" s="411">
        <v>32.32</v>
      </c>
      <c r="H69" s="137">
        <f t="shared" ref="H69" si="52">ROUND(G69*(1+$M$4),2)</f>
        <v>39.06</v>
      </c>
      <c r="I69" s="137">
        <f t="shared" ref="I69" si="53">TRUNC(F69*H69,2)</f>
        <v>8906.1299999999992</v>
      </c>
      <c r="J69" s="451"/>
    </row>
    <row r="70" spans="1:10" s="145" customFormat="1" x14ac:dyDescent="0.2">
      <c r="A70" s="505">
        <v>9</v>
      </c>
      <c r="B70" s="549"/>
      <c r="C70" s="499"/>
      <c r="D70" s="504" t="s">
        <v>1310</v>
      </c>
      <c r="E70" s="549"/>
      <c r="F70" s="501"/>
      <c r="G70" s="501"/>
      <c r="H70" s="502"/>
      <c r="I70" s="503">
        <f>SUM(I71:I78)</f>
        <v>122298.60999999999</v>
      </c>
      <c r="J70" s="429">
        <f>I70/I$148</f>
        <v>0.16625156545707781</v>
      </c>
    </row>
    <row r="71" spans="1:10" s="118" customFormat="1" ht="30.6" x14ac:dyDescent="0.2">
      <c r="A71" s="148">
        <v>9.1</v>
      </c>
      <c r="B71" s="416" t="s">
        <v>89</v>
      </c>
      <c r="C71" s="414">
        <v>92396</v>
      </c>
      <c r="D71" s="562" t="s">
        <v>1301</v>
      </c>
      <c r="E71" s="416" t="s">
        <v>9</v>
      </c>
      <c r="F71" s="411">
        <f>'MEMORIA DE CALCULO'!J548</f>
        <v>630.16499999999996</v>
      </c>
      <c r="G71" s="411">
        <v>61.09</v>
      </c>
      <c r="H71" s="137">
        <f t="shared" ref="H71" si="54">ROUND(G71*(1+$M$4),2)</f>
        <v>73.819999999999993</v>
      </c>
      <c r="I71" s="137">
        <f t="shared" ref="I71" si="55">TRUNC(F71*H71,2)</f>
        <v>46518.78</v>
      </c>
      <c r="J71" s="451"/>
    </row>
    <row r="72" spans="1:10" s="118" customFormat="1" ht="30.6" x14ac:dyDescent="0.2">
      <c r="A72" s="148">
        <v>9.1999999999999993</v>
      </c>
      <c r="B72" s="416" t="s">
        <v>89</v>
      </c>
      <c r="C72" s="414">
        <v>92399</v>
      </c>
      <c r="D72" s="562" t="s">
        <v>1308</v>
      </c>
      <c r="E72" s="416" t="s">
        <v>9</v>
      </c>
      <c r="F72" s="411">
        <f>'MEMORIA DE CALCULO'!J553</f>
        <v>85.17</v>
      </c>
      <c r="G72" s="411">
        <v>63.97</v>
      </c>
      <c r="H72" s="137">
        <f t="shared" ref="H72:H73" si="56">ROUND(G72*(1+$M$4),2)</f>
        <v>77.3</v>
      </c>
      <c r="I72" s="137">
        <f t="shared" ref="I72:I73" si="57">TRUNC(F72*H72,2)</f>
        <v>6583.64</v>
      </c>
      <c r="J72" s="451"/>
    </row>
    <row r="73" spans="1:10" s="118" customFormat="1" ht="30.6" x14ac:dyDescent="0.2">
      <c r="A73" s="148">
        <v>9.3000000000000007</v>
      </c>
      <c r="B73" s="416" t="s">
        <v>163</v>
      </c>
      <c r="C73" s="414" t="s">
        <v>1311</v>
      </c>
      <c r="D73" s="562" t="s">
        <v>1312</v>
      </c>
      <c r="E73" s="416" t="s">
        <v>43</v>
      </c>
      <c r="F73" s="411">
        <f>'MEMORIA DE CALCULO'!J567</f>
        <v>616.36999999999989</v>
      </c>
      <c r="G73" s="411">
        <v>20.72</v>
      </c>
      <c r="H73" s="137">
        <f t="shared" si="56"/>
        <v>25.04</v>
      </c>
      <c r="I73" s="137">
        <f t="shared" si="57"/>
        <v>15433.9</v>
      </c>
      <c r="J73" s="451"/>
    </row>
    <row r="74" spans="1:10" s="118" customFormat="1" ht="20.399999999999999" x14ac:dyDescent="0.2">
      <c r="A74" s="148">
        <v>9.4</v>
      </c>
      <c r="B74" s="416" t="s">
        <v>89</v>
      </c>
      <c r="C74" s="414">
        <v>94319</v>
      </c>
      <c r="D74" s="562" t="s">
        <v>1313</v>
      </c>
      <c r="E74" s="416" t="s">
        <v>42</v>
      </c>
      <c r="F74" s="411">
        <f>'MEMORIA DE CALCULO'!J573</f>
        <v>36.982199999999999</v>
      </c>
      <c r="G74" s="411">
        <v>75.89</v>
      </c>
      <c r="H74" s="137">
        <f t="shared" ref="H74" si="58">ROUND(G74*(1+$M$4),2)</f>
        <v>91.71</v>
      </c>
      <c r="I74" s="137">
        <f t="shared" ref="I74" si="59">TRUNC(F74*H74,2)</f>
        <v>3391.63</v>
      </c>
      <c r="J74" s="451"/>
    </row>
    <row r="75" spans="1:10" s="118" customFormat="1" ht="20.399999999999999" x14ac:dyDescent="0.2">
      <c r="A75" s="148">
        <v>9.5</v>
      </c>
      <c r="B75" s="416" t="s">
        <v>163</v>
      </c>
      <c r="C75" s="414" t="s">
        <v>1314</v>
      </c>
      <c r="D75" s="562" t="s">
        <v>1315</v>
      </c>
      <c r="E75" s="148" t="s">
        <v>9</v>
      </c>
      <c r="F75" s="411">
        <f>'MEMORIA DE CALCULO'!J578</f>
        <v>285.60000000000002</v>
      </c>
      <c r="G75" s="411">
        <v>3.53</v>
      </c>
      <c r="H75" s="137">
        <f t="shared" ref="H75:H76" si="60">ROUND(G75*(1+$M$4),2)</f>
        <v>4.2699999999999996</v>
      </c>
      <c r="I75" s="137">
        <f t="shared" ref="I75:I76" si="61">TRUNC(F75*H75,2)</f>
        <v>1219.51</v>
      </c>
      <c r="J75" s="451"/>
    </row>
    <row r="76" spans="1:10" s="118" customFormat="1" ht="20.399999999999999" x14ac:dyDescent="0.2">
      <c r="A76" s="148">
        <v>9.6</v>
      </c>
      <c r="B76" s="416" t="s">
        <v>89</v>
      </c>
      <c r="C76" s="414">
        <v>93382</v>
      </c>
      <c r="D76" s="562" t="s">
        <v>1316</v>
      </c>
      <c r="E76" s="148" t="s">
        <v>9</v>
      </c>
      <c r="F76" s="411">
        <f>'MEMORIA DE CALCULO'!J583</f>
        <v>42.84</v>
      </c>
      <c r="G76" s="411">
        <v>33.47</v>
      </c>
      <c r="H76" s="137">
        <f t="shared" si="60"/>
        <v>40.450000000000003</v>
      </c>
      <c r="I76" s="137">
        <f t="shared" si="61"/>
        <v>1732.87</v>
      </c>
      <c r="J76" s="451"/>
    </row>
    <row r="77" spans="1:10" s="118" customFormat="1" ht="40.799999999999997" x14ac:dyDescent="0.2">
      <c r="A77" s="148">
        <v>9.6999999999999993</v>
      </c>
      <c r="B77" s="416" t="s">
        <v>89</v>
      </c>
      <c r="C77" s="414">
        <v>94992</v>
      </c>
      <c r="D77" s="562" t="s">
        <v>1323</v>
      </c>
      <c r="E77" s="148" t="s">
        <v>9</v>
      </c>
      <c r="F77" s="411">
        <f>'MEMORIA DE CALCULO'!J588</f>
        <v>285.60000000000002</v>
      </c>
      <c r="G77" s="411">
        <v>84.17</v>
      </c>
      <c r="H77" s="137">
        <f t="shared" ref="H77" si="62">ROUND(G77*(1+$M$4),2)</f>
        <v>101.71</v>
      </c>
      <c r="I77" s="137">
        <f t="shared" ref="I77" si="63">TRUNC(F77*H77,2)</f>
        <v>29048.37</v>
      </c>
      <c r="J77" s="451"/>
    </row>
    <row r="78" spans="1:10" s="118" customFormat="1" x14ac:dyDescent="0.2">
      <c r="A78" s="148">
        <v>9.8000000000000007</v>
      </c>
      <c r="B78" s="416" t="s">
        <v>659</v>
      </c>
      <c r="C78" s="414" t="s">
        <v>1343</v>
      </c>
      <c r="D78" s="562" t="s">
        <v>1344</v>
      </c>
      <c r="E78" s="148" t="s">
        <v>43</v>
      </c>
      <c r="F78" s="411">
        <f>'MEMORIA DE CALCULO'!J593</f>
        <v>190.5</v>
      </c>
      <c r="G78" s="411">
        <v>79.8</v>
      </c>
      <c r="H78" s="137">
        <f t="shared" ref="H78" si="64">ROUND(G78*(1+$M$4),2)</f>
        <v>96.43</v>
      </c>
      <c r="I78" s="137">
        <f t="shared" ref="I78" si="65">TRUNC(F78*H78,2)</f>
        <v>18369.91</v>
      </c>
      <c r="J78" s="451"/>
    </row>
    <row r="79" spans="1:10" s="145" customFormat="1" x14ac:dyDescent="0.2">
      <c r="A79" s="505">
        <v>10</v>
      </c>
      <c r="B79" s="498"/>
      <c r="C79" s="499"/>
      <c r="D79" s="504" t="s">
        <v>1133</v>
      </c>
      <c r="E79" s="498"/>
      <c r="F79" s="501"/>
      <c r="G79" s="501"/>
      <c r="H79" s="502"/>
      <c r="I79" s="503">
        <f>SUM(I80:I96)</f>
        <v>33868.400000000001</v>
      </c>
      <c r="J79" s="429">
        <f>I79/I$148</f>
        <v>4.6040380340598271E-2</v>
      </c>
    </row>
    <row r="80" spans="1:10" s="118" customFormat="1" ht="30.6" x14ac:dyDescent="0.2">
      <c r="A80" s="148">
        <v>10.1</v>
      </c>
      <c r="B80" s="416" t="s">
        <v>163</v>
      </c>
      <c r="C80" s="14" t="s">
        <v>210</v>
      </c>
      <c r="D80" s="381" t="s">
        <v>1276</v>
      </c>
      <c r="E80" s="148" t="s">
        <v>9</v>
      </c>
      <c r="F80" s="137">
        <f>'MEMORIA DE CALCULO'!J604</f>
        <v>21.38</v>
      </c>
      <c r="G80" s="137">
        <v>300</v>
      </c>
      <c r="H80" s="137">
        <f t="shared" ref="H80" si="66">ROUND(G80*(1+$M$4),2)</f>
        <v>362.52</v>
      </c>
      <c r="I80" s="137">
        <f t="shared" ref="I80" si="67">TRUNC(F80*H80,2)</f>
        <v>7750.67</v>
      </c>
      <c r="J80" s="451"/>
    </row>
    <row r="81" spans="1:10" s="145" customFormat="1" ht="40.799999999999997" x14ac:dyDescent="0.2">
      <c r="A81" s="416">
        <v>10.199999999999999</v>
      </c>
      <c r="B81" s="416" t="s">
        <v>163</v>
      </c>
      <c r="C81" s="414" t="s">
        <v>1274</v>
      </c>
      <c r="D81" s="421" t="s">
        <v>1275</v>
      </c>
      <c r="E81" s="416" t="s">
        <v>9</v>
      </c>
      <c r="F81" s="411">
        <f>'MEMORIA DE CALCULO'!J612</f>
        <v>5.59</v>
      </c>
      <c r="G81" s="411">
        <v>360</v>
      </c>
      <c r="H81" s="411">
        <f>ROUND(G81*(1+$M$4),2)</f>
        <v>435.02</v>
      </c>
      <c r="I81" s="411">
        <f>TRUNC(F81*H81,2)</f>
        <v>2431.7600000000002</v>
      </c>
      <c r="J81" s="442"/>
    </row>
    <row r="82" spans="1:10" s="412" customFormat="1" ht="40.799999999999997" x14ac:dyDescent="0.2">
      <c r="A82" s="416">
        <v>10.3</v>
      </c>
      <c r="B82" s="416" t="s">
        <v>163</v>
      </c>
      <c r="C82" s="414" t="s">
        <v>1268</v>
      </c>
      <c r="D82" s="421" t="s">
        <v>1269</v>
      </c>
      <c r="E82" s="416" t="s">
        <v>43</v>
      </c>
      <c r="F82" s="444">
        <f>'MEMORIA DE CALCULO'!J620</f>
        <v>13.010000000000002</v>
      </c>
      <c r="G82" s="411">
        <v>44.7</v>
      </c>
      <c r="H82" s="411">
        <f t="shared" ref="H82" si="68">ROUND(G82*(1+$M$4),2)</f>
        <v>54.02</v>
      </c>
      <c r="I82" s="411">
        <f t="shared" ref="I82" si="69">TRUNC(F82*H82,2)</f>
        <v>702.8</v>
      </c>
      <c r="J82" s="422"/>
    </row>
    <row r="83" spans="1:10" s="412" customFormat="1" ht="30.6" x14ac:dyDescent="0.2">
      <c r="A83" s="416">
        <v>10.4</v>
      </c>
      <c r="B83" s="416" t="s">
        <v>89</v>
      </c>
      <c r="C83" s="414">
        <v>86935</v>
      </c>
      <c r="D83" s="381" t="s">
        <v>1277</v>
      </c>
      <c r="E83" s="416" t="s">
        <v>33</v>
      </c>
      <c r="F83" s="411">
        <f>'MEMORIA DE CALCULO'!J626</f>
        <v>4</v>
      </c>
      <c r="G83" s="411">
        <v>237.93</v>
      </c>
      <c r="H83" s="411">
        <f>ROUND(G83*(1+$M$4),2)</f>
        <v>287.51</v>
      </c>
      <c r="I83" s="411">
        <f>TRUNC(F83*H83,2)</f>
        <v>1150.04</v>
      </c>
      <c r="J83" s="422"/>
    </row>
    <row r="84" spans="1:10" s="412" customFormat="1" ht="30.6" x14ac:dyDescent="0.2">
      <c r="A84" s="416">
        <v>10.5</v>
      </c>
      <c r="B84" s="416" t="s">
        <v>89</v>
      </c>
      <c r="C84" s="440">
        <v>86911</v>
      </c>
      <c r="D84" s="563" t="s">
        <v>1278</v>
      </c>
      <c r="E84" s="416" t="s">
        <v>33</v>
      </c>
      <c r="F84" s="411">
        <f>'MEMORIA DE CALCULO'!J632</f>
        <v>4</v>
      </c>
      <c r="G84" s="443">
        <v>74.5</v>
      </c>
      <c r="H84" s="411">
        <f t="shared" ref="H84" si="70">ROUND(G84*(1+$M$4),2)</f>
        <v>90.03</v>
      </c>
      <c r="I84" s="411">
        <f t="shared" ref="I84" si="71">TRUNC(F84*H84,2)</f>
        <v>360.12</v>
      </c>
      <c r="J84" s="422"/>
    </row>
    <row r="85" spans="1:10" s="412" customFormat="1" x14ac:dyDescent="0.2">
      <c r="A85" s="416">
        <v>10.6</v>
      </c>
      <c r="B85" s="416" t="s">
        <v>659</v>
      </c>
      <c r="C85" s="440" t="s">
        <v>1279</v>
      </c>
      <c r="D85" s="563" t="s">
        <v>1280</v>
      </c>
      <c r="E85" s="416" t="s">
        <v>33</v>
      </c>
      <c r="F85" s="411">
        <f>'MEMORIA DE CALCULO'!J639</f>
        <v>5</v>
      </c>
      <c r="G85" s="443">
        <v>749.95</v>
      </c>
      <c r="H85" s="411">
        <f t="shared" ref="H85" si="72">ROUND(G85*(1+$M$4),2)</f>
        <v>906.24</v>
      </c>
      <c r="I85" s="411">
        <f t="shared" ref="I85" si="73">TRUNC(F85*H85,2)</f>
        <v>4531.2</v>
      </c>
      <c r="J85" s="422"/>
    </row>
    <row r="86" spans="1:10" s="412" customFormat="1" ht="20.399999999999999" x14ac:dyDescent="0.2">
      <c r="A86" s="416">
        <v>10.7</v>
      </c>
      <c r="B86" s="416" t="s">
        <v>89</v>
      </c>
      <c r="C86" s="440">
        <v>100858</v>
      </c>
      <c r="D86" s="563" t="s">
        <v>1287</v>
      </c>
      <c r="E86" s="416" t="s">
        <v>33</v>
      </c>
      <c r="F86" s="411">
        <f>'MEMORIA DE CALCULO'!J644</f>
        <v>2</v>
      </c>
      <c r="G86" s="443">
        <v>621.79</v>
      </c>
      <c r="H86" s="411">
        <f t="shared" ref="H86" si="74">ROUND(G86*(1+$M$4),2)</f>
        <v>751.37</v>
      </c>
      <c r="I86" s="411">
        <f t="shared" ref="I86" si="75">TRUNC(F86*H86,2)</f>
        <v>1502.74</v>
      </c>
      <c r="J86" s="422"/>
    </row>
    <row r="87" spans="1:10" s="412" customFormat="1" ht="30.6" x14ac:dyDescent="0.2">
      <c r="A87" s="416">
        <v>10.8</v>
      </c>
      <c r="B87" s="416" t="s">
        <v>89</v>
      </c>
      <c r="C87" s="440">
        <v>102255</v>
      </c>
      <c r="D87" s="563" t="s">
        <v>1281</v>
      </c>
      <c r="E87" s="416" t="s">
        <v>9</v>
      </c>
      <c r="F87" s="411">
        <f>'MEMORIA DE CALCULO'!J649</f>
        <v>1.44</v>
      </c>
      <c r="G87" s="443">
        <v>762.65</v>
      </c>
      <c r="H87" s="411">
        <f t="shared" ref="H87" si="76">ROUND(G87*(1+$M$4),2)</f>
        <v>921.59</v>
      </c>
      <c r="I87" s="411">
        <f t="shared" ref="I87" si="77">TRUNC(F87*H87,2)</f>
        <v>1327.08</v>
      </c>
      <c r="J87" s="422"/>
    </row>
    <row r="88" spans="1:10" s="412" customFormat="1" x14ac:dyDescent="0.2">
      <c r="A88" s="416">
        <v>10.9</v>
      </c>
      <c r="B88" s="416" t="s">
        <v>659</v>
      </c>
      <c r="C88" s="440" t="s">
        <v>1282</v>
      </c>
      <c r="D88" s="563" t="s">
        <v>1283</v>
      </c>
      <c r="E88" s="416" t="s">
        <v>33</v>
      </c>
      <c r="F88" s="411">
        <f>'MEMORIA DE CALCULO'!J655</f>
        <v>4</v>
      </c>
      <c r="G88" s="564">
        <v>395</v>
      </c>
      <c r="H88" s="411">
        <f t="shared" ref="H88" si="78">ROUND(G88*(1+$M$4),2)</f>
        <v>477.32</v>
      </c>
      <c r="I88" s="411">
        <f t="shared" ref="I88" si="79">TRUNC(F88*H88,2)</f>
        <v>1909.28</v>
      </c>
      <c r="J88" s="422"/>
    </row>
    <row r="89" spans="1:10" s="412" customFormat="1" ht="51" x14ac:dyDescent="0.2">
      <c r="A89" s="565">
        <v>10.1</v>
      </c>
      <c r="B89" s="416" t="s">
        <v>89</v>
      </c>
      <c r="C89" s="440">
        <v>86943</v>
      </c>
      <c r="D89" s="563" t="s">
        <v>1300</v>
      </c>
      <c r="E89" s="416" t="s">
        <v>33</v>
      </c>
      <c r="F89" s="411">
        <f>'MEMORIA DE CALCULO'!J660</f>
        <v>1</v>
      </c>
      <c r="G89" s="564">
        <v>222.28</v>
      </c>
      <c r="H89" s="411">
        <f t="shared" ref="H89" si="80">ROUND(G89*(1+$M$4),2)</f>
        <v>268.60000000000002</v>
      </c>
      <c r="I89" s="411">
        <f t="shared" ref="I89" si="81">TRUNC(F89*H89,2)</f>
        <v>268.60000000000002</v>
      </c>
      <c r="J89" s="422"/>
    </row>
    <row r="90" spans="1:10" s="412" customFormat="1" ht="30.6" x14ac:dyDescent="0.2">
      <c r="A90" s="565">
        <v>10.11</v>
      </c>
      <c r="B90" s="416" t="s">
        <v>89</v>
      </c>
      <c r="C90" s="440">
        <v>100867</v>
      </c>
      <c r="D90" s="563" t="s">
        <v>1284</v>
      </c>
      <c r="E90" s="416" t="s">
        <v>33</v>
      </c>
      <c r="F90" s="411">
        <f>'MEMORIA DE CALCULO'!J666</f>
        <v>12</v>
      </c>
      <c r="G90" s="564">
        <v>324.94</v>
      </c>
      <c r="H90" s="411">
        <f t="shared" ref="H90" si="82">ROUND(G90*(1+$M$4),2)</f>
        <v>392.66</v>
      </c>
      <c r="I90" s="411">
        <f t="shared" ref="I90" si="83">TRUNC(F90*H90,2)</f>
        <v>4711.92</v>
      </c>
      <c r="J90" s="422"/>
    </row>
    <row r="91" spans="1:10" s="412" customFormat="1" ht="30.6" x14ac:dyDescent="0.2">
      <c r="A91" s="565">
        <v>10.119999999999999</v>
      </c>
      <c r="B91" s="416" t="s">
        <v>89</v>
      </c>
      <c r="C91" s="440">
        <v>100868</v>
      </c>
      <c r="D91" s="563" t="s">
        <v>1286</v>
      </c>
      <c r="E91" s="416" t="s">
        <v>33</v>
      </c>
      <c r="F91" s="411">
        <f>'MEMORIA DE CALCULO'!J672</f>
        <v>8</v>
      </c>
      <c r="G91" s="564">
        <v>336.55</v>
      </c>
      <c r="H91" s="411">
        <f t="shared" ref="H91" si="84">ROUND(G91*(1+$M$4),2)</f>
        <v>406.69</v>
      </c>
      <c r="I91" s="411">
        <f t="shared" ref="I91" si="85">TRUNC(F91*H91,2)</f>
        <v>3253.52</v>
      </c>
      <c r="J91" s="422"/>
    </row>
    <row r="92" spans="1:10" s="412" customFormat="1" ht="20.399999999999999" x14ac:dyDescent="0.2">
      <c r="A92" s="565">
        <v>10.130000000000001</v>
      </c>
      <c r="B92" s="416" t="s">
        <v>89</v>
      </c>
      <c r="C92" s="440">
        <v>100875</v>
      </c>
      <c r="D92" s="563" t="s">
        <v>1288</v>
      </c>
      <c r="E92" s="416" t="s">
        <v>33</v>
      </c>
      <c r="F92" s="411">
        <f>'MEMORIA DE CALCULO'!J678</f>
        <v>2</v>
      </c>
      <c r="G92" s="564">
        <v>1008.86</v>
      </c>
      <c r="H92" s="411">
        <f t="shared" ref="H92" si="86">ROUND(G92*(1+$M$4),2)</f>
        <v>1219.1099999999999</v>
      </c>
      <c r="I92" s="411">
        <f t="shared" ref="I92" si="87">TRUNC(F92*H92,2)</f>
        <v>2438.2199999999998</v>
      </c>
      <c r="J92" s="422"/>
    </row>
    <row r="93" spans="1:10" s="412" customFormat="1" ht="20.399999999999999" x14ac:dyDescent="0.2">
      <c r="A93" s="565">
        <v>10.14</v>
      </c>
      <c r="B93" s="416" t="s">
        <v>179</v>
      </c>
      <c r="C93" s="566" t="s">
        <v>1289</v>
      </c>
      <c r="D93" s="563" t="str">
        <f>COMPOSICOES!D12</f>
        <v>BARRA DE APOIO LATERAL, EM ACO INOX POLIDO, FIXADA NA PAREDE - FORNECIMENTO E INSTALAÇÃO.</v>
      </c>
      <c r="E93" s="416" t="s">
        <v>33</v>
      </c>
      <c r="F93" s="411">
        <f>'MEMORIA DE CALCULO'!J684</f>
        <v>2</v>
      </c>
      <c r="G93" s="564">
        <f>COMPOSICOES!G13</f>
        <v>435.44</v>
      </c>
      <c r="H93" s="411">
        <f t="shared" ref="H93" si="88">ROUND(G93*(1+$M$4),2)</f>
        <v>526.19000000000005</v>
      </c>
      <c r="I93" s="411">
        <f t="shared" ref="I93" si="89">TRUNC(F93*H93,2)</f>
        <v>1052.3800000000001</v>
      </c>
      <c r="J93" s="422"/>
    </row>
    <row r="94" spans="1:10" s="412" customFormat="1" ht="20.399999999999999" x14ac:dyDescent="0.2">
      <c r="A94" s="565">
        <v>10.15</v>
      </c>
      <c r="B94" s="416" t="s">
        <v>89</v>
      </c>
      <c r="C94" s="566" t="s">
        <v>1415</v>
      </c>
      <c r="D94" s="563" t="s">
        <v>1416</v>
      </c>
      <c r="E94" s="416" t="s">
        <v>33</v>
      </c>
      <c r="F94" s="137">
        <f>'MEMORIA DE CALCULO'!J693</f>
        <v>7</v>
      </c>
      <c r="G94" s="564">
        <v>32.299999999999997</v>
      </c>
      <c r="H94" s="411">
        <f t="shared" ref="H94" si="90">ROUND(G94*(1+$M$4),2)</f>
        <v>39.03</v>
      </c>
      <c r="I94" s="411">
        <f t="shared" ref="I94" si="91">TRUNC(F94*H94,2)</f>
        <v>273.20999999999998</v>
      </c>
      <c r="J94" s="422"/>
    </row>
    <row r="95" spans="1:10" s="412" customFormat="1" ht="20.399999999999999" x14ac:dyDescent="0.2">
      <c r="A95" s="565">
        <v>10.16</v>
      </c>
      <c r="B95" s="416" t="s">
        <v>163</v>
      </c>
      <c r="C95" s="566" t="s">
        <v>349</v>
      </c>
      <c r="D95" s="563" t="s">
        <v>350</v>
      </c>
      <c r="E95" s="416" t="s">
        <v>33</v>
      </c>
      <c r="F95" s="137">
        <f>'MEMORIA DE CALCULO'!J699</f>
        <v>2</v>
      </c>
      <c r="G95" s="564">
        <v>16.09</v>
      </c>
      <c r="H95" s="411">
        <f t="shared" ref="H95" si="92">ROUND(G95*(1+$M$4),2)</f>
        <v>19.440000000000001</v>
      </c>
      <c r="I95" s="411">
        <f t="shared" ref="I95" si="93">TRUNC(F95*H95,2)</f>
        <v>38.880000000000003</v>
      </c>
      <c r="J95" s="422"/>
    </row>
    <row r="96" spans="1:10" s="412" customFormat="1" x14ac:dyDescent="0.2">
      <c r="A96" s="565">
        <v>10.17</v>
      </c>
      <c r="B96" s="416" t="s">
        <v>659</v>
      </c>
      <c r="C96" s="566" t="s">
        <v>1433</v>
      </c>
      <c r="D96" s="563" t="s">
        <v>1434</v>
      </c>
      <c r="E96" s="416" t="s">
        <v>33</v>
      </c>
      <c r="F96" s="137">
        <f>'MEMORIA DE CALCULO'!J705</f>
        <v>2</v>
      </c>
      <c r="G96" s="564">
        <v>68.680000000000007</v>
      </c>
      <c r="H96" s="411">
        <f t="shared" ref="H96" si="94">ROUND(G96*(1+$M$4),2)</f>
        <v>82.99</v>
      </c>
      <c r="I96" s="411">
        <f t="shared" ref="I96" si="95">TRUNC(F96*H96,2)</f>
        <v>165.98</v>
      </c>
      <c r="J96" s="422"/>
    </row>
    <row r="97" spans="1:10" s="145" customFormat="1" x14ac:dyDescent="0.2">
      <c r="A97" s="505">
        <v>11</v>
      </c>
      <c r="B97" s="549"/>
      <c r="C97" s="499"/>
      <c r="D97" s="504" t="s">
        <v>1324</v>
      </c>
      <c r="E97" s="549"/>
      <c r="F97" s="501"/>
      <c r="G97" s="501"/>
      <c r="H97" s="502"/>
      <c r="I97" s="503">
        <f>SUM(I98:I100)</f>
        <v>72899.199999999997</v>
      </c>
      <c r="J97" s="429">
        <f>I97/I$148</f>
        <v>9.9098478065847262E-2</v>
      </c>
    </row>
    <row r="98" spans="1:10" s="118" customFormat="1" ht="20.399999999999999" x14ac:dyDescent="0.2">
      <c r="A98" s="148">
        <v>11.1</v>
      </c>
      <c r="B98" s="416" t="s">
        <v>659</v>
      </c>
      <c r="C98" s="14" t="s">
        <v>1364</v>
      </c>
      <c r="D98" s="381" t="s">
        <v>1365</v>
      </c>
      <c r="E98" s="416" t="s">
        <v>9</v>
      </c>
      <c r="F98" s="137">
        <f>'MEMORIA DE CALCULO'!J725</f>
        <v>373.82</v>
      </c>
      <c r="G98" s="137">
        <v>111.44</v>
      </c>
      <c r="H98" s="137">
        <f t="shared" ref="H98" si="96">ROUND(G98*(1+$M$4),2)</f>
        <v>134.66</v>
      </c>
      <c r="I98" s="137">
        <f t="shared" ref="I98" si="97">TRUNC(F98*H98,2)</f>
        <v>50338.6</v>
      </c>
      <c r="J98" s="451"/>
    </row>
    <row r="99" spans="1:10" s="145" customFormat="1" ht="20.399999999999999" x14ac:dyDescent="0.2">
      <c r="A99" s="416">
        <v>11.2</v>
      </c>
      <c r="B99" s="416" t="s">
        <v>163</v>
      </c>
      <c r="C99" s="414" t="s">
        <v>1371</v>
      </c>
      <c r="D99" s="421" t="s">
        <v>1372</v>
      </c>
      <c r="E99" s="416" t="s">
        <v>9</v>
      </c>
      <c r="F99" s="411">
        <f>'MEMORIA DE CALCULO'!J743</f>
        <v>431.05999999999995</v>
      </c>
      <c r="G99" s="411">
        <v>33.979999999999997</v>
      </c>
      <c r="H99" s="411">
        <f>ROUND(G99*(1+$M$4),2)</f>
        <v>41.06</v>
      </c>
      <c r="I99" s="411">
        <f>TRUNC(F99*H99,2)</f>
        <v>17699.32</v>
      </c>
      <c r="J99" s="442"/>
    </row>
    <row r="100" spans="1:10" s="145" customFormat="1" ht="40.799999999999997" x14ac:dyDescent="0.2">
      <c r="A100" s="416">
        <v>11.2</v>
      </c>
      <c r="B100" s="416" t="s">
        <v>163</v>
      </c>
      <c r="C100" s="414" t="s">
        <v>1373</v>
      </c>
      <c r="D100" s="421" t="s">
        <v>1374</v>
      </c>
      <c r="E100" s="416" t="s">
        <v>9</v>
      </c>
      <c r="F100" s="411">
        <f>'MEMORIA DE CALCULO'!J748</f>
        <v>84.5</v>
      </c>
      <c r="G100" s="411">
        <v>47.61</v>
      </c>
      <c r="H100" s="411">
        <f>ROUND(G100*(1+$M$4),2)</f>
        <v>57.53</v>
      </c>
      <c r="I100" s="411">
        <f>TRUNC(F100*H100,2)</f>
        <v>4861.28</v>
      </c>
      <c r="J100" s="442"/>
    </row>
    <row r="101" spans="1:10" s="145" customFormat="1" x14ac:dyDescent="0.2">
      <c r="A101" s="505">
        <v>12</v>
      </c>
      <c r="B101" s="498"/>
      <c r="C101" s="499"/>
      <c r="D101" s="504" t="s">
        <v>30</v>
      </c>
      <c r="E101" s="498"/>
      <c r="F101" s="501"/>
      <c r="G101" s="501"/>
      <c r="H101" s="502"/>
      <c r="I101" s="503">
        <f>SUM(I102:I120)</f>
        <v>24808.76</v>
      </c>
      <c r="J101" s="429">
        <f>I101/I$148</f>
        <v>3.37247920237927E-2</v>
      </c>
    </row>
    <row r="102" spans="1:10" s="118" customFormat="1" ht="30.6" x14ac:dyDescent="0.2">
      <c r="A102" s="148">
        <v>12.1</v>
      </c>
      <c r="B102" s="148" t="s">
        <v>89</v>
      </c>
      <c r="C102" s="445">
        <v>93142</v>
      </c>
      <c r="D102" s="507" t="s">
        <v>1113</v>
      </c>
      <c r="E102" s="148" t="s">
        <v>33</v>
      </c>
      <c r="F102" s="137">
        <f>'MEMORIA DE CALCULO'!J760</f>
        <v>17</v>
      </c>
      <c r="G102" s="443">
        <v>185.8</v>
      </c>
      <c r="H102" s="137">
        <f t="shared" ref="H102" si="98">ROUND(G102*(1+$M$4),2)</f>
        <v>224.52</v>
      </c>
      <c r="I102" s="137">
        <f t="shared" ref="I102" si="99">TRUNC(F102*H102,2)</f>
        <v>3816.84</v>
      </c>
      <c r="J102" s="451"/>
    </row>
    <row r="103" spans="1:10" s="118" customFormat="1" ht="61.2" x14ac:dyDescent="0.2">
      <c r="A103" s="148">
        <v>12.2</v>
      </c>
      <c r="B103" s="148" t="s">
        <v>163</v>
      </c>
      <c r="C103" s="14" t="s">
        <v>1134</v>
      </c>
      <c r="D103" s="381" t="s">
        <v>1135</v>
      </c>
      <c r="E103" s="148" t="s">
        <v>33</v>
      </c>
      <c r="F103" s="137">
        <f>'MEMORIA DE CALCULO'!J765</f>
        <v>1</v>
      </c>
      <c r="G103" s="137">
        <v>299.35000000000002</v>
      </c>
      <c r="H103" s="137">
        <f t="shared" ref="H103:H105" si="100">ROUND(G103*(1+$M$4),2)</f>
        <v>361.73</v>
      </c>
      <c r="I103" s="137">
        <f t="shared" ref="I103:I105" si="101">TRUNC(F103*H103,2)</f>
        <v>361.73</v>
      </c>
      <c r="J103" s="451"/>
    </row>
    <row r="104" spans="1:10" s="118" customFormat="1" ht="51" x14ac:dyDescent="0.2">
      <c r="A104" s="148">
        <v>12.3</v>
      </c>
      <c r="B104" s="148" t="s">
        <v>659</v>
      </c>
      <c r="C104" s="14" t="s">
        <v>1155</v>
      </c>
      <c r="D104" s="381" t="s">
        <v>1156</v>
      </c>
      <c r="E104" s="148" t="s">
        <v>33</v>
      </c>
      <c r="F104" s="137">
        <f>'MEMORIA DE CALCULO'!J773</f>
        <v>8</v>
      </c>
      <c r="G104" s="137">
        <v>477.18</v>
      </c>
      <c r="H104" s="137">
        <f t="shared" ref="H104" si="102">ROUND(G104*(1+$M$4),2)</f>
        <v>576.62</v>
      </c>
      <c r="I104" s="137">
        <f t="shared" ref="I104" si="103">TRUNC(F104*H104,2)</f>
        <v>4612.96</v>
      </c>
      <c r="J104" s="451"/>
    </row>
    <row r="105" spans="1:10" s="118" customFormat="1" ht="30.6" x14ac:dyDescent="0.2">
      <c r="A105" s="148">
        <v>12.4</v>
      </c>
      <c r="B105" s="148" t="s">
        <v>163</v>
      </c>
      <c r="C105" s="14" t="s">
        <v>1157</v>
      </c>
      <c r="D105" s="381" t="s">
        <v>1158</v>
      </c>
      <c r="E105" s="148" t="s">
        <v>33</v>
      </c>
      <c r="F105" s="137">
        <f>'MEMORIA DE CALCULO'!J789</f>
        <v>12</v>
      </c>
      <c r="G105" s="137">
        <v>15.52</v>
      </c>
      <c r="H105" s="137">
        <f t="shared" si="100"/>
        <v>18.75</v>
      </c>
      <c r="I105" s="137">
        <f t="shared" si="101"/>
        <v>225</v>
      </c>
      <c r="J105" s="451"/>
    </row>
    <row r="106" spans="1:10" s="118" customFormat="1" ht="30.6" x14ac:dyDescent="0.2">
      <c r="A106" s="148">
        <v>12.5</v>
      </c>
      <c r="B106" s="148" t="s">
        <v>163</v>
      </c>
      <c r="C106" s="14" t="s">
        <v>1159</v>
      </c>
      <c r="D106" s="381" t="s">
        <v>1160</v>
      </c>
      <c r="E106" s="148" t="s">
        <v>31</v>
      </c>
      <c r="F106" s="137">
        <f>'MEMORIA DE CALCULO'!J811</f>
        <v>34</v>
      </c>
      <c r="G106" s="137">
        <v>104.95</v>
      </c>
      <c r="H106" s="137">
        <f t="shared" ref="H106" si="104">ROUND(G106*(1+$M$4),2)</f>
        <v>126.82</v>
      </c>
      <c r="I106" s="137">
        <f t="shared" ref="I106" si="105">TRUNC(F106*H106,2)</f>
        <v>4311.88</v>
      </c>
      <c r="J106" s="451"/>
    </row>
    <row r="107" spans="1:10" s="118" customFormat="1" ht="40.799999999999997" x14ac:dyDescent="0.2">
      <c r="A107" s="148">
        <v>12.6</v>
      </c>
      <c r="B107" s="148" t="s">
        <v>163</v>
      </c>
      <c r="C107" s="14" t="s">
        <v>1397</v>
      </c>
      <c r="D107" s="381" t="s">
        <v>1398</v>
      </c>
      <c r="E107" s="148" t="s">
        <v>31</v>
      </c>
      <c r="F107" s="137">
        <f>'MEMORIA DE CALCULO'!J820</f>
        <v>4</v>
      </c>
      <c r="G107" s="137">
        <v>136.27000000000001</v>
      </c>
      <c r="H107" s="137">
        <f t="shared" ref="H107:H108" si="106">ROUND(G107*(1+$M$4),2)</f>
        <v>164.67</v>
      </c>
      <c r="I107" s="137">
        <f t="shared" ref="I107:I108" si="107">TRUNC(F107*H107,2)</f>
        <v>658.68</v>
      </c>
      <c r="J107" s="451"/>
    </row>
    <row r="108" spans="1:10" s="118" customFormat="1" ht="30.6" x14ac:dyDescent="0.2">
      <c r="A108" s="148">
        <v>12.7</v>
      </c>
      <c r="B108" s="148" t="s">
        <v>89</v>
      </c>
      <c r="C108" s="445">
        <v>93143</v>
      </c>
      <c r="D108" s="507" t="s">
        <v>1113</v>
      </c>
      <c r="E108" s="148" t="s">
        <v>33</v>
      </c>
      <c r="F108" s="137">
        <f>'MEMORIA DE CALCULO'!J825</f>
        <v>2</v>
      </c>
      <c r="G108" s="443">
        <v>185.8</v>
      </c>
      <c r="H108" s="137">
        <f t="shared" si="106"/>
        <v>224.52</v>
      </c>
      <c r="I108" s="137">
        <f t="shared" si="107"/>
        <v>449.04</v>
      </c>
      <c r="J108" s="451"/>
    </row>
    <row r="109" spans="1:10" s="118" customFormat="1" ht="20.399999999999999" x14ac:dyDescent="0.2">
      <c r="A109" s="148">
        <v>12.8</v>
      </c>
      <c r="B109" s="148" t="s">
        <v>659</v>
      </c>
      <c r="C109" s="445" t="s">
        <v>1440</v>
      </c>
      <c r="D109" s="507" t="s">
        <v>1441</v>
      </c>
      <c r="E109" s="148" t="s">
        <v>33</v>
      </c>
      <c r="F109" s="137">
        <f>'MEMORIA DE CALCULO'!J830</f>
        <v>1</v>
      </c>
      <c r="G109" s="443">
        <v>323.25</v>
      </c>
      <c r="H109" s="137">
        <f t="shared" ref="H109" si="108">ROUND(G109*(1+$M$4),2)</f>
        <v>390.62</v>
      </c>
      <c r="I109" s="137">
        <f t="shared" ref="I109" si="109">TRUNC(F109*H109,2)</f>
        <v>390.62</v>
      </c>
      <c r="J109" s="451"/>
    </row>
    <row r="110" spans="1:10" s="118" customFormat="1" ht="20.399999999999999" x14ac:dyDescent="0.2">
      <c r="A110" s="148">
        <v>12.9</v>
      </c>
      <c r="B110" s="148" t="s">
        <v>89</v>
      </c>
      <c r="C110" s="445">
        <v>93656</v>
      </c>
      <c r="D110" s="507" t="s">
        <v>1401</v>
      </c>
      <c r="E110" s="148" t="s">
        <v>33</v>
      </c>
      <c r="F110" s="137">
        <f>'MEMORIA DE CALCULO'!J836</f>
        <v>6</v>
      </c>
      <c r="G110" s="443">
        <v>14.74</v>
      </c>
      <c r="H110" s="137">
        <f t="shared" ref="H110:H112" si="110">ROUND(G110*(1+$M$4),2)</f>
        <v>17.809999999999999</v>
      </c>
      <c r="I110" s="137">
        <f t="shared" ref="I110:I112" si="111">TRUNC(F110*H110,2)</f>
        <v>106.86</v>
      </c>
      <c r="J110" s="451"/>
    </row>
    <row r="111" spans="1:10" s="118" customFormat="1" ht="30.6" x14ac:dyDescent="0.2">
      <c r="A111" s="522">
        <v>12.1</v>
      </c>
      <c r="B111" s="148" t="s">
        <v>89</v>
      </c>
      <c r="C111" s="445">
        <v>91927</v>
      </c>
      <c r="D111" s="507" t="s">
        <v>1403</v>
      </c>
      <c r="E111" s="148" t="s">
        <v>43</v>
      </c>
      <c r="F111" s="137">
        <f>'MEMORIA DE CALCULO'!J841</f>
        <v>396</v>
      </c>
      <c r="G111" s="443">
        <v>5.7</v>
      </c>
      <c r="H111" s="137">
        <f t="shared" si="110"/>
        <v>6.89</v>
      </c>
      <c r="I111" s="137">
        <f t="shared" si="111"/>
        <v>2728.44</v>
      </c>
      <c r="J111" s="451"/>
    </row>
    <row r="112" spans="1:10" s="118" customFormat="1" ht="30.6" x14ac:dyDescent="0.2">
      <c r="A112" s="148">
        <v>12.11</v>
      </c>
      <c r="B112" s="148" t="s">
        <v>89</v>
      </c>
      <c r="C112" s="445">
        <v>91834</v>
      </c>
      <c r="D112" s="507" t="s">
        <v>1404</v>
      </c>
      <c r="E112" s="148" t="s">
        <v>43</v>
      </c>
      <c r="F112" s="137">
        <f>'MEMORIA DE CALCULO'!J846</f>
        <v>198</v>
      </c>
      <c r="G112" s="443">
        <v>8.65</v>
      </c>
      <c r="H112" s="137">
        <f t="shared" si="110"/>
        <v>10.45</v>
      </c>
      <c r="I112" s="137">
        <f t="shared" si="111"/>
        <v>2069.1</v>
      </c>
      <c r="J112" s="451"/>
    </row>
    <row r="113" spans="1:10" s="118" customFormat="1" ht="20.399999999999999" x14ac:dyDescent="0.2">
      <c r="A113" s="148">
        <v>12.12</v>
      </c>
      <c r="B113" s="148" t="s">
        <v>89</v>
      </c>
      <c r="C113" s="445">
        <v>90447</v>
      </c>
      <c r="D113" s="507" t="s">
        <v>541</v>
      </c>
      <c r="E113" s="148" t="s">
        <v>43</v>
      </c>
      <c r="F113" s="137">
        <f>'MEMORIA DE CALCULO'!J852</f>
        <v>198</v>
      </c>
      <c r="G113" s="443">
        <v>5.52</v>
      </c>
      <c r="H113" s="137">
        <f t="shared" ref="H113:H114" si="112">ROUND(G113*(1+$M$4),2)</f>
        <v>6.67</v>
      </c>
      <c r="I113" s="137">
        <f t="shared" ref="I113:I114" si="113">TRUNC(F113*H113,2)</f>
        <v>1320.66</v>
      </c>
      <c r="J113" s="451"/>
    </row>
    <row r="114" spans="1:10" s="118" customFormat="1" ht="20.399999999999999" x14ac:dyDescent="0.2">
      <c r="A114" s="148">
        <v>12.13</v>
      </c>
      <c r="B114" s="148" t="s">
        <v>89</v>
      </c>
      <c r="C114" s="445">
        <v>96986</v>
      </c>
      <c r="D114" s="507" t="s">
        <v>1406</v>
      </c>
      <c r="E114" s="148" t="s">
        <v>33</v>
      </c>
      <c r="F114" s="137">
        <f>'MEMORIA DE CALCULO'!J857</f>
        <v>3</v>
      </c>
      <c r="G114" s="443">
        <v>141.97</v>
      </c>
      <c r="H114" s="137">
        <f t="shared" si="112"/>
        <v>171.56</v>
      </c>
      <c r="I114" s="137">
        <f t="shared" si="113"/>
        <v>514.67999999999995</v>
      </c>
      <c r="J114" s="451"/>
    </row>
    <row r="115" spans="1:10" s="118" customFormat="1" ht="20.399999999999999" x14ac:dyDescent="0.2">
      <c r="A115" s="148">
        <v>12.14</v>
      </c>
      <c r="B115" s="148" t="s">
        <v>89</v>
      </c>
      <c r="C115" s="445">
        <v>425</v>
      </c>
      <c r="D115" s="507" t="s">
        <v>1407</v>
      </c>
      <c r="E115" s="148" t="s">
        <v>33</v>
      </c>
      <c r="F115" s="137">
        <f>'MEMORIA DE CALCULO'!J863</f>
        <v>3</v>
      </c>
      <c r="G115" s="443">
        <v>5.03</v>
      </c>
      <c r="H115" s="137">
        <f t="shared" ref="H115" si="114">ROUND(G115*(1+$M$4),2)</f>
        <v>6.08</v>
      </c>
      <c r="I115" s="137">
        <f t="shared" ref="I115" si="115">TRUNC(F115*H115,2)</f>
        <v>18.239999999999998</v>
      </c>
      <c r="J115" s="451"/>
    </row>
    <row r="116" spans="1:10" s="118" customFormat="1" ht="20.399999999999999" x14ac:dyDescent="0.2">
      <c r="A116" s="148">
        <v>12.15</v>
      </c>
      <c r="B116" s="148" t="s">
        <v>89</v>
      </c>
      <c r="C116" s="445">
        <v>96971</v>
      </c>
      <c r="D116" s="507" t="s">
        <v>1410</v>
      </c>
      <c r="E116" s="148" t="s">
        <v>43</v>
      </c>
      <c r="F116" s="137">
        <f>'MEMORIA DE CALCULO'!J869</f>
        <v>7.2</v>
      </c>
      <c r="G116" s="443">
        <v>34.4</v>
      </c>
      <c r="H116" s="137">
        <f t="shared" ref="H116" si="116">ROUND(G116*(1+$M$4),2)</f>
        <v>41.57</v>
      </c>
      <c r="I116" s="137">
        <f t="shared" ref="I116" si="117">TRUNC(F116*H116,2)</f>
        <v>299.3</v>
      </c>
      <c r="J116" s="451"/>
    </row>
    <row r="117" spans="1:10" s="118" customFormat="1" ht="20.399999999999999" x14ac:dyDescent="0.2">
      <c r="A117" s="148">
        <v>12.16</v>
      </c>
      <c r="B117" s="148" t="s">
        <v>179</v>
      </c>
      <c r="C117" s="576" t="s">
        <v>1438</v>
      </c>
      <c r="D117" s="507" t="str">
        <f>COMPOSICOES!D44</f>
        <v>LUMINÁRIA TIPO PLAFON, DE SOBREPOR, COM 1 LÂMPADA LED DE 12/13 W, SEM REATOR - FORNECIMENTO E INSTALAÇÃO.</v>
      </c>
      <c r="E117" s="148" t="str">
        <f>COMPOSICOES!D45</f>
        <v>un</v>
      </c>
      <c r="F117" s="137">
        <f>'MEMORIA DE CALCULO'!J891</f>
        <v>34</v>
      </c>
      <c r="G117" s="443">
        <f>COMPOSICOES!G53</f>
        <v>42.95</v>
      </c>
      <c r="H117" s="137">
        <f t="shared" ref="H117:H118" si="118">ROUND(G117*(1+$M$4),2)</f>
        <v>51.9</v>
      </c>
      <c r="I117" s="137">
        <f t="shared" ref="I117:I118" si="119">TRUNC(F117*H117,2)</f>
        <v>1764.6</v>
      </c>
      <c r="J117" s="451"/>
    </row>
    <row r="118" spans="1:10" s="118" customFormat="1" ht="20.399999999999999" x14ac:dyDescent="0.2">
      <c r="A118" s="148">
        <v>12.17</v>
      </c>
      <c r="B118" s="148" t="s">
        <v>659</v>
      </c>
      <c r="C118" s="576" t="s">
        <v>1442</v>
      </c>
      <c r="D118" s="507" t="s">
        <v>1443</v>
      </c>
      <c r="E118" s="148" t="s">
        <v>33</v>
      </c>
      <c r="F118" s="137">
        <f>'MEMORIA DE CALCULO'!J897</f>
        <v>1</v>
      </c>
      <c r="G118" s="443">
        <v>119.1</v>
      </c>
      <c r="H118" s="137">
        <f t="shared" si="118"/>
        <v>143.91999999999999</v>
      </c>
      <c r="I118" s="137">
        <f t="shared" si="119"/>
        <v>143.91999999999999</v>
      </c>
      <c r="J118" s="451"/>
    </row>
    <row r="119" spans="1:10" s="118" customFormat="1" x14ac:dyDescent="0.2">
      <c r="A119" s="148">
        <v>12.18</v>
      </c>
      <c r="B119" s="148" t="s">
        <v>659</v>
      </c>
      <c r="C119" s="576" t="s">
        <v>1444</v>
      </c>
      <c r="D119" s="507" t="s">
        <v>1445</v>
      </c>
      <c r="E119" s="148" t="s">
        <v>33</v>
      </c>
      <c r="F119" s="137">
        <f>'MEMORIA DE CALCULO'!J902</f>
        <v>1</v>
      </c>
      <c r="G119" s="443">
        <v>140.03</v>
      </c>
      <c r="H119" s="137">
        <f t="shared" ref="H119" si="120">ROUND(G119*(1+$M$4),2)</f>
        <v>169.21</v>
      </c>
      <c r="I119" s="137">
        <f t="shared" ref="I119" si="121">TRUNC(F119*H119,2)</f>
        <v>169.21</v>
      </c>
      <c r="J119" s="451"/>
    </row>
    <row r="120" spans="1:10" s="118" customFormat="1" ht="30.6" x14ac:dyDescent="0.2">
      <c r="A120" s="148">
        <v>12.19</v>
      </c>
      <c r="B120" s="148" t="s">
        <v>89</v>
      </c>
      <c r="C120" s="576" t="s">
        <v>1447</v>
      </c>
      <c r="D120" s="507" t="s">
        <v>1448</v>
      </c>
      <c r="E120" s="148" t="s">
        <v>43</v>
      </c>
      <c r="F120" s="137">
        <f>'MEMORIA DE CALCULO'!J907</f>
        <v>100</v>
      </c>
      <c r="G120" s="443">
        <v>7.01</v>
      </c>
      <c r="H120" s="137">
        <f t="shared" ref="H120" si="122">ROUND(G120*(1+$M$4),2)</f>
        <v>8.4700000000000006</v>
      </c>
      <c r="I120" s="137">
        <f t="shared" ref="I120" si="123">TRUNC(F120*H120,2)</f>
        <v>847</v>
      </c>
      <c r="J120" s="451"/>
    </row>
    <row r="121" spans="1:10" s="145" customFormat="1" x14ac:dyDescent="0.2">
      <c r="A121" s="505">
        <v>13</v>
      </c>
      <c r="B121" s="549"/>
      <c r="C121" s="499"/>
      <c r="D121" s="504" t="s">
        <v>211</v>
      </c>
      <c r="E121" s="549"/>
      <c r="F121" s="501"/>
      <c r="G121" s="501"/>
      <c r="H121" s="502"/>
      <c r="I121" s="503">
        <f>SUM(I122:I133)</f>
        <v>22374.639999999999</v>
      </c>
      <c r="J121" s="429">
        <f>I121/I$148</f>
        <v>3.0415872482430929E-2</v>
      </c>
    </row>
    <row r="122" spans="1:10" s="145" customFormat="1" ht="20.399999999999999" x14ac:dyDescent="0.2">
      <c r="A122" s="416">
        <v>13.1</v>
      </c>
      <c r="B122" s="416" t="s">
        <v>89</v>
      </c>
      <c r="C122" s="414">
        <v>89351</v>
      </c>
      <c r="D122" s="421" t="s">
        <v>1413</v>
      </c>
      <c r="E122" s="148" t="s">
        <v>33</v>
      </c>
      <c r="F122" s="411">
        <f>'MEMORIA DE CALCULO'!J915</f>
        <v>2</v>
      </c>
      <c r="G122" s="411">
        <v>36.64</v>
      </c>
      <c r="H122" s="411">
        <f>ROUND(G122*(1+$M$4),2)</f>
        <v>44.28</v>
      </c>
      <c r="I122" s="411">
        <f>TRUNC(F122*H122,2)</f>
        <v>88.56</v>
      </c>
      <c r="J122" s="442"/>
    </row>
    <row r="123" spans="1:10" s="412" customFormat="1" ht="20.399999999999999" x14ac:dyDescent="0.2">
      <c r="A123" s="416">
        <v>13.2</v>
      </c>
      <c r="B123" s="416" t="s">
        <v>89</v>
      </c>
      <c r="C123" s="414">
        <v>89353</v>
      </c>
      <c r="D123" s="421" t="s">
        <v>1412</v>
      </c>
      <c r="E123" s="148" t="s">
        <v>33</v>
      </c>
      <c r="F123" s="444">
        <f>'MEMORIA DE CALCULO'!J924</f>
        <v>5</v>
      </c>
      <c r="G123" s="411">
        <v>44.58</v>
      </c>
      <c r="H123" s="411">
        <f t="shared" ref="H123:H129" si="124">ROUND(G123*(1+$M$4),2)</f>
        <v>53.87</v>
      </c>
      <c r="I123" s="411">
        <f t="shared" ref="I123:I129" si="125">TRUNC(F123*H123,2)</f>
        <v>269.35000000000002</v>
      </c>
      <c r="J123" s="422"/>
    </row>
    <row r="124" spans="1:10" s="412" customFormat="1" ht="20.399999999999999" x14ac:dyDescent="0.2">
      <c r="A124" s="416">
        <v>13.3</v>
      </c>
      <c r="B124" s="416" t="s">
        <v>89</v>
      </c>
      <c r="C124" s="414">
        <v>94796</v>
      </c>
      <c r="D124" s="421" t="s">
        <v>1414</v>
      </c>
      <c r="E124" s="148" t="s">
        <v>33</v>
      </c>
      <c r="F124" s="444">
        <f>'MEMORIA DE CALCULO'!J929</f>
        <v>1</v>
      </c>
      <c r="G124" s="411">
        <v>33.24</v>
      </c>
      <c r="H124" s="411">
        <f t="shared" si="124"/>
        <v>40.17</v>
      </c>
      <c r="I124" s="411">
        <f t="shared" si="125"/>
        <v>40.17</v>
      </c>
      <c r="J124" s="422"/>
    </row>
    <row r="125" spans="1:10" s="412" customFormat="1" ht="30.6" x14ac:dyDescent="0.2">
      <c r="A125" s="416">
        <v>13.4</v>
      </c>
      <c r="B125" s="416" t="s">
        <v>163</v>
      </c>
      <c r="C125" s="414" t="s">
        <v>1417</v>
      </c>
      <c r="D125" s="421" t="s">
        <v>1418</v>
      </c>
      <c r="E125" s="148" t="s">
        <v>31</v>
      </c>
      <c r="F125" s="444">
        <f>'MEMORIA DE CALCULO'!J939</f>
        <v>20</v>
      </c>
      <c r="G125" s="411">
        <v>114.82</v>
      </c>
      <c r="H125" s="411">
        <f t="shared" si="124"/>
        <v>138.75</v>
      </c>
      <c r="I125" s="411">
        <f t="shared" si="125"/>
        <v>2775</v>
      </c>
      <c r="J125" s="422"/>
    </row>
    <row r="126" spans="1:10" s="412" customFormat="1" ht="30.6" x14ac:dyDescent="0.2">
      <c r="A126" s="416">
        <v>13.5</v>
      </c>
      <c r="B126" s="416" t="s">
        <v>163</v>
      </c>
      <c r="C126" s="414" t="s">
        <v>193</v>
      </c>
      <c r="D126" s="421" t="s">
        <v>1425</v>
      </c>
      <c r="E126" s="148" t="s">
        <v>31</v>
      </c>
      <c r="F126" s="444">
        <f>'MEMORIA DE CALCULO'!J947</f>
        <v>5</v>
      </c>
      <c r="G126" s="411">
        <v>89.43</v>
      </c>
      <c r="H126" s="411">
        <f t="shared" si="124"/>
        <v>108.07</v>
      </c>
      <c r="I126" s="411">
        <f t="shared" si="125"/>
        <v>540.35</v>
      </c>
      <c r="J126" s="422"/>
    </row>
    <row r="127" spans="1:10" s="412" customFormat="1" ht="30.6" x14ac:dyDescent="0.2">
      <c r="A127" s="416">
        <v>13.6</v>
      </c>
      <c r="B127" s="416" t="s">
        <v>163</v>
      </c>
      <c r="C127" s="414" t="s">
        <v>1419</v>
      </c>
      <c r="D127" s="421" t="s">
        <v>1424</v>
      </c>
      <c r="E127" s="148" t="s">
        <v>31</v>
      </c>
      <c r="F127" s="444">
        <f>'MEMORIA DE CALCULO'!J953</f>
        <v>4</v>
      </c>
      <c r="G127" s="411">
        <v>84.15</v>
      </c>
      <c r="H127" s="411">
        <f t="shared" si="124"/>
        <v>101.69</v>
      </c>
      <c r="I127" s="411">
        <f t="shared" si="125"/>
        <v>406.76</v>
      </c>
      <c r="J127" s="422"/>
    </row>
    <row r="128" spans="1:10" s="412" customFormat="1" ht="30.6" x14ac:dyDescent="0.2">
      <c r="A128" s="416">
        <v>13.7</v>
      </c>
      <c r="B128" s="416" t="s">
        <v>163</v>
      </c>
      <c r="C128" s="414" t="s">
        <v>1420</v>
      </c>
      <c r="D128" s="421" t="s">
        <v>1423</v>
      </c>
      <c r="E128" s="148" t="s">
        <v>31</v>
      </c>
      <c r="F128" s="444">
        <f>'MEMORIA DE CALCULO'!J960</f>
        <v>7</v>
      </c>
      <c r="G128" s="411">
        <v>82.08</v>
      </c>
      <c r="H128" s="411">
        <f t="shared" si="124"/>
        <v>99.19</v>
      </c>
      <c r="I128" s="411">
        <f t="shared" si="125"/>
        <v>694.33</v>
      </c>
      <c r="J128" s="422"/>
    </row>
    <row r="129" spans="1:10" s="412" customFormat="1" ht="30.6" x14ac:dyDescent="0.2">
      <c r="A129" s="416">
        <v>13.8</v>
      </c>
      <c r="B129" s="416" t="s">
        <v>163</v>
      </c>
      <c r="C129" s="414" t="s">
        <v>1421</v>
      </c>
      <c r="D129" s="421" t="s">
        <v>1422</v>
      </c>
      <c r="E129" s="148" t="s">
        <v>31</v>
      </c>
      <c r="F129" s="444">
        <f>'MEMORIA DE CALCULO'!J969</f>
        <v>11</v>
      </c>
      <c r="G129" s="411">
        <v>79.819999999999993</v>
      </c>
      <c r="H129" s="411">
        <f t="shared" si="124"/>
        <v>96.45</v>
      </c>
      <c r="I129" s="411">
        <f t="shared" si="125"/>
        <v>1060.95</v>
      </c>
      <c r="J129" s="422"/>
    </row>
    <row r="130" spans="1:10" s="412" customFormat="1" ht="40.799999999999997" x14ac:dyDescent="0.2">
      <c r="A130" s="416">
        <v>13.9</v>
      </c>
      <c r="B130" s="416" t="s">
        <v>89</v>
      </c>
      <c r="C130" s="414">
        <v>98104</v>
      </c>
      <c r="D130" s="421" t="s">
        <v>1428</v>
      </c>
      <c r="E130" s="148" t="s">
        <v>33</v>
      </c>
      <c r="F130" s="444">
        <f>'MEMORIA DE CALCULO'!J976</f>
        <v>1</v>
      </c>
      <c r="G130" s="411">
        <v>350.03</v>
      </c>
      <c r="H130" s="411">
        <f t="shared" ref="H130" si="126">ROUND(G130*(1+$M$4),2)</f>
        <v>422.98</v>
      </c>
      <c r="I130" s="411">
        <f t="shared" ref="I130" si="127">TRUNC(F130*H130,2)</f>
        <v>422.98</v>
      </c>
      <c r="J130" s="422"/>
    </row>
    <row r="131" spans="1:10" s="412" customFormat="1" ht="20.399999999999999" x14ac:dyDescent="0.2">
      <c r="A131" s="565">
        <v>13.1</v>
      </c>
      <c r="B131" s="416" t="s">
        <v>659</v>
      </c>
      <c r="C131" s="414" t="s">
        <v>1429</v>
      </c>
      <c r="D131" s="421" t="s">
        <v>1430</v>
      </c>
      <c r="E131" s="148" t="s">
        <v>33</v>
      </c>
      <c r="F131" s="444">
        <f>'MEMORIA DE CALCULO'!J981</f>
        <v>4</v>
      </c>
      <c r="G131" s="411">
        <v>180.04</v>
      </c>
      <c r="H131" s="411">
        <f t="shared" ref="H131:H132" si="128">ROUND(G131*(1+$M$4),2)</f>
        <v>217.56</v>
      </c>
      <c r="I131" s="411">
        <f t="shared" ref="I131:I132" si="129">TRUNC(F131*H131,2)</f>
        <v>870.24</v>
      </c>
      <c r="J131" s="422"/>
    </row>
    <row r="132" spans="1:10" s="412" customFormat="1" ht="30.6" x14ac:dyDescent="0.2">
      <c r="A132" s="565">
        <v>13.11</v>
      </c>
      <c r="B132" s="416" t="s">
        <v>89</v>
      </c>
      <c r="C132" s="414">
        <v>98084</v>
      </c>
      <c r="D132" s="421" t="s">
        <v>1449</v>
      </c>
      <c r="E132" s="148" t="s">
        <v>33</v>
      </c>
      <c r="F132" s="444">
        <f>'MEMORIA DE CALCULO'!J988</f>
        <v>1</v>
      </c>
      <c r="G132" s="411">
        <v>6859.84</v>
      </c>
      <c r="H132" s="411">
        <f t="shared" si="128"/>
        <v>8289.43</v>
      </c>
      <c r="I132" s="411">
        <f t="shared" si="129"/>
        <v>8289.43</v>
      </c>
      <c r="J132" s="422"/>
    </row>
    <row r="133" spans="1:10" s="412" customFormat="1" ht="30.6" x14ac:dyDescent="0.2">
      <c r="A133" s="565">
        <v>13.12</v>
      </c>
      <c r="B133" s="416" t="s">
        <v>89</v>
      </c>
      <c r="C133" s="414">
        <v>98100</v>
      </c>
      <c r="D133" s="421" t="s">
        <v>1450</v>
      </c>
      <c r="E133" s="148" t="s">
        <v>33</v>
      </c>
      <c r="F133" s="444">
        <f>'MEMORIA DE CALCULO'!J993</f>
        <v>1</v>
      </c>
      <c r="G133" s="411">
        <v>5723.7</v>
      </c>
      <c r="H133" s="411">
        <f t="shared" ref="H133" si="130">ROUND(G133*(1+$M$4),2)</f>
        <v>6916.52</v>
      </c>
      <c r="I133" s="411">
        <f t="shared" ref="I133" si="131">TRUNC(F133*H133,2)</f>
        <v>6916.52</v>
      </c>
      <c r="J133" s="422"/>
    </row>
    <row r="134" spans="1:10" s="145" customFormat="1" x14ac:dyDescent="0.2">
      <c r="A134" s="505">
        <v>14</v>
      </c>
      <c r="B134" s="549"/>
      <c r="C134" s="499"/>
      <c r="D134" s="504" t="s">
        <v>1325</v>
      </c>
      <c r="E134" s="549"/>
      <c r="F134" s="501"/>
      <c r="G134" s="501"/>
      <c r="H134" s="502"/>
      <c r="I134" s="503">
        <f>SUM(I135:I137)</f>
        <v>9918.61</v>
      </c>
      <c r="J134" s="429">
        <f>I134/I$148</f>
        <v>1.348326395253574E-2</v>
      </c>
    </row>
    <row r="135" spans="1:10" s="118" customFormat="1" x14ac:dyDescent="0.2">
      <c r="A135" s="148">
        <v>14.1</v>
      </c>
      <c r="B135" s="416" t="s">
        <v>89</v>
      </c>
      <c r="C135" s="14">
        <v>98509</v>
      </c>
      <c r="D135" s="381" t="s">
        <v>1331</v>
      </c>
      <c r="E135" s="148" t="s">
        <v>33</v>
      </c>
      <c r="F135" s="137">
        <f>'MEMORIA DE CALCULO'!J1001</f>
        <v>12</v>
      </c>
      <c r="G135" s="137">
        <v>55.8</v>
      </c>
      <c r="H135" s="137">
        <f t="shared" ref="H135" si="132">ROUND(G135*(1+$M$4),2)</f>
        <v>67.430000000000007</v>
      </c>
      <c r="I135" s="137">
        <f t="shared" ref="I135" si="133">TRUNC(F135*H135,2)</f>
        <v>809.16</v>
      </c>
      <c r="J135" s="451"/>
    </row>
    <row r="136" spans="1:10" s="145" customFormat="1" ht="20.399999999999999" x14ac:dyDescent="0.2">
      <c r="A136" s="416">
        <v>14.2</v>
      </c>
      <c r="B136" s="416" t="s">
        <v>89</v>
      </c>
      <c r="C136" s="414">
        <v>98510</v>
      </c>
      <c r="D136" s="421" t="s">
        <v>1332</v>
      </c>
      <c r="E136" s="148" t="s">
        <v>33</v>
      </c>
      <c r="F136" s="411">
        <f>'MEMORIA DE CALCULO'!J1007</f>
        <v>27</v>
      </c>
      <c r="G136" s="411">
        <v>80.7</v>
      </c>
      <c r="H136" s="411">
        <f>ROUND(G136*(1+$M$4),2)</f>
        <v>97.52</v>
      </c>
      <c r="I136" s="411">
        <f>TRUNC(F136*H136,2)</f>
        <v>2633.04</v>
      </c>
      <c r="J136" s="442"/>
    </row>
    <row r="137" spans="1:10" s="412" customFormat="1" x14ac:dyDescent="0.2">
      <c r="A137" s="416">
        <v>14.3</v>
      </c>
      <c r="B137" s="416" t="s">
        <v>89</v>
      </c>
      <c r="C137" s="414">
        <v>98504</v>
      </c>
      <c r="D137" s="421" t="s">
        <v>1333</v>
      </c>
      <c r="E137" s="148" t="s">
        <v>9</v>
      </c>
      <c r="F137" s="444">
        <f>'MEMORIA DE CALCULO'!J1013</f>
        <v>397.57</v>
      </c>
      <c r="G137" s="411">
        <v>13.48</v>
      </c>
      <c r="H137" s="411">
        <f t="shared" ref="H137" si="134">ROUND(G137*(1+$M$4),2)</f>
        <v>16.29</v>
      </c>
      <c r="I137" s="411">
        <f>TRUNC(F137*H137,2)</f>
        <v>6476.41</v>
      </c>
      <c r="J137" s="422"/>
    </row>
    <row r="138" spans="1:10" s="145" customFormat="1" x14ac:dyDescent="0.2">
      <c r="A138" s="505">
        <v>15</v>
      </c>
      <c r="B138" s="549"/>
      <c r="C138" s="499"/>
      <c r="D138" s="504" t="s">
        <v>1326</v>
      </c>
      <c r="E138" s="549"/>
      <c r="F138" s="501"/>
      <c r="G138" s="501"/>
      <c r="H138" s="502"/>
      <c r="I138" s="503">
        <f>SUM(I139:I147)</f>
        <v>35609.31</v>
      </c>
      <c r="J138" s="429">
        <f>I138/I$148</f>
        <v>4.8406956811253829E-2</v>
      </c>
    </row>
    <row r="139" spans="1:10" s="118" customFormat="1" ht="40.799999999999997" x14ac:dyDescent="0.2">
      <c r="A139" s="148">
        <v>15.1</v>
      </c>
      <c r="B139" s="416" t="s">
        <v>89</v>
      </c>
      <c r="C139" s="14">
        <v>103185</v>
      </c>
      <c r="D139" s="381" t="s">
        <v>1334</v>
      </c>
      <c r="E139" s="148" t="s">
        <v>33</v>
      </c>
      <c r="F139" s="137">
        <f>'MEMORIA DE CALCULO'!J1021</f>
        <v>1</v>
      </c>
      <c r="G139" s="137">
        <v>5396.29</v>
      </c>
      <c r="H139" s="137">
        <f t="shared" ref="H139" si="135">ROUND(G139*(1+$M$4),2)</f>
        <v>6520.88</v>
      </c>
      <c r="I139" s="137">
        <f t="shared" ref="I139" si="136">TRUNC(F139*H139,2)</f>
        <v>6520.88</v>
      </c>
      <c r="J139" s="451"/>
    </row>
    <row r="140" spans="1:10" s="145" customFormat="1" ht="40.799999999999997" x14ac:dyDescent="0.2">
      <c r="A140" s="416">
        <v>15.2</v>
      </c>
      <c r="B140" s="416" t="s">
        <v>89</v>
      </c>
      <c r="C140" s="414">
        <v>103187</v>
      </c>
      <c r="D140" s="421" t="s">
        <v>1338</v>
      </c>
      <c r="E140" s="148" t="s">
        <v>33</v>
      </c>
      <c r="F140" s="411">
        <f>'MEMORIA DE CALCULO'!J1027</f>
        <v>1</v>
      </c>
      <c r="G140" s="411">
        <v>4277.59</v>
      </c>
      <c r="H140" s="411">
        <f>ROUND(G140*(1+$M$4),2)</f>
        <v>5169.04</v>
      </c>
      <c r="I140" s="411">
        <f>TRUNC(F140*H140,2)</f>
        <v>5169.04</v>
      </c>
      <c r="J140" s="442"/>
    </row>
    <row r="141" spans="1:10" s="412" customFormat="1" ht="40.799999999999997" x14ac:dyDescent="0.2">
      <c r="A141" s="416">
        <v>15.3</v>
      </c>
      <c r="B141" s="416" t="s">
        <v>89</v>
      </c>
      <c r="C141" s="414">
        <v>103190</v>
      </c>
      <c r="D141" s="421" t="s">
        <v>1335</v>
      </c>
      <c r="E141" s="148" t="s">
        <v>33</v>
      </c>
      <c r="F141" s="444">
        <f>'MEMORIA DE CALCULO'!J1032</f>
        <v>1</v>
      </c>
      <c r="G141" s="411">
        <v>3579.05</v>
      </c>
      <c r="H141" s="411">
        <f t="shared" ref="H141" si="137">ROUND(G141*(1+$M$4),2)</f>
        <v>4324.92</v>
      </c>
      <c r="I141" s="411">
        <f t="shared" ref="I141" si="138">TRUNC(F141*H141,2)</f>
        <v>4324.92</v>
      </c>
      <c r="J141" s="422"/>
    </row>
    <row r="142" spans="1:10" s="412" customFormat="1" ht="40.799999999999997" x14ac:dyDescent="0.2">
      <c r="A142" s="416">
        <v>15.4</v>
      </c>
      <c r="B142" s="416" t="s">
        <v>89</v>
      </c>
      <c r="C142" s="414">
        <v>103192</v>
      </c>
      <c r="D142" s="421" t="s">
        <v>1336</v>
      </c>
      <c r="E142" s="148" t="s">
        <v>33</v>
      </c>
      <c r="F142" s="444">
        <f>'MEMORIA DE CALCULO'!J1037</f>
        <v>1</v>
      </c>
      <c r="G142" s="411">
        <v>2219.6</v>
      </c>
      <c r="H142" s="411">
        <f t="shared" ref="H142" si="139">ROUND(G142*(1+$M$4),2)</f>
        <v>2682.16</v>
      </c>
      <c r="I142" s="411">
        <f t="shared" ref="I142" si="140">TRUNC(F142*H142,2)</f>
        <v>2682.16</v>
      </c>
      <c r="J142" s="422"/>
    </row>
    <row r="143" spans="1:10" s="412" customFormat="1" ht="40.799999999999997" x14ac:dyDescent="0.2">
      <c r="A143" s="416">
        <v>15.5</v>
      </c>
      <c r="B143" s="416" t="s">
        <v>89</v>
      </c>
      <c r="C143" s="414">
        <v>103210</v>
      </c>
      <c r="D143" s="421" t="s">
        <v>1337</v>
      </c>
      <c r="E143" s="148" t="s">
        <v>33</v>
      </c>
      <c r="F143" s="444">
        <f>'MEMORIA DE CALCULO'!J1042</f>
        <v>1</v>
      </c>
      <c r="G143" s="411">
        <v>2019.33</v>
      </c>
      <c r="H143" s="411">
        <f t="shared" ref="H143" si="141">ROUND(G143*(1+$M$4),2)</f>
        <v>2440.16</v>
      </c>
      <c r="I143" s="411">
        <f t="shared" ref="I143" si="142">TRUNC(F143*H143,2)</f>
        <v>2440.16</v>
      </c>
      <c r="J143" s="422"/>
    </row>
    <row r="144" spans="1:10" s="412" customFormat="1" ht="20.399999999999999" x14ac:dyDescent="0.2">
      <c r="A144" s="416">
        <v>15.6</v>
      </c>
      <c r="B144" s="416" t="s">
        <v>179</v>
      </c>
      <c r="C144" s="574" t="s">
        <v>1357</v>
      </c>
      <c r="D144" s="421" t="str">
        <f>COMPOSICOES!D25</f>
        <v>MESA DE JOGOS COM QUATRO BANCOS, TAMPO COM REVESTIMENTO CERÂMICO 10X10, INCLUSO PINTURA</v>
      </c>
      <c r="E144" s="148" t="str">
        <f>COMPOSICOES!D26</f>
        <v>un</v>
      </c>
      <c r="F144" s="444">
        <f>'MEMORIA DE CALCULO'!J1047</f>
        <v>6</v>
      </c>
      <c r="G144" s="411">
        <f>COMPOSICOES!G26</f>
        <v>713.7</v>
      </c>
      <c r="H144" s="411">
        <f t="shared" ref="H144" si="143">ROUND(G144*(1+$M$4),2)</f>
        <v>862.44</v>
      </c>
      <c r="I144" s="411">
        <f t="shared" ref="I144" si="144">TRUNC(F144*H144,2)</f>
        <v>5174.6400000000003</v>
      </c>
      <c r="J144" s="422"/>
    </row>
    <row r="145" spans="1:12" s="412" customFormat="1" x14ac:dyDescent="0.2">
      <c r="A145" s="416">
        <v>15.7</v>
      </c>
      <c r="B145" s="416" t="s">
        <v>659</v>
      </c>
      <c r="C145" s="574" t="s">
        <v>1360</v>
      </c>
      <c r="D145" s="421" t="s">
        <v>1361</v>
      </c>
      <c r="E145" s="148" t="s">
        <v>33</v>
      </c>
      <c r="F145" s="444">
        <f>'MEMORIA DE CALCULO'!J1052</f>
        <v>39</v>
      </c>
      <c r="G145" s="411">
        <v>90.73</v>
      </c>
      <c r="H145" s="411">
        <f t="shared" ref="H145" si="145">ROUND(G145*(1+$M$4),2)</f>
        <v>109.64</v>
      </c>
      <c r="I145" s="411">
        <f t="shared" ref="I145" si="146">TRUNC(F145*H145,2)</f>
        <v>4275.96</v>
      </c>
      <c r="J145" s="422"/>
    </row>
    <row r="146" spans="1:12" s="412" customFormat="1" ht="51" x14ac:dyDescent="0.2">
      <c r="A146" s="416">
        <v>15.8</v>
      </c>
      <c r="B146" s="416" t="s">
        <v>163</v>
      </c>
      <c r="C146" s="574" t="s">
        <v>1452</v>
      </c>
      <c r="D146" s="421" t="s">
        <v>1453</v>
      </c>
      <c r="E146" s="148" t="s">
        <v>9</v>
      </c>
      <c r="F146" s="444">
        <f>'MEMORIA DE CALCULO'!J1057</f>
        <v>38.76</v>
      </c>
      <c r="G146" s="411">
        <v>30.25</v>
      </c>
      <c r="H146" s="411">
        <f t="shared" ref="H146" si="147">ROUND(G146*(1+$M$4),2)</f>
        <v>36.549999999999997</v>
      </c>
      <c r="I146" s="411">
        <f t="shared" ref="I146" si="148">TRUNC(F146*H146,2)</f>
        <v>1416.67</v>
      </c>
      <c r="J146" s="422"/>
    </row>
    <row r="147" spans="1:12" s="412" customFormat="1" ht="20.399999999999999" x14ac:dyDescent="0.2">
      <c r="A147" s="416">
        <v>15.9</v>
      </c>
      <c r="B147" s="416" t="s">
        <v>179</v>
      </c>
      <c r="C147" s="574" t="s">
        <v>1464</v>
      </c>
      <c r="D147" s="421" t="str">
        <f>COMPOSICOES!D57</f>
        <v>REDÁRIO EM MADEIRA ROLIÇA TRATADA, D = 16 A 20 CM, H = 2,20 M, EM EUCALIPTO</v>
      </c>
      <c r="E147" s="148" t="str">
        <f>COMPOSICOES!D58</f>
        <v>un</v>
      </c>
      <c r="F147" s="444">
        <f>'MEMORIA DE CALCULO'!J1062</f>
        <v>2</v>
      </c>
      <c r="G147" s="411">
        <f>COMPOSICOES!G65</f>
        <v>1491.59</v>
      </c>
      <c r="H147" s="411">
        <f t="shared" ref="H147" si="149">ROUND(G147*(1+$M$4),2)</f>
        <v>1802.44</v>
      </c>
      <c r="I147" s="411">
        <f t="shared" ref="I147" si="150">TRUNC(F147*H147,2)</f>
        <v>3604.88</v>
      </c>
      <c r="J147" s="422"/>
    </row>
    <row r="148" spans="1:12" s="450" customFormat="1" ht="22.2" customHeight="1" x14ac:dyDescent="0.2">
      <c r="A148" s="508"/>
      <c r="B148" s="508"/>
      <c r="C148" s="509"/>
      <c r="D148" s="510"/>
      <c r="E148" s="508"/>
      <c r="F148" s="508"/>
      <c r="G148" s="508"/>
      <c r="H148" s="511" t="s">
        <v>1114</v>
      </c>
      <c r="I148" s="512">
        <f>I9+I32+I44+I55+I79+I101+I28+I23+I20+I70+I68+I121+I97+I134+I138</f>
        <v>735623.81</v>
      </c>
      <c r="J148" s="477"/>
      <c r="L148" s="477"/>
    </row>
    <row r="149" spans="1:12" ht="14.4" customHeight="1" x14ac:dyDescent="0.25">
      <c r="A149" s="633"/>
      <c r="B149" s="634"/>
      <c r="C149" s="634"/>
      <c r="D149" s="634"/>
      <c r="E149" s="634"/>
      <c r="F149" s="634"/>
      <c r="G149" s="634"/>
      <c r="H149" s="634"/>
      <c r="I149" s="635"/>
      <c r="J149" s="483"/>
    </row>
    <row r="150" spans="1:12" ht="14.4" customHeight="1" x14ac:dyDescent="0.2">
      <c r="A150" s="636"/>
      <c r="B150" s="636"/>
      <c r="C150" s="636"/>
      <c r="D150" s="637"/>
      <c r="E150" s="639"/>
      <c r="F150" s="639"/>
      <c r="G150" s="639"/>
      <c r="H150" s="639"/>
      <c r="I150" s="639"/>
      <c r="J150" s="167"/>
      <c r="K150" s="482"/>
    </row>
    <row r="151" spans="1:12" ht="17.399999999999999" customHeight="1" x14ac:dyDescent="0.2">
      <c r="A151" s="636"/>
      <c r="B151" s="636"/>
      <c r="C151" s="636"/>
      <c r="D151" s="638"/>
      <c r="E151" s="639"/>
      <c r="F151" s="639"/>
      <c r="G151" s="639"/>
      <c r="H151" s="639"/>
      <c r="I151" s="639"/>
      <c r="J151" s="167"/>
      <c r="K151" s="482"/>
    </row>
    <row r="152" spans="1:12" ht="23.4" customHeight="1" x14ac:dyDescent="0.2">
      <c r="A152" s="636"/>
      <c r="B152" s="636"/>
      <c r="C152" s="636"/>
      <c r="D152" s="638"/>
      <c r="E152" s="639"/>
      <c r="F152" s="639"/>
      <c r="G152" s="639"/>
      <c r="H152" s="639"/>
      <c r="I152" s="639"/>
      <c r="J152" s="167"/>
      <c r="K152" s="482"/>
    </row>
    <row r="153" spans="1:12" ht="18.600000000000001" customHeight="1" x14ac:dyDescent="0.2">
      <c r="A153" s="636"/>
      <c r="B153" s="636"/>
      <c r="C153" s="636"/>
      <c r="D153" s="478"/>
      <c r="E153" s="639"/>
      <c r="F153" s="639"/>
      <c r="G153" s="639"/>
      <c r="H153" s="639"/>
      <c r="I153" s="639"/>
      <c r="J153" s="167"/>
      <c r="K153" s="482"/>
    </row>
    <row r="154" spans="1:12" ht="34.950000000000003" customHeight="1" x14ac:dyDescent="0.2">
      <c r="A154" s="636"/>
      <c r="B154" s="636"/>
      <c r="C154" s="636"/>
      <c r="D154" s="478"/>
      <c r="E154" s="639"/>
      <c r="F154" s="639"/>
      <c r="G154" s="639"/>
      <c r="H154" s="639"/>
      <c r="I154" s="639"/>
      <c r="J154" s="167"/>
      <c r="K154" s="482"/>
    </row>
    <row r="155" spans="1:12" x14ac:dyDescent="0.2">
      <c r="A155" s="485"/>
      <c r="B155" s="479"/>
      <c r="C155" s="480"/>
      <c r="D155" s="481"/>
      <c r="E155" s="479"/>
      <c r="F155" s="479"/>
      <c r="G155" s="479"/>
      <c r="H155" s="479"/>
      <c r="I155" s="479"/>
      <c r="J155" s="484"/>
    </row>
  </sheetData>
  <autoFilter ref="A8:I148" xr:uid="{00000000-0009-0000-0000-000009000000}"/>
  <mergeCells count="7">
    <mergeCell ref="A2:I2"/>
    <mergeCell ref="A1:I1"/>
    <mergeCell ref="A149:I149"/>
    <mergeCell ref="A150:C154"/>
    <mergeCell ref="D150:D152"/>
    <mergeCell ref="E150:I154"/>
    <mergeCell ref="A3:I3"/>
  </mergeCells>
  <phoneticPr fontId="10" type="noConversion"/>
  <dataValidations disablePrompts="1" count="1">
    <dataValidation allowBlank="1" showInputMessage="1" showErrorMessage="1" promptTitle="Atenção!!!" prompt="Inserir o BDI em valor percentual." sqref="L2 L4:M4" xr:uid="{00000000-0002-0000-0900-000000000000}"/>
  </dataValidations>
  <printOptions horizontalCentered="1"/>
  <pageMargins left="0.59055118110236227" right="0.39370078740157483" top="1.2204724409448819" bottom="0.86614173228346458" header="0.39370078740157483" footer="7.874015748031496E-2"/>
  <pageSetup paperSize="9" scale="71" fitToHeight="0" orientation="portrait" r:id="rId1"/>
  <headerFooter>
    <oddHeader>&amp;C&amp;G</oddHeader>
    <oddFooter>&amp;L
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  <pageSetUpPr fitToPage="1"/>
  </sheetPr>
  <dimension ref="A1:T1069"/>
  <sheetViews>
    <sheetView tabSelected="1" view="pageBreakPreview" topLeftCell="A31" zoomScale="120" zoomScaleNormal="100" zoomScaleSheetLayoutView="120" workbookViewId="0">
      <pane ySplit="588" topLeftCell="A685" activePane="bottomLeft"/>
      <selection activeCell="F31" sqref="F1:F1048576"/>
      <selection pane="bottomLeft" activeCell="H747" sqref="H747"/>
    </sheetView>
  </sheetViews>
  <sheetFormatPr defaultColWidth="9.109375" defaultRowHeight="10.199999999999999" x14ac:dyDescent="0.2"/>
  <cols>
    <col min="1" max="1" width="6.44140625" style="446" customWidth="1"/>
    <col min="2" max="2" width="12" style="445" hidden="1" customWidth="1"/>
    <col min="3" max="3" width="10" style="426" hidden="1" customWidth="1"/>
    <col min="4" max="4" width="45.6640625" style="447" customWidth="1"/>
    <col min="5" max="5" width="7.33203125" style="445" bestFit="1" customWidth="1"/>
    <col min="6" max="6" width="9.33203125" style="448" customWidth="1"/>
    <col min="7" max="8" width="10" style="445" customWidth="1"/>
    <col min="9" max="9" width="10" style="449" customWidth="1"/>
    <col min="10" max="10" width="11.21875" style="445" customWidth="1"/>
    <col min="11" max="11" width="13.109375" style="118" customWidth="1"/>
    <col min="12" max="13" width="9.109375" style="118" customWidth="1"/>
    <col min="14" max="16384" width="9.109375" style="118"/>
  </cols>
  <sheetData>
    <row r="1" spans="1:10" ht="37.799999999999997" customHeight="1" x14ac:dyDescent="0.3">
      <c r="A1" s="644" t="str">
        <f>'ORÇAMENTO SEM DESON'!A1:I1</f>
        <v>REFORMA DO CENTRO DE CONVIVÊNCIA DOS IDOSOS DO MUNICÍPIO DE LIMOEIRO-PE</v>
      </c>
      <c r="B1" s="645"/>
      <c r="C1" s="645"/>
      <c r="D1" s="645"/>
      <c r="E1" s="645"/>
      <c r="F1" s="645"/>
      <c r="G1" s="645"/>
      <c r="H1" s="645"/>
      <c r="I1" s="645"/>
      <c r="J1" s="645"/>
    </row>
    <row r="2" spans="1:10" ht="12.6" customHeight="1" x14ac:dyDescent="0.2">
      <c r="A2" s="465"/>
      <c r="B2" s="466"/>
      <c r="C2" s="466"/>
      <c r="D2" s="466"/>
      <c r="E2" s="466"/>
      <c r="F2" s="466"/>
      <c r="G2" s="466"/>
      <c r="H2" s="466"/>
      <c r="I2" s="466"/>
      <c r="J2" s="467"/>
    </row>
    <row r="3" spans="1:10" ht="15.6" x14ac:dyDescent="0.3">
      <c r="A3" s="643" t="s">
        <v>58</v>
      </c>
      <c r="B3" s="643"/>
      <c r="C3" s="643"/>
      <c r="D3" s="643"/>
      <c r="E3" s="643"/>
      <c r="F3" s="643"/>
      <c r="G3" s="643"/>
      <c r="H3" s="643"/>
      <c r="I3" s="643"/>
      <c r="J3" s="643"/>
    </row>
    <row r="4" spans="1:10" ht="13.95" customHeight="1" x14ac:dyDescent="0.2">
      <c r="A4" s="463" t="str">
        <f>'ORÇAMENTO SEM DESON'!A4</f>
        <v>LOCALIZAÇÃO: LIMOEIRO - PE</v>
      </c>
      <c r="B4" s="423"/>
      <c r="C4" s="423"/>
      <c r="D4" s="423"/>
      <c r="E4" s="423"/>
      <c r="F4" s="423"/>
      <c r="G4" s="423"/>
      <c r="H4" s="423"/>
      <c r="I4" s="423"/>
      <c r="J4" s="423"/>
    </row>
    <row r="5" spans="1:10" ht="18" customHeight="1" x14ac:dyDescent="0.2">
      <c r="A5" s="463" t="str">
        <f>'ORÇAMENTO SEM DESON'!A5</f>
        <v>FONTES DE PREÇOS: EMLURB 2018 / SINAPI JANEIRO-2022 / SEINFRA 027 MARÇO-2021 - SEM DESONERAÇÃO (BDI = 20,84%)</v>
      </c>
      <c r="B5" s="423"/>
      <c r="C5" s="423"/>
      <c r="D5" s="423"/>
      <c r="E5" s="423"/>
      <c r="F5" s="423"/>
      <c r="G5" s="423"/>
      <c r="H5" s="423"/>
      <c r="I5" s="423"/>
      <c r="J5" s="423"/>
    </row>
    <row r="6" spans="1:10" ht="14.4" customHeight="1" x14ac:dyDescent="0.2">
      <c r="A6" s="463" t="str">
        <f>'ORÇAMENTO SEM DESON'!A6</f>
        <v>DATA: ABRIL/2022</v>
      </c>
      <c r="B6" s="423"/>
      <c r="C6" s="423"/>
      <c r="D6" s="423"/>
      <c r="E6" s="423"/>
      <c r="F6" s="423"/>
      <c r="G6" s="423"/>
      <c r="H6" s="423"/>
      <c r="I6" s="423"/>
      <c r="J6" s="423"/>
    </row>
    <row r="7" spans="1:10" x14ac:dyDescent="0.2">
      <c r="A7" s="423"/>
      <c r="B7" s="423"/>
      <c r="C7" s="423"/>
      <c r="D7" s="423"/>
      <c r="E7" s="423"/>
      <c r="F7" s="423"/>
      <c r="G7" s="423"/>
      <c r="H7" s="423"/>
      <c r="I7" s="423"/>
      <c r="J7" s="423"/>
    </row>
    <row r="8" spans="1:10" s="135" customFormat="1" ht="16.5" customHeight="1" x14ac:dyDescent="0.2">
      <c r="A8" s="531" t="s">
        <v>1</v>
      </c>
      <c r="B8" s="531" t="s">
        <v>87</v>
      </c>
      <c r="C8" s="532" t="s">
        <v>22</v>
      </c>
      <c r="D8" s="531" t="s">
        <v>88</v>
      </c>
      <c r="E8" s="531" t="s">
        <v>2</v>
      </c>
      <c r="F8" s="533" t="s">
        <v>3</v>
      </c>
      <c r="G8" s="533" t="s">
        <v>85</v>
      </c>
      <c r="H8" s="533" t="s">
        <v>86</v>
      </c>
      <c r="I8" s="534" t="s">
        <v>4</v>
      </c>
      <c r="J8" s="533" t="s">
        <v>5</v>
      </c>
    </row>
    <row r="9" spans="1:10" s="139" customFormat="1" x14ac:dyDescent="0.2">
      <c r="A9" s="6"/>
      <c r="B9" s="6"/>
      <c r="C9" s="7"/>
      <c r="D9" s="116"/>
      <c r="E9" s="6"/>
      <c r="F9" s="258"/>
      <c r="G9" s="258"/>
      <c r="H9" s="258"/>
      <c r="I9" s="246"/>
      <c r="J9" s="258"/>
    </row>
    <row r="10" spans="1:10" s="431" customFormat="1" x14ac:dyDescent="0.2">
      <c r="A10" s="498" t="str">
        <f>'ORÇAMENTO SEM DESON'!A9</f>
        <v>1.0</v>
      </c>
      <c r="B10" s="498"/>
      <c r="C10" s="499"/>
      <c r="D10" s="500" t="str">
        <f>'ORÇAMENTO SEM DESON'!D9</f>
        <v>SERVIÇOS PRELIMINARES</v>
      </c>
      <c r="E10" s="498"/>
      <c r="F10" s="513"/>
      <c r="G10" s="513"/>
      <c r="H10" s="513"/>
      <c r="I10" s="514"/>
      <c r="J10" s="513"/>
    </row>
    <row r="11" spans="1:10" s="139" customFormat="1" x14ac:dyDescent="0.2">
      <c r="A11" s="6"/>
      <c r="B11" s="6"/>
      <c r="C11" s="7"/>
      <c r="D11" s="116"/>
      <c r="E11" s="6"/>
      <c r="F11" s="258"/>
      <c r="G11" s="258"/>
      <c r="H11" s="258"/>
      <c r="I11" s="246"/>
      <c r="J11" s="258"/>
    </row>
    <row r="12" spans="1:10" s="145" customFormat="1" ht="20.399999999999999" x14ac:dyDescent="0.2">
      <c r="A12" s="515">
        <f>'ORÇAMENTO SEM DESON'!A10</f>
        <v>1.1000000000000001</v>
      </c>
      <c r="B12" s="515"/>
      <c r="C12" s="516"/>
      <c r="D12" s="517" t="str">
        <f>'ORÇAMENTO SEM DESON'!D10</f>
        <v xml:space="preserve">PLACA DE OBRA (PARA CONSTRUCAO CIVIL) EM CHAPA GALVANIZADA *N. 22*, ADESIVADA,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2" s="515" t="str">
        <f>'ORÇAMENTO SEM DESON'!E10</f>
        <v>m²</v>
      </c>
      <c r="F12" s="518"/>
      <c r="G12" s="518"/>
      <c r="H12" s="518"/>
      <c r="I12" s="519"/>
      <c r="J12" s="518"/>
    </row>
    <row r="13" spans="1:10" x14ac:dyDescent="0.2">
      <c r="A13" s="6"/>
      <c r="B13" s="6"/>
      <c r="C13" s="7"/>
      <c r="D13" s="2"/>
      <c r="E13" s="148"/>
      <c r="F13" s="137" t="s">
        <v>1137</v>
      </c>
      <c r="G13" s="137" t="s">
        <v>1136</v>
      </c>
      <c r="H13" s="253"/>
      <c r="I13" s="137"/>
      <c r="J13" s="253"/>
    </row>
    <row r="14" spans="1:10" x14ac:dyDescent="0.2">
      <c r="A14" s="6"/>
      <c r="B14" s="6"/>
      <c r="C14" s="7"/>
      <c r="D14" s="2" t="s">
        <v>84</v>
      </c>
      <c r="E14" s="148" t="s">
        <v>9</v>
      </c>
      <c r="F14" s="137">
        <v>3</v>
      </c>
      <c r="G14" s="137">
        <v>1.5</v>
      </c>
      <c r="H14" s="253"/>
      <c r="I14" s="249"/>
      <c r="J14" s="253">
        <f>ROUND(PRODUCT(F14:I14),2)</f>
        <v>4.5</v>
      </c>
    </row>
    <row r="15" spans="1:10" x14ac:dyDescent="0.2">
      <c r="A15" s="6"/>
      <c r="B15" s="6"/>
      <c r="C15" s="7"/>
      <c r="D15" s="149"/>
      <c r="E15" s="148"/>
      <c r="F15" s="253"/>
      <c r="G15" s="253"/>
      <c r="H15" s="253"/>
      <c r="I15" s="519" t="str">
        <f>"Total item "&amp;A12</f>
        <v>Total item 1.1</v>
      </c>
      <c r="J15" s="518">
        <f>SUM(J14:J14)</f>
        <v>4.5</v>
      </c>
    </row>
    <row r="16" spans="1:10" s="139" customFormat="1" x14ac:dyDescent="0.2">
      <c r="A16" s="6"/>
      <c r="B16" s="6"/>
      <c r="C16" s="7"/>
      <c r="D16" s="116"/>
      <c r="E16" s="6"/>
      <c r="F16" s="258"/>
      <c r="G16" s="258"/>
      <c r="H16" s="258"/>
      <c r="I16" s="246"/>
      <c r="J16" s="258"/>
    </row>
    <row r="17" spans="1:10" s="145" customFormat="1" ht="20.399999999999999" x14ac:dyDescent="0.2">
      <c r="A17" s="515">
        <f>'ORÇAMENTO SEM DESON'!A11</f>
        <v>1.2</v>
      </c>
      <c r="B17" s="515"/>
      <c r="C17" s="516"/>
      <c r="D17" s="517" t="str">
        <f>'ORÇAMENTO SEM DESON'!D11</f>
        <v xml:space="preserve">DEMOLICAO DE ALVENARIA DE 1/2 VEZ COM PREPARO PARA REMOCAO.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7" s="515" t="str">
        <f>'ORÇAMENTO SEM DESON'!E11</f>
        <v>m²</v>
      </c>
      <c r="F17" s="518"/>
      <c r="G17" s="518"/>
      <c r="H17" s="518"/>
      <c r="I17" s="519"/>
      <c r="J17" s="518"/>
    </row>
    <row r="18" spans="1:10" x14ac:dyDescent="0.2">
      <c r="A18" s="6"/>
      <c r="B18" s="6"/>
      <c r="C18" s="7"/>
      <c r="D18" s="2"/>
      <c r="E18" s="148"/>
      <c r="F18" s="137" t="s">
        <v>1137</v>
      </c>
      <c r="G18" s="137" t="s">
        <v>1136</v>
      </c>
      <c r="H18" s="253" t="s">
        <v>34</v>
      </c>
      <c r="I18" s="249"/>
      <c r="J18" s="253"/>
    </row>
    <row r="19" spans="1:10" x14ac:dyDescent="0.2">
      <c r="A19" s="6"/>
      <c r="B19" s="6"/>
      <c r="C19" s="7"/>
      <c r="D19" s="2" t="s">
        <v>166</v>
      </c>
      <c r="E19" s="148" t="s">
        <v>9</v>
      </c>
      <c r="F19" s="137">
        <f>2.23+0.78</f>
        <v>3.01</v>
      </c>
      <c r="G19" s="137">
        <v>3.98</v>
      </c>
      <c r="H19" s="253"/>
      <c r="I19" s="249"/>
      <c r="J19" s="253">
        <f>ROUND(PRODUCT(F19:I19),2)</f>
        <v>11.98</v>
      </c>
    </row>
    <row r="20" spans="1:10" x14ac:dyDescent="0.2">
      <c r="A20" s="6"/>
      <c r="B20" s="6"/>
      <c r="C20" s="7"/>
      <c r="D20" s="2" t="s">
        <v>1110</v>
      </c>
      <c r="E20" s="148" t="s">
        <v>9</v>
      </c>
      <c r="F20" s="137">
        <v>0.78</v>
      </c>
      <c r="G20" s="137">
        <v>2.1</v>
      </c>
      <c r="H20" s="253"/>
      <c r="I20" s="249"/>
      <c r="J20" s="253">
        <f t="shared" ref="J20:J30" si="0">ROUND(PRODUCT(F20:I20),2)</f>
        <v>1.64</v>
      </c>
    </row>
    <row r="21" spans="1:10" x14ac:dyDescent="0.2">
      <c r="A21" s="6"/>
      <c r="B21" s="6"/>
      <c r="C21" s="7"/>
      <c r="D21" s="2" t="s">
        <v>1185</v>
      </c>
      <c r="E21" s="148" t="s">
        <v>9</v>
      </c>
      <c r="F21" s="137">
        <v>0.98</v>
      </c>
      <c r="G21" s="137">
        <v>2.1</v>
      </c>
      <c r="H21" s="253"/>
      <c r="I21" s="249"/>
      <c r="J21" s="253">
        <f t="shared" si="0"/>
        <v>2.06</v>
      </c>
    </row>
    <row r="22" spans="1:10" x14ac:dyDescent="0.2">
      <c r="A22" s="6"/>
      <c r="B22" s="6"/>
      <c r="C22" s="7"/>
      <c r="D22" s="2" t="s">
        <v>1186</v>
      </c>
      <c r="E22" s="148" t="s">
        <v>9</v>
      </c>
      <c r="F22" s="137"/>
      <c r="G22" s="137"/>
      <c r="H22" s="253">
        <f>(0.9+0.9+2+2)*0.6</f>
        <v>3.48</v>
      </c>
      <c r="I22" s="249"/>
      <c r="J22" s="253">
        <f t="shared" ref="J22" si="1">ROUND(PRODUCT(F22:I22),2)</f>
        <v>3.48</v>
      </c>
    </row>
    <row r="23" spans="1:10" x14ac:dyDescent="0.2">
      <c r="A23" s="6"/>
      <c r="B23" s="6"/>
      <c r="C23" s="7"/>
      <c r="D23" s="2" t="s">
        <v>485</v>
      </c>
      <c r="E23" s="148" t="s">
        <v>9</v>
      </c>
      <c r="F23" s="137">
        <v>1.5</v>
      </c>
      <c r="G23" s="137">
        <v>1</v>
      </c>
      <c r="H23" s="253"/>
      <c r="I23" s="249"/>
      <c r="J23" s="253">
        <f t="shared" si="0"/>
        <v>1.5</v>
      </c>
    </row>
    <row r="24" spans="1:10" x14ac:dyDescent="0.2">
      <c r="A24" s="6"/>
      <c r="B24" s="6"/>
      <c r="C24" s="7"/>
      <c r="D24" s="2" t="s">
        <v>1173</v>
      </c>
      <c r="E24" s="148" t="s">
        <v>9</v>
      </c>
      <c r="F24" s="137">
        <v>1.5</v>
      </c>
      <c r="G24" s="137">
        <v>2.1</v>
      </c>
      <c r="H24" s="253"/>
      <c r="I24" s="249"/>
      <c r="J24" s="253">
        <f t="shared" si="0"/>
        <v>3.15</v>
      </c>
    </row>
    <row r="25" spans="1:10" x14ac:dyDescent="0.2">
      <c r="A25" s="6"/>
      <c r="B25" s="6"/>
      <c r="C25" s="7"/>
      <c r="D25" s="2" t="s">
        <v>1164</v>
      </c>
      <c r="E25" s="148" t="s">
        <v>9</v>
      </c>
      <c r="F25" s="137">
        <v>2</v>
      </c>
      <c r="G25" s="137">
        <v>1</v>
      </c>
      <c r="H25" s="253"/>
      <c r="I25" s="249"/>
      <c r="J25" s="253">
        <f t="shared" si="0"/>
        <v>2</v>
      </c>
    </row>
    <row r="26" spans="1:10" x14ac:dyDescent="0.2">
      <c r="A26" s="6"/>
      <c r="B26" s="6"/>
      <c r="C26" s="7"/>
      <c r="D26" s="2" t="s">
        <v>1165</v>
      </c>
      <c r="E26" s="148" t="s">
        <v>9</v>
      </c>
      <c r="F26" s="137">
        <f>3+2</f>
        <v>5</v>
      </c>
      <c r="G26" s="137">
        <v>1</v>
      </c>
      <c r="H26" s="253"/>
      <c r="I26" s="249"/>
      <c r="J26" s="253">
        <f t="shared" si="0"/>
        <v>5</v>
      </c>
    </row>
    <row r="27" spans="1:10" x14ac:dyDescent="0.2">
      <c r="A27" s="6"/>
      <c r="B27" s="6"/>
      <c r="C27" s="7"/>
      <c r="D27" s="2" t="s">
        <v>1166</v>
      </c>
      <c r="E27" s="148" t="s">
        <v>9</v>
      </c>
      <c r="F27" s="137">
        <v>0.98</v>
      </c>
      <c r="G27" s="137">
        <v>2.1</v>
      </c>
      <c r="H27" s="253"/>
      <c r="I27" s="249"/>
      <c r="J27" s="253">
        <f t="shared" si="0"/>
        <v>2.06</v>
      </c>
    </row>
    <row r="28" spans="1:10" x14ac:dyDescent="0.2">
      <c r="A28" s="6"/>
      <c r="B28" s="6"/>
      <c r="C28" s="7"/>
      <c r="D28" s="2" t="s">
        <v>1167</v>
      </c>
      <c r="E28" s="148" t="s">
        <v>9</v>
      </c>
      <c r="F28" s="137">
        <v>5.85</v>
      </c>
      <c r="G28" s="137">
        <v>3.98</v>
      </c>
      <c r="H28" s="253"/>
      <c r="I28" s="249"/>
      <c r="J28" s="253">
        <f t="shared" si="0"/>
        <v>23.28</v>
      </c>
    </row>
    <row r="29" spans="1:10" x14ac:dyDescent="0.2">
      <c r="A29" s="6"/>
      <c r="B29" s="6"/>
      <c r="C29" s="7"/>
      <c r="D29" s="2" t="s">
        <v>1168</v>
      </c>
      <c r="E29" s="148" t="s">
        <v>9</v>
      </c>
      <c r="F29" s="137">
        <v>5.85</v>
      </c>
      <c r="G29" s="137">
        <v>3.98</v>
      </c>
      <c r="H29" s="253"/>
      <c r="I29" s="249"/>
      <c r="J29" s="253">
        <f t="shared" si="0"/>
        <v>23.28</v>
      </c>
    </row>
    <row r="30" spans="1:10" x14ac:dyDescent="0.2">
      <c r="A30" s="6"/>
      <c r="B30" s="6"/>
      <c r="C30" s="7"/>
      <c r="D30" s="2" t="s">
        <v>1188</v>
      </c>
      <c r="E30" s="148" t="s">
        <v>9</v>
      </c>
      <c r="F30" s="137">
        <f>(62.89+40.19)+51.54</f>
        <v>154.62</v>
      </c>
      <c r="G30" s="137">
        <v>0.3</v>
      </c>
      <c r="H30" s="253"/>
      <c r="I30" s="249"/>
      <c r="J30" s="253">
        <f t="shared" si="0"/>
        <v>46.39</v>
      </c>
    </row>
    <row r="31" spans="1:10" x14ac:dyDescent="0.2">
      <c r="A31" s="6"/>
      <c r="B31" s="6"/>
      <c r="C31" s="7"/>
      <c r="D31" s="149"/>
      <c r="E31" s="148"/>
      <c r="F31" s="253"/>
      <c r="G31" s="253"/>
      <c r="H31" s="253"/>
      <c r="I31" s="519" t="str">
        <f>"Total item "&amp;A17</f>
        <v>Total item 1.2</v>
      </c>
      <c r="J31" s="518">
        <f>SUM(J19:J30)</f>
        <v>125.82000000000001</v>
      </c>
    </row>
    <row r="32" spans="1:10" s="139" customFormat="1" x14ac:dyDescent="0.2">
      <c r="A32" s="6"/>
      <c r="B32" s="6"/>
      <c r="C32" s="7"/>
      <c r="D32" s="116"/>
      <c r="E32" s="6"/>
      <c r="F32" s="258"/>
      <c r="G32" s="258"/>
      <c r="H32" s="258"/>
      <c r="I32" s="246"/>
      <c r="J32" s="258"/>
    </row>
    <row r="33" spans="1:10" s="145" customFormat="1" ht="20.399999999999999" x14ac:dyDescent="0.2">
      <c r="A33" s="515">
        <f>'ORÇAMENTO SEM DESON'!A12</f>
        <v>1.3</v>
      </c>
      <c r="B33" s="515"/>
      <c r="C33" s="516"/>
      <c r="D33" s="517" t="str">
        <f>'ORÇAMENTO SEM DESON'!D12</f>
        <v xml:space="preserve">DEMOLIÇÃO DE REVESTIMENTO CERÂMICO, DE FORMA MANUAL, SEM REAPROVEITAMENTO. AF_12/2017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33" s="515" t="str">
        <f>'ORÇAMENTO SEM DESON'!E12</f>
        <v>m²</v>
      </c>
      <c r="F33" s="518"/>
      <c r="G33" s="518"/>
      <c r="H33" s="518"/>
      <c r="I33" s="519"/>
      <c r="J33" s="518"/>
    </row>
    <row r="34" spans="1:10" x14ac:dyDescent="0.2">
      <c r="A34" s="6"/>
      <c r="B34" s="6"/>
      <c r="C34" s="7"/>
      <c r="D34" s="2"/>
      <c r="E34" s="148"/>
      <c r="F34" s="137" t="s">
        <v>1139</v>
      </c>
      <c r="G34" s="137" t="s">
        <v>1136</v>
      </c>
      <c r="H34" s="137"/>
      <c r="I34" s="249"/>
      <c r="J34" s="253"/>
    </row>
    <row r="35" spans="1:10" x14ac:dyDescent="0.2">
      <c r="A35" s="6"/>
      <c r="B35" s="6"/>
      <c r="C35" s="7"/>
      <c r="D35" s="2" t="s">
        <v>165</v>
      </c>
      <c r="E35" s="148" t="s">
        <v>9</v>
      </c>
      <c r="F35" s="137">
        <f>3.84+3.83+3.84+3.83</f>
        <v>15.34</v>
      </c>
      <c r="G35" s="137">
        <v>1.8</v>
      </c>
      <c r="H35" s="137"/>
      <c r="I35" s="249"/>
      <c r="J35" s="253">
        <f>ROUND(PRODUCT(F35:I35),2)</f>
        <v>27.61</v>
      </c>
    </row>
    <row r="36" spans="1:10" x14ac:dyDescent="0.2">
      <c r="A36" s="6"/>
      <c r="B36" s="6"/>
      <c r="C36" s="7"/>
      <c r="D36" s="2" t="s">
        <v>1167</v>
      </c>
      <c r="E36" s="148" t="s">
        <v>9</v>
      </c>
      <c r="F36" s="137">
        <f>3.84+3.77+3.84+3.77</f>
        <v>15.219999999999999</v>
      </c>
      <c r="G36" s="137">
        <v>1.8</v>
      </c>
      <c r="H36" s="137"/>
      <c r="I36" s="249"/>
      <c r="J36" s="253">
        <f t="shared" ref="J36:J38" si="2">ROUND(PRODUCT(F36:I36),2)</f>
        <v>27.4</v>
      </c>
    </row>
    <row r="37" spans="1:10" x14ac:dyDescent="0.2">
      <c r="A37" s="6"/>
      <c r="B37" s="6"/>
      <c r="C37" s="7"/>
      <c r="D37" s="2" t="s">
        <v>1168</v>
      </c>
      <c r="E37" s="148" t="s">
        <v>9</v>
      </c>
      <c r="F37" s="137">
        <f>3.84+3.77+3.84+3.77</f>
        <v>15.219999999999999</v>
      </c>
      <c r="G37" s="137">
        <v>1.8</v>
      </c>
      <c r="H37" s="137"/>
      <c r="I37" s="249"/>
      <c r="J37" s="253">
        <f t="shared" si="2"/>
        <v>27.4</v>
      </c>
    </row>
    <row r="38" spans="1:10" x14ac:dyDescent="0.2">
      <c r="A38" s="6"/>
      <c r="B38" s="6"/>
      <c r="C38" s="7"/>
      <c r="D38" s="2" t="s">
        <v>166</v>
      </c>
      <c r="E38" s="148" t="s">
        <v>9</v>
      </c>
      <c r="F38" s="137">
        <v>2.23</v>
      </c>
      <c r="G38" s="137">
        <v>1.8</v>
      </c>
      <c r="H38" s="137"/>
      <c r="I38" s="249"/>
      <c r="J38" s="253">
        <f t="shared" si="2"/>
        <v>4.01</v>
      </c>
    </row>
    <row r="39" spans="1:10" x14ac:dyDescent="0.2">
      <c r="A39" s="6"/>
      <c r="B39" s="6"/>
      <c r="C39" s="7"/>
      <c r="D39" s="2" t="s">
        <v>1177</v>
      </c>
      <c r="E39" s="148" t="s">
        <v>9</v>
      </c>
      <c r="F39" s="137">
        <f>1.48+1.48+1.18+1.18</f>
        <v>5.3199999999999994</v>
      </c>
      <c r="G39" s="137">
        <v>1.8</v>
      </c>
      <c r="H39" s="137"/>
      <c r="I39" s="249"/>
      <c r="J39" s="253">
        <f t="shared" ref="J39" si="3">ROUND(PRODUCT(F39:I39),2)</f>
        <v>9.58</v>
      </c>
    </row>
    <row r="40" spans="1:10" x14ac:dyDescent="0.2">
      <c r="A40" s="6"/>
      <c r="B40" s="6"/>
      <c r="C40" s="7"/>
      <c r="D40" s="149"/>
      <c r="E40" s="148"/>
      <c r="F40" s="253"/>
      <c r="G40" s="253"/>
      <c r="H40" s="253"/>
      <c r="I40" s="519" t="str">
        <f>"Total item "&amp;A33</f>
        <v>Total item 1.3</v>
      </c>
      <c r="J40" s="518">
        <f>SUM(J35:J39)</f>
        <v>96</v>
      </c>
    </row>
    <row r="41" spans="1:10" s="139" customFormat="1" x14ac:dyDescent="0.2">
      <c r="A41" s="6"/>
      <c r="B41" s="6"/>
      <c r="C41" s="7"/>
      <c r="D41" s="116"/>
      <c r="E41" s="6"/>
      <c r="F41" s="258"/>
      <c r="G41" s="258"/>
      <c r="H41" s="258"/>
      <c r="I41" s="246"/>
      <c r="J41" s="258"/>
    </row>
    <row r="42" spans="1:10" s="145" customFormat="1" ht="20.399999999999999" x14ac:dyDescent="0.2">
      <c r="A42" s="515">
        <f>'ORÇAMENTO SEM DESON'!A13</f>
        <v>1.4</v>
      </c>
      <c r="B42" s="515"/>
      <c r="C42" s="516"/>
      <c r="D42" s="517" t="str">
        <f>'ORÇAMENTO SEM DESON'!D13</f>
        <v>REMOÇÃO DE PORTAS, DE FORMA MANUAL, SEM REAPROVEITAMENTO. AF_12/2017</v>
      </c>
      <c r="E42" s="515" t="str">
        <f>'ORÇAMENTO SEM DESON'!E13</f>
        <v>m²</v>
      </c>
      <c r="F42" s="518"/>
      <c r="G42" s="518"/>
      <c r="H42" s="518"/>
      <c r="I42" s="519"/>
      <c r="J42" s="518"/>
    </row>
    <row r="43" spans="1:10" x14ac:dyDescent="0.2">
      <c r="A43" s="6"/>
      <c r="B43" s="6"/>
      <c r="C43" s="7"/>
      <c r="D43" s="2"/>
      <c r="E43" s="148"/>
      <c r="F43" s="137" t="s">
        <v>1137</v>
      </c>
      <c r="G43" s="137" t="s">
        <v>1136</v>
      </c>
      <c r="H43" s="137"/>
      <c r="I43" s="249"/>
      <c r="J43" s="253"/>
    </row>
    <row r="44" spans="1:10" x14ac:dyDescent="0.2">
      <c r="A44" s="6"/>
      <c r="B44" s="6"/>
      <c r="C44" s="7"/>
      <c r="D44" s="2" t="s">
        <v>1167</v>
      </c>
      <c r="E44" s="148" t="s">
        <v>9</v>
      </c>
      <c r="F44" s="137">
        <f>0.9+0.9+0.7</f>
        <v>2.5</v>
      </c>
      <c r="G44" s="137">
        <v>1.6</v>
      </c>
      <c r="H44" s="137"/>
      <c r="I44" s="249"/>
      <c r="J44" s="253">
        <f>ROUND(PRODUCT(F44:I44),2)</f>
        <v>4</v>
      </c>
    </row>
    <row r="45" spans="1:10" x14ac:dyDescent="0.2">
      <c r="A45" s="6"/>
      <c r="B45" s="6"/>
      <c r="C45" s="7"/>
      <c r="D45" s="2" t="s">
        <v>1168</v>
      </c>
      <c r="E45" s="148" t="s">
        <v>9</v>
      </c>
      <c r="F45" s="137">
        <f>0.9+0.9+0.7</f>
        <v>2.5</v>
      </c>
      <c r="G45" s="137">
        <v>1.6</v>
      </c>
      <c r="H45" s="137"/>
      <c r="I45" s="249"/>
      <c r="J45" s="253">
        <f t="shared" ref="J45:J51" si="4">ROUND(PRODUCT(F45:I45),2)</f>
        <v>4</v>
      </c>
    </row>
    <row r="46" spans="1:10" x14ac:dyDescent="0.2">
      <c r="A46" s="6"/>
      <c r="B46" s="6"/>
      <c r="C46" s="7"/>
      <c r="D46" s="2" t="s">
        <v>1174</v>
      </c>
      <c r="E46" s="148" t="s">
        <v>9</v>
      </c>
      <c r="F46" s="137">
        <f>0.9+0.9+0.8+0.8</f>
        <v>3.4000000000000004</v>
      </c>
      <c r="G46" s="137">
        <v>2.1</v>
      </c>
      <c r="H46" s="137"/>
      <c r="I46" s="249"/>
      <c r="J46" s="253">
        <f t="shared" si="4"/>
        <v>7.14</v>
      </c>
    </row>
    <row r="47" spans="1:10" x14ac:dyDescent="0.2">
      <c r="A47" s="6"/>
      <c r="B47" s="6"/>
      <c r="C47" s="7"/>
      <c r="D47" s="2" t="s">
        <v>1019</v>
      </c>
      <c r="E47" s="148" t="s">
        <v>9</v>
      </c>
      <c r="F47" s="137">
        <f>1.6+1.6+1.6+0.7</f>
        <v>5.5000000000000009</v>
      </c>
      <c r="G47" s="137">
        <v>2.1</v>
      </c>
      <c r="H47" s="137"/>
      <c r="I47" s="249"/>
      <c r="J47" s="253">
        <f t="shared" si="4"/>
        <v>11.55</v>
      </c>
    </row>
    <row r="48" spans="1:10" x14ac:dyDescent="0.2">
      <c r="A48" s="6"/>
      <c r="B48" s="6"/>
      <c r="C48" s="7"/>
      <c r="D48" s="2" t="s">
        <v>1173</v>
      </c>
      <c r="E48" s="148" t="s">
        <v>9</v>
      </c>
      <c r="F48" s="137">
        <v>0.9</v>
      </c>
      <c r="G48" s="137">
        <v>2.1</v>
      </c>
      <c r="H48" s="137"/>
      <c r="I48" s="249"/>
      <c r="J48" s="253">
        <f t="shared" si="4"/>
        <v>1.89</v>
      </c>
    </row>
    <row r="49" spans="1:10" x14ac:dyDescent="0.2">
      <c r="A49" s="6"/>
      <c r="B49" s="6"/>
      <c r="C49" s="7"/>
      <c r="D49" s="2" t="s">
        <v>166</v>
      </c>
      <c r="E49" s="148" t="s">
        <v>9</v>
      </c>
      <c r="F49" s="137">
        <v>0.8</v>
      </c>
      <c r="G49" s="137">
        <v>2.1</v>
      </c>
      <c r="H49" s="137"/>
      <c r="I49" s="249"/>
      <c r="J49" s="253">
        <f t="shared" si="4"/>
        <v>1.68</v>
      </c>
    </row>
    <row r="50" spans="1:10" x14ac:dyDescent="0.2">
      <c r="A50" s="6"/>
      <c r="B50" s="6"/>
      <c r="C50" s="7"/>
      <c r="D50" s="2" t="s">
        <v>1176</v>
      </c>
      <c r="E50" s="148" t="s">
        <v>9</v>
      </c>
      <c r="F50" s="137">
        <v>0.7</v>
      </c>
      <c r="G50" s="137">
        <v>2.1</v>
      </c>
      <c r="H50" s="137"/>
      <c r="I50" s="249"/>
      <c r="J50" s="253">
        <f t="shared" si="4"/>
        <v>1.47</v>
      </c>
    </row>
    <row r="51" spans="1:10" x14ac:dyDescent="0.2">
      <c r="A51" s="6"/>
      <c r="B51" s="6"/>
      <c r="C51" s="7"/>
      <c r="D51" s="2" t="s">
        <v>485</v>
      </c>
      <c r="E51" s="148" t="s">
        <v>9</v>
      </c>
      <c r="F51" s="137">
        <v>0.8</v>
      </c>
      <c r="G51" s="137">
        <v>2.1</v>
      </c>
      <c r="H51" s="137"/>
      <c r="I51" s="249"/>
      <c r="J51" s="253">
        <f t="shared" si="4"/>
        <v>1.68</v>
      </c>
    </row>
    <row r="52" spans="1:10" x14ac:dyDescent="0.2">
      <c r="A52" s="6"/>
      <c r="B52" s="6"/>
      <c r="C52" s="7"/>
      <c r="D52" s="149"/>
      <c r="E52" s="148"/>
      <c r="F52" s="253"/>
      <c r="G52" s="253"/>
      <c r="H52" s="253"/>
      <c r="I52" s="519" t="str">
        <f>"Total item "&amp;A42</f>
        <v>Total item 1.4</v>
      </c>
      <c r="J52" s="518">
        <f>SUM(J44:J51)</f>
        <v>33.410000000000004</v>
      </c>
    </row>
    <row r="53" spans="1:10" s="139" customFormat="1" x14ac:dyDescent="0.2">
      <c r="A53" s="6"/>
      <c r="B53" s="6"/>
      <c r="C53" s="7"/>
      <c r="D53" s="116"/>
      <c r="E53" s="6"/>
      <c r="F53" s="258"/>
      <c r="G53" s="258"/>
      <c r="H53" s="258"/>
      <c r="I53" s="246"/>
      <c r="J53" s="258"/>
    </row>
    <row r="54" spans="1:10" s="145" customFormat="1" ht="20.399999999999999" x14ac:dyDescent="0.2">
      <c r="A54" s="515">
        <f>'ORÇAMENTO SEM DESON'!A14</f>
        <v>1.5</v>
      </c>
      <c r="B54" s="515"/>
      <c r="C54" s="516"/>
      <c r="D54" s="517" t="str">
        <f>'ORÇAMENTO SEM DESON'!D14</f>
        <v>REMOÇÃO DE JANELAS, DE FORMA MANUAL, SEM REAPROVEITAMENTO. AF_12/2017</v>
      </c>
      <c r="E54" s="515" t="str">
        <f>'ORÇAMENTO SEM DESON'!E14</f>
        <v>m²</v>
      </c>
      <c r="F54" s="518"/>
      <c r="G54" s="518"/>
      <c r="H54" s="518"/>
      <c r="I54" s="519"/>
      <c r="J54" s="518"/>
    </row>
    <row r="55" spans="1:10" x14ac:dyDescent="0.2">
      <c r="A55" s="6"/>
      <c r="B55" s="6"/>
      <c r="C55" s="7"/>
      <c r="D55" s="2"/>
      <c r="E55" s="148"/>
      <c r="F55" s="137" t="s">
        <v>1137</v>
      </c>
      <c r="G55" s="137" t="s">
        <v>1136</v>
      </c>
      <c r="H55" s="137"/>
      <c r="I55" s="249"/>
      <c r="J55" s="253"/>
    </row>
    <row r="56" spans="1:10" x14ac:dyDescent="0.2">
      <c r="A56" s="6"/>
      <c r="B56" s="6"/>
      <c r="C56" s="7"/>
      <c r="D56" s="2" t="s">
        <v>1019</v>
      </c>
      <c r="E56" s="148" t="s">
        <v>9</v>
      </c>
      <c r="F56" s="137">
        <f>3.51+1.95+1.95+1.95+1.95</f>
        <v>11.309999999999999</v>
      </c>
      <c r="G56" s="137">
        <v>1.48</v>
      </c>
      <c r="H56" s="137"/>
      <c r="I56" s="249"/>
      <c r="J56" s="253">
        <f>ROUND(PRODUCT(F56:I56),2)</f>
        <v>16.739999999999998</v>
      </c>
    </row>
    <row r="57" spans="1:10" x14ac:dyDescent="0.2">
      <c r="A57" s="6"/>
      <c r="B57" s="6"/>
      <c r="C57" s="7"/>
      <c r="D57" s="2" t="s">
        <v>1175</v>
      </c>
      <c r="E57" s="148" t="s">
        <v>9</v>
      </c>
      <c r="F57" s="137">
        <v>1.6</v>
      </c>
      <c r="G57" s="137">
        <v>1</v>
      </c>
      <c r="H57" s="137"/>
      <c r="I57" s="249"/>
      <c r="J57" s="253">
        <f t="shared" ref="J57:J58" si="5">ROUND(PRODUCT(F57:I57),2)</f>
        <v>1.6</v>
      </c>
    </row>
    <row r="58" spans="1:10" x14ac:dyDescent="0.2">
      <c r="A58" s="6"/>
      <c r="B58" s="6"/>
      <c r="C58" s="7"/>
      <c r="D58" s="2" t="s">
        <v>485</v>
      </c>
      <c r="E58" s="148" t="s">
        <v>9</v>
      </c>
      <c r="F58" s="137">
        <v>1.6</v>
      </c>
      <c r="G58" s="137">
        <v>1</v>
      </c>
      <c r="H58" s="137"/>
      <c r="I58" s="249"/>
      <c r="J58" s="253">
        <f t="shared" si="5"/>
        <v>1.6</v>
      </c>
    </row>
    <row r="59" spans="1:10" x14ac:dyDescent="0.2">
      <c r="A59" s="6"/>
      <c r="B59" s="6"/>
      <c r="C59" s="7"/>
      <c r="D59" s="149"/>
      <c r="E59" s="148"/>
      <c r="F59" s="253"/>
      <c r="G59" s="253"/>
      <c r="H59" s="253"/>
      <c r="I59" s="519" t="str">
        <f>"Total item "&amp;A54</f>
        <v>Total item 1.5</v>
      </c>
      <c r="J59" s="518">
        <f>SUM(J56:J58)</f>
        <v>19.940000000000001</v>
      </c>
    </row>
    <row r="60" spans="1:10" s="139" customFormat="1" x14ac:dyDescent="0.2">
      <c r="A60" s="6"/>
      <c r="B60" s="6"/>
      <c r="C60" s="7"/>
      <c r="D60" s="116"/>
      <c r="E60" s="6"/>
      <c r="F60" s="258"/>
      <c r="G60" s="258"/>
      <c r="H60" s="258"/>
      <c r="I60" s="246"/>
      <c r="J60" s="258"/>
    </row>
    <row r="61" spans="1:10" s="145" customFormat="1" ht="20.399999999999999" x14ac:dyDescent="0.2">
      <c r="A61" s="515">
        <f>'ORÇAMENTO SEM DESON'!A15</f>
        <v>1.6</v>
      </c>
      <c r="B61" s="515"/>
      <c r="C61" s="516"/>
      <c r="D61" s="517" t="str">
        <f>'ORÇAMENTO SEM DESON'!D15</f>
        <v>REMOÇÃO DE LOUÇAS, DE FORMA MANUAL, SEM REAPROVEITAMENTO. AF_12/2017</v>
      </c>
      <c r="E61" s="515" t="str">
        <f>'ORÇAMENTO SEM DESON'!E15</f>
        <v>un</v>
      </c>
      <c r="F61" s="518"/>
      <c r="G61" s="518"/>
      <c r="H61" s="518"/>
      <c r="I61" s="519"/>
      <c r="J61" s="518"/>
    </row>
    <row r="62" spans="1:10" x14ac:dyDescent="0.2">
      <c r="A62" s="6"/>
      <c r="B62" s="6"/>
      <c r="C62" s="7"/>
      <c r="D62" s="2"/>
      <c r="E62" s="148"/>
      <c r="F62" s="137" t="s">
        <v>1143</v>
      </c>
      <c r="G62" s="137"/>
      <c r="H62" s="137"/>
      <c r="I62" s="249"/>
      <c r="J62" s="253"/>
    </row>
    <row r="63" spans="1:10" x14ac:dyDescent="0.2">
      <c r="A63" s="6"/>
      <c r="B63" s="6"/>
      <c r="C63" s="7"/>
      <c r="D63" s="2" t="s">
        <v>1178</v>
      </c>
      <c r="E63" s="148" t="s">
        <v>33</v>
      </c>
      <c r="F63" s="137">
        <v>2</v>
      </c>
      <c r="G63" s="137"/>
      <c r="H63" s="137"/>
      <c r="I63" s="249"/>
      <c r="J63" s="253">
        <f>ROUND(PRODUCT(F63:I63),2)</f>
        <v>2</v>
      </c>
    </row>
    <row r="64" spans="1:10" x14ac:dyDescent="0.2">
      <c r="A64" s="6"/>
      <c r="B64" s="6"/>
      <c r="C64" s="7"/>
      <c r="D64" s="2" t="s">
        <v>1179</v>
      </c>
      <c r="E64" s="148" t="s">
        <v>33</v>
      </c>
      <c r="F64" s="137">
        <v>2</v>
      </c>
      <c r="G64" s="137"/>
      <c r="H64" s="137"/>
      <c r="I64" s="249"/>
      <c r="J64" s="253">
        <f t="shared" ref="J64:J70" si="6">ROUND(PRODUCT(F64:I64),2)</f>
        <v>2</v>
      </c>
    </row>
    <row r="65" spans="1:10" x14ac:dyDescent="0.2">
      <c r="A65" s="6"/>
      <c r="B65" s="6"/>
      <c r="C65" s="7"/>
      <c r="D65" s="2" t="s">
        <v>1180</v>
      </c>
      <c r="E65" s="148" t="s">
        <v>33</v>
      </c>
      <c r="F65" s="137">
        <v>1</v>
      </c>
      <c r="G65" s="137"/>
      <c r="H65" s="137"/>
      <c r="I65" s="249"/>
      <c r="J65" s="253">
        <f t="shared" si="6"/>
        <v>1</v>
      </c>
    </row>
    <row r="66" spans="1:10" x14ac:dyDescent="0.2">
      <c r="A66" s="6"/>
      <c r="B66" s="6"/>
      <c r="C66" s="7"/>
      <c r="D66" s="2" t="s">
        <v>1181</v>
      </c>
      <c r="E66" s="148" t="s">
        <v>33</v>
      </c>
      <c r="F66" s="137">
        <v>1</v>
      </c>
      <c r="G66" s="137"/>
      <c r="H66" s="137"/>
      <c r="I66" s="249"/>
      <c r="J66" s="253">
        <f t="shared" si="6"/>
        <v>1</v>
      </c>
    </row>
    <row r="67" spans="1:10" x14ac:dyDescent="0.2">
      <c r="A67" s="6"/>
      <c r="B67" s="6"/>
      <c r="C67" s="7"/>
      <c r="D67" s="2" t="s">
        <v>1182</v>
      </c>
      <c r="E67" s="148" t="s">
        <v>33</v>
      </c>
      <c r="F67" s="137">
        <v>2</v>
      </c>
      <c r="G67" s="137"/>
      <c r="H67" s="137"/>
      <c r="I67" s="249"/>
      <c r="J67" s="253">
        <f t="shared" si="6"/>
        <v>2</v>
      </c>
    </row>
    <row r="68" spans="1:10" x14ac:dyDescent="0.2">
      <c r="A68" s="6"/>
      <c r="B68" s="6"/>
      <c r="C68" s="7"/>
      <c r="D68" s="2" t="s">
        <v>1183</v>
      </c>
      <c r="E68" s="148" t="s">
        <v>33</v>
      </c>
      <c r="F68" s="137">
        <v>1</v>
      </c>
      <c r="G68" s="137"/>
      <c r="H68" s="137"/>
      <c r="I68" s="249"/>
      <c r="J68" s="253">
        <f t="shared" si="6"/>
        <v>1</v>
      </c>
    </row>
    <row r="69" spans="1:10" x14ac:dyDescent="0.2">
      <c r="A69" s="6"/>
      <c r="B69" s="6"/>
      <c r="C69" s="7"/>
      <c r="D69" s="2" t="s">
        <v>1184</v>
      </c>
      <c r="E69" s="148" t="s">
        <v>33</v>
      </c>
      <c r="F69" s="137">
        <v>3</v>
      </c>
      <c r="G69" s="137"/>
      <c r="H69" s="137"/>
      <c r="I69" s="249"/>
      <c r="J69" s="253">
        <f t="shared" si="6"/>
        <v>3</v>
      </c>
    </row>
    <row r="70" spans="1:10" x14ac:dyDescent="0.2">
      <c r="A70" s="6"/>
      <c r="B70" s="6"/>
      <c r="C70" s="7"/>
      <c r="D70" s="2" t="s">
        <v>485</v>
      </c>
      <c r="E70" s="148" t="s">
        <v>33</v>
      </c>
      <c r="F70" s="137">
        <v>1</v>
      </c>
      <c r="G70" s="137"/>
      <c r="H70" s="137"/>
      <c r="I70" s="249"/>
      <c r="J70" s="253">
        <f t="shared" si="6"/>
        <v>1</v>
      </c>
    </row>
    <row r="71" spans="1:10" x14ac:dyDescent="0.2">
      <c r="A71" s="6"/>
      <c r="B71" s="6"/>
      <c r="C71" s="7"/>
      <c r="D71" s="149"/>
      <c r="E71" s="148"/>
      <c r="F71" s="253"/>
      <c r="G71" s="253"/>
      <c r="H71" s="253"/>
      <c r="I71" s="519" t="str">
        <f>"Total item "&amp;A61</f>
        <v>Total item 1.6</v>
      </c>
      <c r="J71" s="518">
        <f>SUM(J63:J70)</f>
        <v>13</v>
      </c>
    </row>
    <row r="72" spans="1:10" s="139" customFormat="1" x14ac:dyDescent="0.2">
      <c r="A72" s="6"/>
      <c r="B72" s="6"/>
      <c r="C72" s="7"/>
      <c r="D72" s="116"/>
      <c r="E72" s="6"/>
      <c r="F72" s="258"/>
      <c r="G72" s="258"/>
      <c r="H72" s="258"/>
      <c r="I72" s="246"/>
      <c r="J72" s="258"/>
    </row>
    <row r="73" spans="1:10" s="145" customFormat="1" ht="20.399999999999999" x14ac:dyDescent="0.2">
      <c r="A73" s="515">
        <f>'ORÇAMENTO SEM DESON'!A16</f>
        <v>1.7</v>
      </c>
      <c r="B73" s="515"/>
      <c r="C73" s="516"/>
      <c r="D73" s="517" t="str">
        <f>'ORÇAMENTO SEM DESON'!D16</f>
        <v>REMOÇÃO DE LUMINÁRIAS, DE FORMA MANUAL, SEM REAPROVEITAMENTO. AF_12/2017</v>
      </c>
      <c r="E73" s="515" t="str">
        <f>'ORÇAMENTO SEM DESON'!E16</f>
        <v>un</v>
      </c>
      <c r="F73" s="518"/>
      <c r="G73" s="518"/>
      <c r="H73" s="518"/>
      <c r="I73" s="519"/>
      <c r="J73" s="518"/>
    </row>
    <row r="74" spans="1:10" x14ac:dyDescent="0.2">
      <c r="A74" s="6"/>
      <c r="B74" s="6"/>
      <c r="C74" s="7"/>
      <c r="D74" s="2"/>
      <c r="E74" s="148"/>
      <c r="F74" s="137"/>
      <c r="G74" s="137"/>
      <c r="H74" s="137"/>
      <c r="I74" s="249"/>
      <c r="J74" s="253"/>
    </row>
    <row r="75" spans="1:10" x14ac:dyDescent="0.2">
      <c r="A75" s="6"/>
      <c r="B75" s="6"/>
      <c r="C75" s="7"/>
      <c r="D75" s="2" t="s">
        <v>1187</v>
      </c>
      <c r="E75" s="148" t="s">
        <v>33</v>
      </c>
      <c r="F75" s="137">
        <v>30</v>
      </c>
      <c r="G75" s="137"/>
      <c r="H75" s="137"/>
      <c r="I75" s="249"/>
      <c r="J75" s="253">
        <f>ROUND(PRODUCT(F75:I75),2)</f>
        <v>30</v>
      </c>
    </row>
    <row r="76" spans="1:10" x14ac:dyDescent="0.2">
      <c r="A76" s="6"/>
      <c r="B76" s="6"/>
      <c r="C76" s="7"/>
      <c r="D76" s="149"/>
      <c r="E76" s="148"/>
      <c r="F76" s="253"/>
      <c r="G76" s="253"/>
      <c r="H76" s="253"/>
      <c r="I76" s="519" t="str">
        <f>"Total item "&amp;A73</f>
        <v>Total item 1.7</v>
      </c>
      <c r="J76" s="518">
        <f>SUM(J75:J75)</f>
        <v>30</v>
      </c>
    </row>
    <row r="77" spans="1:10" s="139" customFormat="1" x14ac:dyDescent="0.2">
      <c r="A77" s="6"/>
      <c r="B77" s="6"/>
      <c r="C77" s="7"/>
      <c r="D77" s="116"/>
      <c r="E77" s="6"/>
      <c r="F77" s="258"/>
      <c r="G77" s="258"/>
      <c r="H77" s="258"/>
      <c r="I77" s="246"/>
      <c r="J77" s="258"/>
    </row>
    <row r="78" spans="1:10" s="145" customFormat="1" x14ac:dyDescent="0.2">
      <c r="A78" s="515">
        <f>'ORÇAMENTO SEM DESON'!A17</f>
        <v>1.8</v>
      </c>
      <c r="B78" s="515"/>
      <c r="C78" s="516"/>
      <c r="D78" s="517" t="str">
        <f>'ORÇAMENTO SEM DESON'!D17</f>
        <v>DEMOLICAO DE REVESTIMENTO DE PISO EM CIMENTADO.</v>
      </c>
      <c r="E78" s="515" t="str">
        <f>'ORÇAMENTO SEM DESON'!E17</f>
        <v>m²</v>
      </c>
      <c r="F78" s="518"/>
      <c r="G78" s="518"/>
      <c r="H78" s="518"/>
      <c r="I78" s="519"/>
      <c r="J78" s="518"/>
    </row>
    <row r="79" spans="1:10" x14ac:dyDescent="0.2">
      <c r="A79" s="6"/>
      <c r="B79" s="6"/>
      <c r="C79" s="155"/>
      <c r="D79" s="2"/>
      <c r="E79" s="148"/>
      <c r="F79" s="137" t="s">
        <v>34</v>
      </c>
      <c r="G79" s="137"/>
      <c r="H79" s="253"/>
      <c r="I79" s="249"/>
      <c r="J79" s="253"/>
    </row>
    <row r="80" spans="1:10" x14ac:dyDescent="0.2">
      <c r="A80" s="6"/>
      <c r="B80" s="6"/>
      <c r="C80" s="155"/>
      <c r="D80" s="2" t="s">
        <v>1019</v>
      </c>
      <c r="E80" s="148" t="s">
        <v>9</v>
      </c>
      <c r="F80" s="137">
        <v>121.07</v>
      </c>
      <c r="G80" s="137"/>
      <c r="H80" s="253"/>
      <c r="I80" s="249"/>
      <c r="J80" s="253">
        <f t="shared" ref="J80:J93" si="7">ROUND(PRODUCT(F80:I80),2)</f>
        <v>121.07</v>
      </c>
    </row>
    <row r="81" spans="1:10" x14ac:dyDescent="0.2">
      <c r="A81" s="6"/>
      <c r="B81" s="6"/>
      <c r="C81" s="155"/>
      <c r="D81" s="2" t="s">
        <v>402</v>
      </c>
      <c r="E81" s="148" t="s">
        <v>9</v>
      </c>
      <c r="F81" s="137">
        <v>28.56</v>
      </c>
      <c r="G81" s="137"/>
      <c r="H81" s="253"/>
      <c r="I81" s="249"/>
      <c r="J81" s="253">
        <f t="shared" si="7"/>
        <v>28.56</v>
      </c>
    </row>
    <row r="82" spans="1:10" x14ac:dyDescent="0.2">
      <c r="A82" s="6"/>
      <c r="B82" s="6"/>
      <c r="C82" s="155"/>
      <c r="D82" s="2" t="s">
        <v>1173</v>
      </c>
      <c r="E82" s="148" t="s">
        <v>9</v>
      </c>
      <c r="F82" s="137">
        <v>3.18</v>
      </c>
      <c r="G82" s="137"/>
      <c r="H82" s="253"/>
      <c r="I82" s="249"/>
      <c r="J82" s="253">
        <f t="shared" si="7"/>
        <v>3.18</v>
      </c>
    </row>
    <row r="83" spans="1:10" x14ac:dyDescent="0.2">
      <c r="A83" s="6"/>
      <c r="B83" s="6"/>
      <c r="C83" s="155"/>
      <c r="D83" s="2" t="s">
        <v>485</v>
      </c>
      <c r="E83" s="148" t="s">
        <v>9</v>
      </c>
      <c r="F83" s="137">
        <v>4.7300000000000004</v>
      </c>
      <c r="G83" s="137"/>
      <c r="H83" s="253"/>
      <c r="I83" s="249"/>
      <c r="J83" s="253">
        <f t="shared" si="7"/>
        <v>4.7300000000000004</v>
      </c>
    </row>
    <row r="84" spans="1:10" x14ac:dyDescent="0.2">
      <c r="A84" s="6"/>
      <c r="B84" s="6"/>
      <c r="C84" s="155"/>
      <c r="D84" s="2" t="s">
        <v>1110</v>
      </c>
      <c r="E84" s="148" t="s">
        <v>9</v>
      </c>
      <c r="F84" s="137">
        <v>2.7</v>
      </c>
      <c r="G84" s="137"/>
      <c r="H84" s="253"/>
      <c r="I84" s="249"/>
      <c r="J84" s="253">
        <f t="shared" si="7"/>
        <v>2.7</v>
      </c>
    </row>
    <row r="85" spans="1:10" x14ac:dyDescent="0.2">
      <c r="A85" s="6"/>
      <c r="B85" s="6"/>
      <c r="C85" s="155"/>
      <c r="D85" s="2" t="s">
        <v>165</v>
      </c>
      <c r="E85" s="148" t="s">
        <v>9</v>
      </c>
      <c r="F85" s="137">
        <v>14.71</v>
      </c>
      <c r="G85" s="137"/>
      <c r="H85" s="253"/>
      <c r="I85" s="249"/>
      <c r="J85" s="253">
        <f t="shared" si="7"/>
        <v>14.71</v>
      </c>
    </row>
    <row r="86" spans="1:10" x14ac:dyDescent="0.2">
      <c r="A86" s="6"/>
      <c r="B86" s="6"/>
      <c r="C86" s="155"/>
      <c r="D86" s="2" t="s">
        <v>166</v>
      </c>
      <c r="E86" s="148" t="s">
        <v>9</v>
      </c>
      <c r="F86" s="137">
        <v>5.54</v>
      </c>
      <c r="G86" s="137"/>
      <c r="H86" s="253"/>
      <c r="I86" s="249"/>
      <c r="J86" s="253">
        <f t="shared" si="7"/>
        <v>5.54</v>
      </c>
    </row>
    <row r="87" spans="1:10" x14ac:dyDescent="0.2">
      <c r="A87" s="6"/>
      <c r="B87" s="6"/>
      <c r="C87" s="155"/>
      <c r="D87" s="2" t="s">
        <v>374</v>
      </c>
      <c r="E87" s="148" t="s">
        <v>9</v>
      </c>
      <c r="F87" s="137">
        <v>7.07</v>
      </c>
      <c r="G87" s="137"/>
      <c r="H87" s="253"/>
      <c r="I87" s="249"/>
      <c r="J87" s="253">
        <f t="shared" si="7"/>
        <v>7.07</v>
      </c>
    </row>
    <row r="88" spans="1:10" x14ac:dyDescent="0.2">
      <c r="A88" s="6"/>
      <c r="B88" s="6"/>
      <c r="C88" s="155"/>
      <c r="D88" s="2" t="s">
        <v>1167</v>
      </c>
      <c r="E88" s="148" t="s">
        <v>9</v>
      </c>
      <c r="F88" s="137">
        <v>14.48</v>
      </c>
      <c r="G88" s="137"/>
      <c r="H88" s="253"/>
      <c r="I88" s="249"/>
      <c r="J88" s="253">
        <f t="shared" si="7"/>
        <v>14.48</v>
      </c>
    </row>
    <row r="89" spans="1:10" x14ac:dyDescent="0.2">
      <c r="A89" s="6"/>
      <c r="B89" s="6"/>
      <c r="C89" s="155"/>
      <c r="D89" s="2" t="s">
        <v>1168</v>
      </c>
      <c r="E89" s="148" t="s">
        <v>9</v>
      </c>
      <c r="F89" s="137">
        <v>14.48</v>
      </c>
      <c r="G89" s="137"/>
      <c r="H89" s="253"/>
      <c r="I89" s="249"/>
      <c r="J89" s="253">
        <f t="shared" si="7"/>
        <v>14.48</v>
      </c>
    </row>
    <row r="90" spans="1:10" x14ac:dyDescent="0.2">
      <c r="A90" s="6"/>
      <c r="B90" s="6"/>
      <c r="C90" s="155"/>
      <c r="D90" s="2" t="s">
        <v>1174</v>
      </c>
      <c r="E90" s="148" t="s">
        <v>9</v>
      </c>
      <c r="F90" s="137">
        <v>14.79</v>
      </c>
      <c r="G90" s="137"/>
      <c r="H90" s="253"/>
      <c r="I90" s="249"/>
      <c r="J90" s="253">
        <f t="shared" si="7"/>
        <v>14.79</v>
      </c>
    </row>
    <row r="91" spans="1:10" x14ac:dyDescent="0.2">
      <c r="A91" s="6"/>
      <c r="B91" s="6"/>
      <c r="C91" s="155"/>
      <c r="D91" s="2" t="s">
        <v>1366</v>
      </c>
      <c r="E91" s="148" t="s">
        <v>9</v>
      </c>
      <c r="F91" s="137">
        <v>100.37</v>
      </c>
      <c r="G91" s="137"/>
      <c r="H91" s="253"/>
      <c r="I91" s="249"/>
      <c r="J91" s="253">
        <f t="shared" si="7"/>
        <v>100.37</v>
      </c>
    </row>
    <row r="92" spans="1:10" x14ac:dyDescent="0.2">
      <c r="A92" s="6"/>
      <c r="B92" s="6"/>
      <c r="C92" s="155"/>
      <c r="D92" s="2" t="s">
        <v>1175</v>
      </c>
      <c r="E92" s="148" t="s">
        <v>9</v>
      </c>
      <c r="F92" s="137">
        <v>13.13</v>
      </c>
      <c r="G92" s="137"/>
      <c r="H92" s="253"/>
      <c r="I92" s="249"/>
      <c r="J92" s="253">
        <f t="shared" si="7"/>
        <v>13.13</v>
      </c>
    </row>
    <row r="93" spans="1:10" x14ac:dyDescent="0.2">
      <c r="A93" s="6"/>
      <c r="B93" s="6"/>
      <c r="C93" s="155"/>
      <c r="D93" s="2" t="s">
        <v>1367</v>
      </c>
      <c r="E93" s="148" t="s">
        <v>9</v>
      </c>
      <c r="F93" s="137">
        <v>1.75</v>
      </c>
      <c r="G93" s="137"/>
      <c r="H93" s="253"/>
      <c r="I93" s="249"/>
      <c r="J93" s="253">
        <f t="shared" si="7"/>
        <v>1.75</v>
      </c>
    </row>
    <row r="94" spans="1:10" x14ac:dyDescent="0.2">
      <c r="A94" s="6"/>
      <c r="B94" s="6"/>
      <c r="C94" s="7"/>
      <c r="D94" s="149"/>
      <c r="E94" s="148"/>
      <c r="F94" s="253"/>
      <c r="G94" s="253"/>
      <c r="H94" s="253"/>
      <c r="I94" s="519" t="str">
        <f>"Total item "&amp;A78</f>
        <v>Total item 1.8</v>
      </c>
      <c r="J94" s="518">
        <f>SUM(J80:J93)</f>
        <v>346.55999999999995</v>
      </c>
    </row>
    <row r="95" spans="1:10" s="139" customFormat="1" x14ac:dyDescent="0.2">
      <c r="A95" s="6"/>
      <c r="B95" s="6"/>
      <c r="C95" s="7"/>
      <c r="D95" s="116"/>
      <c r="E95" s="6"/>
      <c r="F95" s="258"/>
      <c r="G95" s="258"/>
      <c r="H95" s="258"/>
      <c r="I95" s="246"/>
      <c r="J95" s="258"/>
    </row>
    <row r="96" spans="1:10" s="145" customFormat="1" x14ac:dyDescent="0.2">
      <c r="A96" s="515">
        <f>'ORÇAMENTO SEM DESON'!A18</f>
        <v>1.9</v>
      </c>
      <c r="B96" s="515"/>
      <c r="C96" s="516"/>
      <c r="D96" s="517" t="str">
        <f>'ORÇAMENTO SEM DESON'!D18</f>
        <v>RETELHAMENTO C/ TELHA CERÂMICA ATE 20% NOVA</v>
      </c>
      <c r="E96" s="515" t="str">
        <f>'ORÇAMENTO SEM DESON'!E18</f>
        <v>m²</v>
      </c>
      <c r="F96" s="518"/>
      <c r="G96" s="518"/>
      <c r="H96" s="518"/>
      <c r="I96" s="519"/>
      <c r="J96" s="518"/>
    </row>
    <row r="97" spans="1:10" x14ac:dyDescent="0.2">
      <c r="A97" s="6"/>
      <c r="B97" s="6"/>
      <c r="C97" s="155"/>
      <c r="D97" s="2"/>
      <c r="E97" s="148"/>
      <c r="F97" s="137" t="s">
        <v>34</v>
      </c>
      <c r="G97" s="137"/>
      <c r="H97" s="253"/>
      <c r="I97" s="249"/>
      <c r="J97" s="253"/>
    </row>
    <row r="98" spans="1:10" x14ac:dyDescent="0.2">
      <c r="A98" s="6"/>
      <c r="B98" s="6"/>
      <c r="C98" s="155"/>
      <c r="D98" s="2" t="s">
        <v>1383</v>
      </c>
      <c r="E98" s="148" t="s">
        <v>9</v>
      </c>
      <c r="F98" s="137">
        <v>447.58</v>
      </c>
      <c r="G98" s="137"/>
      <c r="H98" s="253"/>
      <c r="I98" s="249"/>
      <c r="J98" s="253">
        <f t="shared" ref="J98" si="8">ROUND(PRODUCT(F98:I98),2)</f>
        <v>447.58</v>
      </c>
    </row>
    <row r="99" spans="1:10" x14ac:dyDescent="0.2">
      <c r="A99" s="6"/>
      <c r="B99" s="6"/>
      <c r="C99" s="7"/>
      <c r="D99" s="149"/>
      <c r="E99" s="148"/>
      <c r="F99" s="253"/>
      <c r="G99" s="253"/>
      <c r="H99" s="253"/>
      <c r="I99" s="519" t="str">
        <f>"Total item "&amp;A96</f>
        <v>Total item 1.9</v>
      </c>
      <c r="J99" s="518">
        <f>SUM(J98:J98)</f>
        <v>447.58</v>
      </c>
    </row>
    <row r="100" spans="1:10" s="139" customFormat="1" x14ac:dyDescent="0.2">
      <c r="A100" s="6"/>
      <c r="B100" s="6"/>
      <c r="C100" s="7"/>
      <c r="D100" s="116"/>
      <c r="E100" s="6"/>
      <c r="F100" s="258"/>
      <c r="G100" s="258"/>
      <c r="H100" s="258"/>
      <c r="I100" s="246"/>
      <c r="J100" s="258"/>
    </row>
    <row r="101" spans="1:10" s="145" customFormat="1" ht="40.799999999999997" x14ac:dyDescent="0.2">
      <c r="A101" s="560">
        <f>'ORÇAMENTO SEM DESON'!A19</f>
        <v>1.1000000000000001</v>
      </c>
      <c r="B101" s="515"/>
      <c r="C101" s="516"/>
      <c r="D101" s="517" t="str">
        <f>'ORÇAMENTO SEM DESON'!D19</f>
        <v>TRAMA DE MADEIRA COMPOSTA POR RIPAS, CAIBROS E TERÇAS PARA TELHADOS DE ATÉ 2 ÁGUAS PARA TELHA CERÂMICA CAPA-CANAL, INCLUSO TRANSPORTE VERTICAL. AF_07/2019</v>
      </c>
      <c r="E101" s="515" t="str">
        <f>'ORÇAMENTO SEM DESON'!E19</f>
        <v>m²</v>
      </c>
      <c r="F101" s="518"/>
      <c r="G101" s="518"/>
      <c r="H101" s="518"/>
      <c r="I101" s="519"/>
      <c r="J101" s="518"/>
    </row>
    <row r="102" spans="1:10" x14ac:dyDescent="0.2">
      <c r="A102" s="6"/>
      <c r="B102" s="6"/>
      <c r="C102" s="155"/>
      <c r="D102" s="2"/>
      <c r="E102" s="148"/>
      <c r="F102" s="137" t="s">
        <v>34</v>
      </c>
      <c r="G102" s="137" t="s">
        <v>1138</v>
      </c>
      <c r="H102" s="253"/>
      <c r="I102" s="249"/>
      <c r="J102" s="253"/>
    </row>
    <row r="103" spans="1:10" x14ac:dyDescent="0.2">
      <c r="A103" s="6"/>
      <c r="B103" s="6"/>
      <c r="C103" s="155"/>
      <c r="D103" s="2" t="s">
        <v>1385</v>
      </c>
      <c r="E103" s="148" t="s">
        <v>9</v>
      </c>
      <c r="F103" s="137">
        <v>447.58</v>
      </c>
      <c r="G103" s="137">
        <v>0.2</v>
      </c>
      <c r="H103" s="253"/>
      <c r="I103" s="249"/>
      <c r="J103" s="253">
        <f t="shared" ref="J103" si="9">ROUND(PRODUCT(F103:I103),2)</f>
        <v>89.52</v>
      </c>
    </row>
    <row r="104" spans="1:10" x14ac:dyDescent="0.2">
      <c r="A104" s="6"/>
      <c r="B104" s="6"/>
      <c r="C104" s="7"/>
      <c r="D104" s="149"/>
      <c r="E104" s="148"/>
      <c r="F104" s="253"/>
      <c r="G104" s="253"/>
      <c r="H104" s="253"/>
      <c r="I104" s="519" t="str">
        <f>"Total item "&amp;A101</f>
        <v>Total item 1.1</v>
      </c>
      <c r="J104" s="518">
        <f>SUM(J103:J103)</f>
        <v>89.52</v>
      </c>
    </row>
    <row r="105" spans="1:10" s="139" customFormat="1" x14ac:dyDescent="0.2">
      <c r="A105" s="6"/>
      <c r="B105" s="6"/>
      <c r="C105" s="7"/>
      <c r="D105" s="116"/>
      <c r="E105" s="6"/>
      <c r="F105" s="258"/>
      <c r="G105" s="258"/>
      <c r="H105" s="258"/>
      <c r="I105" s="246"/>
      <c r="J105" s="258"/>
    </row>
    <row r="106" spans="1:10" x14ac:dyDescent="0.2">
      <c r="A106" s="505">
        <f>'ORÇAMENTO SEM DESON'!A20</f>
        <v>2</v>
      </c>
      <c r="B106" s="549"/>
      <c r="C106" s="521"/>
      <c r="D106" s="500" t="str">
        <f>'ORÇAMENTO SEM DESON'!D20</f>
        <v>MOVIMENTO DE TERRA</v>
      </c>
      <c r="E106" s="549"/>
      <c r="F106" s="513"/>
      <c r="G106" s="513"/>
      <c r="H106" s="513"/>
      <c r="I106" s="514"/>
      <c r="J106" s="513"/>
    </row>
    <row r="107" spans="1:10" x14ac:dyDescent="0.2">
      <c r="A107" s="6"/>
      <c r="B107" s="6"/>
      <c r="C107" s="155"/>
      <c r="D107" s="2"/>
      <c r="E107" s="148"/>
      <c r="F107" s="253"/>
      <c r="G107" s="253"/>
      <c r="H107" s="253"/>
      <c r="I107" s="246"/>
      <c r="J107" s="258"/>
    </row>
    <row r="108" spans="1:10" ht="20.399999999999999" x14ac:dyDescent="0.2">
      <c r="A108" s="515">
        <f>'ORÇAMENTO SEM DESON'!A21</f>
        <v>2.1</v>
      </c>
      <c r="B108" s="9" t="s">
        <v>163</v>
      </c>
      <c r="C108" s="13" t="s">
        <v>412</v>
      </c>
      <c r="D108" s="520" t="str">
        <f>'ORÇAMENTO SEM DESON'!D21</f>
        <v>ESCAVACAO MANUAL EM TERRA ATE 1,50 M DE PROFUNDIDADE, SEM ESCORAMENTO.</v>
      </c>
      <c r="E108" s="515" t="str">
        <f>'ORÇAMENTO SEM DESON'!E21</f>
        <v>m³</v>
      </c>
      <c r="F108" s="518"/>
      <c r="G108" s="518"/>
      <c r="H108" s="518"/>
      <c r="I108" s="519"/>
      <c r="J108" s="518"/>
    </row>
    <row r="109" spans="1:10" x14ac:dyDescent="0.2">
      <c r="A109" s="6"/>
      <c r="B109" s="6"/>
      <c r="C109" s="155"/>
      <c r="D109" s="2"/>
      <c r="E109" s="148"/>
      <c r="F109" s="137" t="s">
        <v>1137</v>
      </c>
      <c r="G109" s="137" t="s">
        <v>1141</v>
      </c>
      <c r="H109" s="137" t="s">
        <v>1142</v>
      </c>
      <c r="I109" s="522" t="s">
        <v>1143</v>
      </c>
      <c r="J109" s="253"/>
    </row>
    <row r="110" spans="1:10" x14ac:dyDescent="0.2">
      <c r="A110" s="6"/>
      <c r="B110" s="6"/>
      <c r="C110" s="155"/>
      <c r="D110" s="2" t="s">
        <v>1200</v>
      </c>
      <c r="E110" s="148" t="s">
        <v>1190</v>
      </c>
      <c r="F110" s="137">
        <f>F30</f>
        <v>154.62</v>
      </c>
      <c r="G110" s="137">
        <v>0.4</v>
      </c>
      <c r="H110" s="137">
        <v>0.6</v>
      </c>
      <c r="I110" s="522"/>
      <c r="J110" s="253">
        <f t="shared" ref="J110:J113" si="10">ROUND(PRODUCT(F110:I110),2)</f>
        <v>37.11</v>
      </c>
    </row>
    <row r="111" spans="1:10" x14ac:dyDescent="0.2">
      <c r="A111" s="6"/>
      <c r="B111" s="6"/>
      <c r="C111" s="155"/>
      <c r="D111" s="2" t="s">
        <v>1193</v>
      </c>
      <c r="E111" s="148" t="s">
        <v>1190</v>
      </c>
      <c r="F111" s="137">
        <v>0.6</v>
      </c>
      <c r="G111" s="137">
        <v>0.6</v>
      </c>
      <c r="H111" s="137">
        <v>0.8</v>
      </c>
      <c r="I111" s="522">
        <v>54</v>
      </c>
      <c r="J111" s="253">
        <f t="shared" si="10"/>
        <v>15.55</v>
      </c>
    </row>
    <row r="112" spans="1:10" x14ac:dyDescent="0.2">
      <c r="A112" s="6"/>
      <c r="B112" s="6"/>
      <c r="C112" s="155"/>
      <c r="D112" s="2" t="s">
        <v>1216</v>
      </c>
      <c r="E112" s="148" t="s">
        <v>1190</v>
      </c>
      <c r="F112" s="137">
        <v>0.6</v>
      </c>
      <c r="G112" s="137">
        <v>0.6</v>
      </c>
      <c r="H112" s="137">
        <v>0.8</v>
      </c>
      <c r="I112" s="522">
        <v>3</v>
      </c>
      <c r="J112" s="253">
        <f t="shared" si="10"/>
        <v>0.86</v>
      </c>
    </row>
    <row r="113" spans="1:10" x14ac:dyDescent="0.2">
      <c r="A113" s="6"/>
      <c r="B113" s="6"/>
      <c r="C113" s="155"/>
      <c r="D113" s="2" t="s">
        <v>1215</v>
      </c>
      <c r="E113" s="148" t="s">
        <v>1190</v>
      </c>
      <c r="F113" s="137">
        <v>9.86</v>
      </c>
      <c r="G113" s="555">
        <v>0.4</v>
      </c>
      <c r="H113" s="137">
        <v>0.6</v>
      </c>
      <c r="I113" s="522"/>
      <c r="J113" s="253">
        <f t="shared" si="10"/>
        <v>2.37</v>
      </c>
    </row>
    <row r="114" spans="1:10" x14ac:dyDescent="0.2">
      <c r="A114" s="6"/>
      <c r="B114" s="6"/>
      <c r="C114" s="155"/>
      <c r="D114" s="2"/>
      <c r="E114" s="148"/>
      <c r="F114" s="253"/>
      <c r="G114" s="253"/>
      <c r="H114" s="253"/>
      <c r="I114" s="519" t="str">
        <f>"Total item "&amp;A108</f>
        <v>Total item 2.1</v>
      </c>
      <c r="J114" s="518">
        <f>SUM(J110:J113)</f>
        <v>55.889999999999993</v>
      </c>
    </row>
    <row r="115" spans="1:10" x14ac:dyDescent="0.2">
      <c r="A115" s="6"/>
      <c r="B115" s="6"/>
      <c r="C115" s="155"/>
      <c r="D115" s="2"/>
      <c r="E115" s="148"/>
      <c r="F115" s="253"/>
      <c r="G115" s="253"/>
      <c r="H115" s="253"/>
      <c r="I115" s="246"/>
      <c r="J115" s="258"/>
    </row>
    <row r="116" spans="1:10" ht="30.6" x14ac:dyDescent="0.2">
      <c r="A116" s="515">
        <f>'ORÇAMENTO SEM DESON'!A22</f>
        <v>2.2000000000000002</v>
      </c>
      <c r="B116" s="9" t="s">
        <v>163</v>
      </c>
      <c r="C116" s="13" t="s">
        <v>412</v>
      </c>
      <c r="D116" s="520" t="str">
        <f>'ORÇAMENTO SEM DESON'!D22</f>
        <v>REATERRO APILOADO DE VALAS EM CAMADAS DE 20CM DE ESPESSURA , COM APROVEITAMENTO DO MATERIAL ESCAVADO.</v>
      </c>
      <c r="E116" s="515" t="str">
        <f>'ORÇAMENTO SEM DESON'!E22</f>
        <v>m³</v>
      </c>
      <c r="F116" s="518"/>
      <c r="G116" s="518"/>
      <c r="H116" s="518"/>
      <c r="I116" s="519"/>
      <c r="J116" s="518"/>
    </row>
    <row r="117" spans="1:10" x14ac:dyDescent="0.2">
      <c r="A117" s="6"/>
      <c r="B117" s="6"/>
      <c r="C117" s="155"/>
      <c r="D117" s="2"/>
      <c r="E117" s="148"/>
      <c r="F117" s="137" t="s">
        <v>1137</v>
      </c>
      <c r="G117" s="137" t="s">
        <v>1141</v>
      </c>
      <c r="H117" s="137" t="s">
        <v>1142</v>
      </c>
      <c r="I117" s="522" t="s">
        <v>1143</v>
      </c>
      <c r="J117" s="253"/>
    </row>
    <row r="118" spans="1:10" x14ac:dyDescent="0.2">
      <c r="A118" s="6"/>
      <c r="B118" s="6"/>
      <c r="C118" s="155"/>
      <c r="D118" s="2" t="s">
        <v>1200</v>
      </c>
      <c r="E118" s="148" t="s">
        <v>1190</v>
      </c>
      <c r="F118" s="137">
        <f>F110</f>
        <v>154.62</v>
      </c>
      <c r="G118" s="137">
        <v>0.2</v>
      </c>
      <c r="H118" s="137">
        <v>0.6</v>
      </c>
      <c r="I118" s="522"/>
      <c r="J118" s="253">
        <f t="shared" ref="J118:J121" si="11">ROUND(PRODUCT(F118:I118),2)</f>
        <v>18.55</v>
      </c>
    </row>
    <row r="119" spans="1:10" x14ac:dyDescent="0.2">
      <c r="A119" s="6"/>
      <c r="B119" s="6"/>
      <c r="C119" s="155"/>
      <c r="D119" s="2" t="s">
        <v>1193</v>
      </c>
      <c r="E119" s="148" t="s">
        <v>1190</v>
      </c>
      <c r="F119" s="137">
        <v>0.6</v>
      </c>
      <c r="G119" s="137">
        <v>0.6</v>
      </c>
      <c r="H119" s="137">
        <v>0.6</v>
      </c>
      <c r="I119" s="522">
        <v>54</v>
      </c>
      <c r="J119" s="253">
        <f t="shared" si="11"/>
        <v>11.66</v>
      </c>
    </row>
    <row r="120" spans="1:10" x14ac:dyDescent="0.2">
      <c r="A120" s="6"/>
      <c r="B120" s="6"/>
      <c r="C120" s="155"/>
      <c r="D120" s="2" t="s">
        <v>1216</v>
      </c>
      <c r="E120" s="148" t="s">
        <v>1190</v>
      </c>
      <c r="F120" s="137">
        <v>0.6</v>
      </c>
      <c r="G120" s="137">
        <v>0.6</v>
      </c>
      <c r="H120" s="137">
        <v>0.6</v>
      </c>
      <c r="I120" s="522">
        <v>3</v>
      </c>
      <c r="J120" s="253">
        <f t="shared" si="11"/>
        <v>0.65</v>
      </c>
    </row>
    <row r="121" spans="1:10" x14ac:dyDescent="0.2">
      <c r="A121" s="6"/>
      <c r="B121" s="6"/>
      <c r="C121" s="155"/>
      <c r="D121" s="2" t="s">
        <v>1215</v>
      </c>
      <c r="E121" s="148" t="s">
        <v>1190</v>
      </c>
      <c r="F121" s="137">
        <v>9.86</v>
      </c>
      <c r="G121" s="555">
        <v>0.2</v>
      </c>
      <c r="H121" s="137">
        <v>0.6</v>
      </c>
      <c r="I121" s="522"/>
      <c r="J121" s="253">
        <f t="shared" si="11"/>
        <v>1.18</v>
      </c>
    </row>
    <row r="122" spans="1:10" x14ac:dyDescent="0.2">
      <c r="A122" s="6"/>
      <c r="B122" s="6"/>
      <c r="C122" s="155"/>
      <c r="D122" s="2"/>
      <c r="E122" s="148"/>
      <c r="F122" s="253"/>
      <c r="G122" s="253"/>
      <c r="H122" s="253"/>
      <c r="I122" s="519" t="str">
        <f>"Total item "&amp;A116</f>
        <v>Total item 2.2</v>
      </c>
      <c r="J122" s="518">
        <f>SUM(J118:J121)</f>
        <v>32.04</v>
      </c>
    </row>
    <row r="123" spans="1:10" x14ac:dyDescent="0.2">
      <c r="A123" s="6"/>
      <c r="B123" s="6"/>
      <c r="C123" s="155"/>
      <c r="D123" s="2"/>
      <c r="E123" s="148"/>
      <c r="F123" s="253"/>
      <c r="G123" s="253"/>
      <c r="H123" s="253"/>
      <c r="I123" s="246"/>
      <c r="J123" s="258"/>
    </row>
    <row r="124" spans="1:10" x14ac:dyDescent="0.2">
      <c r="A124" s="505">
        <f>'ORÇAMENTO SEM DESON'!A23</f>
        <v>3</v>
      </c>
      <c r="B124" s="549"/>
      <c r="C124" s="521"/>
      <c r="D124" s="500" t="str">
        <f>'ORÇAMENTO SEM DESON'!D23</f>
        <v>FUNDAÇÃO</v>
      </c>
      <c r="E124" s="549"/>
      <c r="F124" s="513"/>
      <c r="G124" s="513"/>
      <c r="H124" s="513"/>
      <c r="I124" s="514"/>
      <c r="J124" s="513"/>
    </row>
    <row r="125" spans="1:10" x14ac:dyDescent="0.2">
      <c r="A125" s="6"/>
      <c r="B125" s="6"/>
      <c r="C125" s="155"/>
      <c r="D125" s="2"/>
      <c r="E125" s="148"/>
      <c r="F125" s="253"/>
      <c r="G125" s="253"/>
      <c r="H125" s="253"/>
      <c r="I125" s="246"/>
      <c r="J125" s="258"/>
    </row>
    <row r="126" spans="1:10" ht="30.6" x14ac:dyDescent="0.2">
      <c r="A126" s="515">
        <f>'ORÇAMENTO SEM DESON'!A24</f>
        <v>3.1</v>
      </c>
      <c r="B126" s="9" t="s">
        <v>163</v>
      </c>
      <c r="C126" s="13" t="s">
        <v>412</v>
      </c>
      <c r="D126" s="520" t="str">
        <f>'ORÇAMENTO SEM DESON'!D24</f>
        <v>CONCRETO ARMADO PRONTO, FCK 25 MPA CONDICAO A (NBR 12655), LANCADO EM FUNDACOES E ADENSADO, INCLUSIVE FORMA, ESCORAMENTO E FERRAGEM.</v>
      </c>
      <c r="E126" s="515" t="str">
        <f>'ORÇAMENTO SEM DESON'!E24</f>
        <v>m³</v>
      </c>
      <c r="F126" s="518"/>
      <c r="G126" s="518"/>
      <c r="H126" s="518"/>
      <c r="I126" s="519"/>
      <c r="J126" s="518"/>
    </row>
    <row r="127" spans="1:10" x14ac:dyDescent="0.2">
      <c r="A127" s="6"/>
      <c r="B127" s="6"/>
      <c r="C127" s="155"/>
      <c r="D127" s="2"/>
      <c r="E127" s="148"/>
      <c r="F127" s="137" t="s">
        <v>1137</v>
      </c>
      <c r="G127" s="137" t="s">
        <v>1141</v>
      </c>
      <c r="H127" s="137" t="s">
        <v>1142</v>
      </c>
      <c r="I127" s="522" t="s">
        <v>1143</v>
      </c>
      <c r="J127" s="253"/>
    </row>
    <row r="128" spans="1:10" x14ac:dyDescent="0.2">
      <c r="A128" s="6"/>
      <c r="B128" s="6"/>
      <c r="C128" s="155"/>
      <c r="D128" s="2" t="s">
        <v>1199</v>
      </c>
      <c r="E128" s="148" t="s">
        <v>1190</v>
      </c>
      <c r="F128" s="137">
        <f>F110-(F130*I130)</f>
        <v>142.74</v>
      </c>
      <c r="G128" s="137">
        <v>0.2</v>
      </c>
      <c r="H128" s="137">
        <v>0.3</v>
      </c>
      <c r="I128" s="522"/>
      <c r="J128" s="253">
        <f t="shared" ref="J128:J132" si="12">ROUND(PRODUCT(F128:I128),2)</f>
        <v>8.56</v>
      </c>
    </row>
    <row r="129" spans="1:10" x14ac:dyDescent="0.2">
      <c r="A129" s="6"/>
      <c r="B129" s="6"/>
      <c r="C129" s="155"/>
      <c r="D129" s="2" t="s">
        <v>1193</v>
      </c>
      <c r="E129" s="148" t="s">
        <v>1190</v>
      </c>
      <c r="F129" s="137">
        <v>0.6</v>
      </c>
      <c r="G129" s="137">
        <v>0.6</v>
      </c>
      <c r="H129" s="137">
        <v>0.2</v>
      </c>
      <c r="I129" s="522">
        <v>54</v>
      </c>
      <c r="J129" s="253">
        <f t="shared" si="12"/>
        <v>3.89</v>
      </c>
    </row>
    <row r="130" spans="1:10" x14ac:dyDescent="0.2">
      <c r="A130" s="6"/>
      <c r="B130" s="6"/>
      <c r="C130" s="155"/>
      <c r="D130" s="2" t="s">
        <v>1218</v>
      </c>
      <c r="E130" s="148" t="s">
        <v>1190</v>
      </c>
      <c r="F130" s="137">
        <v>0.22</v>
      </c>
      <c r="G130" s="555">
        <v>0.12</v>
      </c>
      <c r="H130" s="137">
        <v>0.6</v>
      </c>
      <c r="I130" s="522">
        <v>54</v>
      </c>
      <c r="J130" s="253">
        <f t="shared" si="12"/>
        <v>0.86</v>
      </c>
    </row>
    <row r="131" spans="1:10" x14ac:dyDescent="0.2">
      <c r="A131" s="6"/>
      <c r="B131" s="6"/>
      <c r="C131" s="155"/>
      <c r="D131" s="2" t="s">
        <v>1216</v>
      </c>
      <c r="E131" s="148" t="s">
        <v>1190</v>
      </c>
      <c r="F131" s="137">
        <v>0.6</v>
      </c>
      <c r="G131" s="137">
        <v>0.6</v>
      </c>
      <c r="H131" s="137">
        <v>0.2</v>
      </c>
      <c r="I131" s="522">
        <v>3</v>
      </c>
      <c r="J131" s="253">
        <f t="shared" si="12"/>
        <v>0.22</v>
      </c>
    </row>
    <row r="132" spans="1:10" x14ac:dyDescent="0.2">
      <c r="A132" s="6"/>
      <c r="B132" s="6"/>
      <c r="C132" s="155"/>
      <c r="D132" s="2" t="s">
        <v>1217</v>
      </c>
      <c r="E132" s="148" t="s">
        <v>1190</v>
      </c>
      <c r="F132" s="137">
        <v>0.22</v>
      </c>
      <c r="G132" s="137">
        <v>0.12</v>
      </c>
      <c r="H132" s="137">
        <v>0.6</v>
      </c>
      <c r="I132" s="522">
        <v>3</v>
      </c>
      <c r="J132" s="253">
        <f t="shared" si="12"/>
        <v>0.05</v>
      </c>
    </row>
    <row r="133" spans="1:10" x14ac:dyDescent="0.2">
      <c r="A133" s="6"/>
      <c r="B133" s="6"/>
      <c r="C133" s="155"/>
      <c r="D133" s="2" t="s">
        <v>1219</v>
      </c>
      <c r="E133" s="148" t="s">
        <v>1190</v>
      </c>
      <c r="F133" s="137">
        <f>9.86-(F131*I131)</f>
        <v>8.0599999999999987</v>
      </c>
      <c r="G133" s="555">
        <v>0.2</v>
      </c>
      <c r="H133" s="137">
        <v>0.3</v>
      </c>
      <c r="I133" s="522"/>
      <c r="J133" s="253">
        <f t="shared" ref="J133" si="13">ROUND(PRODUCT(F133:I133),2)</f>
        <v>0.48</v>
      </c>
    </row>
    <row r="134" spans="1:10" x14ac:dyDescent="0.2">
      <c r="A134" s="6"/>
      <c r="B134" s="6"/>
      <c r="C134" s="155"/>
      <c r="D134" s="2"/>
      <c r="E134" s="148"/>
      <c r="F134" s="253"/>
      <c r="G134" s="253"/>
      <c r="H134" s="253"/>
      <c r="I134" s="519" t="str">
        <f>"Total item "&amp;A126</f>
        <v>Total item 3.1</v>
      </c>
      <c r="J134" s="518">
        <f>SUM(J128:J133)</f>
        <v>14.060000000000002</v>
      </c>
    </row>
    <row r="135" spans="1:10" x14ac:dyDescent="0.2">
      <c r="A135" s="6"/>
      <c r="B135" s="6"/>
      <c r="C135" s="155"/>
      <c r="D135" s="2"/>
      <c r="E135" s="148"/>
      <c r="F135" s="253"/>
      <c r="G135" s="253"/>
      <c r="H135" s="253"/>
      <c r="I135" s="246"/>
      <c r="J135" s="258"/>
    </row>
    <row r="136" spans="1:10" ht="31.2" customHeight="1" x14ac:dyDescent="0.2">
      <c r="A136" s="515">
        <f>'ORÇAMENTO SEM DESON'!A25</f>
        <v>3.2</v>
      </c>
      <c r="B136" s="9" t="s">
        <v>163</v>
      </c>
      <c r="C136" s="13" t="s">
        <v>412</v>
      </c>
      <c r="D136" s="520" t="str">
        <f>'ORÇAMENTO SEM DESON'!D25</f>
        <v>ALVENARIA DE TIJOLOS DE 8 FUROS, ASSENTADOS E REJUNTADOS COM ARGAMASSA DE CIMENTO E AREIA NO TRACO 1:6 - 1 VEZ.</v>
      </c>
      <c r="E136" s="515" t="str">
        <f>'ORÇAMENTO SEM DESON'!E25</f>
        <v>m²</v>
      </c>
      <c r="F136" s="518"/>
      <c r="G136" s="518"/>
      <c r="H136" s="518"/>
      <c r="I136" s="519"/>
      <c r="J136" s="518"/>
    </row>
    <row r="137" spans="1:10" x14ac:dyDescent="0.2">
      <c r="A137" s="6"/>
      <c r="B137" s="6"/>
      <c r="C137" s="155"/>
      <c r="D137" s="2"/>
      <c r="E137" s="148"/>
      <c r="F137" s="137" t="s">
        <v>1137</v>
      </c>
      <c r="G137" s="137" t="s">
        <v>1142</v>
      </c>
      <c r="H137" s="118"/>
      <c r="I137" s="522"/>
      <c r="J137" s="253"/>
    </row>
    <row r="138" spans="1:10" x14ac:dyDescent="0.2">
      <c r="A138" s="6"/>
      <c r="B138" s="6"/>
      <c r="C138" s="155"/>
      <c r="D138" s="2" t="s">
        <v>1188</v>
      </c>
      <c r="E138" s="148" t="s">
        <v>1198</v>
      </c>
      <c r="F138" s="137">
        <f>F128</f>
        <v>142.74</v>
      </c>
      <c r="G138" s="137">
        <f>H128</f>
        <v>0.3</v>
      </c>
      <c r="H138" s="118"/>
      <c r="I138" s="522"/>
      <c r="J138" s="253">
        <f t="shared" ref="J138:J139" si="14">ROUND(PRODUCT(F138:I138),2)</f>
        <v>42.82</v>
      </c>
    </row>
    <row r="139" spans="1:10" x14ac:dyDescent="0.2">
      <c r="A139" s="6"/>
      <c r="B139" s="6"/>
      <c r="C139" s="155"/>
      <c r="D139" s="2" t="s">
        <v>1220</v>
      </c>
      <c r="E139" s="148" t="s">
        <v>1198</v>
      </c>
      <c r="F139" s="137">
        <v>9.86</v>
      </c>
      <c r="G139" s="555">
        <v>0.3</v>
      </c>
      <c r="H139" s="137"/>
      <c r="I139" s="522"/>
      <c r="J139" s="253">
        <f t="shared" si="14"/>
        <v>2.96</v>
      </c>
    </row>
    <row r="140" spans="1:10" x14ac:dyDescent="0.2">
      <c r="A140" s="6"/>
      <c r="B140" s="6"/>
      <c r="C140" s="155"/>
      <c r="D140" s="2" t="s">
        <v>1378</v>
      </c>
      <c r="E140" s="148" t="s">
        <v>9</v>
      </c>
      <c r="F140" s="137"/>
      <c r="G140" s="555">
        <f>5+5+1.5+1.5</f>
        <v>13</v>
      </c>
      <c r="H140" s="137">
        <v>1.2</v>
      </c>
      <c r="I140" s="522">
        <v>5</v>
      </c>
      <c r="J140" s="253">
        <f>ROUND(PRODUCT(G140:I140),2)</f>
        <v>78</v>
      </c>
    </row>
    <row r="141" spans="1:10" x14ac:dyDescent="0.2">
      <c r="A141" s="6"/>
      <c r="B141" s="6"/>
      <c r="C141" s="155"/>
      <c r="D141" s="2"/>
      <c r="E141" s="148"/>
      <c r="F141" s="253"/>
      <c r="G141" s="253"/>
      <c r="H141" s="253"/>
      <c r="I141" s="519" t="str">
        <f>"Total item "&amp;A136</f>
        <v>Total item 3.2</v>
      </c>
      <c r="J141" s="518">
        <f>SUM(J138:J140)</f>
        <v>123.78</v>
      </c>
    </row>
    <row r="142" spans="1:10" x14ac:dyDescent="0.2">
      <c r="A142" s="6"/>
      <c r="B142" s="6"/>
      <c r="C142" s="155"/>
      <c r="D142" s="2"/>
      <c r="E142" s="148"/>
      <c r="F142" s="253"/>
      <c r="G142" s="253"/>
      <c r="H142" s="253"/>
      <c r="I142" s="246"/>
      <c r="J142" s="258"/>
    </row>
    <row r="143" spans="1:10" ht="20.399999999999999" x14ac:dyDescent="0.2">
      <c r="A143" s="515">
        <f>'ORÇAMENTO SEM DESON'!A26</f>
        <v>3.3</v>
      </c>
      <c r="B143" s="9" t="s">
        <v>163</v>
      </c>
      <c r="C143" s="13" t="s">
        <v>412</v>
      </c>
      <c r="D143" s="520" t="str">
        <f>'ORÇAMENTO SEM DESON'!D26</f>
        <v>IMPERMEABILIZAÇÃO DE SUPERFÍCIE COM EMULSÃO ASFÁLTICA, 2 DEMÃOS AF_06/2018</v>
      </c>
      <c r="E143" s="515" t="str">
        <f>'ORÇAMENTO SEM DESON'!E26</f>
        <v>m²</v>
      </c>
      <c r="F143" s="518"/>
      <c r="G143" s="518"/>
      <c r="H143" s="518"/>
      <c r="I143" s="519"/>
      <c r="J143" s="518"/>
    </row>
    <row r="144" spans="1:10" x14ac:dyDescent="0.2">
      <c r="A144" s="6"/>
      <c r="B144" s="6"/>
      <c r="C144" s="155"/>
      <c r="D144" s="2"/>
      <c r="E144" s="148"/>
      <c r="F144" s="137" t="s">
        <v>1137</v>
      </c>
      <c r="G144" s="137" t="s">
        <v>1201</v>
      </c>
      <c r="H144" s="137"/>
      <c r="I144" s="522"/>
      <c r="J144" s="253"/>
    </row>
    <row r="145" spans="1:10" x14ac:dyDescent="0.2">
      <c r="A145" s="6"/>
      <c r="B145" s="6"/>
      <c r="C145" s="155"/>
      <c r="D145" s="2" t="s">
        <v>1199</v>
      </c>
      <c r="E145" s="148" t="s">
        <v>1198</v>
      </c>
      <c r="F145" s="137">
        <f>F128</f>
        <v>142.74</v>
      </c>
      <c r="G145" s="137">
        <f>0.3+0.3+0.2</f>
        <v>0.8</v>
      </c>
      <c r="H145" s="137"/>
      <c r="I145" s="522"/>
      <c r="J145" s="253">
        <f t="shared" ref="J145:J146" si="15">ROUND(PRODUCT(F145:I145),2)</f>
        <v>114.19</v>
      </c>
    </row>
    <row r="146" spans="1:10" x14ac:dyDescent="0.2">
      <c r="A146" s="6"/>
      <c r="B146" s="6"/>
      <c r="C146" s="155"/>
      <c r="D146" s="2" t="s">
        <v>1219</v>
      </c>
      <c r="E146" s="148" t="s">
        <v>1198</v>
      </c>
      <c r="F146" s="137">
        <f>F139</f>
        <v>9.86</v>
      </c>
      <c r="G146" s="137">
        <f>0.3+0.3+0.2</f>
        <v>0.8</v>
      </c>
      <c r="H146" s="137"/>
      <c r="I146" s="522"/>
      <c r="J146" s="253">
        <f t="shared" si="15"/>
        <v>7.89</v>
      </c>
    </row>
    <row r="147" spans="1:10" x14ac:dyDescent="0.2">
      <c r="A147" s="6"/>
      <c r="B147" s="6"/>
      <c r="C147" s="155"/>
      <c r="D147" s="2"/>
      <c r="E147" s="148"/>
      <c r="F147" s="253"/>
      <c r="G147" s="253"/>
      <c r="H147" s="253"/>
      <c r="I147" s="519" t="str">
        <f>"Total item "&amp;A143</f>
        <v>Total item 3.3</v>
      </c>
      <c r="J147" s="518">
        <f>SUM(J145:J146)</f>
        <v>122.08</v>
      </c>
    </row>
    <row r="148" spans="1:10" x14ac:dyDescent="0.2">
      <c r="A148" s="6"/>
      <c r="B148" s="6"/>
      <c r="C148" s="155"/>
      <c r="D148" s="2"/>
      <c r="E148" s="148"/>
      <c r="F148" s="253"/>
      <c r="G148" s="253"/>
      <c r="H148" s="253"/>
      <c r="I148" s="246"/>
      <c r="J148" s="258"/>
    </row>
    <row r="149" spans="1:10" ht="20.399999999999999" x14ac:dyDescent="0.2">
      <c r="A149" s="515">
        <f>'ORÇAMENTO SEM DESON'!A27</f>
        <v>3.4</v>
      </c>
      <c r="B149" s="9" t="s">
        <v>163</v>
      </c>
      <c r="C149" s="13" t="s">
        <v>412</v>
      </c>
      <c r="D149" s="520" t="str">
        <f>'ORÇAMENTO SEM DESON'!D27</f>
        <v>LASTRO DE CONCRETO MAGRO, APLICADO EM PISOS, LAJES SOBRE SOLO OU RADIERS, ESPESSURA DE 5 CM. AF_07/2016</v>
      </c>
      <c r="E149" s="515" t="str">
        <f>'ORÇAMENTO SEM DESON'!E27</f>
        <v>m²</v>
      </c>
      <c r="F149" s="518"/>
      <c r="G149" s="518"/>
      <c r="H149" s="518"/>
      <c r="I149" s="519"/>
      <c r="J149" s="518"/>
    </row>
    <row r="150" spans="1:10" x14ac:dyDescent="0.2">
      <c r="A150" s="6"/>
      <c r="B150" s="6"/>
      <c r="C150" s="155"/>
      <c r="D150" s="2"/>
      <c r="E150" s="148"/>
      <c r="F150" s="137" t="s">
        <v>1137</v>
      </c>
      <c r="G150" s="137" t="s">
        <v>1141</v>
      </c>
      <c r="H150" s="137" t="s">
        <v>1143</v>
      </c>
      <c r="I150" s="522"/>
      <c r="J150" s="253"/>
    </row>
    <row r="151" spans="1:10" x14ac:dyDescent="0.2">
      <c r="A151" s="6"/>
      <c r="B151" s="6"/>
      <c r="C151" s="155"/>
      <c r="D151" s="2" t="s">
        <v>1193</v>
      </c>
      <c r="E151" s="148" t="s">
        <v>1198</v>
      </c>
      <c r="F151" s="137">
        <v>0.6</v>
      </c>
      <c r="G151" s="137">
        <v>0.6</v>
      </c>
      <c r="H151" s="137">
        <v>54</v>
      </c>
      <c r="I151" s="522"/>
      <c r="J151" s="253">
        <f t="shared" ref="J151:J153" si="16">ROUND(PRODUCT(F151:I151),2)</f>
        <v>19.440000000000001</v>
      </c>
    </row>
    <row r="152" spans="1:10" x14ac:dyDescent="0.2">
      <c r="A152" s="6"/>
      <c r="B152" s="6"/>
      <c r="C152" s="155"/>
      <c r="D152" s="2" t="s">
        <v>1200</v>
      </c>
      <c r="E152" s="148" t="s">
        <v>1198</v>
      </c>
      <c r="F152" s="137">
        <f>F128</f>
        <v>142.74</v>
      </c>
      <c r="G152" s="137">
        <v>0.4</v>
      </c>
      <c r="H152" s="137"/>
      <c r="I152" s="522"/>
      <c r="J152" s="253">
        <f t="shared" si="16"/>
        <v>57.1</v>
      </c>
    </row>
    <row r="153" spans="1:10" x14ac:dyDescent="0.2">
      <c r="A153" s="6"/>
      <c r="B153" s="6"/>
      <c r="C153" s="155"/>
      <c r="D153" s="2" t="s">
        <v>1380</v>
      </c>
      <c r="E153" s="148" t="s">
        <v>1198</v>
      </c>
      <c r="F153" s="137">
        <f>13*5</f>
        <v>65</v>
      </c>
      <c r="G153" s="137">
        <v>0.4</v>
      </c>
      <c r="H153" s="137"/>
      <c r="I153" s="522"/>
      <c r="J153" s="253">
        <f t="shared" si="16"/>
        <v>26</v>
      </c>
    </row>
    <row r="154" spans="1:10" x14ac:dyDescent="0.2">
      <c r="A154" s="6"/>
      <c r="B154" s="6"/>
      <c r="C154" s="155"/>
      <c r="D154" s="2"/>
      <c r="E154" s="148"/>
      <c r="F154" s="253"/>
      <c r="G154" s="253"/>
      <c r="H154" s="253"/>
      <c r="I154" s="519" t="str">
        <f>"Total item "&amp;A149</f>
        <v>Total item 3.4</v>
      </c>
      <c r="J154" s="518">
        <f>SUM(J151:J153)</f>
        <v>102.54</v>
      </c>
    </row>
    <row r="155" spans="1:10" x14ac:dyDescent="0.2">
      <c r="A155" s="6"/>
      <c r="B155" s="6"/>
      <c r="C155" s="155"/>
      <c r="D155" s="2"/>
      <c r="E155" s="148"/>
      <c r="F155" s="253"/>
      <c r="G155" s="253"/>
      <c r="H155" s="253"/>
      <c r="I155" s="246"/>
      <c r="J155" s="258"/>
    </row>
    <row r="156" spans="1:10" x14ac:dyDescent="0.2">
      <c r="A156" s="505">
        <f>'ORÇAMENTO SEM DESON'!A28</f>
        <v>4</v>
      </c>
      <c r="B156" s="549"/>
      <c r="C156" s="521"/>
      <c r="D156" s="500" t="str">
        <f>'ORÇAMENTO SEM DESON'!D28</f>
        <v>ESTRUTURA</v>
      </c>
      <c r="E156" s="549"/>
      <c r="F156" s="513"/>
      <c r="G156" s="513"/>
      <c r="H156" s="513"/>
      <c r="I156" s="514"/>
      <c r="J156" s="513"/>
    </row>
    <row r="157" spans="1:10" x14ac:dyDescent="0.2">
      <c r="A157" s="6"/>
      <c r="B157" s="6"/>
      <c r="C157" s="155"/>
      <c r="D157" s="2"/>
      <c r="E157" s="148"/>
      <c r="F157" s="253"/>
      <c r="G157" s="253"/>
      <c r="H157" s="253"/>
      <c r="I157" s="246"/>
      <c r="J157" s="258"/>
    </row>
    <row r="158" spans="1:10" ht="33" customHeight="1" x14ac:dyDescent="0.2">
      <c r="A158" s="515">
        <f>'ORÇAMENTO SEM DESON'!A29</f>
        <v>4.0999999999999996</v>
      </c>
      <c r="B158" s="9" t="s">
        <v>163</v>
      </c>
      <c r="C158" s="13" t="s">
        <v>412</v>
      </c>
      <c r="D158" s="520" t="str">
        <f>'ORÇAMENTO SEM DESON'!D29</f>
        <v>CONCRETO ARMADO PRONTO, FCK 25 MPA,CONDICAO A (NBR 12655),LANCADO EM PILARES E ADENSADO,INCLUSIVE FORMA, ESCORAMENTO E FERRAGEM.</v>
      </c>
      <c r="E158" s="515" t="str">
        <f>'ORÇAMENTO SEM DESON'!E29</f>
        <v>m³</v>
      </c>
      <c r="F158" s="518"/>
      <c r="G158" s="518"/>
      <c r="H158" s="518"/>
      <c r="I158" s="519"/>
      <c r="J158" s="518"/>
    </row>
    <row r="159" spans="1:10" x14ac:dyDescent="0.2">
      <c r="A159" s="6"/>
      <c r="B159" s="6"/>
      <c r="C159" s="155"/>
      <c r="D159" s="2"/>
      <c r="E159" s="148"/>
      <c r="F159" s="137" t="s">
        <v>1137</v>
      </c>
      <c r="G159" s="137" t="s">
        <v>1141</v>
      </c>
      <c r="H159" s="137" t="s">
        <v>1142</v>
      </c>
      <c r="I159" s="522" t="s">
        <v>1143</v>
      </c>
      <c r="J159" s="253"/>
    </row>
    <row r="160" spans="1:10" x14ac:dyDescent="0.2">
      <c r="A160" s="6"/>
      <c r="B160" s="6"/>
      <c r="C160" s="155"/>
      <c r="D160" s="2" t="s">
        <v>1208</v>
      </c>
      <c r="E160" s="148" t="s">
        <v>1190</v>
      </c>
      <c r="F160" s="137">
        <v>0.22</v>
      </c>
      <c r="G160" s="137">
        <v>0.12</v>
      </c>
      <c r="H160" s="137">
        <v>1.1000000000000001</v>
      </c>
      <c r="I160" s="522">
        <f>I129-4</f>
        <v>50</v>
      </c>
      <c r="J160" s="253">
        <f t="shared" ref="J160:J163" si="17">ROUND(PRODUCT(F160:I160),2)</f>
        <v>1.45</v>
      </c>
    </row>
    <row r="161" spans="1:10" x14ac:dyDescent="0.2">
      <c r="A161" s="6"/>
      <c r="B161" s="6"/>
      <c r="C161" s="155"/>
      <c r="D161" s="2" t="s">
        <v>1209</v>
      </c>
      <c r="E161" s="148" t="s">
        <v>1190</v>
      </c>
      <c r="F161" s="137">
        <v>0.22</v>
      </c>
      <c r="G161" s="137">
        <v>0.12</v>
      </c>
      <c r="H161" s="137">
        <v>2.4</v>
      </c>
      <c r="I161" s="522">
        <v>2</v>
      </c>
      <c r="J161" s="253">
        <f t="shared" si="17"/>
        <v>0.13</v>
      </c>
    </row>
    <row r="162" spans="1:10" x14ac:dyDescent="0.2">
      <c r="A162" s="6"/>
      <c r="B162" s="6"/>
      <c r="C162" s="155"/>
      <c r="D162" s="2" t="s">
        <v>1207</v>
      </c>
      <c r="E162" s="148" t="s">
        <v>1190</v>
      </c>
      <c r="F162" s="137">
        <v>1.1499999999999999</v>
      </c>
      <c r="G162" s="137">
        <v>0.2</v>
      </c>
      <c r="H162" s="137">
        <v>2.8</v>
      </c>
      <c r="I162" s="522">
        <v>2</v>
      </c>
      <c r="J162" s="253">
        <f t="shared" si="17"/>
        <v>1.29</v>
      </c>
    </row>
    <row r="163" spans="1:10" x14ac:dyDescent="0.2">
      <c r="A163" s="6"/>
      <c r="B163" s="6"/>
      <c r="C163" s="155"/>
      <c r="D163" s="2" t="s">
        <v>1221</v>
      </c>
      <c r="E163" s="148" t="s">
        <v>1190</v>
      </c>
      <c r="F163" s="137">
        <v>0.22</v>
      </c>
      <c r="G163" s="137">
        <v>0.12</v>
      </c>
      <c r="H163" s="137">
        <v>3.5</v>
      </c>
      <c r="I163" s="522">
        <v>3</v>
      </c>
      <c r="J163" s="253">
        <f t="shared" si="17"/>
        <v>0.28000000000000003</v>
      </c>
    </row>
    <row r="164" spans="1:10" x14ac:dyDescent="0.2">
      <c r="A164" s="6"/>
      <c r="B164" s="6"/>
      <c r="C164" s="155"/>
      <c r="D164" s="2"/>
      <c r="E164" s="148"/>
      <c r="F164" s="253"/>
      <c r="G164" s="253"/>
      <c r="H164" s="253"/>
      <c r="I164" s="519" t="str">
        <f>"Total item "&amp;A158</f>
        <v>Total item 4.1</v>
      </c>
      <c r="J164" s="518">
        <f>SUM(J160:J163)</f>
        <v>3.1500000000000004</v>
      </c>
    </row>
    <row r="165" spans="1:10" x14ac:dyDescent="0.2">
      <c r="A165" s="6"/>
      <c r="B165" s="6"/>
      <c r="C165" s="155"/>
      <c r="D165" s="2"/>
      <c r="E165" s="148"/>
      <c r="F165" s="253"/>
      <c r="G165" s="253"/>
      <c r="H165" s="253"/>
      <c r="I165" s="246"/>
      <c r="J165" s="258"/>
    </row>
    <row r="166" spans="1:10" ht="33" customHeight="1" x14ac:dyDescent="0.2">
      <c r="A166" s="515">
        <f>'ORÇAMENTO SEM DESON'!A30</f>
        <v>4.2</v>
      </c>
      <c r="B166" s="9" t="s">
        <v>163</v>
      </c>
      <c r="C166" s="13" t="s">
        <v>412</v>
      </c>
      <c r="D166" s="520" t="str">
        <f>'ORÇAMENTO SEM DESON'!D30</f>
        <v>CONCRETO ARMADO PRONTO, FCK 25 MPA,CONDICAO A (NBR 12655), LANCADO EM LAJES E ADENSADO, INCLUSIVE FORMA, ESCORAMENTO E FERRAGEM.</v>
      </c>
      <c r="E166" s="515" t="str">
        <f>'ORÇAMENTO SEM DESON'!E30</f>
        <v>m³</v>
      </c>
      <c r="F166" s="518"/>
      <c r="G166" s="518"/>
      <c r="H166" s="518"/>
      <c r="I166" s="519"/>
      <c r="J166" s="518"/>
    </row>
    <row r="167" spans="1:10" x14ac:dyDescent="0.2">
      <c r="A167" s="6"/>
      <c r="B167" s="6"/>
      <c r="C167" s="155"/>
      <c r="D167" s="2"/>
      <c r="E167" s="148"/>
      <c r="F167" s="137" t="s">
        <v>1137</v>
      </c>
      <c r="G167" s="137" t="s">
        <v>1141</v>
      </c>
      <c r="H167" s="137" t="s">
        <v>1142</v>
      </c>
      <c r="I167" s="522"/>
      <c r="J167" s="253"/>
    </row>
    <row r="168" spans="1:10" x14ac:dyDescent="0.2">
      <c r="A168" s="6"/>
      <c r="B168" s="6"/>
      <c r="C168" s="155"/>
      <c r="D168" s="2" t="s">
        <v>1212</v>
      </c>
      <c r="E168" s="148" t="s">
        <v>1190</v>
      </c>
      <c r="F168" s="137">
        <v>3.9</v>
      </c>
      <c r="G168" s="137">
        <v>1.1000000000000001</v>
      </c>
      <c r="H168" s="137">
        <v>0.2</v>
      </c>
      <c r="I168" s="522"/>
      <c r="J168" s="253">
        <f t="shared" ref="J168" si="18">ROUND(PRODUCT(F168:I168),2)</f>
        <v>0.86</v>
      </c>
    </row>
    <row r="169" spans="1:10" x14ac:dyDescent="0.2">
      <c r="A169" s="6"/>
      <c r="B169" s="6"/>
      <c r="C169" s="155"/>
      <c r="D169" s="2"/>
      <c r="E169" s="148"/>
      <c r="F169" s="253"/>
      <c r="G169" s="253"/>
      <c r="H169" s="253"/>
      <c r="I169" s="519" t="str">
        <f>"Total item "&amp;A166</f>
        <v>Total item 4.2</v>
      </c>
      <c r="J169" s="518">
        <f>SUM(J168:J168)</f>
        <v>0.86</v>
      </c>
    </row>
    <row r="170" spans="1:10" x14ac:dyDescent="0.2">
      <c r="A170" s="6"/>
      <c r="B170" s="6"/>
      <c r="C170" s="155"/>
      <c r="D170" s="2"/>
      <c r="E170" s="148"/>
      <c r="F170" s="253"/>
      <c r="G170" s="253"/>
      <c r="H170" s="253"/>
      <c r="I170" s="246"/>
      <c r="J170" s="258"/>
    </row>
    <row r="171" spans="1:10" ht="33" customHeight="1" x14ac:dyDescent="0.2">
      <c r="A171" s="515">
        <f>'ORÇAMENTO SEM DESON'!A31</f>
        <v>4.3</v>
      </c>
      <c r="B171" s="9" t="s">
        <v>163</v>
      </c>
      <c r="C171" s="13" t="s">
        <v>412</v>
      </c>
      <c r="D171" s="520" t="str">
        <f>'ORÇAMENTO SEM DESON'!D31</f>
        <v>CONCRETO ARMADO PRONTO, FCK 25 MPA,CONDICAO A (NBR 12655), LANCADO EM VIGAS E ADENSADO, INCLUSIVE FORMA, ESCORAMENTO E FERRAGEM.</v>
      </c>
      <c r="E171" s="515" t="str">
        <f>'ORÇAMENTO SEM DESON'!E31</f>
        <v>m³</v>
      </c>
      <c r="F171" s="518"/>
      <c r="G171" s="518"/>
      <c r="H171" s="518"/>
      <c r="I171" s="519"/>
      <c r="J171" s="518"/>
    </row>
    <row r="172" spans="1:10" x14ac:dyDescent="0.2">
      <c r="A172" s="6"/>
      <c r="B172" s="6"/>
      <c r="C172" s="155"/>
      <c r="D172" s="2"/>
      <c r="E172" s="148"/>
      <c r="F172" s="137" t="s">
        <v>1137</v>
      </c>
      <c r="G172" s="137" t="s">
        <v>1141</v>
      </c>
      <c r="H172" s="137" t="s">
        <v>1142</v>
      </c>
      <c r="I172" s="522"/>
      <c r="J172" s="253"/>
    </row>
    <row r="173" spans="1:10" x14ac:dyDescent="0.2">
      <c r="A173" s="6"/>
      <c r="B173" s="6"/>
      <c r="C173" s="155"/>
      <c r="D173" s="2" t="s">
        <v>1222</v>
      </c>
      <c r="E173" s="148" t="s">
        <v>1190</v>
      </c>
      <c r="F173" s="137">
        <f>F146</f>
        <v>9.86</v>
      </c>
      <c r="G173" s="137">
        <v>0.12</v>
      </c>
      <c r="H173" s="137">
        <v>0.3</v>
      </c>
      <c r="I173" s="522"/>
      <c r="J173" s="253">
        <f t="shared" ref="J173:J174" si="19">ROUND(PRODUCT(F173:I173),2)</f>
        <v>0.35</v>
      </c>
    </row>
    <row r="174" spans="1:10" x14ac:dyDescent="0.2">
      <c r="A174" s="6"/>
      <c r="B174" s="6"/>
      <c r="C174" s="155"/>
      <c r="D174" s="2" t="s">
        <v>1254</v>
      </c>
      <c r="E174" s="148" t="s">
        <v>1190</v>
      </c>
      <c r="F174" s="137">
        <f>F138</f>
        <v>142.74</v>
      </c>
      <c r="G174" s="137">
        <v>0.12</v>
      </c>
      <c r="H174" s="137">
        <v>0.3</v>
      </c>
      <c r="I174" s="522"/>
      <c r="J174" s="253">
        <f t="shared" si="19"/>
        <v>5.14</v>
      </c>
    </row>
    <row r="175" spans="1:10" x14ac:dyDescent="0.2">
      <c r="A175" s="6"/>
      <c r="B175" s="6"/>
      <c r="C175" s="155"/>
      <c r="D175" s="2"/>
      <c r="E175" s="148"/>
      <c r="F175" s="253"/>
      <c r="G175" s="253"/>
      <c r="H175" s="253"/>
      <c r="I175" s="519" t="str">
        <f>"Total item "&amp;A171</f>
        <v>Total item 4.3</v>
      </c>
      <c r="J175" s="518">
        <f>SUM(J173:J174)</f>
        <v>5.4899999999999993</v>
      </c>
    </row>
    <row r="176" spans="1:10" x14ac:dyDescent="0.2">
      <c r="A176" s="6"/>
      <c r="B176" s="6"/>
      <c r="C176" s="155"/>
      <c r="D176" s="2"/>
      <c r="E176" s="148"/>
      <c r="F176" s="253"/>
      <c r="G176" s="253"/>
      <c r="H176" s="253"/>
      <c r="I176" s="246"/>
      <c r="J176" s="258"/>
    </row>
    <row r="177" spans="1:10" x14ac:dyDescent="0.2">
      <c r="A177" s="505">
        <f>'ORÇAMENTO SEM DESON'!A32</f>
        <v>5</v>
      </c>
      <c r="B177" s="498"/>
      <c r="C177" s="521"/>
      <c r="D177" s="500" t="str">
        <f>'ORÇAMENTO SEM DESON'!D32</f>
        <v>PAREDES E PAINÉIS</v>
      </c>
      <c r="E177" s="498"/>
      <c r="F177" s="513"/>
      <c r="G177" s="513"/>
      <c r="H177" s="513"/>
      <c r="I177" s="514"/>
      <c r="J177" s="513"/>
    </row>
    <row r="178" spans="1:10" x14ac:dyDescent="0.2">
      <c r="A178" s="6"/>
      <c r="B178" s="6"/>
      <c r="C178" s="155"/>
      <c r="D178" s="2"/>
      <c r="E178" s="148"/>
      <c r="F178" s="253"/>
      <c r="G178" s="253"/>
      <c r="H178" s="253"/>
      <c r="I178" s="246"/>
      <c r="J178" s="258"/>
    </row>
    <row r="179" spans="1:10" ht="20.399999999999999" x14ac:dyDescent="0.2">
      <c r="A179" s="515">
        <f>'ORÇAMENTO SEM DESON'!A33</f>
        <v>5.0999999999999996</v>
      </c>
      <c r="B179" s="9" t="s">
        <v>163</v>
      </c>
      <c r="C179" s="13" t="s">
        <v>412</v>
      </c>
      <c r="D179" s="520" t="str">
        <f>'ORÇAMENTO SEM DESON'!D33</f>
        <v>CHAPISCO COM ARGAMASSA DE CIMENTO E AREIA NO TRACO 1 3.</v>
      </c>
      <c r="E179" s="515" t="str">
        <f>'ORÇAMENTO SEM DESON'!E33</f>
        <v>m²</v>
      </c>
      <c r="F179" s="518"/>
      <c r="G179" s="518"/>
      <c r="H179" s="518"/>
      <c r="I179" s="519"/>
      <c r="J179" s="518"/>
    </row>
    <row r="180" spans="1:10" x14ac:dyDescent="0.2">
      <c r="A180" s="6"/>
      <c r="B180" s="6"/>
      <c r="C180" s="155"/>
      <c r="D180" s="2"/>
      <c r="E180" s="148"/>
      <c r="F180" s="137" t="s">
        <v>1226</v>
      </c>
      <c r="G180" s="137" t="s">
        <v>1137</v>
      </c>
      <c r="H180" s="137" t="s">
        <v>1142</v>
      </c>
      <c r="I180" s="522" t="s">
        <v>1138</v>
      </c>
      <c r="J180" s="253"/>
    </row>
    <row r="181" spans="1:10" x14ac:dyDescent="0.2">
      <c r="A181" s="6"/>
      <c r="B181" s="6"/>
      <c r="C181" s="155"/>
      <c r="D181" s="2" t="s">
        <v>1188</v>
      </c>
      <c r="E181" s="148" t="s">
        <v>9</v>
      </c>
      <c r="F181" s="118"/>
      <c r="G181" s="137">
        <f>62.89-6</f>
        <v>56.89</v>
      </c>
      <c r="H181" s="137">
        <v>1.1000000000000001</v>
      </c>
      <c r="I181" s="522">
        <v>2</v>
      </c>
      <c r="J181" s="253">
        <f>ROUND(PRODUCT(G181:I181),2)</f>
        <v>125.16</v>
      </c>
    </row>
    <row r="182" spans="1:10" x14ac:dyDescent="0.2">
      <c r="A182" s="6"/>
      <c r="B182" s="6"/>
      <c r="C182" s="155"/>
      <c r="D182" s="2" t="s">
        <v>1258</v>
      </c>
      <c r="E182" s="148"/>
      <c r="F182" s="118"/>
      <c r="G182" s="137">
        <f>56.89+40.19+40.19</f>
        <v>137.26999999999998</v>
      </c>
      <c r="H182" s="137">
        <v>2.2000000000000002</v>
      </c>
      <c r="I182" s="522">
        <v>2</v>
      </c>
      <c r="J182" s="253">
        <f>ROUND(PRODUCT(G182:I182),2)</f>
        <v>603.99</v>
      </c>
    </row>
    <row r="183" spans="1:10" x14ac:dyDescent="0.2">
      <c r="A183" s="6"/>
      <c r="B183" s="6"/>
      <c r="C183" s="155"/>
      <c r="D183" s="2" t="s">
        <v>1230</v>
      </c>
      <c r="E183" s="148" t="s">
        <v>9</v>
      </c>
      <c r="F183" s="118"/>
      <c r="G183" s="137">
        <f>1.3</f>
        <v>1.3</v>
      </c>
      <c r="H183" s="137">
        <f>2.8+2.8+3.9</f>
        <v>9.5</v>
      </c>
      <c r="I183" s="522">
        <v>2</v>
      </c>
      <c r="J183" s="253">
        <f>ROUND(PRODUCT(G183:I183),2)</f>
        <v>24.7</v>
      </c>
    </row>
    <row r="184" spans="1:10" x14ac:dyDescent="0.2">
      <c r="A184" s="6"/>
      <c r="B184" s="6"/>
      <c r="C184" s="155"/>
      <c r="D184" s="2" t="s">
        <v>1231</v>
      </c>
      <c r="E184" s="148" t="s">
        <v>9</v>
      </c>
      <c r="F184" s="118"/>
      <c r="G184" s="137">
        <v>3.9</v>
      </c>
      <c r="H184" s="137">
        <v>1</v>
      </c>
      <c r="I184" s="522">
        <v>2</v>
      </c>
      <c r="J184" s="253">
        <f>ROUND(PRODUCT(G184:I184),2)</f>
        <v>7.8</v>
      </c>
    </row>
    <row r="185" spans="1:10" x14ac:dyDescent="0.2">
      <c r="A185" s="6"/>
      <c r="B185" s="6"/>
      <c r="C185" s="155"/>
      <c r="D185" s="2" t="s">
        <v>1223</v>
      </c>
      <c r="E185" s="148"/>
      <c r="F185" s="137"/>
      <c r="G185" s="555"/>
      <c r="H185" s="137"/>
      <c r="I185" s="522"/>
      <c r="J185" s="253"/>
    </row>
    <row r="186" spans="1:10" x14ac:dyDescent="0.2">
      <c r="A186" s="6"/>
      <c r="B186" s="6"/>
      <c r="C186" s="155"/>
      <c r="D186" s="2" t="s">
        <v>1224</v>
      </c>
      <c r="E186" s="148" t="s">
        <v>9</v>
      </c>
      <c r="F186" s="137"/>
      <c r="G186" s="558">
        <f>F121</f>
        <v>9.86</v>
      </c>
      <c r="H186" s="137">
        <v>3.5</v>
      </c>
      <c r="I186" s="522">
        <v>2</v>
      </c>
      <c r="J186" s="253">
        <f t="shared" ref="J186:J196" si="20">ROUND(PRODUCT(G186:I186),2)</f>
        <v>69.02</v>
      </c>
    </row>
    <row r="187" spans="1:10" x14ac:dyDescent="0.2">
      <c r="A187" s="6"/>
      <c r="B187" s="6"/>
      <c r="C187" s="155"/>
      <c r="D187" s="2" t="s">
        <v>165</v>
      </c>
      <c r="E187" s="148" t="s">
        <v>9</v>
      </c>
      <c r="F187" s="137"/>
      <c r="G187" s="555">
        <v>0.87</v>
      </c>
      <c r="H187" s="137">
        <v>2.1</v>
      </c>
      <c r="I187" s="522">
        <v>2</v>
      </c>
      <c r="J187" s="253">
        <f t="shared" si="20"/>
        <v>3.65</v>
      </c>
    </row>
    <row r="188" spans="1:10" x14ac:dyDescent="0.2">
      <c r="A188" s="6"/>
      <c r="B188" s="6"/>
      <c r="C188" s="155"/>
      <c r="D188" s="2" t="s">
        <v>402</v>
      </c>
      <c r="E188" s="148" t="s">
        <v>9</v>
      </c>
      <c r="F188" s="555">
        <f>((1.5*1*4)+(1.5*2.1))</f>
        <v>9.15</v>
      </c>
      <c r="G188" s="555">
        <f>(3.75+4.73+2.35)</f>
        <v>10.83</v>
      </c>
      <c r="H188" s="137">
        <f>(5+4)/2</f>
        <v>4.5</v>
      </c>
      <c r="I188" s="522">
        <v>2</v>
      </c>
      <c r="J188" s="253">
        <f>(ROUND(PRODUCT(G188:I188),2))-F188</f>
        <v>88.32</v>
      </c>
    </row>
    <row r="189" spans="1:10" x14ac:dyDescent="0.2">
      <c r="A189" s="6"/>
      <c r="B189" s="6"/>
      <c r="C189" s="155"/>
      <c r="D189" s="2" t="s">
        <v>1227</v>
      </c>
      <c r="E189" s="148" t="s">
        <v>9</v>
      </c>
      <c r="F189" s="555"/>
      <c r="G189" s="555">
        <f>0.75*3</f>
        <v>2.25</v>
      </c>
      <c r="H189" s="137">
        <v>0.75</v>
      </c>
      <c r="I189" s="522">
        <v>2</v>
      </c>
      <c r="J189" s="253">
        <f>(ROUND(PRODUCT(G189:I189),2))-F189</f>
        <v>3.38</v>
      </c>
    </row>
    <row r="190" spans="1:10" x14ac:dyDescent="0.2">
      <c r="A190" s="6"/>
      <c r="B190" s="6"/>
      <c r="C190" s="155"/>
      <c r="D190" s="2" t="s">
        <v>166</v>
      </c>
      <c r="E190" s="148" t="s">
        <v>9</v>
      </c>
      <c r="F190" s="137"/>
      <c r="G190" s="555">
        <v>2.23</v>
      </c>
      <c r="H190" s="137">
        <v>3.5</v>
      </c>
      <c r="I190" s="522"/>
      <c r="J190" s="253">
        <f t="shared" si="20"/>
        <v>7.81</v>
      </c>
    </row>
    <row r="191" spans="1:10" x14ac:dyDescent="0.2">
      <c r="A191" s="6"/>
      <c r="B191" s="6"/>
      <c r="C191" s="155"/>
      <c r="D191" s="2" t="s">
        <v>1228</v>
      </c>
      <c r="E191" s="148" t="s">
        <v>9</v>
      </c>
      <c r="F191" s="137"/>
      <c r="G191" s="555">
        <f>1.6</f>
        <v>1.6</v>
      </c>
      <c r="H191" s="137">
        <v>1</v>
      </c>
      <c r="I191" s="522">
        <v>2</v>
      </c>
      <c r="J191" s="253">
        <f t="shared" si="20"/>
        <v>3.2</v>
      </c>
    </row>
    <row r="192" spans="1:10" x14ac:dyDescent="0.2">
      <c r="A192" s="6"/>
      <c r="B192" s="6"/>
      <c r="C192" s="155"/>
      <c r="D192" s="2" t="s">
        <v>1229</v>
      </c>
      <c r="E192" s="148" t="s">
        <v>9</v>
      </c>
      <c r="F192" s="137"/>
      <c r="G192" s="555">
        <v>2.15</v>
      </c>
      <c r="H192" s="137">
        <v>3.5</v>
      </c>
      <c r="I192" s="522">
        <v>2</v>
      </c>
      <c r="J192" s="253">
        <f t="shared" si="20"/>
        <v>15.05</v>
      </c>
    </row>
    <row r="193" spans="1:10" x14ac:dyDescent="0.2">
      <c r="A193" s="6"/>
      <c r="B193" s="6"/>
      <c r="C193" s="155"/>
      <c r="D193" s="2" t="s">
        <v>1225</v>
      </c>
      <c r="E193" s="148" t="s">
        <v>9</v>
      </c>
      <c r="F193" s="137"/>
      <c r="G193" s="555">
        <f>4.6*2</f>
        <v>9.1999999999999993</v>
      </c>
      <c r="H193" s="137">
        <v>0.75</v>
      </c>
      <c r="I193" s="522">
        <v>3</v>
      </c>
      <c r="J193" s="253">
        <f t="shared" si="20"/>
        <v>20.7</v>
      </c>
    </row>
    <row r="194" spans="1:10" x14ac:dyDescent="0.2">
      <c r="A194" s="6"/>
      <c r="B194" s="6"/>
      <c r="C194" s="155"/>
      <c r="D194" s="2" t="s">
        <v>1167</v>
      </c>
      <c r="E194" s="148" t="s">
        <v>9</v>
      </c>
      <c r="F194" s="137"/>
      <c r="G194" s="555">
        <f>1.2+1.7+1.7</f>
        <v>4.5999999999999996</v>
      </c>
      <c r="H194" s="137">
        <v>1.8</v>
      </c>
      <c r="I194" s="522">
        <v>2</v>
      </c>
      <c r="J194" s="253">
        <f t="shared" si="20"/>
        <v>16.559999999999999</v>
      </c>
    </row>
    <row r="195" spans="1:10" x14ac:dyDescent="0.2">
      <c r="A195" s="6"/>
      <c r="B195" s="6"/>
      <c r="C195" s="155"/>
      <c r="D195" s="2" t="s">
        <v>1378</v>
      </c>
      <c r="E195" s="148" t="s">
        <v>9</v>
      </c>
      <c r="F195" s="137"/>
      <c r="G195" s="555">
        <f>5+5+1.5+1.5</f>
        <v>13</v>
      </c>
      <c r="H195" s="137">
        <v>0.9</v>
      </c>
      <c r="I195" s="522">
        <v>10</v>
      </c>
      <c r="J195" s="253">
        <f t="shared" si="20"/>
        <v>117</v>
      </c>
    </row>
    <row r="196" spans="1:10" x14ac:dyDescent="0.2">
      <c r="A196" s="6"/>
      <c r="B196" s="6"/>
      <c r="C196" s="155"/>
      <c r="D196" s="2" t="s">
        <v>1168</v>
      </c>
      <c r="E196" s="148" t="s">
        <v>9</v>
      </c>
      <c r="F196" s="137"/>
      <c r="G196" s="555">
        <f>1.2+1.7+1.7</f>
        <v>4.5999999999999996</v>
      </c>
      <c r="H196" s="137">
        <v>1.8</v>
      </c>
      <c r="I196" s="522">
        <v>2</v>
      </c>
      <c r="J196" s="253">
        <f t="shared" si="20"/>
        <v>16.559999999999999</v>
      </c>
    </row>
    <row r="197" spans="1:10" x14ac:dyDescent="0.2">
      <c r="A197" s="6"/>
      <c r="B197" s="6"/>
      <c r="C197" s="155"/>
      <c r="D197" s="2" t="s">
        <v>1240</v>
      </c>
      <c r="E197" s="148" t="s">
        <v>9</v>
      </c>
      <c r="F197" s="137"/>
      <c r="G197" s="137">
        <f>G288</f>
        <v>340.71199999999993</v>
      </c>
      <c r="H197" s="137"/>
      <c r="I197" s="137">
        <v>0.15</v>
      </c>
      <c r="J197" s="253">
        <f>ROUND(PRODUCT(F197:I197),2)</f>
        <v>51.11</v>
      </c>
    </row>
    <row r="198" spans="1:10" x14ac:dyDescent="0.2">
      <c r="A198" s="6"/>
      <c r="B198" s="6"/>
      <c r="C198" s="155"/>
      <c r="D198" s="2"/>
      <c r="E198" s="148"/>
      <c r="F198" s="253"/>
      <c r="G198" s="253"/>
      <c r="H198" s="253"/>
      <c r="I198" s="519" t="str">
        <f>"Total item "&amp;A179</f>
        <v>Total item 5.1</v>
      </c>
      <c r="J198" s="518">
        <f>SUM(J181:J197)</f>
        <v>1174.0099999999995</v>
      </c>
    </row>
    <row r="199" spans="1:10" x14ac:dyDescent="0.2">
      <c r="A199" s="6"/>
      <c r="B199" s="6"/>
      <c r="C199" s="155"/>
      <c r="D199" s="2"/>
      <c r="E199" s="148"/>
      <c r="F199" s="253"/>
      <c r="G199" s="253"/>
      <c r="H199" s="253"/>
      <c r="I199" s="246"/>
      <c r="J199" s="258"/>
    </row>
    <row r="200" spans="1:10" ht="20.399999999999999" x14ac:dyDescent="0.2">
      <c r="A200" s="515">
        <f>'ORÇAMENTO SEM DESON'!A34</f>
        <v>5.2</v>
      </c>
      <c r="B200" s="9" t="s">
        <v>163</v>
      </c>
      <c r="C200" s="13" t="s">
        <v>412</v>
      </c>
      <c r="D200" s="520" t="str">
        <f>'ORÇAMENTO SEM DESON'!D34</f>
        <v>EMBOCO COM ARGAMASSA DE CIMENTO E AREIA NO TRACO 1 3, COM 2,0 CM DE ESPESSURA.</v>
      </c>
      <c r="E200" s="515" t="str">
        <f>'ORÇAMENTO SEM DESON'!E34</f>
        <v>m²</v>
      </c>
      <c r="F200" s="518"/>
      <c r="G200" s="518"/>
      <c r="H200" s="518"/>
      <c r="I200" s="519"/>
      <c r="J200" s="518"/>
    </row>
    <row r="201" spans="1:10" x14ac:dyDescent="0.2">
      <c r="A201" s="6"/>
      <c r="B201" s="6"/>
      <c r="C201" s="155"/>
      <c r="D201" s="2"/>
      <c r="E201" s="148"/>
      <c r="F201" s="137" t="s">
        <v>1226</v>
      </c>
      <c r="G201" s="137" t="s">
        <v>1137</v>
      </c>
      <c r="H201" s="137" t="s">
        <v>1142</v>
      </c>
      <c r="I201" s="522" t="s">
        <v>1138</v>
      </c>
      <c r="J201" s="253"/>
    </row>
    <row r="202" spans="1:10" x14ac:dyDescent="0.2">
      <c r="A202" s="6"/>
      <c r="B202" s="6"/>
      <c r="C202" s="155"/>
      <c r="D202" s="2" t="s">
        <v>1188</v>
      </c>
      <c r="E202" s="148" t="s">
        <v>9</v>
      </c>
      <c r="F202" s="118"/>
      <c r="G202" s="137">
        <f>62.89-6</f>
        <v>56.89</v>
      </c>
      <c r="H202" s="137">
        <v>1.1000000000000001</v>
      </c>
      <c r="I202" s="522">
        <v>2</v>
      </c>
      <c r="J202" s="253">
        <f>ROUND(PRODUCT(G202:I202),2)</f>
        <v>125.16</v>
      </c>
    </row>
    <row r="203" spans="1:10" x14ac:dyDescent="0.2">
      <c r="A203" s="6"/>
      <c r="B203" s="6"/>
      <c r="C203" s="155"/>
      <c r="D203" s="2" t="s">
        <v>1258</v>
      </c>
      <c r="E203" s="148"/>
      <c r="F203" s="118"/>
      <c r="G203" s="137">
        <f>56.89+40.19+40.19</f>
        <v>137.26999999999998</v>
      </c>
      <c r="H203" s="137">
        <v>2.2000000000000002</v>
      </c>
      <c r="I203" s="522">
        <v>2</v>
      </c>
      <c r="J203" s="253">
        <f>ROUND(PRODUCT(G203:I203),2)</f>
        <v>603.99</v>
      </c>
    </row>
    <row r="204" spans="1:10" x14ac:dyDescent="0.2">
      <c r="A204" s="6"/>
      <c r="B204" s="6"/>
      <c r="C204" s="155"/>
      <c r="D204" s="2" t="s">
        <v>1230</v>
      </c>
      <c r="E204" s="148" t="s">
        <v>9</v>
      </c>
      <c r="F204" s="118"/>
      <c r="G204" s="137">
        <v>1.3</v>
      </c>
      <c r="H204" s="137">
        <f>2.8+2.8+3.9</f>
        <v>9.5</v>
      </c>
      <c r="I204" s="522">
        <v>2</v>
      </c>
      <c r="J204" s="253">
        <f>ROUND(PRODUCT(G204:I204),2)</f>
        <v>24.7</v>
      </c>
    </row>
    <row r="205" spans="1:10" x14ac:dyDescent="0.2">
      <c r="A205" s="6"/>
      <c r="B205" s="6"/>
      <c r="C205" s="155"/>
      <c r="D205" s="2" t="s">
        <v>1231</v>
      </c>
      <c r="E205" s="148" t="s">
        <v>9</v>
      </c>
      <c r="F205" s="118"/>
      <c r="G205" s="137">
        <v>3.9</v>
      </c>
      <c r="H205" s="137">
        <v>1</v>
      </c>
      <c r="I205" s="522">
        <v>2</v>
      </c>
      <c r="J205" s="253">
        <f>ROUND(PRODUCT(G205:I205),2)</f>
        <v>7.8</v>
      </c>
    </row>
    <row r="206" spans="1:10" x14ac:dyDescent="0.2">
      <c r="A206" s="6"/>
      <c r="B206" s="6"/>
      <c r="C206" s="155"/>
      <c r="D206" s="2" t="s">
        <v>1223</v>
      </c>
      <c r="E206" s="148"/>
      <c r="F206" s="137"/>
      <c r="G206" s="555"/>
      <c r="H206" s="137"/>
      <c r="I206" s="522"/>
      <c r="J206" s="253"/>
    </row>
    <row r="207" spans="1:10" x14ac:dyDescent="0.2">
      <c r="A207" s="6"/>
      <c r="B207" s="6"/>
      <c r="C207" s="155"/>
      <c r="D207" s="2" t="s">
        <v>1224</v>
      </c>
      <c r="E207" s="148" t="s">
        <v>9</v>
      </c>
      <c r="F207" s="137"/>
      <c r="G207" s="558">
        <v>9.86</v>
      </c>
      <c r="H207" s="137">
        <v>3.5</v>
      </c>
      <c r="I207" s="522">
        <v>2</v>
      </c>
      <c r="J207" s="253">
        <f t="shared" ref="J207:J208" si="21">ROUND(PRODUCT(G207:I207),2)</f>
        <v>69.02</v>
      </c>
    </row>
    <row r="208" spans="1:10" x14ac:dyDescent="0.2">
      <c r="A208" s="6"/>
      <c r="B208" s="6"/>
      <c r="C208" s="155"/>
      <c r="D208" s="2" t="s">
        <v>165</v>
      </c>
      <c r="E208" s="148" t="s">
        <v>9</v>
      </c>
      <c r="F208" s="137"/>
      <c r="G208" s="555">
        <v>0.87</v>
      </c>
      <c r="H208" s="137">
        <v>2.1</v>
      </c>
      <c r="I208" s="522">
        <v>2</v>
      </c>
      <c r="J208" s="253">
        <f t="shared" si="21"/>
        <v>3.65</v>
      </c>
    </row>
    <row r="209" spans="1:10" x14ac:dyDescent="0.2">
      <c r="A209" s="6"/>
      <c r="B209" s="6"/>
      <c r="C209" s="155"/>
      <c r="D209" s="2" t="s">
        <v>402</v>
      </c>
      <c r="E209" s="148" t="s">
        <v>9</v>
      </c>
      <c r="F209" s="555">
        <f>((1.5*1*4)+(1.5*2.1))</f>
        <v>9.15</v>
      </c>
      <c r="G209" s="555">
        <v>10.83</v>
      </c>
      <c r="H209" s="137">
        <f>(5+4)/2</f>
        <v>4.5</v>
      </c>
      <c r="I209" s="522">
        <v>2</v>
      </c>
      <c r="J209" s="253">
        <f>(ROUND(PRODUCT(G209:I209),2))-F209</f>
        <v>88.32</v>
      </c>
    </row>
    <row r="210" spans="1:10" x14ac:dyDescent="0.2">
      <c r="A210" s="6"/>
      <c r="B210" s="6"/>
      <c r="C210" s="155"/>
      <c r="D210" s="2" t="s">
        <v>1227</v>
      </c>
      <c r="E210" s="148" t="s">
        <v>9</v>
      </c>
      <c r="F210" s="555"/>
      <c r="G210" s="555">
        <v>2.25</v>
      </c>
      <c r="H210" s="137">
        <v>0.75</v>
      </c>
      <c r="I210" s="522">
        <v>2</v>
      </c>
      <c r="J210" s="253">
        <f>(ROUND(PRODUCT(G210:I210),2))-F210</f>
        <v>3.38</v>
      </c>
    </row>
    <row r="211" spans="1:10" x14ac:dyDescent="0.2">
      <c r="A211" s="6"/>
      <c r="B211" s="6"/>
      <c r="C211" s="155"/>
      <c r="D211" s="2" t="s">
        <v>166</v>
      </c>
      <c r="E211" s="148" t="s">
        <v>9</v>
      </c>
      <c r="F211" s="137"/>
      <c r="G211" s="555">
        <v>2.23</v>
      </c>
      <c r="H211" s="137">
        <v>3.5</v>
      </c>
      <c r="I211" s="522"/>
      <c r="J211" s="253">
        <f t="shared" ref="J211:J217" si="22">ROUND(PRODUCT(G211:I211),2)</f>
        <v>7.81</v>
      </c>
    </row>
    <row r="212" spans="1:10" x14ac:dyDescent="0.2">
      <c r="A212" s="6"/>
      <c r="B212" s="6"/>
      <c r="C212" s="155"/>
      <c r="D212" s="2" t="s">
        <v>1228</v>
      </c>
      <c r="E212" s="148" t="s">
        <v>9</v>
      </c>
      <c r="F212" s="137"/>
      <c r="G212" s="555">
        <v>1.6</v>
      </c>
      <c r="H212" s="137">
        <v>1</v>
      </c>
      <c r="I212" s="522">
        <v>2</v>
      </c>
      <c r="J212" s="253">
        <f t="shared" si="22"/>
        <v>3.2</v>
      </c>
    </row>
    <row r="213" spans="1:10" x14ac:dyDescent="0.2">
      <c r="A213" s="6"/>
      <c r="B213" s="6"/>
      <c r="C213" s="155"/>
      <c r="D213" s="2" t="s">
        <v>1229</v>
      </c>
      <c r="E213" s="148" t="s">
        <v>9</v>
      </c>
      <c r="F213" s="137"/>
      <c r="G213" s="555">
        <v>2.15</v>
      </c>
      <c r="H213" s="137">
        <v>3.5</v>
      </c>
      <c r="I213" s="522">
        <v>2</v>
      </c>
      <c r="J213" s="253">
        <f t="shared" si="22"/>
        <v>15.05</v>
      </c>
    </row>
    <row r="214" spans="1:10" x14ac:dyDescent="0.2">
      <c r="A214" s="6"/>
      <c r="B214" s="6"/>
      <c r="C214" s="155"/>
      <c r="D214" s="2" t="s">
        <v>1225</v>
      </c>
      <c r="E214" s="148" t="s">
        <v>9</v>
      </c>
      <c r="F214" s="137"/>
      <c r="G214" s="555">
        <v>9.1999999999999993</v>
      </c>
      <c r="H214" s="137">
        <v>0.75</v>
      </c>
      <c r="I214" s="522">
        <v>3</v>
      </c>
      <c r="J214" s="253">
        <f t="shared" si="22"/>
        <v>20.7</v>
      </c>
    </row>
    <row r="215" spans="1:10" x14ac:dyDescent="0.2">
      <c r="A215" s="6"/>
      <c r="B215" s="6"/>
      <c r="C215" s="155"/>
      <c r="D215" s="2" t="s">
        <v>1167</v>
      </c>
      <c r="E215" s="148" t="s">
        <v>9</v>
      </c>
      <c r="F215" s="137"/>
      <c r="G215" s="555">
        <v>4.5999999999999996</v>
      </c>
      <c r="H215" s="137">
        <v>1.8</v>
      </c>
      <c r="I215" s="522">
        <v>2</v>
      </c>
      <c r="J215" s="253">
        <f t="shared" si="22"/>
        <v>16.559999999999999</v>
      </c>
    </row>
    <row r="216" spans="1:10" x14ac:dyDescent="0.2">
      <c r="A216" s="6"/>
      <c r="B216" s="6"/>
      <c r="C216" s="155"/>
      <c r="D216" s="2" t="s">
        <v>1168</v>
      </c>
      <c r="E216" s="148" t="s">
        <v>9</v>
      </c>
      <c r="F216" s="137"/>
      <c r="G216" s="555">
        <v>4.5999999999999996</v>
      </c>
      <c r="H216" s="137">
        <v>1.8</v>
      </c>
      <c r="I216" s="522">
        <v>2</v>
      </c>
      <c r="J216" s="253">
        <f t="shared" si="22"/>
        <v>16.559999999999999</v>
      </c>
    </row>
    <row r="217" spans="1:10" x14ac:dyDescent="0.2">
      <c r="A217" s="6"/>
      <c r="B217" s="6"/>
      <c r="C217" s="155"/>
      <c r="D217" s="2" t="s">
        <v>1378</v>
      </c>
      <c r="E217" s="148" t="s">
        <v>9</v>
      </c>
      <c r="F217" s="137"/>
      <c r="G217" s="555">
        <f>5+5+1.5+1.5</f>
        <v>13</v>
      </c>
      <c r="H217" s="137">
        <v>0.9</v>
      </c>
      <c r="I217" s="522">
        <v>10</v>
      </c>
      <c r="J217" s="253">
        <f t="shared" si="22"/>
        <v>117</v>
      </c>
    </row>
    <row r="218" spans="1:10" x14ac:dyDescent="0.2">
      <c r="A218" s="6"/>
      <c r="B218" s="6"/>
      <c r="C218" s="155"/>
      <c r="D218" s="2" t="s">
        <v>1240</v>
      </c>
      <c r="E218" s="148" t="s">
        <v>9</v>
      </c>
      <c r="F218" s="137"/>
      <c r="G218" s="137">
        <f>G197</f>
        <v>340.71199999999993</v>
      </c>
      <c r="H218" s="137"/>
      <c r="I218" s="137">
        <v>0.15</v>
      </c>
      <c r="J218" s="253">
        <f>ROUND(PRODUCT(F218:I218),2)</f>
        <v>51.11</v>
      </c>
    </row>
    <row r="219" spans="1:10" x14ac:dyDescent="0.2">
      <c r="A219" s="6"/>
      <c r="B219" s="6"/>
      <c r="C219" s="155"/>
      <c r="D219" s="2" t="s">
        <v>1439</v>
      </c>
      <c r="E219" s="148" t="s">
        <v>9</v>
      </c>
      <c r="F219" s="137"/>
      <c r="G219" s="137">
        <v>18</v>
      </c>
      <c r="H219" s="137">
        <v>0.5</v>
      </c>
      <c r="I219" s="137">
        <v>2</v>
      </c>
      <c r="J219" s="253">
        <f>ROUND(PRODUCT(F219:I219),2)</f>
        <v>18</v>
      </c>
    </row>
    <row r="220" spans="1:10" x14ac:dyDescent="0.2">
      <c r="A220" s="6"/>
      <c r="B220" s="6"/>
      <c r="C220" s="155"/>
      <c r="D220" s="2"/>
      <c r="E220" s="148"/>
      <c r="F220" s="253"/>
      <c r="G220" s="253"/>
      <c r="H220" s="253"/>
      <c r="I220" s="519" t="str">
        <f>"Total item "&amp;A200</f>
        <v>Total item 5.2</v>
      </c>
      <c r="J220" s="518">
        <f>SUM(J202:J219)</f>
        <v>1192.0099999999995</v>
      </c>
    </row>
    <row r="221" spans="1:10" x14ac:dyDescent="0.2">
      <c r="A221" s="6"/>
      <c r="B221" s="6"/>
      <c r="C221" s="155"/>
      <c r="D221" s="2"/>
      <c r="E221" s="148"/>
      <c r="F221" s="253"/>
      <c r="G221" s="253"/>
      <c r="H221" s="253"/>
      <c r="I221" s="246"/>
      <c r="J221" s="258"/>
    </row>
    <row r="222" spans="1:10" ht="20.399999999999999" x14ac:dyDescent="0.2">
      <c r="A222" s="515">
        <f>'ORÇAMENTO SEM DESON'!A35</f>
        <v>5.3</v>
      </c>
      <c r="B222" s="9" t="s">
        <v>163</v>
      </c>
      <c r="C222" s="13" t="s">
        <v>412</v>
      </c>
      <c r="D222" s="520" t="str">
        <f>'ORÇAMENTO SEM DESON'!D35</f>
        <v>REBOCO EM CIMENTADO, TIPO BARRA LISA , APLICADA SOBRE EMBOCO PRONTO COM 5,0 MM DE ESPESSURA.</v>
      </c>
      <c r="E222" s="515" t="str">
        <f>'ORÇAMENTO SEM DESON'!E35</f>
        <v>m²</v>
      </c>
      <c r="F222" s="518"/>
      <c r="G222" s="518"/>
      <c r="H222" s="518"/>
      <c r="I222" s="519"/>
      <c r="J222" s="518"/>
    </row>
    <row r="223" spans="1:10" x14ac:dyDescent="0.2">
      <c r="A223" s="6"/>
      <c r="B223" s="6"/>
      <c r="C223" s="155"/>
      <c r="D223" s="2"/>
      <c r="E223" s="148"/>
      <c r="F223" s="137" t="s">
        <v>1226</v>
      </c>
      <c r="G223" s="137" t="s">
        <v>1137</v>
      </c>
      <c r="H223" s="137" t="s">
        <v>1142</v>
      </c>
      <c r="I223" s="522" t="s">
        <v>1138</v>
      </c>
      <c r="J223" s="253"/>
    </row>
    <row r="224" spans="1:10" x14ac:dyDescent="0.2">
      <c r="A224" s="6"/>
      <c r="B224" s="6"/>
      <c r="C224" s="155"/>
      <c r="D224" s="2" t="s">
        <v>1188</v>
      </c>
      <c r="E224" s="148" t="s">
        <v>9</v>
      </c>
      <c r="F224" s="118"/>
      <c r="G224" s="137">
        <f>62.89-6</f>
        <v>56.89</v>
      </c>
      <c r="H224" s="137">
        <v>1.1000000000000001</v>
      </c>
      <c r="I224" s="522">
        <v>2</v>
      </c>
      <c r="J224" s="253">
        <f>ROUND(PRODUCT(G224:I224),2)</f>
        <v>125.16</v>
      </c>
    </row>
    <row r="225" spans="1:10" x14ac:dyDescent="0.2">
      <c r="A225" s="6"/>
      <c r="B225" s="6"/>
      <c r="C225" s="155"/>
      <c r="D225" s="2" t="s">
        <v>1258</v>
      </c>
      <c r="E225" s="148"/>
      <c r="F225" s="118"/>
      <c r="G225" s="137">
        <f>56.89+40.19+40.19</f>
        <v>137.26999999999998</v>
      </c>
      <c r="H225" s="137">
        <v>2.2000000000000002</v>
      </c>
      <c r="I225" s="522">
        <v>2</v>
      </c>
      <c r="J225" s="253">
        <f>ROUND(PRODUCT(G225:I225),2)</f>
        <v>603.99</v>
      </c>
    </row>
    <row r="226" spans="1:10" x14ac:dyDescent="0.2">
      <c r="A226" s="6"/>
      <c r="B226" s="6"/>
      <c r="C226" s="155"/>
      <c r="D226" s="2" t="s">
        <v>1230</v>
      </c>
      <c r="E226" s="148" t="s">
        <v>9</v>
      </c>
      <c r="F226" s="118"/>
      <c r="G226" s="137">
        <v>1.3</v>
      </c>
      <c r="H226" s="137">
        <f>2.8+2.8+3.9</f>
        <v>9.5</v>
      </c>
      <c r="I226" s="522">
        <v>2</v>
      </c>
      <c r="J226" s="253">
        <f>ROUND(PRODUCT(G226:I226),2)</f>
        <v>24.7</v>
      </c>
    </row>
    <row r="227" spans="1:10" x14ac:dyDescent="0.2">
      <c r="A227" s="6"/>
      <c r="B227" s="6"/>
      <c r="C227" s="155"/>
      <c r="D227" s="2" t="s">
        <v>1231</v>
      </c>
      <c r="E227" s="148" t="s">
        <v>9</v>
      </c>
      <c r="F227" s="118"/>
      <c r="G227" s="137">
        <v>3.9</v>
      </c>
      <c r="H227" s="137">
        <v>1</v>
      </c>
      <c r="I227" s="522">
        <v>2</v>
      </c>
      <c r="J227" s="253">
        <f>ROUND(PRODUCT(G227:I227),2)</f>
        <v>7.8</v>
      </c>
    </row>
    <row r="228" spans="1:10" x14ac:dyDescent="0.2">
      <c r="A228" s="6"/>
      <c r="B228" s="6"/>
      <c r="C228" s="155"/>
      <c r="D228" s="2" t="s">
        <v>1223</v>
      </c>
      <c r="E228" s="148"/>
      <c r="F228" s="137"/>
      <c r="G228" s="555"/>
      <c r="H228" s="137"/>
      <c r="I228" s="522"/>
      <c r="J228" s="253"/>
    </row>
    <row r="229" spans="1:10" x14ac:dyDescent="0.2">
      <c r="A229" s="6"/>
      <c r="B229" s="6"/>
      <c r="C229" s="155"/>
      <c r="D229" s="2" t="s">
        <v>1224</v>
      </c>
      <c r="E229" s="148" t="s">
        <v>9</v>
      </c>
      <c r="F229" s="137"/>
      <c r="G229" s="558">
        <v>9.86</v>
      </c>
      <c r="H229" s="137">
        <v>3.5</v>
      </c>
      <c r="I229" s="522">
        <v>2</v>
      </c>
      <c r="J229" s="253">
        <f t="shared" ref="J229:J230" si="23">ROUND(PRODUCT(G229:I229),2)</f>
        <v>69.02</v>
      </c>
    </row>
    <row r="230" spans="1:10" x14ac:dyDescent="0.2">
      <c r="A230" s="6"/>
      <c r="B230" s="6"/>
      <c r="C230" s="155"/>
      <c r="D230" s="2" t="s">
        <v>165</v>
      </c>
      <c r="E230" s="148" t="s">
        <v>9</v>
      </c>
      <c r="F230" s="137"/>
      <c r="G230" s="555">
        <v>0.87</v>
      </c>
      <c r="H230" s="137">
        <v>2.1</v>
      </c>
      <c r="I230" s="522">
        <v>2</v>
      </c>
      <c r="J230" s="253">
        <f t="shared" si="23"/>
        <v>3.65</v>
      </c>
    </row>
    <row r="231" spans="1:10" x14ac:dyDescent="0.2">
      <c r="A231" s="6"/>
      <c r="B231" s="6"/>
      <c r="C231" s="155"/>
      <c r="D231" s="2" t="s">
        <v>1232</v>
      </c>
      <c r="E231" s="148" t="s">
        <v>9</v>
      </c>
      <c r="F231" s="555">
        <f>((1.5*1*4)+(1.5*2.1))</f>
        <v>9.15</v>
      </c>
      <c r="G231" s="555">
        <v>10.83</v>
      </c>
      <c r="H231" s="137">
        <f>4.5-1.45</f>
        <v>3.05</v>
      </c>
      <c r="I231" s="522">
        <v>1</v>
      </c>
      <c r="J231" s="253">
        <f>(ROUND(PRODUCT(G231:I231),2))-F231</f>
        <v>23.880000000000003</v>
      </c>
    </row>
    <row r="232" spans="1:10" x14ac:dyDescent="0.2">
      <c r="A232" s="6"/>
      <c r="B232" s="6"/>
      <c r="C232" s="155"/>
      <c r="D232" s="2" t="s">
        <v>1233</v>
      </c>
      <c r="E232" s="148" t="s">
        <v>9</v>
      </c>
      <c r="F232" s="555">
        <f>((1.5*1*4)+(1.5*2.1))</f>
        <v>9.15</v>
      </c>
      <c r="G232" s="555">
        <v>10.83</v>
      </c>
      <c r="H232" s="137">
        <v>4.5</v>
      </c>
      <c r="I232" s="522">
        <v>1</v>
      </c>
      <c r="J232" s="253">
        <f>(ROUND(PRODUCT(G232:I232),2))-F232</f>
        <v>39.590000000000003</v>
      </c>
    </row>
    <row r="233" spans="1:10" x14ac:dyDescent="0.2">
      <c r="A233" s="6"/>
      <c r="B233" s="6"/>
      <c r="C233" s="155"/>
      <c r="D233" s="2" t="s">
        <v>1227</v>
      </c>
      <c r="E233" s="148" t="s">
        <v>9</v>
      </c>
      <c r="F233" s="555"/>
      <c r="G233" s="555">
        <v>2.25</v>
      </c>
      <c r="H233" s="137">
        <v>0.75</v>
      </c>
      <c r="I233" s="522">
        <v>2</v>
      </c>
      <c r="J233" s="253">
        <f>(ROUND(PRODUCT(G233:I233),2))-F233</f>
        <v>3.38</v>
      </c>
    </row>
    <row r="234" spans="1:10" x14ac:dyDescent="0.2">
      <c r="A234" s="6"/>
      <c r="B234" s="6"/>
      <c r="C234" s="155"/>
      <c r="D234" s="2" t="s">
        <v>166</v>
      </c>
      <c r="E234" s="148" t="s">
        <v>9</v>
      </c>
      <c r="F234" s="137"/>
      <c r="G234" s="555">
        <v>2.23</v>
      </c>
      <c r="H234" s="137">
        <v>3.5</v>
      </c>
      <c r="I234" s="522"/>
      <c r="J234" s="253">
        <f t="shared" ref="J234:J238" si="24">ROUND(PRODUCT(G234:I234),2)</f>
        <v>7.81</v>
      </c>
    </row>
    <row r="235" spans="1:10" x14ac:dyDescent="0.2">
      <c r="A235" s="6"/>
      <c r="B235" s="6"/>
      <c r="C235" s="155"/>
      <c r="D235" s="2" t="s">
        <v>1228</v>
      </c>
      <c r="E235" s="148" t="s">
        <v>9</v>
      </c>
      <c r="F235" s="137"/>
      <c r="G235" s="555">
        <v>1.6</v>
      </c>
      <c r="H235" s="137">
        <v>1</v>
      </c>
      <c r="I235" s="522">
        <v>2</v>
      </c>
      <c r="J235" s="253">
        <f t="shared" si="24"/>
        <v>3.2</v>
      </c>
    </row>
    <row r="236" spans="1:10" x14ac:dyDescent="0.2">
      <c r="A236" s="6"/>
      <c r="B236" s="6"/>
      <c r="C236" s="155"/>
      <c r="D236" s="2" t="s">
        <v>1229</v>
      </c>
      <c r="E236" s="148" t="s">
        <v>9</v>
      </c>
      <c r="F236" s="137"/>
      <c r="G236" s="555">
        <v>2.15</v>
      </c>
      <c r="H236" s="137">
        <v>3.5</v>
      </c>
      <c r="I236" s="522">
        <v>2</v>
      </c>
      <c r="J236" s="253">
        <f t="shared" si="24"/>
        <v>15.05</v>
      </c>
    </row>
    <row r="237" spans="1:10" x14ac:dyDescent="0.2">
      <c r="A237" s="6"/>
      <c r="B237" s="6"/>
      <c r="C237" s="155"/>
      <c r="D237" s="2" t="s">
        <v>1378</v>
      </c>
      <c r="E237" s="148" t="s">
        <v>9</v>
      </c>
      <c r="F237" s="137"/>
      <c r="G237" s="555">
        <f>5+5+1.5+1.5</f>
        <v>13</v>
      </c>
      <c r="H237" s="137">
        <v>0.9</v>
      </c>
      <c r="I237" s="522">
        <v>10</v>
      </c>
      <c r="J237" s="253">
        <f t="shared" si="24"/>
        <v>117</v>
      </c>
    </row>
    <row r="238" spans="1:10" x14ac:dyDescent="0.2">
      <c r="A238" s="6"/>
      <c r="B238" s="6"/>
      <c r="C238" s="155"/>
      <c r="D238" s="2" t="s">
        <v>1225</v>
      </c>
      <c r="E238" s="148" t="s">
        <v>9</v>
      </c>
      <c r="F238" s="137"/>
      <c r="G238" s="555">
        <v>9.1999999999999993</v>
      </c>
      <c r="H238" s="137">
        <v>0.75</v>
      </c>
      <c r="I238" s="522">
        <v>3</v>
      </c>
      <c r="J238" s="253">
        <f t="shared" si="24"/>
        <v>20.7</v>
      </c>
    </row>
    <row r="239" spans="1:10" x14ac:dyDescent="0.2">
      <c r="A239" s="6"/>
      <c r="B239" s="6"/>
      <c r="C239" s="155"/>
      <c r="D239" s="2" t="s">
        <v>1240</v>
      </c>
      <c r="E239" s="148" t="s">
        <v>9</v>
      </c>
      <c r="F239" s="137"/>
      <c r="G239" s="137">
        <f>G218</f>
        <v>340.71199999999993</v>
      </c>
      <c r="H239" s="137"/>
      <c r="I239" s="137">
        <v>0.15</v>
      </c>
      <c r="J239" s="253">
        <f>ROUND(PRODUCT(F239:I239),2)</f>
        <v>51.11</v>
      </c>
    </row>
    <row r="240" spans="1:10" x14ac:dyDescent="0.2">
      <c r="A240" s="6"/>
      <c r="B240" s="6"/>
      <c r="C240" s="155"/>
      <c r="D240" s="2" t="s">
        <v>1439</v>
      </c>
      <c r="E240" s="148" t="s">
        <v>9</v>
      </c>
      <c r="F240" s="137"/>
      <c r="G240" s="137">
        <v>18</v>
      </c>
      <c r="H240" s="137">
        <v>0.5</v>
      </c>
      <c r="I240" s="137">
        <v>2</v>
      </c>
      <c r="J240" s="253">
        <f>ROUND(PRODUCT(F240:I240),2)</f>
        <v>18</v>
      </c>
    </row>
    <row r="241" spans="1:10" x14ac:dyDescent="0.2">
      <c r="A241" s="6"/>
      <c r="B241" s="6"/>
      <c r="C241" s="155"/>
      <c r="D241" s="2"/>
      <c r="E241" s="148"/>
      <c r="F241" s="253"/>
      <c r="G241" s="253"/>
      <c r="H241" s="253"/>
      <c r="I241" s="519" t="str">
        <f>"Total item "&amp;A222</f>
        <v>Total item 5.3</v>
      </c>
      <c r="J241" s="518">
        <f>SUM(J224:J240)</f>
        <v>1134.04</v>
      </c>
    </row>
    <row r="242" spans="1:10" x14ac:dyDescent="0.2">
      <c r="A242" s="6"/>
      <c r="B242" s="6"/>
      <c r="C242" s="155"/>
      <c r="D242" s="2"/>
      <c r="E242" s="148"/>
      <c r="F242" s="253"/>
      <c r="G242" s="253"/>
      <c r="H242" s="253"/>
      <c r="I242" s="246"/>
      <c r="J242" s="258"/>
    </row>
    <row r="243" spans="1:10" ht="30.6" customHeight="1" x14ac:dyDescent="0.2">
      <c r="A243" s="515">
        <f>'ORÇAMENTO SEM DESON'!A36</f>
        <v>5.4</v>
      </c>
      <c r="B243" s="9" t="s">
        <v>163</v>
      </c>
      <c r="C243" s="13" t="s">
        <v>412</v>
      </c>
      <c r="D243" s="520" t="str">
        <f>'ORÇAMENTO SEM DESON'!D36</f>
        <v>ALVENARIA DE TIJOLOS DE 8 FUROS, ASSENTADOS E REJUNTADOS COM ARGAMASSA DE CIMENTO E AREIA NO TRACO 1:12 - 1/2 VEZ.</v>
      </c>
      <c r="E243" s="515" t="str">
        <f>'ORÇAMENTO SEM DESON'!E36</f>
        <v>m²</v>
      </c>
      <c r="F243" s="518"/>
      <c r="G243" s="518"/>
      <c r="H243" s="518"/>
      <c r="I243" s="519"/>
      <c r="J243" s="518"/>
    </row>
    <row r="244" spans="1:10" x14ac:dyDescent="0.2">
      <c r="A244" s="6"/>
      <c r="B244" s="6"/>
      <c r="C244" s="155"/>
      <c r="D244" s="2"/>
      <c r="E244" s="148"/>
      <c r="F244" s="137" t="s">
        <v>1226</v>
      </c>
      <c r="G244" s="137" t="s">
        <v>1137</v>
      </c>
      <c r="H244" s="137" t="s">
        <v>1142</v>
      </c>
      <c r="I244" s="522" t="s">
        <v>1377</v>
      </c>
      <c r="J244" s="253"/>
    </row>
    <row r="245" spans="1:10" x14ac:dyDescent="0.2">
      <c r="A245" s="6"/>
      <c r="B245" s="6"/>
      <c r="C245" s="155"/>
      <c r="D245" s="2" t="s">
        <v>1257</v>
      </c>
      <c r="E245" s="148" t="s">
        <v>9</v>
      </c>
      <c r="F245" s="118"/>
      <c r="G245" s="137">
        <f>62.89-6</f>
        <v>56.89</v>
      </c>
      <c r="H245" s="137">
        <f>1.1-0.3</f>
        <v>0.8</v>
      </c>
      <c r="I245" s="522"/>
      <c r="J245" s="253">
        <f>ROUND(PRODUCT(G245:I245),2)</f>
        <v>45.51</v>
      </c>
    </row>
    <row r="246" spans="1:10" x14ac:dyDescent="0.2">
      <c r="A246" s="6"/>
      <c r="B246" s="6"/>
      <c r="C246" s="155"/>
      <c r="D246" s="2" t="s">
        <v>1258</v>
      </c>
      <c r="E246" s="148"/>
      <c r="F246" s="118"/>
      <c r="G246" s="137">
        <f>56.89+40.19+40.19</f>
        <v>137.26999999999998</v>
      </c>
      <c r="H246" s="137">
        <v>2.2000000000000002</v>
      </c>
      <c r="I246" s="522"/>
      <c r="J246" s="253">
        <f>ROUND(PRODUCT(G246:I246),2)</f>
        <v>301.99</v>
      </c>
    </row>
    <row r="247" spans="1:10" x14ac:dyDescent="0.2">
      <c r="A247" s="6"/>
      <c r="B247" s="6"/>
      <c r="C247" s="155"/>
      <c r="D247" s="2" t="s">
        <v>1231</v>
      </c>
      <c r="E247" s="148" t="s">
        <v>9</v>
      </c>
      <c r="F247" s="118"/>
      <c r="G247" s="137">
        <v>3.9</v>
      </c>
      <c r="H247" s="137">
        <v>1</v>
      </c>
      <c r="I247" s="522"/>
      <c r="J247" s="253">
        <f>ROUND(PRODUCT(G247:I247),2)</f>
        <v>3.9</v>
      </c>
    </row>
    <row r="248" spans="1:10" x14ac:dyDescent="0.2">
      <c r="A248" s="6"/>
      <c r="B248" s="6"/>
      <c r="C248" s="155"/>
      <c r="D248" s="2" t="s">
        <v>1223</v>
      </c>
      <c r="E248" s="148"/>
      <c r="F248" s="137"/>
      <c r="G248" s="555"/>
      <c r="H248" s="137"/>
      <c r="I248" s="522"/>
      <c r="J248" s="253"/>
    </row>
    <row r="249" spans="1:10" x14ac:dyDescent="0.2">
      <c r="A249" s="6"/>
      <c r="B249" s="6"/>
      <c r="C249" s="155"/>
      <c r="D249" s="2" t="s">
        <v>1224</v>
      </c>
      <c r="E249" s="148" t="s">
        <v>9</v>
      </c>
      <c r="F249" s="137"/>
      <c r="G249" s="558">
        <v>9.86</v>
      </c>
      <c r="H249" s="137">
        <v>3.5</v>
      </c>
      <c r="I249" s="522"/>
      <c r="J249" s="253">
        <f t="shared" ref="J249:J250" si="25">ROUND(PRODUCT(G249:I249),2)</f>
        <v>34.51</v>
      </c>
    </row>
    <row r="250" spans="1:10" x14ac:dyDescent="0.2">
      <c r="A250" s="6"/>
      <c r="B250" s="6"/>
      <c r="C250" s="155"/>
      <c r="D250" s="2" t="s">
        <v>165</v>
      </c>
      <c r="E250" s="148" t="s">
        <v>9</v>
      </c>
      <c r="F250" s="137"/>
      <c r="G250" s="555">
        <v>0.87</v>
      </c>
      <c r="H250" s="137">
        <v>2.1</v>
      </c>
      <c r="I250" s="522"/>
      <c r="J250" s="253">
        <f t="shared" si="25"/>
        <v>1.83</v>
      </c>
    </row>
    <row r="251" spans="1:10" x14ac:dyDescent="0.2">
      <c r="A251" s="6"/>
      <c r="B251" s="6"/>
      <c r="C251" s="155"/>
      <c r="D251" s="2" t="s">
        <v>402</v>
      </c>
      <c r="E251" s="148" t="s">
        <v>9</v>
      </c>
      <c r="F251" s="555"/>
      <c r="G251" s="555">
        <v>10.83</v>
      </c>
      <c r="H251" s="137">
        <f>(5+4)/2</f>
        <v>4.5</v>
      </c>
      <c r="I251" s="522"/>
      <c r="J251" s="253">
        <f>(ROUND(PRODUCT(G251:I251),2))-F251</f>
        <v>48.74</v>
      </c>
    </row>
    <row r="252" spans="1:10" x14ac:dyDescent="0.2">
      <c r="A252" s="6"/>
      <c r="B252" s="6"/>
      <c r="C252" s="155"/>
      <c r="D252" s="2" t="s">
        <v>1227</v>
      </c>
      <c r="E252" s="148" t="s">
        <v>9</v>
      </c>
      <c r="F252" s="555"/>
      <c r="G252" s="555">
        <v>2.25</v>
      </c>
      <c r="H252" s="137">
        <v>0.75</v>
      </c>
      <c r="I252" s="522"/>
      <c r="J252" s="253">
        <f>(ROUND(PRODUCT(G252:I252),2))-F252</f>
        <v>1.69</v>
      </c>
    </row>
    <row r="253" spans="1:10" x14ac:dyDescent="0.2">
      <c r="A253" s="6"/>
      <c r="B253" s="6"/>
      <c r="C253" s="155"/>
      <c r="D253" s="2" t="s">
        <v>166</v>
      </c>
      <c r="E253" s="148" t="s">
        <v>9</v>
      </c>
      <c r="F253" s="137"/>
      <c r="G253" s="555">
        <v>2.23</v>
      </c>
      <c r="H253" s="137">
        <v>3.5</v>
      </c>
      <c r="I253" s="522"/>
      <c r="J253" s="253">
        <f t="shared" ref="J253:J259" si="26">ROUND(PRODUCT(G253:I253),2)</f>
        <v>7.81</v>
      </c>
    </row>
    <row r="254" spans="1:10" x14ac:dyDescent="0.2">
      <c r="A254" s="6"/>
      <c r="B254" s="6"/>
      <c r="C254" s="155"/>
      <c r="D254" s="2" t="s">
        <v>1228</v>
      </c>
      <c r="E254" s="148" t="s">
        <v>9</v>
      </c>
      <c r="F254" s="137"/>
      <c r="G254" s="555">
        <v>1.6</v>
      </c>
      <c r="H254" s="137">
        <v>1</v>
      </c>
      <c r="I254" s="522"/>
      <c r="J254" s="253">
        <f t="shared" si="26"/>
        <v>1.6</v>
      </c>
    </row>
    <row r="255" spans="1:10" x14ac:dyDescent="0.2">
      <c r="A255" s="6"/>
      <c r="B255" s="6"/>
      <c r="C255" s="155"/>
      <c r="D255" s="2" t="s">
        <v>1229</v>
      </c>
      <c r="E255" s="148" t="s">
        <v>9</v>
      </c>
      <c r="F255" s="137"/>
      <c r="G255" s="555">
        <v>2.15</v>
      </c>
      <c r="H255" s="137">
        <v>3.5</v>
      </c>
      <c r="I255" s="522"/>
      <c r="J255" s="253">
        <f t="shared" si="26"/>
        <v>7.53</v>
      </c>
    </row>
    <row r="256" spans="1:10" x14ac:dyDescent="0.2">
      <c r="A256" s="6"/>
      <c r="B256" s="6"/>
      <c r="C256" s="155"/>
      <c r="D256" s="2" t="s">
        <v>1225</v>
      </c>
      <c r="E256" s="148" t="s">
        <v>9</v>
      </c>
      <c r="F256" s="137"/>
      <c r="G256" s="555">
        <v>9.1999999999999993</v>
      </c>
      <c r="H256" s="137">
        <v>0.75</v>
      </c>
      <c r="I256" s="522"/>
      <c r="J256" s="253">
        <f t="shared" si="26"/>
        <v>6.9</v>
      </c>
    </row>
    <row r="257" spans="1:10" x14ac:dyDescent="0.2">
      <c r="A257" s="6"/>
      <c r="B257" s="6"/>
      <c r="C257" s="155"/>
      <c r="D257" s="2" t="s">
        <v>1167</v>
      </c>
      <c r="E257" s="148" t="s">
        <v>9</v>
      </c>
      <c r="F257" s="137"/>
      <c r="G257" s="555">
        <v>4.5999999999999996</v>
      </c>
      <c r="H257" s="137">
        <v>1.8</v>
      </c>
      <c r="I257" s="522"/>
      <c r="J257" s="253">
        <f t="shared" si="26"/>
        <v>8.2799999999999994</v>
      </c>
    </row>
    <row r="258" spans="1:10" x14ac:dyDescent="0.2">
      <c r="A258" s="6"/>
      <c r="B258" s="6"/>
      <c r="C258" s="155"/>
      <c r="D258" s="2" t="s">
        <v>1168</v>
      </c>
      <c r="E258" s="148" t="s">
        <v>9</v>
      </c>
      <c r="F258" s="137"/>
      <c r="G258" s="555">
        <v>4.5999999999999996</v>
      </c>
      <c r="H258" s="137">
        <v>1.8</v>
      </c>
      <c r="I258" s="522"/>
      <c r="J258" s="253">
        <f t="shared" si="26"/>
        <v>8.2799999999999994</v>
      </c>
    </row>
    <row r="259" spans="1:10" x14ac:dyDescent="0.2">
      <c r="A259" s="6"/>
      <c r="B259" s="6"/>
      <c r="C259" s="155"/>
      <c r="D259" s="2" t="s">
        <v>1376</v>
      </c>
      <c r="E259" s="148" t="s">
        <v>9</v>
      </c>
      <c r="F259" s="137"/>
      <c r="G259" s="555">
        <f>6.5+6.5+6.5+6.5</f>
        <v>26</v>
      </c>
      <c r="H259" s="137">
        <v>0.15</v>
      </c>
      <c r="I259" s="522">
        <v>2</v>
      </c>
      <c r="J259" s="253">
        <f t="shared" si="26"/>
        <v>7.8</v>
      </c>
    </row>
    <row r="260" spans="1:10" x14ac:dyDescent="0.2">
      <c r="A260" s="6"/>
      <c r="B260" s="6"/>
      <c r="C260" s="155"/>
      <c r="D260" s="2"/>
      <c r="E260" s="148"/>
      <c r="F260" s="253"/>
      <c r="G260" s="253"/>
      <c r="H260" s="253"/>
      <c r="I260" s="519" t="str">
        <f>"Total item "&amp;A243</f>
        <v>Total item 5.4</v>
      </c>
      <c r="J260" s="518">
        <f>SUM(J245:J259)</f>
        <v>486.36999999999989</v>
      </c>
    </row>
    <row r="261" spans="1:10" x14ac:dyDescent="0.2">
      <c r="A261" s="6"/>
      <c r="B261" s="6"/>
      <c r="C261" s="155"/>
      <c r="D261" s="2"/>
      <c r="E261" s="148"/>
      <c r="F261" s="253"/>
      <c r="G261" s="253"/>
      <c r="H261" s="253"/>
      <c r="I261" s="246"/>
      <c r="J261" s="258"/>
    </row>
    <row r="262" spans="1:10" ht="51" x14ac:dyDescent="0.2">
      <c r="A262" s="515">
        <f>'ORÇAMENTO SEM DESON'!A37</f>
        <v>5.5</v>
      </c>
      <c r="B262" s="9" t="s">
        <v>163</v>
      </c>
      <c r="C262" s="13" t="s">
        <v>412</v>
      </c>
      <c r="D262" s="520" t="str">
        <f>'ORÇAMENTO SEM DESON'!D37</f>
        <v>REVESTIMENTO EM PAREDE COM CERAMICA ESMALTADA 45X45CM, TIPO A, PEI5, ELIANE,PORTO RICO, SAMARSA, ELIZABETH OU SIMILAR, ASSENTADO COM ARGAMASSA PRE FABRICADA E REJUNTE DA QUARTZOLIT OU SIMILAR (ESPESSURA DA JUNTA DE 6MM) SOBRE EMBOCO PRONTO.</v>
      </c>
      <c r="E262" s="515" t="str">
        <f>'ORÇAMENTO SEM DESON'!E37</f>
        <v>m²</v>
      </c>
      <c r="F262" s="518"/>
      <c r="G262" s="518"/>
      <c r="H262" s="518"/>
      <c r="I262" s="519"/>
      <c r="J262" s="518"/>
    </row>
    <row r="263" spans="1:10" x14ac:dyDescent="0.2">
      <c r="A263" s="6"/>
      <c r="B263" s="6"/>
      <c r="C263" s="155"/>
      <c r="D263" s="2"/>
      <c r="E263" s="148"/>
      <c r="F263" s="137" t="s">
        <v>1226</v>
      </c>
      <c r="G263" s="137" t="s">
        <v>1137</v>
      </c>
      <c r="H263" s="137" t="s">
        <v>1142</v>
      </c>
      <c r="I263" s="522"/>
      <c r="J263" s="253"/>
    </row>
    <row r="264" spans="1:10" x14ac:dyDescent="0.2">
      <c r="A264" s="6"/>
      <c r="B264" s="6"/>
      <c r="C264" s="155"/>
      <c r="D264" s="2" t="s">
        <v>1223</v>
      </c>
      <c r="E264" s="148"/>
      <c r="F264" s="137"/>
      <c r="G264" s="555"/>
      <c r="H264" s="137"/>
      <c r="I264" s="522"/>
      <c r="J264" s="253"/>
    </row>
    <row r="265" spans="1:10" x14ac:dyDescent="0.2">
      <c r="A265" s="6"/>
      <c r="B265" s="6"/>
      <c r="C265" s="155"/>
      <c r="D265" s="2" t="s">
        <v>165</v>
      </c>
      <c r="E265" s="148" t="s">
        <v>9</v>
      </c>
      <c r="F265" s="137"/>
      <c r="G265" s="558">
        <f>F35</f>
        <v>15.34</v>
      </c>
      <c r="H265" s="137">
        <v>3.5</v>
      </c>
      <c r="I265" s="522"/>
      <c r="J265" s="253">
        <f t="shared" ref="J265" si="27">ROUND(PRODUCT(G265:I265),2)</f>
        <v>53.69</v>
      </c>
    </row>
    <row r="266" spans="1:10" x14ac:dyDescent="0.2">
      <c r="A266" s="6"/>
      <c r="B266" s="6"/>
      <c r="C266" s="155"/>
      <c r="D266" s="2" t="s">
        <v>402</v>
      </c>
      <c r="E266" s="148" t="s">
        <v>9</v>
      </c>
      <c r="F266" s="555"/>
      <c r="G266" s="559">
        <f>3.87+3.87+7.38+7.38</f>
        <v>22.5</v>
      </c>
      <c r="H266" s="137">
        <v>1.35</v>
      </c>
      <c r="I266" s="522"/>
      <c r="J266" s="253">
        <f>(ROUND(PRODUCT(G266:I266),2))-F266</f>
        <v>30.38</v>
      </c>
    </row>
    <row r="267" spans="1:10" x14ac:dyDescent="0.2">
      <c r="A267" s="6"/>
      <c r="B267" s="6"/>
      <c r="C267" s="155"/>
      <c r="D267" s="2" t="s">
        <v>1227</v>
      </c>
      <c r="E267" s="148" t="s">
        <v>9</v>
      </c>
      <c r="F267" s="555"/>
      <c r="G267" s="559">
        <f>2.25*2</f>
        <v>4.5</v>
      </c>
      <c r="H267" s="137">
        <v>0.75</v>
      </c>
      <c r="I267" s="522"/>
      <c r="J267" s="253">
        <f>(ROUND(PRODUCT(G267:I267),2))-F267</f>
        <v>3.38</v>
      </c>
    </row>
    <row r="268" spans="1:10" x14ac:dyDescent="0.2">
      <c r="A268" s="6"/>
      <c r="B268" s="6"/>
      <c r="C268" s="155"/>
      <c r="D268" s="2" t="s">
        <v>490</v>
      </c>
      <c r="E268" s="148" t="s">
        <v>9</v>
      </c>
      <c r="F268" s="137"/>
      <c r="G268" s="559">
        <v>2.2999999999999998</v>
      </c>
      <c r="H268" s="137">
        <v>3.5</v>
      </c>
      <c r="I268" s="522"/>
      <c r="J268" s="253">
        <f t="shared" ref="J268:J271" si="28">ROUND(PRODUCT(G268:I268),2)</f>
        <v>8.0500000000000007</v>
      </c>
    </row>
    <row r="269" spans="1:10" x14ac:dyDescent="0.2">
      <c r="A269" s="6"/>
      <c r="B269" s="6"/>
      <c r="C269" s="155"/>
      <c r="D269" s="2" t="s">
        <v>1225</v>
      </c>
      <c r="E269" s="148" t="s">
        <v>9</v>
      </c>
      <c r="F269" s="137"/>
      <c r="G269" s="559">
        <f>9.2*3</f>
        <v>27.599999999999998</v>
      </c>
      <c r="H269" s="137">
        <v>0.75</v>
      </c>
      <c r="I269" s="522"/>
      <c r="J269" s="253">
        <f t="shared" si="28"/>
        <v>20.7</v>
      </c>
    </row>
    <row r="270" spans="1:10" x14ac:dyDescent="0.2">
      <c r="A270" s="6"/>
      <c r="B270" s="6"/>
      <c r="C270" s="155"/>
      <c r="D270" s="2" t="s">
        <v>1167</v>
      </c>
      <c r="E270" s="148" t="s">
        <v>9</v>
      </c>
      <c r="F270" s="137"/>
      <c r="G270" s="559">
        <f>1.7+1.7+1.7+1.7+1.1+1.1</f>
        <v>9</v>
      </c>
      <c r="H270" s="137">
        <v>1.8</v>
      </c>
      <c r="I270" s="522"/>
      <c r="J270" s="253">
        <f t="shared" si="28"/>
        <v>16.2</v>
      </c>
    </row>
    <row r="271" spans="1:10" x14ac:dyDescent="0.2">
      <c r="A271" s="6"/>
      <c r="B271" s="6"/>
      <c r="C271" s="155"/>
      <c r="D271" s="2" t="s">
        <v>1168</v>
      </c>
      <c r="E271" s="148" t="s">
        <v>9</v>
      </c>
      <c r="F271" s="137"/>
      <c r="G271" s="559">
        <f>1.7+1.7+1.7+1.7+1.1+1.1</f>
        <v>9</v>
      </c>
      <c r="H271" s="137">
        <v>1.8</v>
      </c>
      <c r="I271" s="522"/>
      <c r="J271" s="253">
        <f t="shared" si="28"/>
        <v>16.2</v>
      </c>
    </row>
    <row r="272" spans="1:10" x14ac:dyDescent="0.2">
      <c r="A272" s="6"/>
      <c r="B272" s="6"/>
      <c r="C272" s="155"/>
      <c r="D272" s="2" t="s">
        <v>1167</v>
      </c>
      <c r="E272" s="148" t="s">
        <v>9</v>
      </c>
      <c r="F272" s="137"/>
      <c r="G272" s="555">
        <f>3.77+3.77+3.84+3.84</f>
        <v>15.219999999999999</v>
      </c>
      <c r="H272" s="137">
        <v>3.5</v>
      </c>
      <c r="I272" s="522"/>
      <c r="J272" s="253">
        <f t="shared" ref="J272:J274" si="29">ROUND(PRODUCT(G272:I272),2)</f>
        <v>53.27</v>
      </c>
    </row>
    <row r="273" spans="1:10" x14ac:dyDescent="0.2">
      <c r="A273" s="6"/>
      <c r="B273" s="6"/>
      <c r="C273" s="155"/>
      <c r="D273" s="2" t="s">
        <v>1168</v>
      </c>
      <c r="E273" s="148" t="s">
        <v>9</v>
      </c>
      <c r="F273" s="137"/>
      <c r="G273" s="555">
        <f>3.77+3.77+3.84+3.84</f>
        <v>15.219999999999999</v>
      </c>
      <c r="H273" s="137">
        <v>3.5</v>
      </c>
      <c r="I273" s="522"/>
      <c r="J273" s="253">
        <f t="shared" si="29"/>
        <v>53.27</v>
      </c>
    </row>
    <row r="274" spans="1:10" x14ac:dyDescent="0.2">
      <c r="A274" s="6"/>
      <c r="B274" s="6"/>
      <c r="C274" s="155"/>
      <c r="D274" s="2" t="s">
        <v>1177</v>
      </c>
      <c r="E274" s="148" t="s">
        <v>9</v>
      </c>
      <c r="F274" s="137"/>
      <c r="G274" s="555">
        <f>1.48+1.18+1.48+1.18</f>
        <v>5.32</v>
      </c>
      <c r="H274" s="137">
        <v>3.5</v>
      </c>
      <c r="I274" s="522"/>
      <c r="J274" s="253">
        <f t="shared" si="29"/>
        <v>18.62</v>
      </c>
    </row>
    <row r="275" spans="1:10" x14ac:dyDescent="0.2">
      <c r="A275" s="6"/>
      <c r="B275" s="6"/>
      <c r="C275" s="155"/>
      <c r="D275" s="2"/>
      <c r="E275" s="148"/>
      <c r="F275" s="253"/>
      <c r="G275" s="253"/>
      <c r="H275" s="253"/>
      <c r="I275" s="519" t="str">
        <f>"Total item "&amp;A262</f>
        <v>Total item 5.5</v>
      </c>
      <c r="J275" s="518">
        <f>SUM(J264:J274)</f>
        <v>273.76</v>
      </c>
    </row>
    <row r="276" spans="1:10" x14ac:dyDescent="0.2">
      <c r="A276" s="6"/>
      <c r="B276" s="6"/>
      <c r="C276" s="155"/>
      <c r="D276" s="2"/>
      <c r="E276" s="148"/>
      <c r="F276" s="253"/>
      <c r="G276" s="253"/>
      <c r="H276" s="253"/>
      <c r="I276" s="246"/>
      <c r="J276" s="258"/>
    </row>
    <row r="277" spans="1:10" ht="20.399999999999999" x14ac:dyDescent="0.2">
      <c r="A277" s="515">
        <f>'ORÇAMENTO SEM DESON'!A38</f>
        <v>5.6</v>
      </c>
      <c r="B277" s="9" t="s">
        <v>163</v>
      </c>
      <c r="C277" s="13" t="s">
        <v>412</v>
      </c>
      <c r="D277" s="520" t="str">
        <f>'ORÇAMENTO SEM DESON'!D38</f>
        <v>VERGA PRÉ-MOLDADA PARA PORTAS COM ATÉ 1,5 M DE VÃO. AF_03/2016</v>
      </c>
      <c r="E277" s="515" t="str">
        <f>'ORÇAMENTO SEM DESON'!E38</f>
        <v>m</v>
      </c>
      <c r="F277" s="518"/>
      <c r="G277" s="518"/>
      <c r="H277" s="518"/>
      <c r="I277" s="519"/>
      <c r="J277" s="518"/>
    </row>
    <row r="278" spans="1:10" x14ac:dyDescent="0.2">
      <c r="A278" s="6"/>
      <c r="B278" s="6"/>
      <c r="C278" s="155"/>
      <c r="D278" s="2"/>
      <c r="E278" s="148"/>
      <c r="F278" s="137"/>
      <c r="G278" s="137" t="s">
        <v>1137</v>
      </c>
      <c r="H278" s="137"/>
      <c r="I278" s="522"/>
      <c r="J278" s="253"/>
    </row>
    <row r="279" spans="1:10" x14ac:dyDescent="0.2">
      <c r="A279" s="6"/>
      <c r="B279" s="6"/>
      <c r="C279" s="155"/>
      <c r="D279" s="2" t="s">
        <v>1174</v>
      </c>
      <c r="E279" s="148" t="s">
        <v>43</v>
      </c>
      <c r="F279" s="137"/>
      <c r="G279" s="137">
        <f>0.9+0.6</f>
        <v>1.5</v>
      </c>
      <c r="H279" s="137"/>
      <c r="I279" s="522"/>
      <c r="J279" s="253">
        <f>ROUND(PRODUCT(F279:I279),2)</f>
        <v>1.5</v>
      </c>
    </row>
    <row r="280" spans="1:10" x14ac:dyDescent="0.2">
      <c r="A280" s="6"/>
      <c r="B280" s="6"/>
      <c r="C280" s="155"/>
      <c r="D280" s="2" t="s">
        <v>165</v>
      </c>
      <c r="E280" s="148" t="s">
        <v>43</v>
      </c>
      <c r="F280" s="137"/>
      <c r="G280" s="137">
        <f>0.9+0.6</f>
        <v>1.5</v>
      </c>
      <c r="H280" s="137"/>
      <c r="I280" s="522"/>
      <c r="J280" s="253">
        <f t="shared" ref="J280:J281" si="30">ROUND(PRODUCT(F280:I280),2)</f>
        <v>1.5</v>
      </c>
    </row>
    <row r="281" spans="1:10" x14ac:dyDescent="0.2">
      <c r="A281" s="6"/>
      <c r="B281" s="6"/>
      <c r="C281" s="155"/>
      <c r="D281" s="2" t="s">
        <v>166</v>
      </c>
      <c r="E281" s="148" t="s">
        <v>43</v>
      </c>
      <c r="F281" s="137"/>
      <c r="G281" s="137">
        <f>0.8+0.6</f>
        <v>1.4</v>
      </c>
      <c r="H281" s="137"/>
      <c r="I281" s="522"/>
      <c r="J281" s="253">
        <f t="shared" si="30"/>
        <v>1.4</v>
      </c>
    </row>
    <row r="282" spans="1:10" x14ac:dyDescent="0.2">
      <c r="A282" s="6"/>
      <c r="B282" s="6"/>
      <c r="C282" s="155"/>
      <c r="D282" s="2" t="s">
        <v>1110</v>
      </c>
      <c r="E282" s="148" t="s">
        <v>43</v>
      </c>
      <c r="F282" s="137"/>
      <c r="G282" s="137">
        <f>0.7+0.6</f>
        <v>1.2999999999999998</v>
      </c>
      <c r="H282" s="137"/>
      <c r="I282" s="522"/>
      <c r="J282" s="253"/>
    </row>
    <row r="283" spans="1:10" x14ac:dyDescent="0.2">
      <c r="A283" s="6"/>
      <c r="B283" s="6"/>
      <c r="C283" s="155"/>
      <c r="D283" s="2" t="s">
        <v>485</v>
      </c>
      <c r="E283" s="148" t="s">
        <v>43</v>
      </c>
      <c r="F283" s="137"/>
      <c r="G283" s="137">
        <f>0.8+0.6</f>
        <v>1.4</v>
      </c>
      <c r="H283" s="137"/>
      <c r="I283" s="522"/>
      <c r="J283" s="253"/>
    </row>
    <row r="284" spans="1:10" x14ac:dyDescent="0.2">
      <c r="A284" s="6"/>
      <c r="B284" s="6"/>
      <c r="C284" s="155"/>
      <c r="D284" s="2"/>
      <c r="E284" s="148"/>
      <c r="F284" s="253"/>
      <c r="G284" s="253"/>
      <c r="H284" s="253"/>
      <c r="I284" s="519" t="str">
        <f>"Total item "&amp;A277</f>
        <v>Total item 5.6</v>
      </c>
      <c r="J284" s="518">
        <f>SUM(J279:J281)</f>
        <v>4.4000000000000004</v>
      </c>
    </row>
    <row r="285" spans="1:10" x14ac:dyDescent="0.2">
      <c r="A285" s="6"/>
      <c r="B285" s="6"/>
      <c r="C285" s="155"/>
      <c r="D285" s="2"/>
      <c r="E285" s="148"/>
      <c r="F285" s="253"/>
      <c r="G285" s="253"/>
      <c r="H285" s="253"/>
      <c r="I285" s="246"/>
      <c r="J285" s="258"/>
    </row>
    <row r="286" spans="1:10" ht="20.399999999999999" x14ac:dyDescent="0.2">
      <c r="A286" s="515">
        <f>'ORÇAMENTO SEM DESON'!A39</f>
        <v>5.7</v>
      </c>
      <c r="B286" s="9" t="s">
        <v>163</v>
      </c>
      <c r="C286" s="13" t="s">
        <v>412</v>
      </c>
      <c r="D286" s="520" t="str">
        <f>'ORÇAMENTO SEM DESON'!D39</f>
        <v>DEMOLIÇÃO DE ARGAMASSAS, DE FORMA MANUAL, SEM REAPROVEITAMENTO. AF_12/2017</v>
      </c>
      <c r="E286" s="515" t="str">
        <f>'ORÇAMENTO SEM DESON'!E39</f>
        <v>m²</v>
      </c>
      <c r="F286" s="518"/>
      <c r="G286" s="518"/>
      <c r="H286" s="518"/>
      <c r="I286" s="519"/>
      <c r="J286" s="518"/>
    </row>
    <row r="287" spans="1:10" x14ac:dyDescent="0.2">
      <c r="A287" s="6"/>
      <c r="B287" s="6"/>
      <c r="C287" s="155"/>
      <c r="D287" s="2"/>
      <c r="E287" s="148"/>
      <c r="F287" s="137"/>
      <c r="G287" s="137" t="s">
        <v>34</v>
      </c>
      <c r="H287" s="137" t="s">
        <v>1245</v>
      </c>
      <c r="I287" s="522"/>
      <c r="J287" s="253"/>
    </row>
    <row r="288" spans="1:10" x14ac:dyDescent="0.2">
      <c r="A288" s="6"/>
      <c r="B288" s="6"/>
      <c r="C288" s="155"/>
      <c r="D288" s="2" t="s">
        <v>1240</v>
      </c>
      <c r="E288" s="148" t="s">
        <v>9</v>
      </c>
      <c r="F288" s="137"/>
      <c r="G288" s="137">
        <f>J331</f>
        <v>340.71199999999993</v>
      </c>
      <c r="H288" s="137">
        <v>0.15</v>
      </c>
      <c r="I288" s="522"/>
      <c r="J288" s="253">
        <f>ROUND(PRODUCT(F288:I288),2)</f>
        <v>51.11</v>
      </c>
    </row>
    <row r="289" spans="1:10" x14ac:dyDescent="0.2">
      <c r="A289" s="6"/>
      <c r="B289" s="6"/>
      <c r="C289" s="155"/>
      <c r="D289" s="2"/>
      <c r="E289" s="148"/>
      <c r="F289" s="253"/>
      <c r="G289" s="253"/>
      <c r="H289" s="253"/>
      <c r="I289" s="519" t="str">
        <f>"Total item "&amp;A286</f>
        <v>Total item 5.7</v>
      </c>
      <c r="J289" s="518">
        <f>SUM(J288:J288)</f>
        <v>51.11</v>
      </c>
    </row>
    <row r="290" spans="1:10" x14ac:dyDescent="0.2">
      <c r="A290" s="6"/>
      <c r="B290" s="6"/>
      <c r="C290" s="155"/>
      <c r="D290" s="2"/>
      <c r="E290" s="148"/>
      <c r="F290" s="253"/>
      <c r="G290" s="253"/>
      <c r="H290" s="253"/>
      <c r="I290" s="246"/>
      <c r="J290" s="258"/>
    </row>
    <row r="291" spans="1:10" ht="57" customHeight="1" x14ac:dyDescent="0.2">
      <c r="A291" s="515">
        <f>'ORÇAMENTO SEM DESON'!A40</f>
        <v>5.8</v>
      </c>
      <c r="B291" s="9" t="s">
        <v>163</v>
      </c>
      <c r="C291" s="13" t="s">
        <v>412</v>
      </c>
      <c r="D291" s="520" t="str">
        <f>'ORÇAMENTO SEM DESON'!D40</f>
        <v>REVESTIMENTO EM PAREDE COM CERAMICA ESMALTADA 10X10CM,TIPO A,EM CORES,ELIANE,PORTO RICO,SAMARSA, ELIZABETH OU SIMILAR, ASSENTADO COM ARGAMASSA PRE FABRICADA E REJUNTE DA QUARTZOLIT OU SIMILAR (ESPESSURA DA JUNTA DE 6MM) SOBRE EMBOCO PRONTO.</v>
      </c>
      <c r="E291" s="515" t="str">
        <f>'ORÇAMENTO SEM DESON'!E40</f>
        <v>m²</v>
      </c>
      <c r="F291" s="518"/>
      <c r="G291" s="518"/>
      <c r="H291" s="518"/>
      <c r="I291" s="519"/>
      <c r="J291" s="518"/>
    </row>
    <row r="292" spans="1:10" x14ac:dyDescent="0.2">
      <c r="A292" s="6"/>
      <c r="B292" s="6"/>
      <c r="C292" s="155"/>
      <c r="D292" s="2"/>
      <c r="E292" s="148"/>
      <c r="F292" s="137"/>
      <c r="G292" s="137" t="s">
        <v>1137</v>
      </c>
      <c r="H292" s="137" t="s">
        <v>1142</v>
      </c>
      <c r="I292" s="522"/>
      <c r="J292" s="253"/>
    </row>
    <row r="293" spans="1:10" x14ac:dyDescent="0.2">
      <c r="A293" s="6"/>
      <c r="B293" s="6"/>
      <c r="C293" s="155"/>
      <c r="D293" s="2" t="s">
        <v>402</v>
      </c>
      <c r="E293" s="148" t="s">
        <v>9</v>
      </c>
      <c r="F293" s="555"/>
      <c r="G293" s="559">
        <f>3.87+3.87+7.38+7.38</f>
        <v>22.5</v>
      </c>
      <c r="H293" s="137">
        <v>0.1</v>
      </c>
      <c r="I293" s="522"/>
      <c r="J293" s="253">
        <f>(ROUND(PRODUCT(G293:I293),2))-F293</f>
        <v>2.25</v>
      </c>
    </row>
    <row r="294" spans="1:10" x14ac:dyDescent="0.2">
      <c r="A294" s="6"/>
      <c r="B294" s="6"/>
      <c r="C294" s="155"/>
      <c r="D294" s="2"/>
      <c r="E294" s="148"/>
      <c r="F294" s="253"/>
      <c r="G294" s="253"/>
      <c r="H294" s="253"/>
      <c r="I294" s="519" t="str">
        <f>"Total item "&amp;A291</f>
        <v>Total item 5.8</v>
      </c>
      <c r="J294" s="518">
        <f>SUM(J293:J293)</f>
        <v>2.25</v>
      </c>
    </row>
    <row r="295" spans="1:10" x14ac:dyDescent="0.2">
      <c r="A295" s="6"/>
      <c r="B295" s="6"/>
      <c r="C295" s="155"/>
      <c r="D295" s="2"/>
      <c r="E295" s="148"/>
      <c r="F295" s="253"/>
      <c r="G295" s="253"/>
      <c r="H295" s="253"/>
      <c r="I295" s="246"/>
      <c r="J295" s="258"/>
    </row>
    <row r="296" spans="1:10" ht="20.399999999999999" x14ac:dyDescent="0.2">
      <c r="A296" s="515">
        <f>'ORÇAMENTO SEM DESON'!A41</f>
        <v>5.9</v>
      </c>
      <c r="B296" s="9" t="s">
        <v>163</v>
      </c>
      <c r="C296" s="13" t="s">
        <v>412</v>
      </c>
      <c r="D296" s="520" t="str">
        <f>'ORÇAMENTO SEM DESON'!D41</f>
        <v>VERGA PRÉ-MOLDADA PARA PORTAS COM MAIS DE 1,5 M DE VÃO. AF_03/2016</v>
      </c>
      <c r="E296" s="515" t="str">
        <f>'ORÇAMENTO SEM DESON'!E41</f>
        <v>m</v>
      </c>
      <c r="F296" s="518"/>
      <c r="G296" s="518"/>
      <c r="H296" s="518"/>
      <c r="I296" s="519"/>
      <c r="J296" s="518"/>
    </row>
    <row r="297" spans="1:10" x14ac:dyDescent="0.2">
      <c r="A297" s="6"/>
      <c r="B297" s="6"/>
      <c r="C297" s="155"/>
      <c r="D297" s="2"/>
      <c r="E297" s="148"/>
      <c r="F297" s="137"/>
      <c r="G297" s="137" t="s">
        <v>1137</v>
      </c>
      <c r="H297" s="137"/>
      <c r="I297" s="522"/>
      <c r="J297" s="253"/>
    </row>
    <row r="298" spans="1:10" x14ac:dyDescent="0.2">
      <c r="A298" s="6"/>
      <c r="B298" s="6"/>
      <c r="C298" s="155"/>
      <c r="D298" s="2" t="s">
        <v>402</v>
      </c>
      <c r="E298" s="148" t="s">
        <v>43</v>
      </c>
      <c r="F298" s="555"/>
      <c r="G298" s="559">
        <f>1.5+0.6</f>
        <v>2.1</v>
      </c>
      <c r="H298" s="137"/>
      <c r="I298" s="522"/>
      <c r="J298" s="253">
        <f>(ROUND(PRODUCT(G298:I298),2))-F298</f>
        <v>2.1</v>
      </c>
    </row>
    <row r="299" spans="1:10" x14ac:dyDescent="0.2">
      <c r="A299" s="6"/>
      <c r="B299" s="6"/>
      <c r="C299" s="155"/>
      <c r="D299" s="2" t="s">
        <v>1173</v>
      </c>
      <c r="E299" s="148" t="s">
        <v>43</v>
      </c>
      <c r="F299" s="555"/>
      <c r="G299" s="559">
        <f>1.5+0.6</f>
        <v>2.1</v>
      </c>
      <c r="H299" s="137"/>
      <c r="I299" s="522"/>
      <c r="J299" s="253">
        <f>(ROUND(PRODUCT(G299:I299),2))-F299</f>
        <v>2.1</v>
      </c>
    </row>
    <row r="300" spans="1:10" x14ac:dyDescent="0.2">
      <c r="A300" s="6"/>
      <c r="B300" s="6"/>
      <c r="C300" s="155"/>
      <c r="D300" s="2"/>
      <c r="E300" s="148"/>
      <c r="F300" s="253"/>
      <c r="G300" s="253"/>
      <c r="H300" s="253"/>
      <c r="I300" s="519" t="str">
        <f>"Total item "&amp;A296</f>
        <v>Total item 5.9</v>
      </c>
      <c r="J300" s="518">
        <f>SUM(J298:J299)</f>
        <v>4.2</v>
      </c>
    </row>
    <row r="301" spans="1:10" x14ac:dyDescent="0.2">
      <c r="A301" s="6"/>
      <c r="B301" s="6"/>
      <c r="C301" s="155"/>
      <c r="D301" s="2"/>
      <c r="E301" s="148"/>
      <c r="F301" s="253"/>
      <c r="G301" s="253"/>
      <c r="H301" s="253"/>
      <c r="I301" s="246"/>
      <c r="J301" s="258"/>
    </row>
    <row r="302" spans="1:10" ht="20.399999999999999" x14ac:dyDescent="0.2">
      <c r="A302" s="560">
        <f>'ORÇAMENTO SEM DESON'!A42</f>
        <v>5.0999999999999996</v>
      </c>
      <c r="B302" s="9" t="s">
        <v>163</v>
      </c>
      <c r="C302" s="13" t="s">
        <v>412</v>
      </c>
      <c r="D302" s="520" t="str">
        <f>'ORÇAMENTO SEM DESON'!D42</f>
        <v>VERGA PRÉ-MOLDADA PARA JANELAS COM MAIS DE 1,5 M DE VÃO. AF_03/2016</v>
      </c>
      <c r="E302" s="515" t="str">
        <f>'ORÇAMENTO SEM DESON'!E42</f>
        <v>m</v>
      </c>
      <c r="F302" s="518"/>
      <c r="G302" s="518"/>
      <c r="H302" s="518"/>
      <c r="I302" s="519"/>
      <c r="J302" s="518"/>
    </row>
    <row r="303" spans="1:10" x14ac:dyDescent="0.2">
      <c r="A303" s="6"/>
      <c r="B303" s="6"/>
      <c r="C303" s="155"/>
      <c r="D303" s="2"/>
      <c r="E303" s="148"/>
      <c r="F303" s="137"/>
      <c r="G303" s="137" t="s">
        <v>1137</v>
      </c>
      <c r="H303" s="137"/>
      <c r="I303" s="522"/>
      <c r="J303" s="253"/>
    </row>
    <row r="304" spans="1:10" x14ac:dyDescent="0.2">
      <c r="A304" s="6"/>
      <c r="B304" s="6"/>
      <c r="C304" s="155"/>
      <c r="D304" s="2" t="s">
        <v>485</v>
      </c>
      <c r="E304" s="148" t="s">
        <v>43</v>
      </c>
      <c r="F304" s="555"/>
      <c r="G304" s="559">
        <f>1.5+0.6</f>
        <v>2.1</v>
      </c>
      <c r="H304" s="137"/>
      <c r="I304" s="522"/>
      <c r="J304" s="253">
        <f>(ROUND(PRODUCT(G304:I304),2))-F304</f>
        <v>2.1</v>
      </c>
    </row>
    <row r="305" spans="1:10" x14ac:dyDescent="0.2">
      <c r="A305" s="6"/>
      <c r="B305" s="6"/>
      <c r="C305" s="155"/>
      <c r="D305" s="2" t="s">
        <v>402</v>
      </c>
      <c r="E305" s="148" t="s">
        <v>43</v>
      </c>
      <c r="F305" s="555"/>
      <c r="G305" s="559">
        <f>(1.5+0.6)*4</f>
        <v>8.4</v>
      </c>
      <c r="H305" s="137"/>
      <c r="I305" s="522"/>
      <c r="J305" s="253">
        <f t="shared" ref="J305:J306" si="31">(ROUND(PRODUCT(G305:I305),2))-F305</f>
        <v>8.4</v>
      </c>
    </row>
    <row r="306" spans="1:10" x14ac:dyDescent="0.2">
      <c r="A306" s="6"/>
      <c r="B306" s="6"/>
      <c r="C306" s="155"/>
      <c r="D306" s="2" t="s">
        <v>1239</v>
      </c>
      <c r="E306" s="148" t="s">
        <v>43</v>
      </c>
      <c r="F306" s="555"/>
      <c r="G306" s="559">
        <f>2.6+2.6+3.6</f>
        <v>8.8000000000000007</v>
      </c>
      <c r="H306" s="137"/>
      <c r="I306" s="522"/>
      <c r="J306" s="253">
        <f t="shared" si="31"/>
        <v>8.8000000000000007</v>
      </c>
    </row>
    <row r="307" spans="1:10" x14ac:dyDescent="0.2">
      <c r="A307" s="6"/>
      <c r="B307" s="6"/>
      <c r="C307" s="155"/>
      <c r="D307" s="2"/>
      <c r="E307" s="148"/>
      <c r="F307" s="253"/>
      <c r="G307" s="253"/>
      <c r="H307" s="253"/>
      <c r="I307" s="519" t="str">
        <f>"Total item "&amp;A302</f>
        <v>Total item 5.1</v>
      </c>
      <c r="J307" s="518">
        <f>SUM(J304:J306)</f>
        <v>19.3</v>
      </c>
    </row>
    <row r="308" spans="1:10" x14ac:dyDescent="0.2">
      <c r="A308" s="6"/>
      <c r="B308" s="6"/>
      <c r="C308" s="155"/>
      <c r="D308" s="2"/>
      <c r="E308" s="148"/>
      <c r="F308" s="253"/>
      <c r="G308" s="253"/>
      <c r="H308" s="253"/>
      <c r="I308" s="246"/>
      <c r="J308" s="258"/>
    </row>
    <row r="309" spans="1:10" ht="30.6" x14ac:dyDescent="0.2">
      <c r="A309" s="560">
        <f>'ORÇAMENTO SEM DESON'!A43</f>
        <v>5.1100000000000003</v>
      </c>
      <c r="B309" s="9" t="s">
        <v>163</v>
      </c>
      <c r="C309" s="13" t="s">
        <v>412</v>
      </c>
      <c r="D309" s="520" t="str">
        <f>'ORÇAMENTO SEM DESON'!D43</f>
        <v>VERGA MOLDADA IN LOCO COM UTILIZAÇÃO DE BLOCOS CANALETA PARA JANELAS COM MAIS DE 1,5 M DE VÃO. AF_03/2016</v>
      </c>
      <c r="E309" s="515" t="str">
        <f>'ORÇAMENTO SEM DESON'!E43</f>
        <v>m</v>
      </c>
      <c r="F309" s="518"/>
      <c r="G309" s="518"/>
      <c r="H309" s="518"/>
      <c r="I309" s="519"/>
      <c r="J309" s="518"/>
    </row>
    <row r="310" spans="1:10" x14ac:dyDescent="0.2">
      <c r="A310" s="6"/>
      <c r="B310" s="6"/>
      <c r="C310" s="155"/>
      <c r="D310" s="2"/>
      <c r="E310" s="148"/>
      <c r="F310" s="137"/>
      <c r="G310" s="137" t="s">
        <v>1137</v>
      </c>
      <c r="H310" s="137"/>
      <c r="I310" s="522"/>
      <c r="J310" s="253"/>
    </row>
    <row r="311" spans="1:10" x14ac:dyDescent="0.2">
      <c r="A311" s="6"/>
      <c r="B311" s="6"/>
      <c r="C311" s="155"/>
      <c r="D311" s="2" t="s">
        <v>485</v>
      </c>
      <c r="E311" s="148" t="s">
        <v>43</v>
      </c>
      <c r="F311" s="555"/>
      <c r="G311" s="559">
        <f>1.5+0.6</f>
        <v>2.1</v>
      </c>
      <c r="H311" s="137"/>
      <c r="I311" s="522"/>
      <c r="J311" s="253">
        <f>(ROUND(PRODUCT(G311:I311),2))-F311</f>
        <v>2.1</v>
      </c>
    </row>
    <row r="312" spans="1:10" x14ac:dyDescent="0.2">
      <c r="A312" s="6"/>
      <c r="B312" s="6"/>
      <c r="C312" s="155"/>
      <c r="D312" s="2" t="s">
        <v>402</v>
      </c>
      <c r="E312" s="148" t="s">
        <v>43</v>
      </c>
      <c r="F312" s="555"/>
      <c r="G312" s="559">
        <f>(1.5+0.6)*4</f>
        <v>8.4</v>
      </c>
      <c r="H312" s="137"/>
      <c r="I312" s="522"/>
      <c r="J312" s="253">
        <f t="shared" ref="J312:J313" si="32">(ROUND(PRODUCT(G312:I312),2))-F312</f>
        <v>8.4</v>
      </c>
    </row>
    <row r="313" spans="1:10" x14ac:dyDescent="0.2">
      <c r="A313" s="6"/>
      <c r="B313" s="6"/>
      <c r="C313" s="155"/>
      <c r="D313" s="2" t="s">
        <v>1239</v>
      </c>
      <c r="E313" s="148" t="s">
        <v>43</v>
      </c>
      <c r="F313" s="555"/>
      <c r="G313" s="559">
        <f>2.6+2.6+3.6</f>
        <v>8.8000000000000007</v>
      </c>
      <c r="H313" s="137"/>
      <c r="I313" s="522"/>
      <c r="J313" s="253">
        <f t="shared" si="32"/>
        <v>8.8000000000000007</v>
      </c>
    </row>
    <row r="314" spans="1:10" x14ac:dyDescent="0.2">
      <c r="A314" s="6"/>
      <c r="B314" s="6"/>
      <c r="C314" s="155"/>
      <c r="D314" s="2"/>
      <c r="E314" s="148"/>
      <c r="F314" s="253"/>
      <c r="G314" s="253"/>
      <c r="H314" s="253"/>
      <c r="I314" s="519" t="str">
        <f>"Total item "&amp;A309</f>
        <v>Total item 5.11</v>
      </c>
      <c r="J314" s="518">
        <f>SUM(J311:J313)</f>
        <v>19.3</v>
      </c>
    </row>
    <row r="315" spans="1:10" x14ac:dyDescent="0.2">
      <c r="A315" s="6"/>
      <c r="B315" s="6"/>
      <c r="C315" s="155"/>
      <c r="D315" s="2"/>
      <c r="E315" s="148"/>
      <c r="F315" s="253"/>
      <c r="G315" s="253"/>
      <c r="H315" s="253"/>
      <c r="I315" s="246"/>
      <c r="J315" s="258"/>
    </row>
    <row r="316" spans="1:10" x14ac:dyDescent="0.2">
      <c r="A316" s="498">
        <f>'ORÇAMENTO SEM DESON'!A44</f>
        <v>6</v>
      </c>
      <c r="B316" s="498"/>
      <c r="C316" s="521"/>
      <c r="D316" s="500" t="str">
        <f>'ORÇAMENTO SEM DESON'!D44</f>
        <v>PINTURA</v>
      </c>
      <c r="E316" s="498"/>
      <c r="F316" s="513"/>
      <c r="G316" s="513"/>
      <c r="H316" s="513"/>
      <c r="I316" s="514"/>
      <c r="J316" s="513"/>
    </row>
    <row r="317" spans="1:10" x14ac:dyDescent="0.2">
      <c r="A317" s="6"/>
      <c r="B317" s="6"/>
      <c r="C317" s="155"/>
      <c r="D317" s="2"/>
      <c r="E317" s="148"/>
      <c r="F317" s="253"/>
      <c r="G317" s="253"/>
      <c r="H317" s="253"/>
      <c r="I317" s="246"/>
      <c r="J317" s="258"/>
    </row>
    <row r="318" spans="1:10" ht="40.799999999999997" x14ac:dyDescent="0.2">
      <c r="A318" s="515">
        <f>'ORÇAMENTO SEM DESON'!A45</f>
        <v>6.1</v>
      </c>
      <c r="B318" s="9" t="s">
        <v>163</v>
      </c>
      <c r="C318" s="13" t="s">
        <v>412</v>
      </c>
      <c r="D318" s="520" t="str">
        <f>'ORÇAMENTO SEM DESON'!D45</f>
        <v>PINTURA LATEX EM PAREDES INTERNAS, CORALAR OU SIMILAR, DUAS DEMAOS, SEM MASSA CORRIDA,INCLUSIVE APLICACAO DE UMA DEMAO DE LIQUIDO SELADOR DE PAREDE.</v>
      </c>
      <c r="E318" s="515" t="str">
        <f>'ORÇAMENTO SEM DESON'!E45</f>
        <v>m²</v>
      </c>
      <c r="F318" s="518"/>
      <c r="G318" s="518"/>
      <c r="H318" s="518"/>
      <c r="I318" s="519"/>
      <c r="J318" s="518"/>
    </row>
    <row r="319" spans="1:10" x14ac:dyDescent="0.2">
      <c r="A319" s="6"/>
      <c r="B319" s="6"/>
      <c r="C319" s="155"/>
      <c r="D319" s="2"/>
      <c r="E319" s="148"/>
      <c r="F319" s="137" t="s">
        <v>1136</v>
      </c>
      <c r="G319" s="137" t="s">
        <v>1139</v>
      </c>
      <c r="H319" s="137" t="s">
        <v>1149</v>
      </c>
      <c r="I319" s="522"/>
      <c r="J319" s="253"/>
    </row>
    <row r="320" spans="1:10" x14ac:dyDescent="0.2">
      <c r="A320" s="6"/>
      <c r="B320" s="6"/>
      <c r="C320" s="155"/>
      <c r="D320" s="2"/>
      <c r="E320" s="148"/>
      <c r="F320" s="137"/>
      <c r="G320" s="558"/>
      <c r="H320" s="137"/>
      <c r="I320" s="522"/>
      <c r="J320" s="253"/>
    </row>
    <row r="321" spans="1:10" x14ac:dyDescent="0.2">
      <c r="A321" s="6"/>
      <c r="B321" s="6"/>
      <c r="C321" s="155"/>
      <c r="D321" s="2" t="s">
        <v>402</v>
      </c>
      <c r="E321" s="148" t="s">
        <v>9</v>
      </c>
      <c r="F321" s="137">
        <f t="shared" ref="F321:F330" si="33">3.5-1.45</f>
        <v>2.0499999999999998</v>
      </c>
      <c r="G321" s="559">
        <f>3.87+3.87+7.38+7.38</f>
        <v>22.5</v>
      </c>
      <c r="H321" s="137">
        <f>((1.5*2.1)-2)*2</f>
        <v>2.3000000000000007</v>
      </c>
      <c r="I321" s="522"/>
      <c r="J321" s="253">
        <f t="shared" ref="J321:J329" si="34">(F321*G321)-H321</f>
        <v>43.824999999999989</v>
      </c>
    </row>
    <row r="322" spans="1:10" x14ac:dyDescent="0.2">
      <c r="A322" s="6"/>
      <c r="B322" s="6"/>
      <c r="C322" s="155"/>
      <c r="D322" s="2" t="s">
        <v>1173</v>
      </c>
      <c r="E322" s="148" t="s">
        <v>9</v>
      </c>
      <c r="F322" s="137">
        <f t="shared" si="33"/>
        <v>2.0499999999999998</v>
      </c>
      <c r="G322" s="559">
        <f>2.14+1.49+2.14+1.49</f>
        <v>7.26</v>
      </c>
      <c r="H322" s="137">
        <f>(1.5*2.1)-2</f>
        <v>1.1500000000000004</v>
      </c>
      <c r="I322" s="522"/>
      <c r="J322" s="253">
        <f t="shared" si="34"/>
        <v>13.732999999999999</v>
      </c>
    </row>
    <row r="323" spans="1:10" x14ac:dyDescent="0.2">
      <c r="A323" s="6"/>
      <c r="B323" s="6"/>
      <c r="C323" s="155"/>
      <c r="D323" s="2" t="s">
        <v>490</v>
      </c>
      <c r="E323" s="148" t="s">
        <v>9</v>
      </c>
      <c r="F323" s="137">
        <f t="shared" si="33"/>
        <v>2.0499999999999998</v>
      </c>
      <c r="G323" s="559">
        <f>2.23+2.14+2.14</f>
        <v>6.51</v>
      </c>
      <c r="H323" s="137"/>
      <c r="I323" s="522"/>
      <c r="J323" s="253">
        <f t="shared" si="34"/>
        <v>13.345499999999998</v>
      </c>
    </row>
    <row r="324" spans="1:10" x14ac:dyDescent="0.2">
      <c r="A324" s="6"/>
      <c r="B324" s="6"/>
      <c r="C324" s="155"/>
      <c r="D324" s="2" t="s">
        <v>1110</v>
      </c>
      <c r="E324" s="148" t="s">
        <v>9</v>
      </c>
      <c r="F324" s="137">
        <f t="shared" si="33"/>
        <v>2.0499999999999998</v>
      </c>
      <c r="G324" s="559">
        <f>2.23+1.21+2.23+1.21</f>
        <v>6.88</v>
      </c>
      <c r="H324" s="137"/>
      <c r="I324" s="522"/>
      <c r="J324" s="253">
        <f t="shared" si="34"/>
        <v>14.103999999999999</v>
      </c>
    </row>
    <row r="325" spans="1:10" x14ac:dyDescent="0.2">
      <c r="A325" s="6"/>
      <c r="B325" s="6"/>
      <c r="C325" s="155"/>
      <c r="D325" s="2" t="s">
        <v>166</v>
      </c>
      <c r="E325" s="148" t="s">
        <v>9</v>
      </c>
      <c r="F325" s="137">
        <f t="shared" si="33"/>
        <v>2.0499999999999998</v>
      </c>
      <c r="G325" s="559">
        <f>2.48+2.48+2.23+2.23</f>
        <v>9.42</v>
      </c>
      <c r="H325" s="137"/>
      <c r="I325" s="522"/>
      <c r="J325" s="253">
        <f t="shared" si="34"/>
        <v>19.311</v>
      </c>
    </row>
    <row r="326" spans="1:10" x14ac:dyDescent="0.2">
      <c r="A326" s="6"/>
      <c r="B326" s="6"/>
      <c r="C326" s="155"/>
      <c r="D326" s="2" t="s">
        <v>374</v>
      </c>
      <c r="E326" s="148" t="s">
        <v>9</v>
      </c>
      <c r="F326" s="137">
        <f t="shared" si="33"/>
        <v>2.0499999999999998</v>
      </c>
      <c r="G326" s="559">
        <f>1.84+1.84+3.84+3.84</f>
        <v>11.36</v>
      </c>
      <c r="H326" s="137"/>
      <c r="I326" s="522"/>
      <c r="J326" s="253">
        <f t="shared" si="34"/>
        <v>23.287999999999997</v>
      </c>
    </row>
    <row r="327" spans="1:10" x14ac:dyDescent="0.2">
      <c r="A327" s="6"/>
      <c r="B327" s="6"/>
      <c r="C327" s="155"/>
      <c r="D327" s="2" t="s">
        <v>1175</v>
      </c>
      <c r="E327" s="148" t="s">
        <v>9</v>
      </c>
      <c r="F327" s="137">
        <f t="shared" si="33"/>
        <v>2.0499999999999998</v>
      </c>
      <c r="G327" s="555">
        <f>3.86+3.86+3.96+3.96</f>
        <v>15.64</v>
      </c>
      <c r="H327" s="137"/>
      <c r="I327" s="522"/>
      <c r="J327" s="253">
        <f t="shared" si="34"/>
        <v>32.061999999999998</v>
      </c>
    </row>
    <row r="328" spans="1:10" x14ac:dyDescent="0.2">
      <c r="A328" s="6"/>
      <c r="B328" s="6"/>
      <c r="C328" s="155"/>
      <c r="D328" s="2" t="s">
        <v>1174</v>
      </c>
      <c r="E328" s="148" t="s">
        <v>9</v>
      </c>
      <c r="F328" s="137">
        <f t="shared" si="33"/>
        <v>2.0499999999999998</v>
      </c>
      <c r="G328" s="555">
        <f>9.86+9.86+1.5</f>
        <v>21.22</v>
      </c>
      <c r="H328" s="137"/>
      <c r="I328" s="522"/>
      <c r="J328" s="253">
        <f t="shared" si="34"/>
        <v>43.500999999999991</v>
      </c>
    </row>
    <row r="329" spans="1:10" x14ac:dyDescent="0.2">
      <c r="A329" s="6"/>
      <c r="B329" s="6"/>
      <c r="C329" s="155"/>
      <c r="D329" s="2" t="s">
        <v>1241</v>
      </c>
      <c r="E329" s="148" t="s">
        <v>9</v>
      </c>
      <c r="F329" s="137">
        <f t="shared" si="33"/>
        <v>2.0499999999999998</v>
      </c>
      <c r="G329" s="555">
        <f>43.46-1.5</f>
        <v>41.96</v>
      </c>
      <c r="H329" s="137">
        <f>(((1.6*2.1)-2)*3)+((3*1)-2)</f>
        <v>5.080000000000001</v>
      </c>
      <c r="I329" s="522"/>
      <c r="J329" s="253">
        <f t="shared" si="34"/>
        <v>80.938000000000002</v>
      </c>
    </row>
    <row r="330" spans="1:10" x14ac:dyDescent="0.2">
      <c r="A330" s="6"/>
      <c r="B330" s="6"/>
      <c r="C330" s="155"/>
      <c r="D330" s="2" t="s">
        <v>1019</v>
      </c>
      <c r="E330" s="148" t="s">
        <v>9</v>
      </c>
      <c r="F330" s="137">
        <f t="shared" si="33"/>
        <v>2.0499999999999998</v>
      </c>
      <c r="G330" s="137">
        <f>4.01+9.7+16.38</f>
        <v>30.089999999999996</v>
      </c>
      <c r="H330" s="137">
        <f>(((1.6*2.1)-2)*3)+((3*1)-2)</f>
        <v>5.080000000000001</v>
      </c>
      <c r="I330" s="522"/>
      <c r="J330" s="253">
        <f>(F330*G330)-H330</f>
        <v>56.604499999999987</v>
      </c>
    </row>
    <row r="331" spans="1:10" x14ac:dyDescent="0.2">
      <c r="A331" s="6"/>
      <c r="B331" s="6"/>
      <c r="C331" s="155"/>
      <c r="D331" s="2"/>
      <c r="E331" s="148"/>
      <c r="F331" s="253"/>
      <c r="G331" s="253"/>
      <c r="H331" s="253"/>
      <c r="I331" s="519" t="str">
        <f>"Total item "&amp;A318</f>
        <v>Total item 6.1</v>
      </c>
      <c r="J331" s="518">
        <f>SUM(J321:J330)</f>
        <v>340.71199999999993</v>
      </c>
    </row>
    <row r="332" spans="1:10" x14ac:dyDescent="0.2">
      <c r="A332" s="6"/>
      <c r="B332" s="6"/>
      <c r="C332" s="155"/>
      <c r="D332" s="2"/>
      <c r="E332" s="148"/>
      <c r="F332" s="253"/>
      <c r="G332" s="253"/>
      <c r="H332" s="253"/>
      <c r="I332" s="246"/>
      <c r="J332" s="258"/>
    </row>
    <row r="333" spans="1:10" ht="30.6" x14ac:dyDescent="0.2">
      <c r="A333" s="515">
        <f>'ORÇAMENTO SEM DESON'!A46</f>
        <v>6.2</v>
      </c>
      <c r="B333" s="9" t="s">
        <v>163</v>
      </c>
      <c r="C333" s="13" t="s">
        <v>412</v>
      </c>
      <c r="D333" s="520" t="str">
        <f>'ORÇAMENTO SEM DESON'!D46</f>
        <v>PINTURA LATEX EM PAREDES EXTERNAS,CORALMUR OU
SIMILAR, DUAS DEMAOS, SEM MASSA ACRILICA, INCLUSIVE
APLICACAO DE UMA DEMAO DE FUNDO PREPADOR.</v>
      </c>
      <c r="E333" s="515" t="str">
        <f>'ORÇAMENTO SEM DESON'!E46</f>
        <v>m²</v>
      </c>
      <c r="F333" s="518"/>
      <c r="G333" s="518"/>
      <c r="H333" s="518"/>
      <c r="I333" s="519"/>
      <c r="J333" s="518"/>
    </row>
    <row r="334" spans="1:10" x14ac:dyDescent="0.2">
      <c r="A334" s="6"/>
      <c r="B334" s="6"/>
      <c r="C334" s="155"/>
      <c r="D334" s="2"/>
      <c r="E334" s="148"/>
      <c r="F334" s="137" t="s">
        <v>1136</v>
      </c>
      <c r="G334" s="137" t="s">
        <v>1139</v>
      </c>
      <c r="H334" s="137" t="s">
        <v>1138</v>
      </c>
      <c r="I334" s="522"/>
      <c r="J334" s="253"/>
    </row>
    <row r="335" spans="1:10" x14ac:dyDescent="0.2">
      <c r="A335" s="6"/>
      <c r="B335" s="6"/>
      <c r="C335" s="155"/>
      <c r="D335" s="2" t="s">
        <v>1257</v>
      </c>
      <c r="E335" s="148" t="s">
        <v>9</v>
      </c>
      <c r="F335" s="118">
        <v>1.1000000000000001</v>
      </c>
      <c r="G335" s="137">
        <f>62.89-6</f>
        <v>56.89</v>
      </c>
      <c r="H335" s="137">
        <v>2</v>
      </c>
      <c r="I335" s="522"/>
      <c r="J335" s="253">
        <f>G335*F335*H335</f>
        <v>125.15800000000002</v>
      </c>
    </row>
    <row r="336" spans="1:10" x14ac:dyDescent="0.2">
      <c r="A336" s="6"/>
      <c r="B336" s="6"/>
      <c r="C336" s="155"/>
      <c r="D336" s="2" t="s">
        <v>1258</v>
      </c>
      <c r="E336" s="148" t="s">
        <v>9</v>
      </c>
      <c r="F336" s="118">
        <v>2.2000000000000002</v>
      </c>
      <c r="G336" s="137">
        <v>137.26999999999998</v>
      </c>
      <c r="H336" s="137">
        <v>2</v>
      </c>
      <c r="I336" s="522"/>
      <c r="J336" s="253">
        <f t="shared" ref="J336:J337" si="35">G336*F336*H336</f>
        <v>603.98799999999994</v>
      </c>
    </row>
    <row r="337" spans="1:10" x14ac:dyDescent="0.2">
      <c r="A337" s="6"/>
      <c r="B337" s="6"/>
      <c r="C337" s="155"/>
      <c r="D337" s="2" t="s">
        <v>1243</v>
      </c>
      <c r="E337" s="148" t="s">
        <v>9</v>
      </c>
      <c r="F337" s="118">
        <v>2.4</v>
      </c>
      <c r="G337" s="137">
        <v>51.54</v>
      </c>
      <c r="H337" s="137">
        <v>2</v>
      </c>
      <c r="I337" s="522"/>
      <c r="J337" s="253">
        <f t="shared" si="35"/>
        <v>247.392</v>
      </c>
    </row>
    <row r="338" spans="1:10" x14ac:dyDescent="0.2">
      <c r="A338" s="6"/>
      <c r="B338" s="6"/>
      <c r="C338" s="155"/>
      <c r="D338" s="2" t="s">
        <v>1242</v>
      </c>
      <c r="E338" s="148" t="s">
        <v>9</v>
      </c>
      <c r="F338" s="137">
        <f>3.5-1.45</f>
        <v>2.0499999999999998</v>
      </c>
      <c r="G338" s="137">
        <f>0.2+0.2+0.2+0.2</f>
        <v>0.8</v>
      </c>
      <c r="H338" s="137">
        <v>8</v>
      </c>
      <c r="I338" s="522"/>
      <c r="J338" s="253">
        <f t="shared" ref="J338:J339" si="36">G338*F338*H338</f>
        <v>13.12</v>
      </c>
    </row>
    <row r="339" spans="1:10" x14ac:dyDescent="0.2">
      <c r="A339" s="6"/>
      <c r="B339" s="6"/>
      <c r="C339" s="155"/>
      <c r="D339" s="2" t="s">
        <v>1244</v>
      </c>
      <c r="E339" s="148" t="s">
        <v>9</v>
      </c>
      <c r="F339" s="137">
        <v>1.1000000000000001</v>
      </c>
      <c r="G339" s="137">
        <f>2.8+2.8+3.9</f>
        <v>9.5</v>
      </c>
      <c r="H339" s="137">
        <v>2</v>
      </c>
      <c r="I339" s="522"/>
      <c r="J339" s="253">
        <f t="shared" si="36"/>
        <v>20.900000000000002</v>
      </c>
    </row>
    <row r="340" spans="1:10" x14ac:dyDescent="0.2">
      <c r="A340" s="6"/>
      <c r="B340" s="6"/>
      <c r="C340" s="155"/>
      <c r="D340" s="2"/>
      <c r="E340" s="148"/>
      <c r="F340" s="253"/>
      <c r="G340" s="253"/>
      <c r="H340" s="253"/>
      <c r="I340" s="519" t="str">
        <f>"Total item "&amp;A333</f>
        <v>Total item 6.2</v>
      </c>
      <c r="J340" s="518">
        <f>SUM(J335:J339)</f>
        <v>1010.558</v>
      </c>
    </row>
    <row r="341" spans="1:10" x14ac:dyDescent="0.2">
      <c r="A341" s="6"/>
      <c r="B341" s="6"/>
      <c r="C341" s="155"/>
      <c r="D341" s="2"/>
      <c r="E341" s="148"/>
      <c r="F341" s="253"/>
      <c r="G341" s="253"/>
      <c r="H341" s="253"/>
      <c r="I341" s="246"/>
      <c r="J341" s="258"/>
    </row>
    <row r="342" spans="1:10" ht="20.399999999999999" x14ac:dyDescent="0.2">
      <c r="A342" s="515">
        <f>'ORÇAMENTO SEM DESON'!A47</f>
        <v>6.3</v>
      </c>
      <c r="B342" s="9" t="s">
        <v>163</v>
      </c>
      <c r="C342" s="13" t="s">
        <v>412</v>
      </c>
      <c r="D342" s="520" t="str">
        <f>'ORÇAMENTO SEM DESON'!D47</f>
        <v>APLICAÇÃO E LIXAMENTO DE MASSA LÁTEX EM PAREDES, DUAS DEMÃO. AF_06/2014</v>
      </c>
      <c r="E342" s="515" t="str">
        <f>'ORÇAMENTO SEM DESON'!E47</f>
        <v>m²</v>
      </c>
      <c r="F342" s="518"/>
      <c r="G342" s="518"/>
      <c r="H342" s="518"/>
      <c r="I342" s="519"/>
      <c r="J342" s="518"/>
    </row>
    <row r="343" spans="1:10" x14ac:dyDescent="0.2">
      <c r="A343" s="6"/>
      <c r="B343" s="6"/>
      <c r="C343" s="155"/>
      <c r="D343" s="2"/>
      <c r="E343" s="148"/>
      <c r="F343" s="137" t="s">
        <v>1136</v>
      </c>
      <c r="G343" s="137" t="s">
        <v>1139</v>
      </c>
      <c r="H343" s="137" t="s">
        <v>1149</v>
      </c>
      <c r="I343" s="522"/>
      <c r="J343" s="253"/>
    </row>
    <row r="344" spans="1:10" x14ac:dyDescent="0.2">
      <c r="A344" s="6"/>
      <c r="B344" s="6"/>
      <c r="C344" s="155"/>
      <c r="D344" s="2" t="s">
        <v>1019</v>
      </c>
      <c r="E344" s="148" t="s">
        <v>9</v>
      </c>
      <c r="F344" s="137">
        <v>4</v>
      </c>
      <c r="G344" s="137">
        <v>30.089999999999996</v>
      </c>
      <c r="H344" s="137">
        <v>5.080000000000001</v>
      </c>
      <c r="I344" s="522"/>
      <c r="J344" s="253">
        <f>(F344*G344)-H344</f>
        <v>115.27999999999999</v>
      </c>
    </row>
    <row r="345" spans="1:10" x14ac:dyDescent="0.2">
      <c r="A345" s="6"/>
      <c r="B345" s="6"/>
      <c r="C345" s="155"/>
      <c r="D345" s="2" t="s">
        <v>1175</v>
      </c>
      <c r="E345" s="148" t="s">
        <v>9</v>
      </c>
      <c r="F345" s="137">
        <v>3.5</v>
      </c>
      <c r="G345" s="137">
        <v>15.64</v>
      </c>
      <c r="H345" s="137"/>
      <c r="I345" s="522"/>
      <c r="J345" s="253">
        <f t="shared" ref="J345" si="37">(F345*G345)-H345</f>
        <v>54.74</v>
      </c>
    </row>
    <row r="346" spans="1:10" x14ac:dyDescent="0.2">
      <c r="A346" s="6"/>
      <c r="B346" s="6"/>
      <c r="C346" s="155"/>
      <c r="D346" s="2"/>
      <c r="E346" s="148"/>
      <c r="F346" s="253"/>
      <c r="G346" s="253"/>
      <c r="H346" s="253"/>
      <c r="I346" s="519" t="str">
        <f>"Total item "&amp;A342</f>
        <v>Total item 6.3</v>
      </c>
      <c r="J346" s="518">
        <f>SUM(J344:J345)</f>
        <v>170.01999999999998</v>
      </c>
    </row>
    <row r="347" spans="1:10" x14ac:dyDescent="0.2">
      <c r="A347" s="6"/>
      <c r="B347" s="6"/>
      <c r="C347" s="155"/>
      <c r="D347" s="2"/>
      <c r="E347" s="148"/>
      <c r="F347" s="253"/>
      <c r="G347" s="253"/>
      <c r="H347" s="253"/>
      <c r="I347" s="246"/>
      <c r="J347" s="258"/>
    </row>
    <row r="348" spans="1:10" x14ac:dyDescent="0.2">
      <c r="A348" s="515">
        <f>'ORÇAMENTO SEM DESON'!A48</f>
        <v>6.4</v>
      </c>
      <c r="B348" s="9" t="s">
        <v>163</v>
      </c>
      <c r="C348" s="13" t="s">
        <v>412</v>
      </c>
      <c r="D348" s="520" t="str">
        <f>'ORÇAMENTO SEM DESON'!D48</f>
        <v>PINTURA ESMALTE SINTÉTICO EM PAREDES</v>
      </c>
      <c r="E348" s="515" t="str">
        <f>'ORÇAMENTO SEM DESON'!E48</f>
        <v>m²</v>
      </c>
      <c r="F348" s="518"/>
      <c r="G348" s="518"/>
      <c r="H348" s="518"/>
      <c r="I348" s="519"/>
      <c r="J348" s="518"/>
    </row>
    <row r="349" spans="1:10" x14ac:dyDescent="0.2">
      <c r="A349" s="6"/>
      <c r="B349" s="6"/>
      <c r="C349" s="155"/>
      <c r="D349" s="2"/>
      <c r="E349" s="148"/>
      <c r="F349" s="137" t="s">
        <v>1136</v>
      </c>
      <c r="G349" s="137" t="s">
        <v>1139</v>
      </c>
      <c r="H349" s="137" t="s">
        <v>1149</v>
      </c>
      <c r="I349" s="522"/>
      <c r="J349" s="253"/>
    </row>
    <row r="350" spans="1:10" x14ac:dyDescent="0.2">
      <c r="A350" s="6"/>
      <c r="B350" s="6"/>
      <c r="C350" s="155"/>
      <c r="D350" s="2"/>
      <c r="E350" s="148"/>
      <c r="F350" s="137"/>
      <c r="G350" s="558"/>
      <c r="H350" s="137"/>
      <c r="I350" s="522"/>
      <c r="J350" s="253"/>
    </row>
    <row r="351" spans="1:10" x14ac:dyDescent="0.2">
      <c r="A351" s="6"/>
      <c r="B351" s="6"/>
      <c r="C351" s="155"/>
      <c r="D351" s="2" t="s">
        <v>1173</v>
      </c>
      <c r="E351" s="148" t="s">
        <v>9</v>
      </c>
      <c r="F351" s="137">
        <v>1.45</v>
      </c>
      <c r="G351" s="559">
        <v>7.26</v>
      </c>
      <c r="H351" s="137">
        <v>1.1500000000000004</v>
      </c>
      <c r="I351" s="522"/>
      <c r="J351" s="253">
        <f t="shared" ref="J351:J358" si="38">(F351*G351)-H351</f>
        <v>9.3769999999999989</v>
      </c>
    </row>
    <row r="352" spans="1:10" x14ac:dyDescent="0.2">
      <c r="A352" s="6"/>
      <c r="B352" s="6"/>
      <c r="C352" s="155"/>
      <c r="D352" s="2" t="s">
        <v>490</v>
      </c>
      <c r="E352" s="148" t="s">
        <v>9</v>
      </c>
      <c r="F352" s="137">
        <v>1.45</v>
      </c>
      <c r="G352" s="559">
        <v>6.51</v>
      </c>
      <c r="H352" s="137"/>
      <c r="I352" s="522"/>
      <c r="J352" s="253">
        <f t="shared" si="38"/>
        <v>9.4394999999999989</v>
      </c>
    </row>
    <row r="353" spans="1:10" x14ac:dyDescent="0.2">
      <c r="A353" s="6"/>
      <c r="B353" s="6"/>
      <c r="C353" s="155"/>
      <c r="D353" s="2" t="s">
        <v>1110</v>
      </c>
      <c r="E353" s="148" t="s">
        <v>9</v>
      </c>
      <c r="F353" s="137">
        <v>1.45</v>
      </c>
      <c r="G353" s="559">
        <v>6.88</v>
      </c>
      <c r="H353" s="137"/>
      <c r="I353" s="522"/>
      <c r="J353" s="253">
        <f t="shared" si="38"/>
        <v>9.9759999999999991</v>
      </c>
    </row>
    <row r="354" spans="1:10" x14ac:dyDescent="0.2">
      <c r="A354" s="6"/>
      <c r="B354" s="6"/>
      <c r="C354" s="155"/>
      <c r="D354" s="2" t="s">
        <v>166</v>
      </c>
      <c r="E354" s="148" t="s">
        <v>9</v>
      </c>
      <c r="F354" s="137">
        <v>1.45</v>
      </c>
      <c r="G354" s="559">
        <v>9.42</v>
      </c>
      <c r="H354" s="137"/>
      <c r="I354" s="522"/>
      <c r="J354" s="253">
        <f t="shared" si="38"/>
        <v>13.658999999999999</v>
      </c>
    </row>
    <row r="355" spans="1:10" x14ac:dyDescent="0.2">
      <c r="A355" s="6"/>
      <c r="B355" s="6"/>
      <c r="C355" s="155"/>
      <c r="D355" s="2" t="s">
        <v>374</v>
      </c>
      <c r="E355" s="148" t="s">
        <v>9</v>
      </c>
      <c r="F355" s="137">
        <v>1.45</v>
      </c>
      <c r="G355" s="559">
        <v>11.36</v>
      </c>
      <c r="H355" s="137"/>
      <c r="I355" s="522"/>
      <c r="J355" s="253">
        <f t="shared" si="38"/>
        <v>16.471999999999998</v>
      </c>
    </row>
    <row r="356" spans="1:10" x14ac:dyDescent="0.2">
      <c r="A356" s="6"/>
      <c r="B356" s="6"/>
      <c r="C356" s="155"/>
      <c r="D356" s="2" t="s">
        <v>1175</v>
      </c>
      <c r="E356" s="148" t="s">
        <v>9</v>
      </c>
      <c r="F356" s="137">
        <v>1.45</v>
      </c>
      <c r="G356" s="555">
        <v>15.64</v>
      </c>
      <c r="H356" s="137"/>
      <c r="I356" s="522"/>
      <c r="J356" s="253">
        <f t="shared" si="38"/>
        <v>22.678000000000001</v>
      </c>
    </row>
    <row r="357" spans="1:10" x14ac:dyDescent="0.2">
      <c r="A357" s="6"/>
      <c r="B357" s="6"/>
      <c r="C357" s="155"/>
      <c r="D357" s="2" t="s">
        <v>1174</v>
      </c>
      <c r="E357" s="148" t="s">
        <v>9</v>
      </c>
      <c r="F357" s="137">
        <v>1.45</v>
      </c>
      <c r="G357" s="555">
        <v>21.22</v>
      </c>
      <c r="H357" s="137"/>
      <c r="I357" s="522"/>
      <c r="J357" s="253">
        <f t="shared" si="38"/>
        <v>30.768999999999998</v>
      </c>
    </row>
    <row r="358" spans="1:10" x14ac:dyDescent="0.2">
      <c r="A358" s="6"/>
      <c r="B358" s="6"/>
      <c r="C358" s="155"/>
      <c r="D358" s="2" t="s">
        <v>1241</v>
      </c>
      <c r="E358" s="148" t="s">
        <v>9</v>
      </c>
      <c r="F358" s="137">
        <v>1.45</v>
      </c>
      <c r="G358" s="555">
        <v>41.96</v>
      </c>
      <c r="H358" s="137">
        <v>5.080000000000001</v>
      </c>
      <c r="I358" s="522"/>
      <c r="J358" s="253">
        <f t="shared" si="38"/>
        <v>55.762</v>
      </c>
    </row>
    <row r="359" spans="1:10" x14ac:dyDescent="0.2">
      <c r="A359" s="6"/>
      <c r="B359" s="6"/>
      <c r="C359" s="155"/>
      <c r="D359" s="2" t="s">
        <v>1019</v>
      </c>
      <c r="E359" s="148" t="s">
        <v>9</v>
      </c>
      <c r="F359" s="137">
        <v>1.45</v>
      </c>
      <c r="G359" s="137">
        <v>30.089999999999996</v>
      </c>
      <c r="H359" s="137">
        <v>5.080000000000001</v>
      </c>
      <c r="I359" s="522"/>
      <c r="J359" s="253">
        <f>(F359*G359)-H359</f>
        <v>38.550499999999992</v>
      </c>
    </row>
    <row r="360" spans="1:10" x14ac:dyDescent="0.2">
      <c r="A360" s="6"/>
      <c r="B360" s="6"/>
      <c r="C360" s="155"/>
      <c r="D360" s="2" t="s">
        <v>1242</v>
      </c>
      <c r="E360" s="148" t="s">
        <v>9</v>
      </c>
      <c r="F360" s="137">
        <v>1.45</v>
      </c>
      <c r="G360" s="137">
        <v>0.8</v>
      </c>
      <c r="H360" s="137"/>
      <c r="I360" s="522">
        <v>8</v>
      </c>
      <c r="J360" s="253">
        <f>(F360*G360)*I360</f>
        <v>9.2799999999999994</v>
      </c>
    </row>
    <row r="361" spans="1:10" x14ac:dyDescent="0.2">
      <c r="A361" s="6"/>
      <c r="B361" s="6"/>
      <c r="C361" s="155"/>
      <c r="D361" s="2"/>
      <c r="E361" s="148"/>
      <c r="F361" s="253"/>
      <c r="G361" s="253"/>
      <c r="H361" s="253"/>
      <c r="I361" s="519" t="str">
        <f>"Total item "&amp;A348</f>
        <v>Total item 6.4</v>
      </c>
      <c r="J361" s="518">
        <f>SUM(J351:J360)</f>
        <v>215.96299999999999</v>
      </c>
    </row>
    <row r="362" spans="1:10" x14ac:dyDescent="0.2">
      <c r="A362" s="6"/>
      <c r="B362" s="6"/>
      <c r="C362" s="155"/>
      <c r="D362" s="2"/>
      <c r="E362" s="148"/>
      <c r="F362" s="253"/>
      <c r="G362" s="253"/>
      <c r="H362" s="253"/>
      <c r="I362" s="246"/>
      <c r="J362" s="258"/>
    </row>
    <row r="363" spans="1:10" ht="20.399999999999999" x14ac:dyDescent="0.2">
      <c r="A363" s="515">
        <f>'ORÇAMENTO SEM DESON'!A49</f>
        <v>6.5</v>
      </c>
      <c r="B363" s="9" t="s">
        <v>163</v>
      </c>
      <c r="C363" s="13" t="s">
        <v>412</v>
      </c>
      <c r="D363" s="520" t="str">
        <f>'ORÇAMENTO SEM DESON'!D49</f>
        <v>APLICAÇÃO MANUAL DE PINTURA COM TINTA LÁTEX ACRÍLICA EM TETO, DUAS DEMÃOS. AF_06/2014</v>
      </c>
      <c r="E363" s="515" t="str">
        <f>'ORÇAMENTO SEM DESON'!E49</f>
        <v>m²</v>
      </c>
      <c r="F363" s="518"/>
      <c r="G363" s="518"/>
      <c r="H363" s="518"/>
      <c r="I363" s="519"/>
      <c r="J363" s="518"/>
    </row>
    <row r="364" spans="1:10" x14ac:dyDescent="0.2">
      <c r="A364" s="6"/>
      <c r="B364" s="6"/>
      <c r="C364" s="155"/>
      <c r="D364" s="2"/>
      <c r="E364" s="148"/>
      <c r="F364" s="137" t="s">
        <v>34</v>
      </c>
      <c r="G364" s="137"/>
      <c r="H364" s="137"/>
      <c r="I364" s="522"/>
      <c r="J364" s="253"/>
    </row>
    <row r="365" spans="1:10" x14ac:dyDescent="0.2">
      <c r="A365" s="6"/>
      <c r="B365" s="6"/>
      <c r="C365" s="155"/>
      <c r="D365" s="2" t="s">
        <v>402</v>
      </c>
      <c r="E365" s="148" t="s">
        <v>9</v>
      </c>
      <c r="F365" s="137">
        <f>3.87*7.38</f>
        <v>28.560600000000001</v>
      </c>
      <c r="G365" s="559"/>
      <c r="H365" s="137"/>
      <c r="I365" s="522"/>
      <c r="J365" s="253">
        <f>F365</f>
        <v>28.560600000000001</v>
      </c>
    </row>
    <row r="366" spans="1:10" x14ac:dyDescent="0.2">
      <c r="A366" s="6"/>
      <c r="B366" s="6"/>
      <c r="C366" s="155"/>
      <c r="D366" s="2" t="s">
        <v>1173</v>
      </c>
      <c r="E366" s="148" t="s">
        <v>9</v>
      </c>
      <c r="F366" s="137">
        <f>1.49*2.14</f>
        <v>3.1886000000000001</v>
      </c>
      <c r="G366" s="559"/>
      <c r="H366" s="137"/>
      <c r="I366" s="522"/>
      <c r="J366" s="253">
        <f t="shared" ref="J366:J376" si="39">F366</f>
        <v>3.1886000000000001</v>
      </c>
    </row>
    <row r="367" spans="1:10" x14ac:dyDescent="0.2">
      <c r="A367" s="6"/>
      <c r="B367" s="6"/>
      <c r="C367" s="155"/>
      <c r="D367" s="2" t="s">
        <v>490</v>
      </c>
      <c r="E367" s="148" t="s">
        <v>9</v>
      </c>
      <c r="F367" s="137">
        <f>2.14+2.23</f>
        <v>4.37</v>
      </c>
      <c r="G367" s="559"/>
      <c r="H367" s="137"/>
      <c r="I367" s="522"/>
      <c r="J367" s="253">
        <f t="shared" si="39"/>
        <v>4.37</v>
      </c>
    </row>
    <row r="368" spans="1:10" x14ac:dyDescent="0.2">
      <c r="A368" s="6"/>
      <c r="B368" s="6"/>
      <c r="C368" s="155"/>
      <c r="D368" s="2" t="s">
        <v>1110</v>
      </c>
      <c r="E368" s="148" t="s">
        <v>9</v>
      </c>
      <c r="F368" s="137">
        <f>2.23+1.21</f>
        <v>3.44</v>
      </c>
      <c r="G368" s="559"/>
      <c r="H368" s="137"/>
      <c r="I368" s="522"/>
      <c r="J368" s="253">
        <f t="shared" si="39"/>
        <v>3.44</v>
      </c>
    </row>
    <row r="369" spans="1:10" x14ac:dyDescent="0.2">
      <c r="A369" s="6"/>
      <c r="B369" s="6"/>
      <c r="C369" s="155"/>
      <c r="D369" s="2" t="s">
        <v>166</v>
      </c>
      <c r="E369" s="148" t="s">
        <v>9</v>
      </c>
      <c r="F369" s="137">
        <f>2.23*2.48</f>
        <v>5.5304000000000002</v>
      </c>
      <c r="G369" s="559"/>
      <c r="H369" s="137"/>
      <c r="I369" s="522"/>
      <c r="J369" s="253">
        <f t="shared" si="39"/>
        <v>5.5304000000000002</v>
      </c>
    </row>
    <row r="370" spans="1:10" x14ac:dyDescent="0.2">
      <c r="A370" s="6"/>
      <c r="B370" s="6"/>
      <c r="C370" s="155"/>
      <c r="D370" s="2" t="s">
        <v>165</v>
      </c>
      <c r="E370" s="148" t="s">
        <v>9</v>
      </c>
      <c r="F370" s="137">
        <f>3.83*3.84</f>
        <v>14.7072</v>
      </c>
      <c r="G370" s="559"/>
      <c r="H370" s="137"/>
      <c r="I370" s="522"/>
      <c r="J370" s="253">
        <f t="shared" si="39"/>
        <v>14.7072</v>
      </c>
    </row>
    <row r="371" spans="1:10" x14ac:dyDescent="0.2">
      <c r="A371" s="6"/>
      <c r="B371" s="6"/>
      <c r="C371" s="155"/>
      <c r="D371" s="2" t="s">
        <v>374</v>
      </c>
      <c r="E371" s="148" t="s">
        <v>9</v>
      </c>
      <c r="F371" s="137">
        <f>1.84*3.84</f>
        <v>7.0655999999999999</v>
      </c>
      <c r="G371" s="559"/>
      <c r="H371" s="137"/>
      <c r="I371" s="522"/>
      <c r="J371" s="253">
        <f t="shared" si="39"/>
        <v>7.0655999999999999</v>
      </c>
    </row>
    <row r="372" spans="1:10" x14ac:dyDescent="0.2">
      <c r="A372" s="6"/>
      <c r="B372" s="6"/>
      <c r="C372" s="155"/>
      <c r="D372" s="2" t="s">
        <v>1167</v>
      </c>
      <c r="E372" s="148" t="s">
        <v>9</v>
      </c>
      <c r="F372" s="137">
        <f>3.77*3.84</f>
        <v>14.476799999999999</v>
      </c>
      <c r="G372" s="559"/>
      <c r="H372" s="137"/>
      <c r="I372" s="522"/>
      <c r="J372" s="253">
        <f t="shared" si="39"/>
        <v>14.476799999999999</v>
      </c>
    </row>
    <row r="373" spans="1:10" x14ac:dyDescent="0.2">
      <c r="A373" s="6"/>
      <c r="B373" s="6"/>
      <c r="C373" s="155"/>
      <c r="D373" s="2" t="s">
        <v>1168</v>
      </c>
      <c r="E373" s="148" t="s">
        <v>9</v>
      </c>
      <c r="F373" s="137">
        <f>3.77*3.84</f>
        <v>14.476799999999999</v>
      </c>
      <c r="G373" s="559"/>
      <c r="H373" s="137"/>
      <c r="I373" s="522"/>
      <c r="J373" s="253">
        <f t="shared" si="39"/>
        <v>14.476799999999999</v>
      </c>
    </row>
    <row r="374" spans="1:10" x14ac:dyDescent="0.2">
      <c r="A374" s="6"/>
      <c r="B374" s="6"/>
      <c r="C374" s="155"/>
      <c r="D374" s="2" t="s">
        <v>1175</v>
      </c>
      <c r="E374" s="148" t="s">
        <v>9</v>
      </c>
      <c r="F374" s="137">
        <f>3.96*3.86</f>
        <v>15.285599999999999</v>
      </c>
      <c r="G374" s="555"/>
      <c r="H374" s="137"/>
      <c r="I374" s="522"/>
      <c r="J374" s="253">
        <f t="shared" si="39"/>
        <v>15.285599999999999</v>
      </c>
    </row>
    <row r="375" spans="1:10" x14ac:dyDescent="0.2">
      <c r="A375" s="6"/>
      <c r="B375" s="6"/>
      <c r="C375" s="155"/>
      <c r="D375" s="2" t="s">
        <v>1174</v>
      </c>
      <c r="E375" s="148" t="s">
        <v>9</v>
      </c>
      <c r="F375" s="137">
        <f>9.86*1.5</f>
        <v>14.79</v>
      </c>
      <c r="G375" s="555"/>
      <c r="H375" s="137"/>
      <c r="I375" s="522"/>
      <c r="J375" s="253">
        <f t="shared" si="39"/>
        <v>14.79</v>
      </c>
    </row>
    <row r="376" spans="1:10" x14ac:dyDescent="0.2">
      <c r="A376" s="6"/>
      <c r="B376" s="6"/>
      <c r="C376" s="155"/>
      <c r="D376" s="2" t="s">
        <v>1241</v>
      </c>
      <c r="E376" s="148" t="s">
        <v>9</v>
      </c>
      <c r="F376" s="137">
        <v>100.37</v>
      </c>
      <c r="G376" s="555"/>
      <c r="H376" s="137"/>
      <c r="I376" s="522"/>
      <c r="J376" s="253">
        <f t="shared" si="39"/>
        <v>100.37</v>
      </c>
    </row>
    <row r="377" spans="1:10" x14ac:dyDescent="0.2">
      <c r="A377" s="6"/>
      <c r="B377" s="6"/>
      <c r="C377" s="155"/>
      <c r="D377" s="2"/>
      <c r="E377" s="148"/>
      <c r="F377" s="253"/>
      <c r="G377" s="253"/>
      <c r="H377" s="253"/>
      <c r="I377" s="519" t="str">
        <f>"Total item "&amp;A363</f>
        <v>Total item 6.5</v>
      </c>
      <c r="J377" s="518">
        <f>SUM(J365:J376)</f>
        <v>226.26159999999999</v>
      </c>
    </row>
    <row r="378" spans="1:10" x14ac:dyDescent="0.2">
      <c r="A378" s="6"/>
      <c r="B378" s="6"/>
      <c r="C378" s="155"/>
      <c r="D378" s="2"/>
      <c r="E378" s="148"/>
      <c r="F378" s="253"/>
      <c r="G378" s="253"/>
      <c r="H378" s="253"/>
      <c r="I378" s="246"/>
      <c r="J378" s="258"/>
    </row>
    <row r="379" spans="1:10" ht="20.399999999999999" x14ac:dyDescent="0.2">
      <c r="A379" s="515">
        <f>'ORÇAMENTO SEM DESON'!A50</f>
        <v>6.6</v>
      </c>
      <c r="B379" s="9" t="s">
        <v>163</v>
      </c>
      <c r="C379" s="13" t="s">
        <v>412</v>
      </c>
      <c r="D379" s="520" t="str">
        <f>'ORÇAMENTO SEM DESON'!D50</f>
        <v>APLICAÇÃO DE FUNDO SELADOR ACRÍLICO EM TETO, UMA DEMÃO. AF_06/2014</v>
      </c>
      <c r="E379" s="515" t="str">
        <f>'ORÇAMENTO SEM DESON'!E50</f>
        <v>m²</v>
      </c>
      <c r="F379" s="518"/>
      <c r="G379" s="518"/>
      <c r="H379" s="518"/>
      <c r="I379" s="519"/>
      <c r="J379" s="518"/>
    </row>
    <row r="380" spans="1:10" x14ac:dyDescent="0.2">
      <c r="A380" s="6"/>
      <c r="B380" s="6"/>
      <c r="C380" s="155"/>
      <c r="D380" s="2"/>
      <c r="E380" s="148"/>
      <c r="F380" s="137" t="s">
        <v>34</v>
      </c>
      <c r="G380" s="137" t="s">
        <v>1137</v>
      </c>
      <c r="H380" s="137" t="s">
        <v>1141</v>
      </c>
      <c r="I380" s="522"/>
      <c r="J380" s="253"/>
    </row>
    <row r="381" spans="1:10" x14ac:dyDescent="0.2">
      <c r="A381" s="6"/>
      <c r="B381" s="6"/>
      <c r="C381" s="155"/>
      <c r="D381" s="2" t="s">
        <v>402</v>
      </c>
      <c r="E381" s="148" t="s">
        <v>9</v>
      </c>
      <c r="F381" s="137">
        <f>3.87*7.38</f>
        <v>28.560600000000001</v>
      </c>
      <c r="G381" s="559"/>
      <c r="H381" s="137"/>
      <c r="I381" s="522"/>
      <c r="J381" s="253">
        <f>F381</f>
        <v>28.560600000000001</v>
      </c>
    </row>
    <row r="382" spans="1:10" x14ac:dyDescent="0.2">
      <c r="A382" s="6"/>
      <c r="B382" s="6"/>
      <c r="C382" s="155"/>
      <c r="D382" s="2" t="s">
        <v>1173</v>
      </c>
      <c r="E382" s="148" t="s">
        <v>9</v>
      </c>
      <c r="F382" s="137">
        <f>1.49*2.14</f>
        <v>3.1886000000000001</v>
      </c>
      <c r="G382" s="559"/>
      <c r="H382" s="137"/>
      <c r="I382" s="522"/>
      <c r="J382" s="253">
        <f t="shared" ref="J382:J393" si="40">F382</f>
        <v>3.1886000000000001</v>
      </c>
    </row>
    <row r="383" spans="1:10" x14ac:dyDescent="0.2">
      <c r="A383" s="6"/>
      <c r="B383" s="6"/>
      <c r="C383" s="155"/>
      <c r="D383" s="2" t="s">
        <v>490</v>
      </c>
      <c r="E383" s="148" t="s">
        <v>9</v>
      </c>
      <c r="F383" s="137">
        <f>2.14+2.23</f>
        <v>4.37</v>
      </c>
      <c r="G383" s="559"/>
      <c r="H383" s="137"/>
      <c r="I383" s="522"/>
      <c r="J383" s="253">
        <f t="shared" si="40"/>
        <v>4.37</v>
      </c>
    </row>
    <row r="384" spans="1:10" x14ac:dyDescent="0.2">
      <c r="A384" s="6"/>
      <c r="B384" s="6"/>
      <c r="C384" s="155"/>
      <c r="D384" s="2" t="s">
        <v>1110</v>
      </c>
      <c r="E384" s="148" t="s">
        <v>9</v>
      </c>
      <c r="F384" s="137">
        <f>2.23+1.21</f>
        <v>3.44</v>
      </c>
      <c r="G384" s="559"/>
      <c r="H384" s="137"/>
      <c r="I384" s="522"/>
      <c r="J384" s="253">
        <f t="shared" si="40"/>
        <v>3.44</v>
      </c>
    </row>
    <row r="385" spans="1:10" x14ac:dyDescent="0.2">
      <c r="A385" s="6"/>
      <c r="B385" s="6"/>
      <c r="C385" s="155"/>
      <c r="D385" s="2" t="s">
        <v>166</v>
      </c>
      <c r="E385" s="148" t="s">
        <v>9</v>
      </c>
      <c r="F385" s="137">
        <f>2.23*2.48</f>
        <v>5.5304000000000002</v>
      </c>
      <c r="G385" s="559"/>
      <c r="H385" s="137"/>
      <c r="I385" s="522"/>
      <c r="J385" s="253">
        <f t="shared" si="40"/>
        <v>5.5304000000000002</v>
      </c>
    </row>
    <row r="386" spans="1:10" x14ac:dyDescent="0.2">
      <c r="A386" s="6"/>
      <c r="B386" s="6"/>
      <c r="C386" s="155"/>
      <c r="D386" s="2" t="s">
        <v>165</v>
      </c>
      <c r="E386" s="148" t="s">
        <v>9</v>
      </c>
      <c r="F386" s="137">
        <f>3.83*3.84</f>
        <v>14.7072</v>
      </c>
      <c r="G386" s="559"/>
      <c r="H386" s="137"/>
      <c r="I386" s="522"/>
      <c r="J386" s="253">
        <f t="shared" si="40"/>
        <v>14.7072</v>
      </c>
    </row>
    <row r="387" spans="1:10" x14ac:dyDescent="0.2">
      <c r="A387" s="6"/>
      <c r="B387" s="6"/>
      <c r="C387" s="155"/>
      <c r="D387" s="2" t="s">
        <v>374</v>
      </c>
      <c r="E387" s="148" t="s">
        <v>9</v>
      </c>
      <c r="F387" s="137">
        <f>1.84*3.84</f>
        <v>7.0655999999999999</v>
      </c>
      <c r="G387" s="559"/>
      <c r="H387" s="137"/>
      <c r="I387" s="522"/>
      <c r="J387" s="253">
        <f t="shared" si="40"/>
        <v>7.0655999999999999</v>
      </c>
    </row>
    <row r="388" spans="1:10" x14ac:dyDescent="0.2">
      <c r="A388" s="6"/>
      <c r="B388" s="6"/>
      <c r="C388" s="155"/>
      <c r="D388" s="2" t="s">
        <v>1167</v>
      </c>
      <c r="E388" s="148" t="s">
        <v>9</v>
      </c>
      <c r="F388" s="137">
        <f>3.77*3.84</f>
        <v>14.476799999999999</v>
      </c>
      <c r="G388" s="559"/>
      <c r="H388" s="137"/>
      <c r="I388" s="522"/>
      <c r="J388" s="253">
        <f t="shared" si="40"/>
        <v>14.476799999999999</v>
      </c>
    </row>
    <row r="389" spans="1:10" x14ac:dyDescent="0.2">
      <c r="A389" s="6"/>
      <c r="B389" s="6"/>
      <c r="C389" s="155"/>
      <c r="D389" s="2" t="s">
        <v>1168</v>
      </c>
      <c r="E389" s="148" t="s">
        <v>9</v>
      </c>
      <c r="F389" s="137">
        <f>3.77*3.84</f>
        <v>14.476799999999999</v>
      </c>
      <c r="G389" s="559"/>
      <c r="H389" s="137"/>
      <c r="I389" s="522"/>
      <c r="J389" s="253">
        <f t="shared" si="40"/>
        <v>14.476799999999999</v>
      </c>
    </row>
    <row r="390" spans="1:10" x14ac:dyDescent="0.2">
      <c r="A390" s="6"/>
      <c r="B390" s="6"/>
      <c r="C390" s="155"/>
      <c r="D390" s="2" t="s">
        <v>1175</v>
      </c>
      <c r="E390" s="148" t="s">
        <v>9</v>
      </c>
      <c r="F390" s="137">
        <f>3.96*3.86</f>
        <v>15.285599999999999</v>
      </c>
      <c r="G390" s="555"/>
      <c r="H390" s="137"/>
      <c r="I390" s="522"/>
      <c r="J390" s="253">
        <f t="shared" si="40"/>
        <v>15.285599999999999</v>
      </c>
    </row>
    <row r="391" spans="1:10" x14ac:dyDescent="0.2">
      <c r="A391" s="6"/>
      <c r="B391" s="6"/>
      <c r="C391" s="155"/>
      <c r="D391" s="2" t="s">
        <v>1267</v>
      </c>
      <c r="E391" s="148" t="s">
        <v>9</v>
      </c>
      <c r="F391" s="137">
        <v>1.75</v>
      </c>
      <c r="G391" s="555"/>
      <c r="H391" s="137"/>
      <c r="I391" s="522"/>
      <c r="J391" s="253">
        <f t="shared" si="40"/>
        <v>1.75</v>
      </c>
    </row>
    <row r="392" spans="1:10" x14ac:dyDescent="0.2">
      <c r="A392" s="6"/>
      <c r="B392" s="6"/>
      <c r="C392" s="155"/>
      <c r="D392" s="2" t="s">
        <v>1174</v>
      </c>
      <c r="E392" s="148" t="s">
        <v>9</v>
      </c>
      <c r="F392" s="137">
        <f>9.86*1.5</f>
        <v>14.79</v>
      </c>
      <c r="G392" s="555"/>
      <c r="H392" s="137"/>
      <c r="I392" s="522"/>
      <c r="J392" s="253">
        <f t="shared" si="40"/>
        <v>14.79</v>
      </c>
    </row>
    <row r="393" spans="1:10" x14ac:dyDescent="0.2">
      <c r="A393" s="6"/>
      <c r="B393" s="6"/>
      <c r="C393" s="155"/>
      <c r="D393" s="2" t="s">
        <v>1241</v>
      </c>
      <c r="E393" s="148" t="s">
        <v>9</v>
      </c>
      <c r="F393" s="137">
        <v>100.37</v>
      </c>
      <c r="G393" s="555"/>
      <c r="H393" s="137"/>
      <c r="I393" s="522"/>
      <c r="J393" s="253">
        <f t="shared" si="40"/>
        <v>100.37</v>
      </c>
    </row>
    <row r="394" spans="1:10" x14ac:dyDescent="0.2">
      <c r="A394" s="6"/>
      <c r="B394" s="6"/>
      <c r="C394" s="155"/>
      <c r="D394" s="2"/>
      <c r="E394" s="148"/>
      <c r="F394" s="253"/>
      <c r="G394" s="253"/>
      <c r="H394" s="253"/>
      <c r="I394" s="519" t="str">
        <f>"Total item "&amp;A379</f>
        <v>Total item 6.6</v>
      </c>
      <c r="J394" s="518">
        <f>SUM(J381:J393)</f>
        <v>228.01159999999999</v>
      </c>
    </row>
    <row r="395" spans="1:10" x14ac:dyDescent="0.2">
      <c r="A395" s="6"/>
      <c r="B395" s="6"/>
      <c r="C395" s="155"/>
      <c r="D395" s="2"/>
      <c r="E395" s="148"/>
      <c r="F395" s="253"/>
      <c r="G395" s="253"/>
      <c r="H395" s="253"/>
      <c r="I395" s="246"/>
      <c r="J395" s="258"/>
    </row>
    <row r="396" spans="1:10" x14ac:dyDescent="0.2">
      <c r="A396" s="515">
        <f>'ORÇAMENTO SEM DESON'!A51</f>
        <v>6.7</v>
      </c>
      <c r="B396" s="9" t="s">
        <v>163</v>
      </c>
      <c r="C396" s="13" t="s">
        <v>412</v>
      </c>
      <c r="D396" s="520" t="str">
        <f>'ORÇAMENTO SEM DESON'!D51</f>
        <v>ESMALTE DUAS DEMÃOS EM ESQUADRIAS DE MADEIRA</v>
      </c>
      <c r="E396" s="515" t="str">
        <f>'ORÇAMENTO SEM DESON'!E51</f>
        <v>m²</v>
      </c>
      <c r="F396" s="518"/>
      <c r="G396" s="518"/>
      <c r="H396" s="518"/>
      <c r="I396" s="519"/>
      <c r="J396" s="518"/>
    </row>
    <row r="397" spans="1:10" x14ac:dyDescent="0.2">
      <c r="A397" s="6"/>
      <c r="B397" s="6"/>
      <c r="C397" s="155"/>
      <c r="D397" s="2"/>
      <c r="E397" s="148"/>
      <c r="F397" s="137" t="s">
        <v>1143</v>
      </c>
      <c r="G397" s="445" t="s">
        <v>1137</v>
      </c>
      <c r="H397" s="137" t="s">
        <v>1142</v>
      </c>
      <c r="I397" s="137" t="s">
        <v>1138</v>
      </c>
      <c r="J397" s="253"/>
    </row>
    <row r="398" spans="1:10" x14ac:dyDescent="0.2">
      <c r="A398" s="6"/>
      <c r="B398" s="6"/>
      <c r="C398" s="155"/>
      <c r="D398" s="2" t="s">
        <v>1261</v>
      </c>
      <c r="E398" s="148" t="s">
        <v>9</v>
      </c>
      <c r="F398" s="137">
        <v>3</v>
      </c>
      <c r="G398" s="445">
        <v>0.7</v>
      </c>
      <c r="H398" s="137">
        <v>2.1</v>
      </c>
      <c r="I398" s="137">
        <v>2</v>
      </c>
      <c r="J398" s="253">
        <f>ROUND(PRODUCT(F398:I398),2)</f>
        <v>8.82</v>
      </c>
    </row>
    <row r="399" spans="1:10" x14ac:dyDescent="0.2">
      <c r="A399" s="6"/>
      <c r="B399" s="6"/>
      <c r="C399" s="155"/>
      <c r="D399" s="2" t="s">
        <v>1262</v>
      </c>
      <c r="E399" s="148" t="s">
        <v>9</v>
      </c>
      <c r="F399" s="137">
        <v>3</v>
      </c>
      <c r="G399" s="555">
        <v>0.8</v>
      </c>
      <c r="H399" s="137">
        <v>2.1</v>
      </c>
      <c r="I399" s="137">
        <v>2</v>
      </c>
      <c r="J399" s="253">
        <f>ROUND(PRODUCT(F399:I399),2)</f>
        <v>10.08</v>
      </c>
    </row>
    <row r="400" spans="1:10" x14ac:dyDescent="0.2">
      <c r="A400" s="6"/>
      <c r="B400" s="6"/>
      <c r="C400" s="155"/>
      <c r="D400" s="2" t="s">
        <v>1263</v>
      </c>
      <c r="E400" s="148" t="s">
        <v>9</v>
      </c>
      <c r="F400" s="137">
        <v>5</v>
      </c>
      <c r="G400" s="555">
        <v>0.9</v>
      </c>
      <c r="H400" s="137">
        <v>2.1</v>
      </c>
      <c r="I400" s="137">
        <v>2</v>
      </c>
      <c r="J400" s="253">
        <f>ROUND(PRODUCT(F400:I400),2)</f>
        <v>18.899999999999999</v>
      </c>
    </row>
    <row r="401" spans="1:10" x14ac:dyDescent="0.2">
      <c r="A401" s="6"/>
      <c r="B401" s="6"/>
      <c r="C401" s="155"/>
      <c r="D401" s="2"/>
      <c r="E401" s="148"/>
      <c r="F401" s="253"/>
      <c r="G401" s="253"/>
      <c r="H401" s="253"/>
      <c r="I401" s="519" t="str">
        <f>"Total item "&amp;A396</f>
        <v>Total item 6.7</v>
      </c>
      <c r="J401" s="518">
        <f>SUM(J398:J400)</f>
        <v>37.799999999999997</v>
      </c>
    </row>
    <row r="402" spans="1:10" x14ac:dyDescent="0.2">
      <c r="A402" s="6"/>
      <c r="B402" s="6"/>
      <c r="C402" s="155"/>
      <c r="D402" s="2"/>
      <c r="E402" s="148"/>
      <c r="F402" s="253"/>
      <c r="G402" s="253"/>
      <c r="H402" s="253"/>
      <c r="I402" s="246"/>
      <c r="J402" s="258"/>
    </row>
    <row r="403" spans="1:10" ht="20.399999999999999" x14ac:dyDescent="0.2">
      <c r="A403" s="515">
        <f>'ORÇAMENTO SEM DESON'!A52</f>
        <v>6.8</v>
      </c>
      <c r="B403" s="9" t="s">
        <v>163</v>
      </c>
      <c r="C403" s="13" t="s">
        <v>412</v>
      </c>
      <c r="D403" s="520" t="str">
        <f>'ORÇAMENTO SEM DESON'!D52</f>
        <v>LIXAMENTO DE MADEIRA PARA APLICAÇÃO DE FUNDO OU PINTURA. AF_01/2021</v>
      </c>
      <c r="E403" s="515" t="str">
        <f>'ORÇAMENTO SEM DESON'!E52</f>
        <v>m²</v>
      </c>
      <c r="F403" s="518"/>
      <c r="G403" s="518"/>
      <c r="H403" s="518"/>
      <c r="I403" s="519"/>
      <c r="J403" s="518"/>
    </row>
    <row r="404" spans="1:10" x14ac:dyDescent="0.2">
      <c r="A404" s="6"/>
      <c r="B404" s="6"/>
      <c r="C404" s="155"/>
      <c r="D404" s="2"/>
      <c r="E404" s="148"/>
      <c r="F404" s="137" t="s">
        <v>1143</v>
      </c>
      <c r="G404" s="445" t="s">
        <v>1137</v>
      </c>
      <c r="H404" s="137" t="s">
        <v>1142</v>
      </c>
      <c r="I404" s="137" t="s">
        <v>1138</v>
      </c>
      <c r="J404" s="253"/>
    </row>
    <row r="405" spans="1:10" x14ac:dyDescent="0.2">
      <c r="A405" s="6"/>
      <c r="B405" s="6"/>
      <c r="C405" s="155"/>
      <c r="D405" s="2" t="s">
        <v>1261</v>
      </c>
      <c r="E405" s="148" t="s">
        <v>9</v>
      </c>
      <c r="F405" s="137">
        <v>3</v>
      </c>
      <c r="G405" s="445">
        <v>0.7</v>
      </c>
      <c r="H405" s="137">
        <v>2.1</v>
      </c>
      <c r="I405" s="137">
        <v>2</v>
      </c>
      <c r="J405" s="253">
        <f t="shared" ref="J405:J407" si="41">ROUND(PRODUCT(F405:I405),2)</f>
        <v>8.82</v>
      </c>
    </row>
    <row r="406" spans="1:10" x14ac:dyDescent="0.2">
      <c r="A406" s="6"/>
      <c r="B406" s="6"/>
      <c r="C406" s="155"/>
      <c r="D406" s="2" t="s">
        <v>1262</v>
      </c>
      <c r="E406" s="148" t="s">
        <v>9</v>
      </c>
      <c r="F406" s="137">
        <v>3</v>
      </c>
      <c r="G406" s="555">
        <v>0.8</v>
      </c>
      <c r="H406" s="137">
        <v>2.1</v>
      </c>
      <c r="I406" s="137">
        <v>2</v>
      </c>
      <c r="J406" s="253">
        <f t="shared" si="41"/>
        <v>10.08</v>
      </c>
    </row>
    <row r="407" spans="1:10" x14ac:dyDescent="0.2">
      <c r="A407" s="6"/>
      <c r="B407" s="6"/>
      <c r="C407" s="155"/>
      <c r="D407" s="2" t="s">
        <v>1263</v>
      </c>
      <c r="E407" s="148" t="s">
        <v>9</v>
      </c>
      <c r="F407" s="137">
        <v>5</v>
      </c>
      <c r="G407" s="555">
        <v>0.9</v>
      </c>
      <c r="H407" s="137">
        <v>2.1</v>
      </c>
      <c r="I407" s="137">
        <v>2</v>
      </c>
      <c r="J407" s="253">
        <f t="shared" si="41"/>
        <v>18.899999999999999</v>
      </c>
    </row>
    <row r="408" spans="1:10" x14ac:dyDescent="0.2">
      <c r="A408" s="6"/>
      <c r="B408" s="6"/>
      <c r="C408" s="155"/>
      <c r="D408" s="2"/>
      <c r="E408" s="148"/>
      <c r="F408" s="253"/>
      <c r="G408" s="253"/>
      <c r="H408" s="253"/>
      <c r="I408" s="519" t="str">
        <f>"Total item "&amp;A403</f>
        <v>Total item 6.8</v>
      </c>
      <c r="J408" s="518">
        <f>SUM(J405:J407)</f>
        <v>37.799999999999997</v>
      </c>
    </row>
    <row r="409" spans="1:10" x14ac:dyDescent="0.2">
      <c r="A409" s="6"/>
      <c r="B409" s="6"/>
      <c r="C409" s="155"/>
      <c r="D409" s="2"/>
      <c r="E409" s="148"/>
      <c r="F409" s="253"/>
      <c r="G409" s="253"/>
      <c r="H409" s="253"/>
      <c r="I409" s="246"/>
      <c r="J409" s="258"/>
    </row>
    <row r="410" spans="1:10" ht="42" customHeight="1" x14ac:dyDescent="0.2">
      <c r="A410" s="515">
        <f>'ORÇAMENTO SEM DESON'!A53</f>
        <v>6.9</v>
      </c>
      <c r="B410" s="9" t="s">
        <v>163</v>
      </c>
      <c r="C410" s="13" t="s">
        <v>412</v>
      </c>
      <c r="D410" s="520" t="str">
        <f>'ORÇAMENTO SEM DESON'!D53</f>
        <v>PINTURA COM TINTA ALQUÍDICA DE ACABAMENTO (ESMALTE SINTÉTICO ACETINADO ) APLICADA A ROLO OU PINCEL SOBRE PERFIL METÁLICO EXECUTADO EM FÁBRICA (POR DEMÃO). AF_01/2020</v>
      </c>
      <c r="E410" s="515" t="str">
        <f>'ORÇAMENTO SEM DESON'!E53</f>
        <v>m²</v>
      </c>
      <c r="F410" s="518"/>
      <c r="G410" s="518"/>
      <c r="H410" s="518"/>
      <c r="I410" s="519"/>
      <c r="J410" s="518"/>
    </row>
    <row r="411" spans="1:10" x14ac:dyDescent="0.2">
      <c r="A411" s="6"/>
      <c r="B411" s="6"/>
      <c r="C411" s="155"/>
      <c r="D411" s="2"/>
      <c r="E411" s="148"/>
      <c r="F411" s="137" t="s">
        <v>1137</v>
      </c>
      <c r="G411" s="137" t="s">
        <v>1136</v>
      </c>
      <c r="H411" s="137" t="s">
        <v>1143</v>
      </c>
      <c r="I411" s="522" t="s">
        <v>1138</v>
      </c>
      <c r="J411" s="253"/>
    </row>
    <row r="412" spans="1:10" x14ac:dyDescent="0.2">
      <c r="A412" s="6"/>
      <c r="B412" s="6"/>
      <c r="C412" s="155"/>
      <c r="D412" s="2" t="s">
        <v>402</v>
      </c>
      <c r="E412" s="148" t="s">
        <v>9</v>
      </c>
      <c r="F412" s="137">
        <v>1.5</v>
      </c>
      <c r="G412" s="137">
        <v>1</v>
      </c>
      <c r="H412" s="137">
        <v>4</v>
      </c>
      <c r="I412" s="522">
        <v>2</v>
      </c>
      <c r="J412" s="253">
        <f t="shared" ref="J412:J418" si="42">ROUND(PRODUCT(F412:I412),2)</f>
        <v>12</v>
      </c>
    </row>
    <row r="413" spans="1:10" x14ac:dyDescent="0.2">
      <c r="A413" s="6"/>
      <c r="B413" s="6"/>
      <c r="C413" s="155"/>
      <c r="D413" s="2" t="s">
        <v>1019</v>
      </c>
      <c r="E413" s="148" t="s">
        <v>9</v>
      </c>
      <c r="F413" s="137">
        <v>2</v>
      </c>
      <c r="G413" s="137">
        <v>1</v>
      </c>
      <c r="H413" s="137">
        <v>1</v>
      </c>
      <c r="I413" s="522">
        <v>2</v>
      </c>
      <c r="J413" s="253">
        <f t="shared" si="42"/>
        <v>4</v>
      </c>
    </row>
    <row r="414" spans="1:10" x14ac:dyDescent="0.2">
      <c r="A414" s="6"/>
      <c r="B414" s="6"/>
      <c r="C414" s="155"/>
      <c r="D414" s="2"/>
      <c r="E414" s="148" t="s">
        <v>9</v>
      </c>
      <c r="F414" s="137">
        <v>3</v>
      </c>
      <c r="G414" s="137">
        <v>1</v>
      </c>
      <c r="H414" s="137">
        <v>1</v>
      </c>
      <c r="I414" s="522">
        <v>2</v>
      </c>
      <c r="J414" s="253">
        <f t="shared" si="42"/>
        <v>6</v>
      </c>
    </row>
    <row r="415" spans="1:10" x14ac:dyDescent="0.2">
      <c r="A415" s="6"/>
      <c r="B415" s="6"/>
      <c r="C415" s="155"/>
      <c r="D415" s="2" t="s">
        <v>1175</v>
      </c>
      <c r="E415" s="148" t="s">
        <v>9</v>
      </c>
      <c r="F415" s="137">
        <v>2</v>
      </c>
      <c r="G415" s="137">
        <v>1</v>
      </c>
      <c r="H415" s="137">
        <v>1</v>
      </c>
      <c r="I415" s="522">
        <v>2</v>
      </c>
      <c r="J415" s="253">
        <f t="shared" si="42"/>
        <v>4</v>
      </c>
    </row>
    <row r="416" spans="1:10" x14ac:dyDescent="0.2">
      <c r="A416" s="6"/>
      <c r="B416" s="6"/>
      <c r="C416" s="155"/>
      <c r="D416" s="2" t="s">
        <v>1175</v>
      </c>
      <c r="E416" s="148" t="s">
        <v>9</v>
      </c>
      <c r="F416" s="137">
        <v>0.8</v>
      </c>
      <c r="G416" s="137">
        <v>2.1</v>
      </c>
      <c r="H416" s="137">
        <v>1</v>
      </c>
      <c r="I416" s="249"/>
      <c r="J416" s="253">
        <f t="shared" si="42"/>
        <v>1.68</v>
      </c>
    </row>
    <row r="417" spans="1:10" x14ac:dyDescent="0.2">
      <c r="A417" s="6"/>
      <c r="B417" s="6"/>
      <c r="C417" s="155"/>
      <c r="D417" s="2" t="s">
        <v>1019</v>
      </c>
      <c r="E417" s="148" t="s">
        <v>9</v>
      </c>
      <c r="F417" s="137">
        <v>1.6</v>
      </c>
      <c r="G417" s="137">
        <v>2.1</v>
      </c>
      <c r="H417" s="137">
        <v>3</v>
      </c>
      <c r="I417" s="523"/>
      <c r="J417" s="253">
        <f t="shared" si="42"/>
        <v>10.08</v>
      </c>
    </row>
    <row r="418" spans="1:10" x14ac:dyDescent="0.2">
      <c r="A418" s="6"/>
      <c r="B418" s="6"/>
      <c r="C418" s="155"/>
      <c r="D418" s="2" t="s">
        <v>1257</v>
      </c>
      <c r="E418" s="148" t="s">
        <v>9</v>
      </c>
      <c r="F418" s="137">
        <f>62.89-6</f>
        <v>56.89</v>
      </c>
      <c r="G418" s="137">
        <v>1</v>
      </c>
      <c r="H418" s="137"/>
      <c r="I418" s="522">
        <v>2</v>
      </c>
      <c r="J418" s="253">
        <f t="shared" si="42"/>
        <v>113.78</v>
      </c>
    </row>
    <row r="419" spans="1:10" x14ac:dyDescent="0.2">
      <c r="A419" s="6"/>
      <c r="B419" s="6"/>
      <c r="C419" s="155"/>
      <c r="D419" s="2"/>
      <c r="E419" s="148"/>
      <c r="F419" s="253"/>
      <c r="G419" s="253"/>
      <c r="H419" s="253"/>
      <c r="I419" s="519" t="str">
        <f>"Total item "&amp;A410</f>
        <v>Total item 6.9</v>
      </c>
      <c r="J419" s="518">
        <f>SUM(J412:J418)</f>
        <v>151.54</v>
      </c>
    </row>
    <row r="420" spans="1:10" x14ac:dyDescent="0.2">
      <c r="A420" s="6"/>
      <c r="B420" s="6"/>
      <c r="C420" s="155"/>
      <c r="D420" s="2"/>
      <c r="E420" s="148"/>
      <c r="F420" s="253"/>
      <c r="G420" s="253"/>
      <c r="H420" s="253"/>
      <c r="I420" s="246"/>
      <c r="J420" s="258"/>
    </row>
    <row r="421" spans="1:10" ht="30.6" x14ac:dyDescent="0.2">
      <c r="A421" s="560">
        <f>'ORÇAMENTO SEM DESON'!A54</f>
        <v>6.1</v>
      </c>
      <c r="B421" s="9" t="s">
        <v>163</v>
      </c>
      <c r="C421" s="13" t="s">
        <v>412</v>
      </c>
      <c r="D421" s="520" t="str">
        <f>'ORÇAMENTO SEM DESON'!D54</f>
        <v>PINTURA DE PISO COM TINTA ACRÍLICA, APLICAÇÃO MANUAL, 2 DEMÃOS, INCLUSO FUNDO PREPARADOR. AF_05/2021</v>
      </c>
      <c r="E421" s="515" t="str">
        <f>'ORÇAMENTO SEM DESON'!E54</f>
        <v>m²</v>
      </c>
      <c r="F421" s="518"/>
      <c r="G421" s="518"/>
      <c r="H421" s="518"/>
      <c r="I421" s="519"/>
      <c r="J421" s="518"/>
    </row>
    <row r="422" spans="1:10" x14ac:dyDescent="0.2">
      <c r="A422" s="6"/>
      <c r="B422" s="6"/>
      <c r="C422" s="155"/>
      <c r="D422" s="2"/>
      <c r="E422" s="148"/>
      <c r="F422" s="137" t="s">
        <v>34</v>
      </c>
      <c r="G422" s="137"/>
      <c r="H422" s="137"/>
      <c r="I422" s="522"/>
      <c r="J422" s="253"/>
    </row>
    <row r="423" spans="1:10" x14ac:dyDescent="0.2">
      <c r="A423" s="6"/>
      <c r="B423" s="6"/>
      <c r="C423" s="155"/>
      <c r="D423" s="2" t="s">
        <v>1319</v>
      </c>
      <c r="E423" s="148" t="s">
        <v>9</v>
      </c>
      <c r="F423" s="137">
        <f>J588</f>
        <v>285.60000000000002</v>
      </c>
      <c r="G423" s="137"/>
      <c r="H423" s="137"/>
      <c r="I423" s="522"/>
      <c r="J423" s="253">
        <f t="shared" ref="J423" si="43">ROUND(PRODUCT(F423:I423),2)</f>
        <v>285.60000000000002</v>
      </c>
    </row>
    <row r="424" spans="1:10" x14ac:dyDescent="0.2">
      <c r="A424" s="6"/>
      <c r="B424" s="6"/>
      <c r="C424" s="155"/>
      <c r="D424" s="2"/>
      <c r="E424" s="148"/>
      <c r="F424" s="253"/>
      <c r="G424" s="253"/>
      <c r="H424" s="253"/>
      <c r="I424" s="519" t="str">
        <f>"Total item "&amp;A421</f>
        <v>Total item 6.1</v>
      </c>
      <c r="J424" s="518">
        <f>SUM(J423:J423)</f>
        <v>285.60000000000002</v>
      </c>
    </row>
    <row r="425" spans="1:10" x14ac:dyDescent="0.2">
      <c r="A425" s="6"/>
      <c r="B425" s="6"/>
      <c r="C425" s="155"/>
      <c r="D425" s="2"/>
      <c r="E425" s="148"/>
      <c r="F425" s="253"/>
      <c r="G425" s="253"/>
      <c r="H425" s="253"/>
      <c r="I425" s="246"/>
      <c r="J425" s="258"/>
    </row>
    <row r="426" spans="1:10" s="145" customFormat="1" x14ac:dyDescent="0.2">
      <c r="A426" s="505">
        <f>'ORÇAMENTO SEM DESON'!A55</f>
        <v>7</v>
      </c>
      <c r="B426" s="498"/>
      <c r="C426" s="499"/>
      <c r="D426" s="504" t="str">
        <f>'ORÇAMENTO SEM DESON'!D55</f>
        <v>ESQUADRIAS</v>
      </c>
      <c r="E426" s="498"/>
      <c r="F426" s="513"/>
      <c r="G426" s="513"/>
      <c r="H426" s="513"/>
      <c r="I426" s="514"/>
      <c r="J426" s="513"/>
    </row>
    <row r="427" spans="1:10" x14ac:dyDescent="0.2">
      <c r="A427" s="6"/>
      <c r="B427" s="6"/>
      <c r="C427" s="155"/>
      <c r="D427" s="2"/>
      <c r="E427" s="148"/>
      <c r="F427" s="253"/>
      <c r="G427" s="253"/>
      <c r="H427" s="253"/>
      <c r="I427" s="246"/>
      <c r="J427" s="258"/>
    </row>
    <row r="428" spans="1:10" s="139" customFormat="1" ht="30.6" x14ac:dyDescent="0.2">
      <c r="A428" s="515">
        <f>'ORÇAMENTO SEM DESON'!A56</f>
        <v>7.1</v>
      </c>
      <c r="B428" s="9" t="s">
        <v>163</v>
      </c>
      <c r="C428" s="13" t="s">
        <v>412</v>
      </c>
      <c r="D428" s="520" t="str">
        <f>'ORÇAMENTO SEM DESON'!D56</f>
        <v>BATENTE PARA PORTA DE MADEIRA, FIXAÇÃO COM ARGAMASSA, PADRÃO MÉDIO - FORNECIMENTO E INSTALAÇÃO. AF_12/2019_P</v>
      </c>
      <c r="E428" s="515" t="str">
        <f>'ORÇAMENTO SEM DESON'!E56</f>
        <v>un</v>
      </c>
      <c r="F428" s="518"/>
      <c r="G428" s="518"/>
      <c r="H428" s="518"/>
      <c r="I428" s="519"/>
      <c r="J428" s="518"/>
    </row>
    <row r="429" spans="1:10" x14ac:dyDescent="0.2">
      <c r="A429" s="6"/>
      <c r="B429" s="6"/>
      <c r="C429" s="155"/>
      <c r="D429" s="2"/>
      <c r="E429" s="148"/>
      <c r="F429" s="137" t="s">
        <v>1143</v>
      </c>
      <c r="G429" s="253"/>
      <c r="H429" s="253"/>
      <c r="I429" s="249"/>
      <c r="J429" s="253"/>
    </row>
    <row r="430" spans="1:10" x14ac:dyDescent="0.2">
      <c r="A430" s="6"/>
      <c r="B430" s="6"/>
      <c r="C430" s="7"/>
      <c r="D430" s="2" t="s">
        <v>1167</v>
      </c>
      <c r="E430" s="148" t="s">
        <v>33</v>
      </c>
      <c r="F430" s="137">
        <v>1</v>
      </c>
      <c r="G430" s="137"/>
      <c r="H430" s="137"/>
      <c r="I430" s="249"/>
      <c r="J430" s="253">
        <f>ROUND(PRODUCT(F430:I430),2)</f>
        <v>1</v>
      </c>
    </row>
    <row r="431" spans="1:10" x14ac:dyDescent="0.2">
      <c r="A431" s="6"/>
      <c r="B431" s="6"/>
      <c r="C431" s="7"/>
      <c r="D431" s="2" t="s">
        <v>1168</v>
      </c>
      <c r="E431" s="148" t="s">
        <v>33</v>
      </c>
      <c r="F431" s="137">
        <v>1</v>
      </c>
      <c r="G431" s="137"/>
      <c r="H431" s="137"/>
      <c r="I431" s="249"/>
      <c r="J431" s="253">
        <f t="shared" ref="J431:J438" si="44">ROUND(PRODUCT(F431:I431),2)</f>
        <v>1</v>
      </c>
    </row>
    <row r="432" spans="1:10" x14ac:dyDescent="0.2">
      <c r="A432" s="6"/>
      <c r="B432" s="6"/>
      <c r="C432" s="7"/>
      <c r="D432" s="2" t="s">
        <v>1174</v>
      </c>
      <c r="E432" s="148" t="s">
        <v>33</v>
      </c>
      <c r="F432" s="137">
        <v>1</v>
      </c>
      <c r="G432" s="137"/>
      <c r="H432" s="137"/>
      <c r="I432" s="249"/>
      <c r="J432" s="253">
        <f t="shared" si="44"/>
        <v>1</v>
      </c>
    </row>
    <row r="433" spans="1:10" x14ac:dyDescent="0.2">
      <c r="A433" s="6"/>
      <c r="B433" s="6"/>
      <c r="C433" s="7"/>
      <c r="D433" s="2" t="s">
        <v>1173</v>
      </c>
      <c r="E433" s="148" t="s">
        <v>33</v>
      </c>
      <c r="F433" s="137">
        <v>1</v>
      </c>
      <c r="G433" s="137"/>
      <c r="H433" s="137"/>
      <c r="I433" s="249"/>
      <c r="J433" s="253">
        <f t="shared" si="44"/>
        <v>1</v>
      </c>
    </row>
    <row r="434" spans="1:10" x14ac:dyDescent="0.2">
      <c r="A434" s="6"/>
      <c r="B434" s="6"/>
      <c r="C434" s="7"/>
      <c r="D434" s="2" t="s">
        <v>1110</v>
      </c>
      <c r="E434" s="148" t="s">
        <v>33</v>
      </c>
      <c r="F434" s="137">
        <v>1</v>
      </c>
      <c r="G434" s="137"/>
      <c r="H434" s="137"/>
      <c r="I434" s="249"/>
      <c r="J434" s="253">
        <f t="shared" si="44"/>
        <v>1</v>
      </c>
    </row>
    <row r="435" spans="1:10" x14ac:dyDescent="0.2">
      <c r="A435" s="6"/>
      <c r="B435" s="6"/>
      <c r="C435" s="7"/>
      <c r="D435" s="2" t="s">
        <v>374</v>
      </c>
      <c r="E435" s="148" t="s">
        <v>33</v>
      </c>
      <c r="F435" s="137">
        <v>1</v>
      </c>
      <c r="G435" s="137"/>
      <c r="H435" s="137"/>
      <c r="I435" s="249"/>
      <c r="J435" s="253">
        <f t="shared" si="44"/>
        <v>1</v>
      </c>
    </row>
    <row r="436" spans="1:10" x14ac:dyDescent="0.2">
      <c r="A436" s="6"/>
      <c r="B436" s="6"/>
      <c r="C436" s="7"/>
      <c r="D436" s="2" t="s">
        <v>166</v>
      </c>
      <c r="E436" s="148" t="s">
        <v>33</v>
      </c>
      <c r="F436" s="137">
        <v>1</v>
      </c>
      <c r="G436" s="137"/>
      <c r="H436" s="137"/>
      <c r="I436" s="249"/>
      <c r="J436" s="253">
        <f t="shared" si="44"/>
        <v>1</v>
      </c>
    </row>
    <row r="437" spans="1:10" x14ac:dyDescent="0.2">
      <c r="A437" s="6"/>
      <c r="B437" s="6"/>
      <c r="C437" s="7"/>
      <c r="D437" s="2" t="s">
        <v>1176</v>
      </c>
      <c r="E437" s="148" t="s">
        <v>33</v>
      </c>
      <c r="F437" s="137">
        <v>1</v>
      </c>
      <c r="G437" s="137"/>
      <c r="H437" s="137"/>
      <c r="I437" s="249"/>
      <c r="J437" s="253">
        <f t="shared" si="44"/>
        <v>1</v>
      </c>
    </row>
    <row r="438" spans="1:10" x14ac:dyDescent="0.2">
      <c r="A438" s="6"/>
      <c r="B438" s="6"/>
      <c r="C438" s="7"/>
      <c r="D438" s="2" t="s">
        <v>485</v>
      </c>
      <c r="E438" s="148" t="s">
        <v>33</v>
      </c>
      <c r="F438" s="137">
        <v>1</v>
      </c>
      <c r="G438" s="137"/>
      <c r="H438" s="137"/>
      <c r="I438" s="249"/>
      <c r="J438" s="253">
        <f t="shared" si="44"/>
        <v>1</v>
      </c>
    </row>
    <row r="439" spans="1:10" x14ac:dyDescent="0.2">
      <c r="A439" s="6"/>
      <c r="B439" s="6"/>
      <c r="C439" s="155"/>
      <c r="D439" s="2" t="s">
        <v>165</v>
      </c>
      <c r="E439" s="148" t="s">
        <v>33</v>
      </c>
      <c r="F439" s="137">
        <v>1</v>
      </c>
      <c r="G439" s="137"/>
      <c r="H439" s="137"/>
      <c r="I439" s="523"/>
      <c r="J439" s="253">
        <f t="shared" ref="J439" si="45">ROUND(PRODUCT(F439:I439),2)</f>
        <v>1</v>
      </c>
    </row>
    <row r="440" spans="1:10" x14ac:dyDescent="0.2">
      <c r="A440" s="6"/>
      <c r="B440" s="6"/>
      <c r="C440" s="155"/>
      <c r="D440" s="2" t="s">
        <v>1175</v>
      </c>
      <c r="E440" s="148" t="s">
        <v>33</v>
      </c>
      <c r="F440" s="137">
        <v>1</v>
      </c>
      <c r="G440" s="137"/>
      <c r="H440" s="137"/>
      <c r="I440" s="523"/>
      <c r="J440" s="253">
        <f t="shared" ref="J440" si="46">ROUND(PRODUCT(F440:I440),2)</f>
        <v>1</v>
      </c>
    </row>
    <row r="441" spans="1:10" s="139" customFormat="1" x14ac:dyDescent="0.2">
      <c r="A441" s="6"/>
      <c r="B441" s="6"/>
      <c r="C441" s="7"/>
      <c r="D441" s="116"/>
      <c r="E441" s="6"/>
      <c r="F441" s="258"/>
      <c r="G441" s="258"/>
      <c r="H441" s="258"/>
      <c r="I441" s="519" t="str">
        <f>"Total item "&amp;A428</f>
        <v>Total item 7.1</v>
      </c>
      <c r="J441" s="518">
        <f>SUM(J430:J440)</f>
        <v>11</v>
      </c>
    </row>
    <row r="442" spans="1:10" s="139" customFormat="1" x14ac:dyDescent="0.2">
      <c r="A442" s="6"/>
      <c r="B442" s="6"/>
      <c r="C442" s="7"/>
      <c r="D442" s="116"/>
      <c r="E442" s="6"/>
      <c r="F442" s="258"/>
      <c r="G442" s="258"/>
      <c r="H442" s="258"/>
      <c r="I442" s="246"/>
      <c r="J442" s="258"/>
    </row>
    <row r="443" spans="1:10" s="139" customFormat="1" ht="51" x14ac:dyDescent="0.2">
      <c r="A443" s="515">
        <f>'ORÇAMENTO SEM DESON'!A57</f>
        <v>7.2</v>
      </c>
      <c r="B443" s="9" t="s">
        <v>163</v>
      </c>
      <c r="C443" s="13" t="s">
        <v>412</v>
      </c>
      <c r="D443" s="520" t="str">
        <f>'ORÇAMENTO SEM DESON'!D57</f>
        <v>KIT DE PORTA DE MADEIRA PARA PINTURA, SEMI-OCA (LEVE OU MÉDIA), PADRÃO MÉDIO, 70X210CM, ESPESSURA DE 3,5CM, ITENS INCLUSOS: DOBRADIÇAS, MONTAGEM E INSTALAÇÃO DO BATENTE, FECHADURA COM EXECUÇÃO DO FURO - FORNECIMENTO E INSTALAÇÃO. AF_12/2019</v>
      </c>
      <c r="E443" s="515" t="str">
        <f>'ORÇAMENTO SEM DESON'!E57</f>
        <v>un</v>
      </c>
      <c r="F443" s="518"/>
      <c r="G443" s="518"/>
      <c r="H443" s="518"/>
      <c r="I443" s="519"/>
      <c r="J443" s="518"/>
    </row>
    <row r="444" spans="1:10" x14ac:dyDescent="0.2">
      <c r="A444" s="6"/>
      <c r="B444" s="6"/>
      <c r="C444" s="155"/>
      <c r="D444" s="2"/>
      <c r="E444" s="148"/>
      <c r="F444" s="137" t="s">
        <v>1143</v>
      </c>
      <c r="G444" s="253"/>
      <c r="H444" s="253"/>
      <c r="I444" s="249"/>
      <c r="J444" s="253"/>
    </row>
    <row r="445" spans="1:10" x14ac:dyDescent="0.2">
      <c r="A445" s="6"/>
      <c r="B445" s="6"/>
      <c r="C445" s="155"/>
      <c r="D445" s="2" t="s">
        <v>1176</v>
      </c>
      <c r="E445" s="148" t="s">
        <v>33</v>
      </c>
      <c r="F445" s="137">
        <v>1</v>
      </c>
      <c r="G445" s="253"/>
      <c r="H445" s="253"/>
      <c r="I445" s="249"/>
      <c r="J445" s="253">
        <f>ROUND(PRODUCT(F445:I445),2)</f>
        <v>1</v>
      </c>
    </row>
    <row r="446" spans="1:10" x14ac:dyDescent="0.2">
      <c r="A446" s="6"/>
      <c r="B446" s="6"/>
      <c r="C446" s="155"/>
      <c r="D446" s="2" t="s">
        <v>1175</v>
      </c>
      <c r="E446" s="148" t="s">
        <v>33</v>
      </c>
      <c r="F446" s="137">
        <v>1</v>
      </c>
      <c r="G446" s="253"/>
      <c r="H446" s="253"/>
      <c r="I446" s="249"/>
      <c r="J446" s="253">
        <f>ROUND(PRODUCT(F446:I446),2)</f>
        <v>1</v>
      </c>
    </row>
    <row r="447" spans="1:10" x14ac:dyDescent="0.2">
      <c r="A447" s="6"/>
      <c r="B447" s="6"/>
      <c r="C447" s="155"/>
      <c r="D447" s="2" t="s">
        <v>1110</v>
      </c>
      <c r="E447" s="148" t="s">
        <v>33</v>
      </c>
      <c r="F447" s="137">
        <v>1</v>
      </c>
      <c r="G447" s="253"/>
      <c r="H447" s="253"/>
      <c r="I447" s="249"/>
      <c r="J447" s="253">
        <f>ROUND(PRODUCT(F447:I447),2)</f>
        <v>1</v>
      </c>
    </row>
    <row r="448" spans="1:10" s="139" customFormat="1" x14ac:dyDescent="0.2">
      <c r="A448" s="6"/>
      <c r="B448" s="6"/>
      <c r="C448" s="7"/>
      <c r="D448" s="116"/>
      <c r="E448" s="6"/>
      <c r="F448" s="258"/>
      <c r="G448" s="258"/>
      <c r="H448" s="258"/>
      <c r="I448" s="519" t="str">
        <f>"Total item "&amp;A443</f>
        <v>Total item 7.2</v>
      </c>
      <c r="J448" s="518">
        <f>SUM(J445:J447)</f>
        <v>3</v>
      </c>
    </row>
    <row r="449" spans="1:10" s="139" customFormat="1" x14ac:dyDescent="0.2">
      <c r="A449" s="6"/>
      <c r="B449" s="6"/>
      <c r="C449" s="7"/>
      <c r="D449" s="116"/>
      <c r="E449" s="6"/>
      <c r="F449" s="258"/>
      <c r="G449" s="258"/>
      <c r="H449" s="258"/>
      <c r="I449" s="246"/>
      <c r="J449" s="258"/>
    </row>
    <row r="450" spans="1:10" s="139" customFormat="1" ht="51" x14ac:dyDescent="0.2">
      <c r="A450" s="515">
        <f>'ORÇAMENTO SEM DESON'!A58</f>
        <v>7.3</v>
      </c>
      <c r="B450" s="9" t="s">
        <v>163</v>
      </c>
      <c r="C450" s="13" t="s">
        <v>412</v>
      </c>
      <c r="D450" s="520" t="str">
        <f>'ORÇAMENTO SEM DESON'!D58</f>
        <v>KIT DE PORTA DE MADEIRA PARA PINTURA, SEMI-OCA (LEVE OU MÉDIA), PADRÃO MÉDIO, 80X210CM, ESPESSURA DE 3,5CM, ITENS INCLUSOS: DOBRADIÇAS, MONTAGEM E INSTALAÇÃO DO BATENTE, FECHADURA COM EXECUÇÃO DO FURO - FORNECIMENTO E INSTALAÇÃO. AF_12/2019</v>
      </c>
      <c r="E450" s="515" t="str">
        <f>'ORÇAMENTO SEM DESON'!E58</f>
        <v>un</v>
      </c>
      <c r="F450" s="518"/>
      <c r="G450" s="518"/>
      <c r="H450" s="518"/>
      <c r="I450" s="519"/>
      <c r="J450" s="518"/>
    </row>
    <row r="451" spans="1:10" x14ac:dyDescent="0.2">
      <c r="A451" s="6"/>
      <c r="B451" s="6"/>
      <c r="C451" s="155"/>
      <c r="D451" s="2"/>
      <c r="E451" s="148"/>
      <c r="F451" s="137" t="s">
        <v>1143</v>
      </c>
      <c r="G451" s="253"/>
      <c r="H451" s="253"/>
      <c r="I451" s="249"/>
      <c r="J451" s="253"/>
    </row>
    <row r="452" spans="1:10" x14ac:dyDescent="0.2">
      <c r="A452" s="6"/>
      <c r="B452" s="6"/>
      <c r="C452" s="155"/>
      <c r="D452" s="2" t="s">
        <v>485</v>
      </c>
      <c r="E452" s="148" t="s">
        <v>33</v>
      </c>
      <c r="F452" s="137">
        <v>1</v>
      </c>
      <c r="G452" s="253"/>
      <c r="H452" s="253"/>
      <c r="I452" s="249"/>
      <c r="J452" s="253">
        <f>ROUND(PRODUCT(F452:I452),2)</f>
        <v>1</v>
      </c>
    </row>
    <row r="453" spans="1:10" x14ac:dyDescent="0.2">
      <c r="A453" s="6"/>
      <c r="B453" s="6"/>
      <c r="C453" s="155"/>
      <c r="D453" s="2" t="s">
        <v>166</v>
      </c>
      <c r="E453" s="148" t="s">
        <v>33</v>
      </c>
      <c r="F453" s="137">
        <v>1</v>
      </c>
      <c r="G453" s="253"/>
      <c r="H453" s="253"/>
      <c r="I453" s="249"/>
      <c r="J453" s="253">
        <f>ROUND(PRODUCT(F453:I453),2)</f>
        <v>1</v>
      </c>
    </row>
    <row r="454" spans="1:10" x14ac:dyDescent="0.2">
      <c r="A454" s="6"/>
      <c r="B454" s="6"/>
      <c r="C454" s="155"/>
      <c r="D454" s="2" t="s">
        <v>374</v>
      </c>
      <c r="E454" s="148" t="s">
        <v>33</v>
      </c>
      <c r="F454" s="137">
        <v>1</v>
      </c>
      <c r="G454" s="253"/>
      <c r="H454" s="253"/>
      <c r="I454" s="249"/>
      <c r="J454" s="253">
        <f>ROUND(PRODUCT(F454:I454),2)</f>
        <v>1</v>
      </c>
    </row>
    <row r="455" spans="1:10" s="139" customFormat="1" x14ac:dyDescent="0.2">
      <c r="A455" s="6"/>
      <c r="B455" s="6"/>
      <c r="C455" s="7"/>
      <c r="D455" s="116"/>
      <c r="E455" s="6"/>
      <c r="F455" s="258"/>
      <c r="G455" s="258"/>
      <c r="H455" s="258"/>
      <c r="I455" s="519" t="str">
        <f>"Total item "&amp;A450</f>
        <v>Total item 7.3</v>
      </c>
      <c r="J455" s="518">
        <f>SUM(J452:J454)</f>
        <v>3</v>
      </c>
    </row>
    <row r="456" spans="1:10" s="139" customFormat="1" x14ac:dyDescent="0.2">
      <c r="A456" s="6"/>
      <c r="B456" s="6"/>
      <c r="C456" s="7"/>
      <c r="D456" s="116"/>
      <c r="E456" s="6"/>
      <c r="F456" s="258"/>
      <c r="G456" s="258"/>
      <c r="H456" s="258"/>
      <c r="I456" s="246"/>
      <c r="J456" s="258"/>
    </row>
    <row r="457" spans="1:10" s="139" customFormat="1" ht="30.6" x14ac:dyDescent="0.2">
      <c r="A457" s="515">
        <f>'ORÇAMENTO SEM DESON'!A59</f>
        <v>7.4</v>
      </c>
      <c r="B457" s="9" t="s">
        <v>163</v>
      </c>
      <c r="C457" s="13" t="s">
        <v>412</v>
      </c>
      <c r="D457" s="520" t="str">
        <f>'ORÇAMENTO SEM DESON'!D59</f>
        <v>PORTA DE ALUMÍNIO DE ABRIR COM LAMBRI, COM GUARNIÇÃO, FIXAÇÃO COM PARAFUSOS - FORNECIMENTO E INSTALAÇÃO. AF_12/2019</v>
      </c>
      <c r="E457" s="515" t="str">
        <f>'ORÇAMENTO SEM DESON'!E59</f>
        <v>m²</v>
      </c>
      <c r="F457" s="518"/>
      <c r="G457" s="518"/>
      <c r="H457" s="518"/>
      <c r="I457" s="519"/>
      <c r="J457" s="518"/>
    </row>
    <row r="458" spans="1:10" x14ac:dyDescent="0.2">
      <c r="A458" s="6"/>
      <c r="B458" s="6"/>
      <c r="C458" s="155"/>
      <c r="D458" s="2"/>
      <c r="E458" s="148"/>
      <c r="F458" s="137" t="s">
        <v>1140</v>
      </c>
      <c r="G458" s="137" t="s">
        <v>1150</v>
      </c>
      <c r="H458" s="253"/>
      <c r="I458" s="249"/>
      <c r="J458" s="253"/>
    </row>
    <row r="459" spans="1:10" x14ac:dyDescent="0.2">
      <c r="A459" s="6"/>
      <c r="B459" s="6"/>
      <c r="C459" s="155"/>
      <c r="D459" s="2" t="s">
        <v>1167</v>
      </c>
      <c r="E459" s="148" t="s">
        <v>9</v>
      </c>
      <c r="F459" s="137">
        <f>0.9+0.9+0.7</f>
        <v>2.5</v>
      </c>
      <c r="G459" s="137">
        <v>1.8</v>
      </c>
      <c r="H459" s="137"/>
      <c r="I459" s="523"/>
      <c r="J459" s="253">
        <f t="shared" ref="J459:J460" si="47">ROUND(PRODUCT(F459:I459),2)</f>
        <v>4.5</v>
      </c>
    </row>
    <row r="460" spans="1:10" x14ac:dyDescent="0.2">
      <c r="A460" s="6"/>
      <c r="B460" s="6"/>
      <c r="C460" s="155"/>
      <c r="D460" s="2" t="s">
        <v>1168</v>
      </c>
      <c r="E460" s="148" t="s">
        <v>9</v>
      </c>
      <c r="F460" s="137">
        <f>0.9+0.9+0.7</f>
        <v>2.5</v>
      </c>
      <c r="G460" s="137">
        <v>1.8</v>
      </c>
      <c r="H460" s="137"/>
      <c r="I460" s="523"/>
      <c r="J460" s="253">
        <f t="shared" si="47"/>
        <v>4.5</v>
      </c>
    </row>
    <row r="461" spans="1:10" s="139" customFormat="1" x14ac:dyDescent="0.2">
      <c r="A461" s="6"/>
      <c r="B461" s="6"/>
      <c r="C461" s="7"/>
      <c r="D461" s="116"/>
      <c r="E461" s="6"/>
      <c r="F461" s="258"/>
      <c r="G461" s="258"/>
      <c r="H461" s="258"/>
      <c r="I461" s="519" t="str">
        <f>"Total item "&amp;A457</f>
        <v>Total item 7.4</v>
      </c>
      <c r="J461" s="518">
        <f>SUM(J459:J460)</f>
        <v>9</v>
      </c>
    </row>
    <row r="462" spans="1:10" s="139" customFormat="1" x14ac:dyDescent="0.2">
      <c r="A462" s="6"/>
      <c r="B462" s="6"/>
      <c r="C462" s="7"/>
      <c r="D462" s="116"/>
      <c r="E462" s="6"/>
      <c r="F462" s="258"/>
      <c r="G462" s="258"/>
      <c r="H462" s="258"/>
      <c r="I462" s="246"/>
      <c r="J462" s="258"/>
    </row>
    <row r="463" spans="1:10" s="139" customFormat="1" x14ac:dyDescent="0.2">
      <c r="A463" s="515">
        <f>'ORÇAMENTO SEM DESON'!A60</f>
        <v>7.5</v>
      </c>
      <c r="B463" s="9" t="s">
        <v>163</v>
      </c>
      <c r="C463" s="13" t="s">
        <v>412</v>
      </c>
      <c r="D463" s="520" t="str">
        <f>'ORÇAMENTO SEM DESON'!D60</f>
        <v>PORTA DE ALUMÍNIO C/VIDRO CRISTAL TEMPERADO</v>
      </c>
      <c r="E463" s="515" t="str">
        <f>'ORÇAMENTO SEM DESON'!E60</f>
        <v>m²</v>
      </c>
      <c r="F463" s="518"/>
      <c r="G463" s="518"/>
      <c r="H463" s="518"/>
      <c r="I463" s="519"/>
      <c r="J463" s="518"/>
    </row>
    <row r="464" spans="1:10" x14ac:dyDescent="0.2">
      <c r="A464" s="6"/>
      <c r="B464" s="6"/>
      <c r="C464" s="155"/>
      <c r="D464" s="2"/>
      <c r="E464" s="148"/>
      <c r="F464" s="137" t="s">
        <v>1137</v>
      </c>
      <c r="G464" s="137" t="s">
        <v>1136</v>
      </c>
      <c r="H464" s="137" t="s">
        <v>1143</v>
      </c>
      <c r="I464" s="522"/>
      <c r="J464" s="253"/>
    </row>
    <row r="465" spans="1:10" x14ac:dyDescent="0.2">
      <c r="A465" s="6"/>
      <c r="B465" s="6"/>
      <c r="C465" s="155"/>
      <c r="D465" s="2" t="s">
        <v>1249</v>
      </c>
      <c r="E465" s="148" t="s">
        <v>9</v>
      </c>
      <c r="F465" s="137">
        <v>1.6</v>
      </c>
      <c r="G465" s="137">
        <v>2.1</v>
      </c>
      <c r="H465" s="137">
        <v>3</v>
      </c>
      <c r="I465" s="523"/>
      <c r="J465" s="253">
        <f t="shared" ref="J465:J466" si="48">ROUND(PRODUCT(F465:I465),2)</f>
        <v>10.08</v>
      </c>
    </row>
    <row r="466" spans="1:10" x14ac:dyDescent="0.2">
      <c r="A466" s="6"/>
      <c r="B466" s="6"/>
      <c r="C466" s="155"/>
      <c r="D466" s="2" t="s">
        <v>402</v>
      </c>
      <c r="E466" s="148" t="s">
        <v>9</v>
      </c>
      <c r="F466" s="137">
        <v>1.6</v>
      </c>
      <c r="G466" s="137">
        <v>2.1</v>
      </c>
      <c r="H466" s="137">
        <v>1</v>
      </c>
      <c r="I466" s="523"/>
      <c r="J466" s="253">
        <f t="shared" si="48"/>
        <v>3.36</v>
      </c>
    </row>
    <row r="467" spans="1:10" s="139" customFormat="1" x14ac:dyDescent="0.2">
      <c r="A467" s="6"/>
      <c r="B467" s="6"/>
      <c r="C467" s="7"/>
      <c r="D467" s="116"/>
      <c r="E467" s="6"/>
      <c r="F467" s="258"/>
      <c r="G467" s="258"/>
      <c r="H467" s="258"/>
      <c r="I467" s="519" t="str">
        <f>"Total item "&amp;A463</f>
        <v>Total item 7.5</v>
      </c>
      <c r="J467" s="518">
        <f>SUM(J465:J466)</f>
        <v>13.44</v>
      </c>
    </row>
    <row r="468" spans="1:10" s="139" customFormat="1" x14ac:dyDescent="0.2">
      <c r="A468" s="6"/>
      <c r="B468" s="6"/>
      <c r="C468" s="7"/>
      <c r="D468" s="116"/>
      <c r="E468" s="6"/>
      <c r="F468" s="258"/>
      <c r="G468" s="258"/>
      <c r="H468" s="258"/>
      <c r="I468" s="246"/>
      <c r="J468" s="258"/>
    </row>
    <row r="469" spans="1:10" s="139" customFormat="1" ht="51" x14ac:dyDescent="0.2">
      <c r="A469" s="515">
        <f>'ORÇAMENTO SEM DESON'!A61</f>
        <v>7.6</v>
      </c>
      <c r="B469" s="9" t="s">
        <v>163</v>
      </c>
      <c r="C469" s="13" t="s">
        <v>412</v>
      </c>
      <c r="D469" s="520" t="str">
        <f>'ORÇAMENTO SEM DESON'!D61</f>
        <v>JANELA DE ALUMÍNIO DE CORRER COM 4 FOLHAS PARA VIDROS, COM VIDROS, BATENTE, ACABAMENTO COM ACETATO OU BRILHANTE E FERRAGENS. EXCLUSIVE ALIZA R E CONTRAMARCO. FORNECIMENTO E INSTALAÇÃO. AF_12/2019</v>
      </c>
      <c r="E469" s="515" t="str">
        <f>'ORÇAMENTO SEM DESON'!E61</f>
        <v>m²</v>
      </c>
      <c r="F469" s="518"/>
      <c r="G469" s="518"/>
      <c r="H469" s="518"/>
      <c r="I469" s="519"/>
      <c r="J469" s="518"/>
    </row>
    <row r="470" spans="1:10" x14ac:dyDescent="0.2">
      <c r="A470" s="6"/>
      <c r="B470" s="6"/>
      <c r="C470" s="155"/>
      <c r="D470" s="2"/>
      <c r="E470" s="148"/>
      <c r="F470" s="137" t="s">
        <v>1137</v>
      </c>
      <c r="G470" s="137" t="s">
        <v>1136</v>
      </c>
      <c r="H470" s="137" t="s">
        <v>1143</v>
      </c>
      <c r="I470" s="249"/>
      <c r="J470" s="253"/>
    </row>
    <row r="471" spans="1:10" x14ac:dyDescent="0.2">
      <c r="A471" s="6"/>
      <c r="B471" s="6"/>
      <c r="C471" s="155"/>
      <c r="D471" s="2" t="s">
        <v>402</v>
      </c>
      <c r="E471" s="148" t="s">
        <v>9</v>
      </c>
      <c r="F471" s="137">
        <v>1.5</v>
      </c>
      <c r="G471" s="137">
        <v>1</v>
      </c>
      <c r="H471" s="137">
        <v>4</v>
      </c>
      <c r="I471" s="523"/>
      <c r="J471" s="253">
        <f t="shared" ref="J471:J475" si="49">ROUND(PRODUCT(F471:I471),2)</f>
        <v>6</v>
      </c>
    </row>
    <row r="472" spans="1:10" x14ac:dyDescent="0.2">
      <c r="A472" s="6"/>
      <c r="B472" s="6"/>
      <c r="C472" s="155"/>
      <c r="D472" s="2" t="s">
        <v>1019</v>
      </c>
      <c r="E472" s="148" t="s">
        <v>9</v>
      </c>
      <c r="F472" s="137">
        <v>2</v>
      </c>
      <c r="G472" s="137">
        <v>1</v>
      </c>
      <c r="H472" s="137">
        <v>1</v>
      </c>
      <c r="I472" s="523"/>
      <c r="J472" s="253">
        <f t="shared" si="49"/>
        <v>2</v>
      </c>
    </row>
    <row r="473" spans="1:10" x14ac:dyDescent="0.2">
      <c r="A473" s="6"/>
      <c r="B473" s="6"/>
      <c r="C473" s="155"/>
      <c r="D473" s="2"/>
      <c r="E473" s="148" t="s">
        <v>9</v>
      </c>
      <c r="F473" s="137">
        <v>3</v>
      </c>
      <c r="G473" s="137">
        <v>1</v>
      </c>
      <c r="H473" s="137">
        <v>1</v>
      </c>
      <c r="I473" s="523"/>
      <c r="J473" s="253">
        <f t="shared" si="49"/>
        <v>3</v>
      </c>
    </row>
    <row r="474" spans="1:10" x14ac:dyDescent="0.2">
      <c r="A474" s="6"/>
      <c r="B474" s="6"/>
      <c r="C474" s="155"/>
      <c r="D474" s="2" t="s">
        <v>1253</v>
      </c>
      <c r="E474" s="148" t="s">
        <v>9</v>
      </c>
      <c r="F474" s="137">
        <v>2</v>
      </c>
      <c r="G474" s="137">
        <v>1</v>
      </c>
      <c r="H474" s="137">
        <v>1</v>
      </c>
      <c r="I474" s="523"/>
      <c r="J474" s="253">
        <f t="shared" si="49"/>
        <v>2</v>
      </c>
    </row>
    <row r="475" spans="1:10" x14ac:dyDescent="0.2">
      <c r="A475" s="6"/>
      <c r="B475" s="6"/>
      <c r="C475" s="155"/>
      <c r="D475" s="2" t="s">
        <v>1175</v>
      </c>
      <c r="E475" s="148" t="s">
        <v>9</v>
      </c>
      <c r="F475" s="137">
        <v>2</v>
      </c>
      <c r="G475" s="137">
        <v>1</v>
      </c>
      <c r="H475" s="137">
        <v>1</v>
      </c>
      <c r="I475" s="523"/>
      <c r="J475" s="253">
        <f t="shared" si="49"/>
        <v>2</v>
      </c>
    </row>
    <row r="476" spans="1:10" s="139" customFormat="1" x14ac:dyDescent="0.2">
      <c r="A476" s="6"/>
      <c r="B476" s="6"/>
      <c r="C476" s="7"/>
      <c r="D476" s="116"/>
      <c r="E476" s="6"/>
      <c r="F476" s="258"/>
      <c r="G476" s="258"/>
      <c r="H476" s="258"/>
      <c r="I476" s="519" t="str">
        <f>"Total item "&amp;A469</f>
        <v>Total item 7.6</v>
      </c>
      <c r="J476" s="518">
        <f>SUM(J471:J475)</f>
        <v>15</v>
      </c>
    </row>
    <row r="477" spans="1:10" s="139" customFormat="1" x14ac:dyDescent="0.2">
      <c r="A477" s="6"/>
      <c r="B477" s="6"/>
      <c r="C477" s="7"/>
      <c r="D477" s="116"/>
      <c r="E477" s="6"/>
      <c r="F477" s="258"/>
      <c r="G477" s="258"/>
      <c r="H477" s="258"/>
      <c r="I477" s="246"/>
      <c r="J477" s="258"/>
    </row>
    <row r="478" spans="1:10" s="139" customFormat="1" ht="20.399999999999999" x14ac:dyDescent="0.2">
      <c r="A478" s="515">
        <f>'ORÇAMENTO SEM DESON'!A62</f>
        <v>7.7</v>
      </c>
      <c r="B478" s="9" t="s">
        <v>163</v>
      </c>
      <c r="C478" s="13" t="s">
        <v>412</v>
      </c>
      <c r="D478" s="520" t="str">
        <f>'ORÇAMENTO SEM DESON'!D62</f>
        <v>PUXADOR PARA PCD, FIXADO NA PORTA - FORNECIMENTO E INSTALAÇÃO. AF_01/2020</v>
      </c>
      <c r="E478" s="515" t="str">
        <f>'ORÇAMENTO SEM DESON'!E62</f>
        <v>un</v>
      </c>
      <c r="F478" s="518"/>
      <c r="G478" s="518"/>
      <c r="H478" s="518"/>
      <c r="I478" s="519"/>
      <c r="J478" s="518"/>
    </row>
    <row r="479" spans="1:10" x14ac:dyDescent="0.2">
      <c r="A479" s="6"/>
      <c r="B479" s="6"/>
      <c r="C479" s="155"/>
      <c r="D479" s="2"/>
      <c r="E479" s="148"/>
      <c r="F479" s="137"/>
      <c r="G479" s="137" t="s">
        <v>1143</v>
      </c>
      <c r="H479" s="253"/>
      <c r="I479" s="249"/>
      <c r="J479" s="253"/>
    </row>
    <row r="480" spans="1:10" x14ac:dyDescent="0.2">
      <c r="A480" s="6"/>
      <c r="B480" s="6"/>
      <c r="C480" s="155"/>
      <c r="D480" s="2" t="s">
        <v>1167</v>
      </c>
      <c r="E480" s="148" t="s">
        <v>33</v>
      </c>
      <c r="F480" s="137"/>
      <c r="G480" s="137">
        <v>3</v>
      </c>
      <c r="H480" s="137"/>
      <c r="I480" s="523"/>
      <c r="J480" s="253">
        <f t="shared" ref="J480:J481" si="50">ROUND(PRODUCT(F480:I480),2)</f>
        <v>3</v>
      </c>
    </row>
    <row r="481" spans="1:10" x14ac:dyDescent="0.2">
      <c r="A481" s="6"/>
      <c r="B481" s="6"/>
      <c r="C481" s="155"/>
      <c r="D481" s="2" t="s">
        <v>1251</v>
      </c>
      <c r="E481" s="148" t="s">
        <v>33</v>
      </c>
      <c r="F481" s="137"/>
      <c r="G481" s="137">
        <v>3</v>
      </c>
      <c r="H481" s="137"/>
      <c r="I481" s="523"/>
      <c r="J481" s="253">
        <f t="shared" si="50"/>
        <v>3</v>
      </c>
    </row>
    <row r="482" spans="1:10" s="139" customFormat="1" x14ac:dyDescent="0.2">
      <c r="A482" s="6"/>
      <c r="B482" s="6"/>
      <c r="C482" s="7"/>
      <c r="D482" s="116"/>
      <c r="E482" s="6"/>
      <c r="F482" s="258"/>
      <c r="G482" s="258"/>
      <c r="H482" s="258"/>
      <c r="I482" s="519" t="str">
        <f>"Total item "&amp;A478</f>
        <v>Total item 7.7</v>
      </c>
      <c r="J482" s="518">
        <f>SUM(J480:J481)</f>
        <v>6</v>
      </c>
    </row>
    <row r="483" spans="1:10" s="139" customFormat="1" x14ac:dyDescent="0.2">
      <c r="A483" s="6"/>
      <c r="B483" s="6"/>
      <c r="C483" s="7"/>
      <c r="D483" s="116"/>
      <c r="E483" s="6"/>
      <c r="F483" s="258"/>
      <c r="G483" s="258"/>
      <c r="H483" s="258"/>
      <c r="I483" s="246"/>
      <c r="J483" s="258"/>
    </row>
    <row r="484" spans="1:10" s="139" customFormat="1" ht="51" x14ac:dyDescent="0.2">
      <c r="A484" s="515">
        <f>'ORÇAMENTO SEM DESON'!A63</f>
        <v>7.8</v>
      </c>
      <c r="B484" s="9" t="s">
        <v>163</v>
      </c>
      <c r="C484" s="13" t="s">
        <v>412</v>
      </c>
      <c r="D484" s="520" t="str">
        <f>'ORÇAMENTO SEM DESON'!D63</f>
        <v>KIT DE PORTA DE MADEIRA PARA PINTURA, SEMI-OCA (LEVE OU MÉDIA), PADRÃO MÉDIO, 90X210CM, ESPESSURA DE 3,5CM, ITENS INCLUSOS: DOBRADIÇAS, MONTAGEM E INSTALAÇÃO DO BATENTE, FECHADURA COM EXECUÇÃO DO FURO - FORNECIMENTO E INSTALAÇÃO. AF_12/2019</v>
      </c>
      <c r="E484" s="515" t="str">
        <f>'ORÇAMENTO SEM DESON'!E63</f>
        <v>un</v>
      </c>
      <c r="F484" s="518"/>
      <c r="G484" s="518"/>
      <c r="H484" s="518"/>
      <c r="I484" s="519"/>
      <c r="J484" s="518"/>
    </row>
    <row r="485" spans="1:10" x14ac:dyDescent="0.2">
      <c r="A485" s="6"/>
      <c r="B485" s="6"/>
      <c r="C485" s="155"/>
      <c r="D485" s="2"/>
      <c r="E485" s="148"/>
      <c r="F485" s="137" t="s">
        <v>1143</v>
      </c>
      <c r="G485" s="137"/>
      <c r="H485" s="253"/>
      <c r="I485" s="249"/>
      <c r="J485" s="253"/>
    </row>
    <row r="486" spans="1:10" x14ac:dyDescent="0.2">
      <c r="A486" s="6"/>
      <c r="B486" s="6"/>
      <c r="C486" s="155"/>
      <c r="D486" s="2" t="s">
        <v>1173</v>
      </c>
      <c r="E486" s="148" t="s">
        <v>33</v>
      </c>
      <c r="F486" s="137">
        <v>1</v>
      </c>
      <c r="G486" s="137"/>
      <c r="H486" s="137"/>
      <c r="I486" s="523"/>
      <c r="J486" s="253">
        <f t="shared" ref="J486:J490" si="51">ROUND(PRODUCT(F486:I486),2)</f>
        <v>1</v>
      </c>
    </row>
    <row r="487" spans="1:10" x14ac:dyDescent="0.2">
      <c r="A487" s="6"/>
      <c r="B487" s="6"/>
      <c r="C487" s="155"/>
      <c r="D487" s="2" t="s">
        <v>165</v>
      </c>
      <c r="E487" s="148" t="s">
        <v>33</v>
      </c>
      <c r="F487" s="137">
        <v>1</v>
      </c>
      <c r="G487" s="137"/>
      <c r="H487" s="137"/>
      <c r="I487" s="523"/>
      <c r="J487" s="253">
        <f t="shared" si="51"/>
        <v>1</v>
      </c>
    </row>
    <row r="488" spans="1:10" x14ac:dyDescent="0.2">
      <c r="A488" s="6"/>
      <c r="B488" s="6"/>
      <c r="C488" s="155"/>
      <c r="D488" s="2" t="s">
        <v>1167</v>
      </c>
      <c r="E488" s="148" t="s">
        <v>33</v>
      </c>
      <c r="F488" s="137">
        <v>1</v>
      </c>
      <c r="G488" s="137"/>
      <c r="H488" s="137"/>
      <c r="I488" s="523"/>
      <c r="J488" s="253">
        <f t="shared" si="51"/>
        <v>1</v>
      </c>
    </row>
    <row r="489" spans="1:10" x14ac:dyDescent="0.2">
      <c r="A489" s="6"/>
      <c r="B489" s="6"/>
      <c r="C489" s="155"/>
      <c r="D489" s="2" t="s">
        <v>1168</v>
      </c>
      <c r="E489" s="148" t="s">
        <v>33</v>
      </c>
      <c r="F489" s="137">
        <v>1</v>
      </c>
      <c r="G489" s="137"/>
      <c r="H489" s="137"/>
      <c r="I489" s="523"/>
      <c r="J489" s="253">
        <f t="shared" si="51"/>
        <v>1</v>
      </c>
    </row>
    <row r="490" spans="1:10" x14ac:dyDescent="0.2">
      <c r="A490" s="6"/>
      <c r="B490" s="6"/>
      <c r="C490" s="155"/>
      <c r="D490" s="2" t="s">
        <v>1174</v>
      </c>
      <c r="E490" s="148" t="s">
        <v>33</v>
      </c>
      <c r="F490" s="137">
        <v>1</v>
      </c>
      <c r="G490" s="137"/>
      <c r="H490" s="137"/>
      <c r="I490" s="523"/>
      <c r="J490" s="253">
        <f t="shared" si="51"/>
        <v>1</v>
      </c>
    </row>
    <row r="491" spans="1:10" s="139" customFormat="1" x14ac:dyDescent="0.2">
      <c r="A491" s="6"/>
      <c r="B491" s="6"/>
      <c r="C491" s="7"/>
      <c r="D491" s="116"/>
      <c r="E491" s="6"/>
      <c r="F491" s="258"/>
      <c r="G491" s="258"/>
      <c r="H491" s="258"/>
      <c r="I491" s="519" t="str">
        <f>"Total item "&amp;A484</f>
        <v>Total item 7.8</v>
      </c>
      <c r="J491" s="518">
        <f>SUM(J486:J490)</f>
        <v>5</v>
      </c>
    </row>
    <row r="492" spans="1:10" s="139" customFormat="1" x14ac:dyDescent="0.2">
      <c r="A492" s="6"/>
      <c r="B492" s="6"/>
      <c r="C492" s="7"/>
      <c r="D492" s="116"/>
      <c r="E492" s="6"/>
      <c r="F492" s="258"/>
      <c r="G492" s="258"/>
      <c r="H492" s="258"/>
      <c r="I492" s="246"/>
      <c r="J492" s="258"/>
    </row>
    <row r="493" spans="1:10" s="139" customFormat="1" ht="20.399999999999999" x14ac:dyDescent="0.2">
      <c r="A493" s="515">
        <f>'ORÇAMENTO SEM DESON'!A64</f>
        <v>7.9</v>
      </c>
      <c r="B493" s="9" t="s">
        <v>163</v>
      </c>
      <c r="C493" s="13" t="s">
        <v>412</v>
      </c>
      <c r="D493" s="520" t="str">
        <f>'ORÇAMENTO SEM DESON'!D64</f>
        <v>GRADIL EM FERRO FIXADO EM VÃOS DE JANELAS, FORMADO POR BARRAS CHATAS DE 25X4,8 MM. AF_04/2019</v>
      </c>
      <c r="E493" s="515" t="str">
        <f>'ORÇAMENTO SEM DESON'!E64</f>
        <v>m²</v>
      </c>
      <c r="F493" s="518"/>
      <c r="G493" s="518"/>
      <c r="H493" s="518"/>
      <c r="I493" s="519"/>
      <c r="J493" s="518"/>
    </row>
    <row r="494" spans="1:10" x14ac:dyDescent="0.2">
      <c r="A494" s="6"/>
      <c r="B494" s="6"/>
      <c r="C494" s="155"/>
      <c r="D494" s="2"/>
      <c r="E494" s="148"/>
      <c r="F494" s="137" t="s">
        <v>1137</v>
      </c>
      <c r="G494" s="137" t="s">
        <v>1136</v>
      </c>
      <c r="H494" s="137" t="s">
        <v>1143</v>
      </c>
      <c r="I494" s="249"/>
      <c r="J494" s="253"/>
    </row>
    <row r="495" spans="1:10" x14ac:dyDescent="0.2">
      <c r="A495" s="6"/>
      <c r="B495" s="6"/>
      <c r="C495" s="155"/>
      <c r="D495" s="2" t="s">
        <v>402</v>
      </c>
      <c r="E495" s="148" t="s">
        <v>9</v>
      </c>
      <c r="F495" s="137">
        <v>1.5</v>
      </c>
      <c r="G495" s="137">
        <v>1</v>
      </c>
      <c r="H495" s="137">
        <v>4</v>
      </c>
      <c r="I495" s="523"/>
      <c r="J495" s="253">
        <f t="shared" ref="J495:J498" si="52">ROUND(PRODUCT(F495:I495),2)</f>
        <v>6</v>
      </c>
    </row>
    <row r="496" spans="1:10" x14ac:dyDescent="0.2">
      <c r="A496" s="6"/>
      <c r="B496" s="6"/>
      <c r="C496" s="155"/>
      <c r="D496" s="2" t="s">
        <v>1019</v>
      </c>
      <c r="E496" s="148" t="s">
        <v>9</v>
      </c>
      <c r="F496" s="137">
        <v>2</v>
      </c>
      <c r="G496" s="137">
        <v>1</v>
      </c>
      <c r="H496" s="137">
        <v>1</v>
      </c>
      <c r="I496" s="523"/>
      <c r="J496" s="253">
        <f t="shared" si="52"/>
        <v>2</v>
      </c>
    </row>
    <row r="497" spans="1:10" x14ac:dyDescent="0.2">
      <c r="A497" s="6"/>
      <c r="B497" s="6"/>
      <c r="C497" s="155"/>
      <c r="D497" s="2"/>
      <c r="E497" s="148" t="s">
        <v>9</v>
      </c>
      <c r="F497" s="137">
        <v>3</v>
      </c>
      <c r="G497" s="137">
        <v>1</v>
      </c>
      <c r="H497" s="137">
        <v>1</v>
      </c>
      <c r="I497" s="523"/>
      <c r="J497" s="253">
        <f t="shared" si="52"/>
        <v>3</v>
      </c>
    </row>
    <row r="498" spans="1:10" x14ac:dyDescent="0.2">
      <c r="A498" s="6"/>
      <c r="B498" s="6"/>
      <c r="C498" s="155"/>
      <c r="D498" s="2" t="s">
        <v>1175</v>
      </c>
      <c r="E498" s="148" t="s">
        <v>9</v>
      </c>
      <c r="F498" s="137">
        <v>2</v>
      </c>
      <c r="G498" s="137">
        <v>1</v>
      </c>
      <c r="H498" s="137">
        <v>1</v>
      </c>
      <c r="I498" s="523"/>
      <c r="J498" s="253">
        <f t="shared" si="52"/>
        <v>2</v>
      </c>
    </row>
    <row r="499" spans="1:10" s="139" customFormat="1" x14ac:dyDescent="0.2">
      <c r="A499" s="6"/>
      <c r="B499" s="6"/>
      <c r="C499" s="7"/>
      <c r="D499" s="116"/>
      <c r="E499" s="6"/>
      <c r="F499" s="258"/>
      <c r="G499" s="258"/>
      <c r="H499" s="258"/>
      <c r="I499" s="519" t="str">
        <f>"Total item "&amp;A493</f>
        <v>Total item 7.9</v>
      </c>
      <c r="J499" s="518">
        <f>SUM(J495:J498)</f>
        <v>13</v>
      </c>
    </row>
    <row r="500" spans="1:10" s="139" customFormat="1" x14ac:dyDescent="0.2">
      <c r="A500" s="6"/>
      <c r="B500" s="6"/>
      <c r="C500" s="7"/>
      <c r="D500" s="116"/>
      <c r="E500" s="6"/>
      <c r="F500" s="258"/>
      <c r="G500" s="258"/>
      <c r="H500" s="258"/>
      <c r="I500" s="246"/>
      <c r="J500" s="258"/>
    </row>
    <row r="501" spans="1:10" s="139" customFormat="1" ht="20.399999999999999" x14ac:dyDescent="0.2">
      <c r="A501" s="560">
        <f>'ORÇAMENTO SEM DESON'!A65</f>
        <v>7.1</v>
      </c>
      <c r="B501" s="9" t="s">
        <v>163</v>
      </c>
      <c r="C501" s="13" t="s">
        <v>412</v>
      </c>
      <c r="D501" s="520" t="str">
        <f>'ORÇAMENTO SEM DESON'!D65</f>
        <v>GRADE DE FERRO TUBULAR C/MOLDURA EM BARRA CHATA DE FERRO</v>
      </c>
      <c r="E501" s="515" t="str">
        <f>'ORÇAMENTO SEM DESON'!E65</f>
        <v>m²</v>
      </c>
      <c r="F501" s="518"/>
      <c r="G501" s="518"/>
      <c r="H501" s="518"/>
      <c r="I501" s="519"/>
      <c r="J501" s="518"/>
    </row>
    <row r="502" spans="1:10" x14ac:dyDescent="0.2">
      <c r="A502" s="6"/>
      <c r="B502" s="6"/>
      <c r="C502" s="155"/>
      <c r="D502" s="2"/>
      <c r="E502" s="148"/>
      <c r="F502" s="137" t="s">
        <v>1137</v>
      </c>
      <c r="G502" s="137" t="s">
        <v>1142</v>
      </c>
      <c r="H502" s="253"/>
      <c r="I502" s="249"/>
      <c r="J502" s="253"/>
    </row>
    <row r="503" spans="1:10" x14ac:dyDescent="0.2">
      <c r="A503" s="6"/>
      <c r="B503" s="6"/>
      <c r="C503" s="155"/>
      <c r="D503" s="2" t="s">
        <v>1257</v>
      </c>
      <c r="E503" s="148" t="s">
        <v>9</v>
      </c>
      <c r="F503" s="137">
        <f>62.89-6</f>
        <v>56.89</v>
      </c>
      <c r="G503" s="137">
        <v>1</v>
      </c>
      <c r="H503" s="137"/>
      <c r="I503" s="523"/>
      <c r="J503" s="253">
        <f t="shared" ref="J503" si="53">ROUND(PRODUCT(F503:I503),2)</f>
        <v>56.89</v>
      </c>
    </row>
    <row r="504" spans="1:10" s="139" customFormat="1" x14ac:dyDescent="0.2">
      <c r="A504" s="6"/>
      <c r="B504" s="6"/>
      <c r="C504" s="7"/>
      <c r="D504" s="116"/>
      <c r="E504" s="6"/>
      <c r="F504" s="258"/>
      <c r="G504" s="258"/>
      <c r="H504" s="258"/>
      <c r="I504" s="561" t="str">
        <f>"Total item "&amp;A501</f>
        <v>Total item 7.1</v>
      </c>
      <c r="J504" s="518">
        <f>SUM(J503:J503)</f>
        <v>56.89</v>
      </c>
    </row>
    <row r="505" spans="1:10" s="139" customFormat="1" x14ac:dyDescent="0.2">
      <c r="A505" s="6"/>
      <c r="B505" s="6"/>
      <c r="C505" s="7"/>
      <c r="D505" s="116"/>
      <c r="E505" s="6"/>
      <c r="F505" s="258"/>
      <c r="G505" s="258"/>
      <c r="H505" s="258"/>
      <c r="I505" s="246"/>
      <c r="J505" s="258"/>
    </row>
    <row r="506" spans="1:10" s="139" customFormat="1" ht="40.799999999999997" x14ac:dyDescent="0.2">
      <c r="A506" s="560">
        <f>'ORÇAMENTO SEM DESON'!A66</f>
        <v>7.11</v>
      </c>
      <c r="B506" s="9" t="s">
        <v>163</v>
      </c>
      <c r="C506" s="13" t="s">
        <v>412</v>
      </c>
      <c r="D506" s="520" t="str">
        <f>'ORÇAMENTO SEM DESON'!D66</f>
        <v>GRADE DE PROTECAO DE PORTA EM FERRO C/ VAROES DE 1/2", ESPAC=10CM E ACABAMENTO EM BARRA CHATA DE 1" X 1/4", INCLUSIVE FECHADURA DE SOBREPOR BRASIL OU SIMILAR E ASSENTAMENTO.</v>
      </c>
      <c r="E506" s="515" t="str">
        <f>'ORÇAMENTO SEM DESON'!E66</f>
        <v>m²</v>
      </c>
      <c r="F506" s="518"/>
      <c r="G506" s="518"/>
      <c r="H506" s="518"/>
      <c r="I506" s="519"/>
      <c r="J506" s="518"/>
    </row>
    <row r="507" spans="1:10" x14ac:dyDescent="0.2">
      <c r="A507" s="6"/>
      <c r="B507" s="6"/>
      <c r="C507" s="155"/>
      <c r="D507" s="2"/>
      <c r="E507" s="148"/>
      <c r="F507" s="137" t="s">
        <v>1137</v>
      </c>
      <c r="G507" s="137" t="s">
        <v>1142</v>
      </c>
      <c r="H507" s="137" t="s">
        <v>1143</v>
      </c>
      <c r="I507" s="249"/>
      <c r="J507" s="253"/>
    </row>
    <row r="508" spans="1:10" x14ac:dyDescent="0.2">
      <c r="A508" s="6"/>
      <c r="B508" s="6"/>
      <c r="C508" s="155"/>
      <c r="D508" s="2" t="s">
        <v>1175</v>
      </c>
      <c r="E508" s="148" t="s">
        <v>9</v>
      </c>
      <c r="F508" s="137">
        <v>0.8</v>
      </c>
      <c r="G508" s="137">
        <v>2.1</v>
      </c>
      <c r="H508" s="137">
        <v>1</v>
      </c>
      <c r="I508" s="249"/>
      <c r="J508" s="253">
        <f t="shared" ref="J508:J509" si="54">ROUND(PRODUCT(F508:I508),2)</f>
        <v>1.68</v>
      </c>
    </row>
    <row r="509" spans="1:10" x14ac:dyDescent="0.2">
      <c r="A509" s="6"/>
      <c r="B509" s="6"/>
      <c r="C509" s="155"/>
      <c r="D509" s="2" t="s">
        <v>1019</v>
      </c>
      <c r="E509" s="148" t="s">
        <v>9</v>
      </c>
      <c r="F509" s="137">
        <v>1.6</v>
      </c>
      <c r="G509" s="137">
        <v>2.1</v>
      </c>
      <c r="H509" s="137">
        <v>3</v>
      </c>
      <c r="I509" s="523"/>
      <c r="J509" s="253">
        <f t="shared" si="54"/>
        <v>10.08</v>
      </c>
    </row>
    <row r="510" spans="1:10" s="139" customFormat="1" x14ac:dyDescent="0.2">
      <c r="A510" s="6"/>
      <c r="B510" s="6"/>
      <c r="C510" s="7"/>
      <c r="D510" s="116"/>
      <c r="E510" s="6"/>
      <c r="F510" s="258"/>
      <c r="G510" s="258"/>
      <c r="H510" s="258"/>
      <c r="I510" s="561" t="str">
        <f>"Total item "&amp;A506</f>
        <v>Total item 7.11</v>
      </c>
      <c r="J510" s="518">
        <f>SUM(J508:J509)</f>
        <v>11.76</v>
      </c>
    </row>
    <row r="511" spans="1:10" s="139" customFormat="1" x14ac:dyDescent="0.2">
      <c r="A511" s="6"/>
      <c r="B511" s="6"/>
      <c r="C511" s="7"/>
      <c r="D511" s="116"/>
      <c r="E511" s="6"/>
      <c r="F511" s="258"/>
      <c r="G511" s="258"/>
      <c r="H511" s="258"/>
      <c r="I511" s="246"/>
      <c r="J511" s="258"/>
    </row>
    <row r="512" spans="1:10" s="139" customFormat="1" ht="20.399999999999999" x14ac:dyDescent="0.2">
      <c r="A512" s="560">
        <f>'ORÇAMENTO SEM DESON'!A67</f>
        <v>7.12</v>
      </c>
      <c r="B512" s="9" t="s">
        <v>163</v>
      </c>
      <c r="C512" s="13" t="s">
        <v>412</v>
      </c>
      <c r="D512" s="520" t="str">
        <f>'ORÇAMENTO SEM DESON'!D67</f>
        <v>PORTÃO DE ALUMÍNIO EM TUBOS DE 20 mm (FORNECIMENTO E MONTAGEM)</v>
      </c>
      <c r="E512" s="515" t="str">
        <f>'ORÇAMENTO SEM DESON'!E67</f>
        <v>m²</v>
      </c>
      <c r="F512" s="518"/>
      <c r="G512" s="518"/>
      <c r="H512" s="518"/>
      <c r="I512" s="519"/>
      <c r="J512" s="518"/>
    </row>
    <row r="513" spans="1:10" x14ac:dyDescent="0.2">
      <c r="A513" s="6"/>
      <c r="B513" s="6"/>
      <c r="C513" s="155"/>
      <c r="D513" s="2"/>
      <c r="E513" s="148"/>
      <c r="F513" s="137" t="s">
        <v>1137</v>
      </c>
      <c r="G513" s="137" t="s">
        <v>1142</v>
      </c>
      <c r="H513" s="137"/>
      <c r="I513" s="249"/>
      <c r="J513" s="253"/>
    </row>
    <row r="514" spans="1:10" x14ac:dyDescent="0.2">
      <c r="A514" s="6"/>
      <c r="B514" s="6"/>
      <c r="C514" s="155"/>
      <c r="D514" s="2" t="s">
        <v>1329</v>
      </c>
      <c r="E514" s="148" t="s">
        <v>9</v>
      </c>
      <c r="F514" s="137">
        <v>3</v>
      </c>
      <c r="G514" s="137">
        <v>2.6</v>
      </c>
      <c r="H514" s="137"/>
      <c r="I514" s="249"/>
      <c r="J514" s="253">
        <f t="shared" ref="J514:J515" si="55">ROUND(PRODUCT(F514:I514),2)</f>
        <v>7.8</v>
      </c>
    </row>
    <row r="515" spans="1:10" x14ac:dyDescent="0.2">
      <c r="A515" s="6"/>
      <c r="B515" s="6"/>
      <c r="C515" s="155"/>
      <c r="D515" s="2" t="s">
        <v>1330</v>
      </c>
      <c r="E515" s="148" t="s">
        <v>9</v>
      </c>
      <c r="F515" s="137">
        <v>3</v>
      </c>
      <c r="G515" s="137">
        <v>2.2000000000000002</v>
      </c>
      <c r="H515" s="137">
        <v>3</v>
      </c>
      <c r="I515" s="523"/>
      <c r="J515" s="253">
        <f t="shared" si="55"/>
        <v>19.8</v>
      </c>
    </row>
    <row r="516" spans="1:10" s="139" customFormat="1" x14ac:dyDescent="0.2">
      <c r="A516" s="6"/>
      <c r="B516" s="6"/>
      <c r="C516" s="7"/>
      <c r="D516" s="116"/>
      <c r="E516" s="6"/>
      <c r="F516" s="258"/>
      <c r="G516" s="258"/>
      <c r="H516" s="258"/>
      <c r="I516" s="561" t="str">
        <f>"Total item "&amp;A512</f>
        <v>Total item 7.12</v>
      </c>
      <c r="J516" s="518">
        <f>SUM(J514:J515)</f>
        <v>27.6</v>
      </c>
    </row>
    <row r="517" spans="1:10" s="139" customFormat="1" x14ac:dyDescent="0.2">
      <c r="A517" s="6"/>
      <c r="B517" s="6"/>
      <c r="C517" s="7"/>
      <c r="D517" s="116"/>
      <c r="E517" s="6"/>
      <c r="F517" s="258"/>
      <c r="G517" s="258"/>
      <c r="H517" s="258"/>
      <c r="I517" s="246"/>
      <c r="J517" s="258"/>
    </row>
    <row r="518" spans="1:10" s="431" customFormat="1" x14ac:dyDescent="0.2">
      <c r="A518" s="505">
        <f>'ORÇAMENTO SEM DESON'!A68</f>
        <v>8</v>
      </c>
      <c r="B518" s="549"/>
      <c r="C518" s="499"/>
      <c r="D518" s="500" t="str">
        <f>'ORÇAMENTO SEM DESON'!D68</f>
        <v>FORRO</v>
      </c>
      <c r="E518" s="549"/>
      <c r="F518" s="513"/>
      <c r="G518" s="513"/>
      <c r="H518" s="513"/>
      <c r="I518" s="514"/>
      <c r="J518" s="513"/>
    </row>
    <row r="519" spans="1:10" x14ac:dyDescent="0.2">
      <c r="A519" s="6"/>
      <c r="B519" s="6"/>
      <c r="C519" s="155"/>
      <c r="D519" s="108"/>
      <c r="E519" s="148"/>
      <c r="F519" s="253"/>
      <c r="G519" s="253"/>
      <c r="H519" s="253"/>
      <c r="I519" s="246"/>
      <c r="J519" s="258"/>
    </row>
    <row r="520" spans="1:10" s="139" customFormat="1" ht="20.399999999999999" x14ac:dyDescent="0.2">
      <c r="A520" s="515">
        <f>'ORÇAMENTO SEM DESON'!A69</f>
        <v>8.1</v>
      </c>
      <c r="B520" s="9" t="s">
        <v>163</v>
      </c>
      <c r="C520" s="13" t="s">
        <v>412</v>
      </c>
      <c r="D520" s="520" t="str">
        <f>'ORÇAMENTO SEM DESON'!D69</f>
        <v>FORRO EM PLACAS DE GESSO, PARA AMBIENTES COMERCIAIS. AF_05/2017_P</v>
      </c>
      <c r="E520" s="515" t="str">
        <f>'ORÇAMENTO SEM DESON'!E69</f>
        <v>m²</v>
      </c>
      <c r="F520" s="518"/>
      <c r="G520" s="518"/>
      <c r="H520" s="518"/>
      <c r="I520" s="519"/>
      <c r="J520" s="518"/>
    </row>
    <row r="521" spans="1:10" x14ac:dyDescent="0.2">
      <c r="A521" s="6"/>
      <c r="B521" s="6"/>
      <c r="C521" s="155"/>
      <c r="D521" s="2"/>
      <c r="E521" s="148"/>
      <c r="F521" s="137" t="s">
        <v>34</v>
      </c>
      <c r="G521" s="137" t="s">
        <v>1137</v>
      </c>
      <c r="H521" s="137" t="s">
        <v>1141</v>
      </c>
      <c r="I521" s="522"/>
      <c r="J521" s="253"/>
    </row>
    <row r="522" spans="1:10" x14ac:dyDescent="0.2">
      <c r="A522" s="6"/>
      <c r="B522" s="6"/>
      <c r="C522" s="155"/>
      <c r="D522" s="2" t="s">
        <v>402</v>
      </c>
      <c r="E522" s="148" t="s">
        <v>9</v>
      </c>
      <c r="F522" s="137">
        <f>3.87*7.38</f>
        <v>28.560600000000001</v>
      </c>
      <c r="G522" s="559"/>
      <c r="H522" s="137"/>
      <c r="I522" s="522"/>
      <c r="J522" s="253">
        <f>F522</f>
        <v>28.560600000000001</v>
      </c>
    </row>
    <row r="523" spans="1:10" x14ac:dyDescent="0.2">
      <c r="A523" s="6"/>
      <c r="B523" s="6"/>
      <c r="C523" s="155"/>
      <c r="D523" s="2" t="s">
        <v>1173</v>
      </c>
      <c r="E523" s="148" t="s">
        <v>9</v>
      </c>
      <c r="F523" s="137">
        <f>1.49*2.14</f>
        <v>3.1886000000000001</v>
      </c>
      <c r="G523" s="559"/>
      <c r="H523" s="137"/>
      <c r="I523" s="522"/>
      <c r="J523" s="253">
        <f t="shared" ref="J523:J534" si="56">F523</f>
        <v>3.1886000000000001</v>
      </c>
    </row>
    <row r="524" spans="1:10" x14ac:dyDescent="0.2">
      <c r="A524" s="6"/>
      <c r="B524" s="6"/>
      <c r="C524" s="155"/>
      <c r="D524" s="2" t="s">
        <v>490</v>
      </c>
      <c r="E524" s="148" t="s">
        <v>9</v>
      </c>
      <c r="F524" s="137">
        <f>2.14+2.23</f>
        <v>4.37</v>
      </c>
      <c r="G524" s="559"/>
      <c r="H524" s="137"/>
      <c r="I524" s="522"/>
      <c r="J524" s="253">
        <f t="shared" si="56"/>
        <v>4.37</v>
      </c>
    </row>
    <row r="525" spans="1:10" x14ac:dyDescent="0.2">
      <c r="A525" s="6"/>
      <c r="B525" s="6"/>
      <c r="C525" s="155"/>
      <c r="D525" s="2" t="s">
        <v>1110</v>
      </c>
      <c r="E525" s="148" t="s">
        <v>9</v>
      </c>
      <c r="F525" s="137">
        <f>2.23+1.21</f>
        <v>3.44</v>
      </c>
      <c r="G525" s="559"/>
      <c r="H525" s="137"/>
      <c r="I525" s="522"/>
      <c r="J525" s="253">
        <f t="shared" si="56"/>
        <v>3.44</v>
      </c>
    </row>
    <row r="526" spans="1:10" x14ac:dyDescent="0.2">
      <c r="A526" s="6"/>
      <c r="B526" s="6"/>
      <c r="C526" s="155"/>
      <c r="D526" s="2" t="s">
        <v>166</v>
      </c>
      <c r="E526" s="148" t="s">
        <v>9</v>
      </c>
      <c r="F526" s="137">
        <f>2.23*2.48</f>
        <v>5.5304000000000002</v>
      </c>
      <c r="G526" s="559"/>
      <c r="H526" s="137"/>
      <c r="I526" s="522"/>
      <c r="J526" s="253">
        <f t="shared" si="56"/>
        <v>5.5304000000000002</v>
      </c>
    </row>
    <row r="527" spans="1:10" x14ac:dyDescent="0.2">
      <c r="A527" s="6"/>
      <c r="B527" s="6"/>
      <c r="C527" s="155"/>
      <c r="D527" s="2" t="s">
        <v>165</v>
      </c>
      <c r="E527" s="148" t="s">
        <v>9</v>
      </c>
      <c r="F527" s="137">
        <f>3.83*3.84</f>
        <v>14.7072</v>
      </c>
      <c r="G527" s="559"/>
      <c r="H527" s="137"/>
      <c r="I527" s="522"/>
      <c r="J527" s="253">
        <f t="shared" si="56"/>
        <v>14.7072</v>
      </c>
    </row>
    <row r="528" spans="1:10" x14ac:dyDescent="0.2">
      <c r="A528" s="6"/>
      <c r="B528" s="6"/>
      <c r="C528" s="155"/>
      <c r="D528" s="2" t="s">
        <v>374</v>
      </c>
      <c r="E528" s="148" t="s">
        <v>9</v>
      </c>
      <c r="F528" s="137">
        <f>1.84*3.84</f>
        <v>7.0655999999999999</v>
      </c>
      <c r="G528" s="559"/>
      <c r="H528" s="137"/>
      <c r="I528" s="522"/>
      <c r="J528" s="253">
        <f t="shared" si="56"/>
        <v>7.0655999999999999</v>
      </c>
    </row>
    <row r="529" spans="1:10" x14ac:dyDescent="0.2">
      <c r="A529" s="6"/>
      <c r="B529" s="6"/>
      <c r="C529" s="155"/>
      <c r="D529" s="2" t="s">
        <v>1167</v>
      </c>
      <c r="E529" s="148" t="s">
        <v>9</v>
      </c>
      <c r="F529" s="137">
        <f>3.77*3.84</f>
        <v>14.476799999999999</v>
      </c>
      <c r="G529" s="559"/>
      <c r="H529" s="137"/>
      <c r="I529" s="522"/>
      <c r="J529" s="253">
        <f t="shared" si="56"/>
        <v>14.476799999999999</v>
      </c>
    </row>
    <row r="530" spans="1:10" x14ac:dyDescent="0.2">
      <c r="A530" s="6"/>
      <c r="B530" s="6"/>
      <c r="C530" s="155"/>
      <c r="D530" s="2" t="s">
        <v>1168</v>
      </c>
      <c r="E530" s="148" t="s">
        <v>9</v>
      </c>
      <c r="F530" s="137">
        <f>3.77*3.84</f>
        <v>14.476799999999999</v>
      </c>
      <c r="G530" s="559"/>
      <c r="H530" s="137"/>
      <c r="I530" s="522"/>
      <c r="J530" s="253">
        <f t="shared" si="56"/>
        <v>14.476799999999999</v>
      </c>
    </row>
    <row r="531" spans="1:10" x14ac:dyDescent="0.2">
      <c r="A531" s="6"/>
      <c r="B531" s="6"/>
      <c r="C531" s="155"/>
      <c r="D531" s="2" t="s">
        <v>1175</v>
      </c>
      <c r="E531" s="148" t="s">
        <v>9</v>
      </c>
      <c r="F531" s="137">
        <f>3.96*3.86</f>
        <v>15.285599999999999</v>
      </c>
      <c r="G531" s="555"/>
      <c r="H531" s="137"/>
      <c r="I531" s="522"/>
      <c r="J531" s="253">
        <f t="shared" si="56"/>
        <v>15.285599999999999</v>
      </c>
    </row>
    <row r="532" spans="1:10" x14ac:dyDescent="0.2">
      <c r="A532" s="6"/>
      <c r="B532" s="6"/>
      <c r="C532" s="155"/>
      <c r="D532" s="2" t="s">
        <v>1267</v>
      </c>
      <c r="E532" s="148" t="s">
        <v>9</v>
      </c>
      <c r="F532" s="137">
        <v>1.75</v>
      </c>
      <c r="G532" s="555"/>
      <c r="H532" s="137"/>
      <c r="I532" s="522"/>
      <c r="J532" s="253">
        <f t="shared" si="56"/>
        <v>1.75</v>
      </c>
    </row>
    <row r="533" spans="1:10" x14ac:dyDescent="0.2">
      <c r="A533" s="6"/>
      <c r="B533" s="6"/>
      <c r="C533" s="155"/>
      <c r="D533" s="2" t="s">
        <v>1174</v>
      </c>
      <c r="E533" s="148" t="s">
        <v>9</v>
      </c>
      <c r="F533" s="137">
        <f>9.86*1.5</f>
        <v>14.79</v>
      </c>
      <c r="G533" s="555"/>
      <c r="H533" s="137"/>
      <c r="I533" s="522"/>
      <c r="J533" s="253">
        <f t="shared" si="56"/>
        <v>14.79</v>
      </c>
    </row>
    <row r="534" spans="1:10" x14ac:dyDescent="0.2">
      <c r="A534" s="6"/>
      <c r="B534" s="6"/>
      <c r="C534" s="155"/>
      <c r="D534" s="2" t="s">
        <v>1241</v>
      </c>
      <c r="E534" s="148" t="s">
        <v>9</v>
      </c>
      <c r="F534" s="137">
        <v>100.37</v>
      </c>
      <c r="G534" s="555"/>
      <c r="H534" s="137"/>
      <c r="I534" s="522"/>
      <c r="J534" s="253">
        <f t="shared" si="56"/>
        <v>100.37</v>
      </c>
    </row>
    <row r="535" spans="1:10" s="139" customFormat="1" x14ac:dyDescent="0.2">
      <c r="A535" s="6"/>
      <c r="B535" s="6"/>
      <c r="C535" s="7"/>
      <c r="D535" s="116"/>
      <c r="E535" s="6"/>
      <c r="F535" s="258"/>
      <c r="G535" s="258"/>
      <c r="H535" s="258"/>
      <c r="I535" s="519" t="str">
        <f>"Total item "&amp;A520</f>
        <v>Total item 8.1</v>
      </c>
      <c r="J535" s="518">
        <f>SUM(J522:J534)</f>
        <v>228.01159999999999</v>
      </c>
    </row>
    <row r="536" spans="1:10" x14ac:dyDescent="0.2">
      <c r="A536" s="6"/>
      <c r="B536" s="6"/>
      <c r="C536" s="155"/>
      <c r="D536" s="108"/>
      <c r="E536" s="148"/>
      <c r="F536" s="253"/>
      <c r="G536" s="253"/>
      <c r="H536" s="253"/>
      <c r="I536" s="246"/>
      <c r="J536" s="258"/>
    </row>
    <row r="537" spans="1:10" s="139" customFormat="1" x14ac:dyDescent="0.2">
      <c r="A537" s="6"/>
      <c r="B537" s="6"/>
      <c r="C537" s="7"/>
      <c r="D537" s="116"/>
      <c r="E537" s="6"/>
      <c r="F537" s="258"/>
      <c r="G537" s="258"/>
      <c r="H537" s="258"/>
      <c r="I537" s="246"/>
      <c r="J537" s="258"/>
    </row>
    <row r="538" spans="1:10" s="431" customFormat="1" x14ac:dyDescent="0.2">
      <c r="A538" s="505">
        <f>'ORÇAMENTO SEM DESON'!A70</f>
        <v>9</v>
      </c>
      <c r="B538" s="549"/>
      <c r="C538" s="499"/>
      <c r="D538" s="500" t="str">
        <f>'ORÇAMENTO SEM DESON'!D70</f>
        <v>PAVIMENTAÇÃO</v>
      </c>
      <c r="E538" s="549"/>
      <c r="F538" s="513"/>
      <c r="G538" s="513"/>
      <c r="H538" s="513"/>
      <c r="I538" s="514"/>
      <c r="J538" s="513"/>
    </row>
    <row r="539" spans="1:10" x14ac:dyDescent="0.2">
      <c r="A539" s="6"/>
      <c r="B539" s="6"/>
      <c r="C539" s="155"/>
      <c r="D539" s="108"/>
      <c r="E539" s="148"/>
      <c r="F539" s="253"/>
      <c r="G539" s="253"/>
      <c r="H539" s="253"/>
      <c r="I539" s="246"/>
      <c r="J539" s="258"/>
    </row>
    <row r="540" spans="1:10" s="139" customFormat="1" ht="35.4" customHeight="1" x14ac:dyDescent="0.2">
      <c r="A540" s="515">
        <f>'ORÇAMENTO SEM DESON'!A71</f>
        <v>9.1</v>
      </c>
      <c r="B540" s="9" t="s">
        <v>163</v>
      </c>
      <c r="C540" s="13" t="s">
        <v>412</v>
      </c>
      <c r="D540" s="520" t="str">
        <f>'ORÇAMENTO SEM DESON'!D71</f>
        <v>EXECUÇÃO DE PASSEIO EM PISO INTERTRAVADO, COM BLOCO RETANGULAR COR NATURAL DE 20 X 10 CM, ESPESSURA 6 CM. AF_12/2015</v>
      </c>
      <c r="E540" s="515" t="str">
        <f>'ORÇAMENTO SEM DESON'!E71</f>
        <v>m²</v>
      </c>
      <c r="F540" s="518"/>
      <c r="G540" s="518"/>
      <c r="H540" s="518"/>
      <c r="I540" s="519"/>
      <c r="J540" s="518"/>
    </row>
    <row r="541" spans="1:10" x14ac:dyDescent="0.2">
      <c r="A541" s="6"/>
      <c r="B541" s="6"/>
      <c r="C541" s="155"/>
      <c r="D541" s="2"/>
      <c r="E541" s="148"/>
      <c r="F541" s="137" t="s">
        <v>1137</v>
      </c>
      <c r="G541" s="137" t="s">
        <v>1141</v>
      </c>
      <c r="H541" s="137" t="s">
        <v>34</v>
      </c>
      <c r="I541" s="522"/>
      <c r="J541" s="253"/>
    </row>
    <row r="542" spans="1:10" x14ac:dyDescent="0.2">
      <c r="A542" s="6"/>
      <c r="B542" s="6"/>
      <c r="C542" s="155"/>
      <c r="D542" s="2" t="s">
        <v>1302</v>
      </c>
      <c r="E542" s="148" t="s">
        <v>9</v>
      </c>
      <c r="F542" s="137">
        <v>20</v>
      </c>
      <c r="G542" s="559">
        <v>10</v>
      </c>
      <c r="H542" s="137"/>
      <c r="I542" s="522"/>
      <c r="J542" s="253">
        <f>F542*G542</f>
        <v>200</v>
      </c>
    </row>
    <row r="543" spans="1:10" x14ac:dyDescent="0.2">
      <c r="A543" s="6"/>
      <c r="B543" s="6"/>
      <c r="C543" s="155"/>
      <c r="D543" s="2" t="s">
        <v>1303</v>
      </c>
      <c r="E543" s="148" t="s">
        <v>9</v>
      </c>
      <c r="F543" s="137">
        <f>4+1.4+3.1+5.85+5</f>
        <v>19.350000000000001</v>
      </c>
      <c r="G543" s="559">
        <v>3</v>
      </c>
      <c r="H543" s="137"/>
      <c r="I543" s="522"/>
      <c r="J543" s="253">
        <f t="shared" ref="J543:J547" si="57">F543*G543</f>
        <v>58.050000000000004</v>
      </c>
    </row>
    <row r="544" spans="1:10" x14ac:dyDescent="0.2">
      <c r="A544" s="6"/>
      <c r="B544" s="6"/>
      <c r="C544" s="155"/>
      <c r="D544" s="2" t="s">
        <v>1304</v>
      </c>
      <c r="E544" s="148" t="s">
        <v>9</v>
      </c>
      <c r="F544" s="137">
        <f>14+9.5</f>
        <v>23.5</v>
      </c>
      <c r="G544" s="559">
        <v>4</v>
      </c>
      <c r="H544" s="137"/>
      <c r="I544" s="522"/>
      <c r="J544" s="253">
        <f t="shared" si="57"/>
        <v>94</v>
      </c>
    </row>
    <row r="545" spans="1:10" x14ac:dyDescent="0.2">
      <c r="A545" s="6"/>
      <c r="B545" s="6"/>
      <c r="C545" s="155"/>
      <c r="D545" s="2" t="s">
        <v>1305</v>
      </c>
      <c r="E545" s="148" t="s">
        <v>9</v>
      </c>
      <c r="F545" s="137"/>
      <c r="G545" s="559"/>
      <c r="H545" s="137">
        <v>91.83</v>
      </c>
      <c r="I545" s="522"/>
      <c r="J545" s="253">
        <f>H545</f>
        <v>91.83</v>
      </c>
    </row>
    <row r="546" spans="1:10" x14ac:dyDescent="0.2">
      <c r="A546" s="6"/>
      <c r="B546" s="6"/>
      <c r="C546" s="155"/>
      <c r="D546" s="2" t="s">
        <v>1306</v>
      </c>
      <c r="E546" s="148" t="s">
        <v>9</v>
      </c>
      <c r="F546" s="137">
        <f>11.04+31.97+2.5+15.79</f>
        <v>61.3</v>
      </c>
      <c r="G546" s="559">
        <v>1.5</v>
      </c>
      <c r="H546" s="137"/>
      <c r="I546" s="522"/>
      <c r="J546" s="253">
        <f t="shared" si="57"/>
        <v>91.949999999999989</v>
      </c>
    </row>
    <row r="547" spans="1:10" x14ac:dyDescent="0.2">
      <c r="A547" s="6"/>
      <c r="B547" s="6"/>
      <c r="C547" s="155"/>
      <c r="D547" s="2" t="s">
        <v>1307</v>
      </c>
      <c r="E547" s="148" t="s">
        <v>9</v>
      </c>
      <c r="F547" s="137">
        <v>62.89</v>
      </c>
      <c r="G547" s="559">
        <v>1.5</v>
      </c>
      <c r="H547" s="137"/>
      <c r="I547" s="522"/>
      <c r="J547" s="253">
        <f t="shared" si="57"/>
        <v>94.335000000000008</v>
      </c>
    </row>
    <row r="548" spans="1:10" s="139" customFormat="1" x14ac:dyDescent="0.2">
      <c r="A548" s="6"/>
      <c r="B548" s="6"/>
      <c r="C548" s="7"/>
      <c r="D548" s="116"/>
      <c r="E548" s="6"/>
      <c r="F548" s="258"/>
      <c r="G548" s="258"/>
      <c r="H548" s="258"/>
      <c r="I548" s="519" t="str">
        <f>"Total item "&amp;A540</f>
        <v>Total item 9.1</v>
      </c>
      <c r="J548" s="518">
        <f>SUM(J542:J547)</f>
        <v>630.16499999999996</v>
      </c>
    </row>
    <row r="549" spans="1:10" x14ac:dyDescent="0.2">
      <c r="A549" s="6"/>
      <c r="B549" s="6"/>
      <c r="C549" s="155"/>
      <c r="D549" s="108"/>
      <c r="E549" s="148"/>
      <c r="F549" s="253"/>
      <c r="G549" s="253"/>
      <c r="H549" s="253"/>
      <c r="I549" s="246"/>
      <c r="J549" s="258"/>
    </row>
    <row r="550" spans="1:10" s="139" customFormat="1" ht="35.4" customHeight="1" x14ac:dyDescent="0.2">
      <c r="A550" s="515">
        <f>'ORÇAMENTO SEM DESON'!A72</f>
        <v>9.1999999999999993</v>
      </c>
      <c r="B550" s="9" t="s">
        <v>163</v>
      </c>
      <c r="C550" s="13" t="s">
        <v>412</v>
      </c>
      <c r="D550" s="520" t="str">
        <f>'ORÇAMENTO SEM DESON'!D72</f>
        <v>EXECUÇÃO DE VIA EM PISO INTERTRAVADO, COM BLOCO RETANGULAR COR NATURAL DE 20 X 10 CM, ESPESSURA 8 CM. AF_12/2015</v>
      </c>
      <c r="E550" s="515" t="str">
        <f>'ORÇAMENTO SEM DESON'!E72</f>
        <v>m²</v>
      </c>
      <c r="F550" s="518"/>
      <c r="G550" s="518"/>
      <c r="H550" s="518"/>
      <c r="I550" s="519"/>
      <c r="J550" s="518"/>
    </row>
    <row r="551" spans="1:10" x14ac:dyDescent="0.2">
      <c r="A551" s="6"/>
      <c r="B551" s="6"/>
      <c r="C551" s="155"/>
      <c r="D551" s="2"/>
      <c r="E551" s="148"/>
      <c r="F551" s="137" t="s">
        <v>1137</v>
      </c>
      <c r="G551" s="137" t="s">
        <v>1141</v>
      </c>
      <c r="H551" s="137"/>
      <c r="I551" s="522"/>
      <c r="J551" s="253"/>
    </row>
    <row r="552" spans="1:10" x14ac:dyDescent="0.2">
      <c r="A552" s="6"/>
      <c r="B552" s="6"/>
      <c r="C552" s="155"/>
      <c r="D552" s="2" t="s">
        <v>1309</v>
      </c>
      <c r="E552" s="148" t="s">
        <v>9</v>
      </c>
      <c r="F552" s="137">
        <v>28.39</v>
      </c>
      <c r="G552" s="559">
        <v>3</v>
      </c>
      <c r="H552" s="137"/>
      <c r="I552" s="522"/>
      <c r="J552" s="253">
        <f>F552*G552</f>
        <v>85.17</v>
      </c>
    </row>
    <row r="553" spans="1:10" s="139" customFormat="1" x14ac:dyDescent="0.2">
      <c r="A553" s="6"/>
      <c r="B553" s="6"/>
      <c r="C553" s="7"/>
      <c r="D553" s="116"/>
      <c r="E553" s="6"/>
      <c r="F553" s="258"/>
      <c r="G553" s="258"/>
      <c r="H553" s="258"/>
      <c r="I553" s="519" t="str">
        <f>"Total item "&amp;A550</f>
        <v>Total item 9.2</v>
      </c>
      <c r="J553" s="518">
        <f>SUM(J552:J552)</f>
        <v>85.17</v>
      </c>
    </row>
    <row r="554" spans="1:10" x14ac:dyDescent="0.2">
      <c r="A554" s="6"/>
      <c r="B554" s="6"/>
      <c r="C554" s="155"/>
      <c r="D554" s="108"/>
      <c r="E554" s="148"/>
      <c r="F554" s="253"/>
      <c r="G554" s="253"/>
      <c r="H554" s="253"/>
      <c r="I554" s="246"/>
      <c r="J554" s="258"/>
    </row>
    <row r="555" spans="1:10" s="139" customFormat="1" ht="40.799999999999997" x14ac:dyDescent="0.2">
      <c r="A555" s="515">
        <f>'ORÇAMENTO SEM DESON'!A73</f>
        <v>9.3000000000000007</v>
      </c>
      <c r="B555" s="9" t="s">
        <v>163</v>
      </c>
      <c r="C555" s="13" t="s">
        <v>412</v>
      </c>
      <c r="D555" s="520" t="str">
        <f>'ORÇAMENTO SEM DESON'!D73</f>
        <v>FORNECIMENTO E ASSENTAMENTO DE MEIO-FIO DE CONCRETO PRE MOLDADO PARA JARDIM, DIMENSOES (1.00 X 0.20 X 0.075)M, REJUNTADO COM ARGAMASSA DE CIMENTO E AREIA 1 2.</v>
      </c>
      <c r="E555" s="515" t="str">
        <f>'ORÇAMENTO SEM DESON'!E73</f>
        <v>m</v>
      </c>
      <c r="F555" s="518"/>
      <c r="G555" s="518"/>
      <c r="H555" s="518"/>
      <c r="I555" s="519"/>
      <c r="J555" s="518"/>
    </row>
    <row r="556" spans="1:10" x14ac:dyDescent="0.2">
      <c r="A556" s="6"/>
      <c r="B556" s="6"/>
      <c r="C556" s="155"/>
      <c r="D556" s="2"/>
      <c r="E556" s="148"/>
      <c r="F556" s="137" t="s">
        <v>1137</v>
      </c>
      <c r="G556" s="137" t="s">
        <v>1138</v>
      </c>
      <c r="H556" s="137" t="s">
        <v>1149</v>
      </c>
      <c r="I556" s="522"/>
      <c r="J556" s="253"/>
    </row>
    <row r="557" spans="1:10" x14ac:dyDescent="0.2">
      <c r="A557" s="6"/>
      <c r="B557" s="6"/>
      <c r="C557" s="155"/>
      <c r="D557" s="2" t="s">
        <v>1318</v>
      </c>
      <c r="E557" s="148"/>
      <c r="F557" s="137"/>
      <c r="G557" s="137"/>
      <c r="H557" s="137"/>
      <c r="I557" s="522"/>
      <c r="J557" s="253"/>
    </row>
    <row r="558" spans="1:10" x14ac:dyDescent="0.2">
      <c r="A558" s="6"/>
      <c r="B558" s="6"/>
      <c r="C558" s="155"/>
      <c r="D558" s="2" t="s">
        <v>1302</v>
      </c>
      <c r="E558" s="148" t="s">
        <v>43</v>
      </c>
      <c r="F558" s="137">
        <f>20+20+10+10</f>
        <v>60</v>
      </c>
      <c r="G558" s="559"/>
      <c r="H558" s="137">
        <v>6</v>
      </c>
      <c r="I558" s="522"/>
      <c r="J558" s="253">
        <f>F558-H558</f>
        <v>54</v>
      </c>
    </row>
    <row r="559" spans="1:10" x14ac:dyDescent="0.2">
      <c r="A559" s="6"/>
      <c r="B559" s="6"/>
      <c r="C559" s="155"/>
      <c r="D559" s="2" t="s">
        <v>1303</v>
      </c>
      <c r="E559" s="148" t="s">
        <v>43</v>
      </c>
      <c r="F559" s="137">
        <f>4+1.4+3.1+5.85+5</f>
        <v>19.350000000000001</v>
      </c>
      <c r="G559" s="559">
        <v>2</v>
      </c>
      <c r="H559" s="137"/>
      <c r="I559" s="522"/>
      <c r="J559" s="253">
        <f t="shared" ref="J559" si="58">F559*G559</f>
        <v>38.700000000000003</v>
      </c>
    </row>
    <row r="560" spans="1:10" x14ac:dyDescent="0.2">
      <c r="A560" s="6"/>
      <c r="B560" s="6"/>
      <c r="C560" s="155"/>
      <c r="D560" s="2" t="s">
        <v>1304</v>
      </c>
      <c r="E560" s="148" t="s">
        <v>43</v>
      </c>
      <c r="F560" s="137">
        <f>14+14+9.5+9.5+4+4+4+4</f>
        <v>63</v>
      </c>
      <c r="G560" s="559"/>
      <c r="H560" s="137">
        <f>3+1.5</f>
        <v>4.5</v>
      </c>
      <c r="I560" s="522"/>
      <c r="J560" s="253">
        <f>F560-H560</f>
        <v>58.5</v>
      </c>
    </row>
    <row r="561" spans="1:10" x14ac:dyDescent="0.2">
      <c r="A561" s="6"/>
      <c r="B561" s="6"/>
      <c r="C561" s="155"/>
      <c r="D561" s="2" t="s">
        <v>1305</v>
      </c>
      <c r="E561" s="148" t="s">
        <v>43</v>
      </c>
      <c r="F561" s="137">
        <f>17.2+7.65+7.65</f>
        <v>32.5</v>
      </c>
      <c r="G561" s="559"/>
      <c r="H561" s="137"/>
      <c r="I561" s="522"/>
      <c r="J561" s="253">
        <f>F561</f>
        <v>32.5</v>
      </c>
    </row>
    <row r="562" spans="1:10" x14ac:dyDescent="0.2">
      <c r="A562" s="6"/>
      <c r="B562" s="6"/>
      <c r="C562" s="155"/>
      <c r="D562" s="2" t="s">
        <v>1306</v>
      </c>
      <c r="E562" s="148" t="s">
        <v>43</v>
      </c>
      <c r="F562" s="137">
        <f>11.04+31.97+2.5+15.79</f>
        <v>61.3</v>
      </c>
      <c r="G562" s="559">
        <v>2</v>
      </c>
      <c r="H562" s="137"/>
      <c r="I562" s="522"/>
      <c r="J562" s="253">
        <f t="shared" ref="J562" si="59">F562*G562</f>
        <v>122.6</v>
      </c>
    </row>
    <row r="563" spans="1:10" x14ac:dyDescent="0.2">
      <c r="A563" s="6"/>
      <c r="B563" s="6"/>
      <c r="C563" s="155"/>
      <c r="D563" s="2" t="s">
        <v>1307</v>
      </c>
      <c r="E563" s="148" t="s">
        <v>43</v>
      </c>
      <c r="F563" s="137">
        <v>62.89</v>
      </c>
      <c r="G563" s="559"/>
      <c r="H563" s="137"/>
      <c r="I563" s="522"/>
      <c r="J563" s="253">
        <f>F563</f>
        <v>62.89</v>
      </c>
    </row>
    <row r="564" spans="1:10" x14ac:dyDescent="0.2">
      <c r="A564" s="6"/>
      <c r="B564" s="6"/>
      <c r="C564" s="155"/>
      <c r="D564" s="2" t="s">
        <v>1309</v>
      </c>
      <c r="E564" s="148" t="s">
        <v>43</v>
      </c>
      <c r="F564" s="137">
        <v>28.39</v>
      </c>
      <c r="G564" s="559">
        <v>2</v>
      </c>
      <c r="H564" s="137"/>
      <c r="I564" s="522"/>
      <c r="J564" s="253">
        <f>F564*G564</f>
        <v>56.78</v>
      </c>
    </row>
    <row r="565" spans="1:10" x14ac:dyDescent="0.2">
      <c r="A565" s="6"/>
      <c r="B565" s="6"/>
      <c r="C565" s="155"/>
      <c r="D565" s="2" t="s">
        <v>1320</v>
      </c>
      <c r="E565" s="148"/>
      <c r="F565" s="137"/>
      <c r="G565" s="559"/>
      <c r="H565" s="137"/>
      <c r="I565" s="522"/>
      <c r="J565" s="253"/>
    </row>
    <row r="566" spans="1:10" x14ac:dyDescent="0.2">
      <c r="A566" s="6"/>
      <c r="B566" s="6"/>
      <c r="C566" s="155"/>
      <c r="D566" s="2" t="s">
        <v>1319</v>
      </c>
      <c r="E566" s="148" t="s">
        <v>43</v>
      </c>
      <c r="F566" s="137">
        <f>21.4+26.2+21.4+26.2</f>
        <v>95.2</v>
      </c>
      <c r="G566" s="559">
        <v>2</v>
      </c>
      <c r="H566" s="137"/>
      <c r="I566" s="522"/>
      <c r="J566" s="253">
        <f>F566*G566</f>
        <v>190.4</v>
      </c>
    </row>
    <row r="567" spans="1:10" s="139" customFormat="1" x14ac:dyDescent="0.2">
      <c r="A567" s="6"/>
      <c r="B567" s="6"/>
      <c r="C567" s="7"/>
      <c r="D567" s="116"/>
      <c r="E567" s="6"/>
      <c r="F567" s="258"/>
      <c r="G567" s="258"/>
      <c r="H567" s="258"/>
      <c r="I567" s="519" t="str">
        <f>"Total item "&amp;A555</f>
        <v>Total item 9.3</v>
      </c>
      <c r="J567" s="518">
        <f>SUM(J558:J566)</f>
        <v>616.36999999999989</v>
      </c>
    </row>
    <row r="568" spans="1:10" x14ac:dyDescent="0.2">
      <c r="A568" s="6"/>
      <c r="B568" s="6"/>
      <c r="C568" s="155"/>
      <c r="D568" s="108"/>
      <c r="E568" s="148"/>
      <c r="F568" s="253"/>
      <c r="G568" s="253"/>
      <c r="H568" s="253"/>
      <c r="I568" s="246"/>
      <c r="J568" s="258"/>
    </row>
    <row r="569" spans="1:10" s="139" customFormat="1" ht="20.399999999999999" x14ac:dyDescent="0.2">
      <c r="A569" s="515">
        <f>'ORÇAMENTO SEM DESON'!A74</f>
        <v>9.4</v>
      </c>
      <c r="B569" s="9" t="s">
        <v>163</v>
      </c>
      <c r="C569" s="13" t="s">
        <v>412</v>
      </c>
      <c r="D569" s="520" t="str">
        <f>'ORÇAMENTO SEM DESON'!D74</f>
        <v>ATERRO MANUAL DE VALAS COM SOLO ARGILO-ARENOSO E COMPACTAÇÃO MECANIZADA. AF_05/2016</v>
      </c>
      <c r="E569" s="515" t="str">
        <f>'ORÇAMENTO SEM DESON'!E74</f>
        <v>m³</v>
      </c>
      <c r="F569" s="518"/>
      <c r="G569" s="518"/>
      <c r="H569" s="518"/>
      <c r="I569" s="519"/>
      <c r="J569" s="518"/>
    </row>
    <row r="570" spans="1:10" x14ac:dyDescent="0.2">
      <c r="A570" s="6"/>
      <c r="B570" s="6"/>
      <c r="C570" s="155"/>
      <c r="D570" s="2"/>
      <c r="E570" s="148"/>
      <c r="F570" s="137" t="s">
        <v>1137</v>
      </c>
      <c r="G570" s="137" t="s">
        <v>1142</v>
      </c>
      <c r="H570" s="137" t="s">
        <v>1141</v>
      </c>
      <c r="I570" s="522"/>
      <c r="J570" s="253"/>
    </row>
    <row r="571" spans="1:10" x14ac:dyDescent="0.2">
      <c r="A571" s="6"/>
      <c r="B571" s="6"/>
      <c r="C571" s="155"/>
      <c r="D571" s="2" t="s">
        <v>1317</v>
      </c>
      <c r="E571" s="148" t="s">
        <v>1190</v>
      </c>
      <c r="F571" s="137">
        <v>425.96999999999991</v>
      </c>
      <c r="G571" s="559">
        <v>0.2</v>
      </c>
      <c r="H571" s="137">
        <v>0.3</v>
      </c>
      <c r="I571" s="522"/>
      <c r="J571" s="253">
        <f>F571*G571*H571</f>
        <v>25.558199999999996</v>
      </c>
    </row>
    <row r="572" spans="1:10" x14ac:dyDescent="0.2">
      <c r="A572" s="6"/>
      <c r="B572" s="6"/>
      <c r="C572" s="155"/>
      <c r="D572" s="2" t="s">
        <v>1321</v>
      </c>
      <c r="E572" s="148" t="s">
        <v>1190</v>
      </c>
      <c r="F572" s="137">
        <f>J566</f>
        <v>190.4</v>
      </c>
      <c r="G572" s="559">
        <v>0.2</v>
      </c>
      <c r="H572" s="137">
        <v>0.3</v>
      </c>
      <c r="I572" s="522"/>
      <c r="J572" s="253">
        <f>F572*G572*H572</f>
        <v>11.424000000000001</v>
      </c>
    </row>
    <row r="573" spans="1:10" s="139" customFormat="1" x14ac:dyDescent="0.2">
      <c r="A573" s="6"/>
      <c r="B573" s="6"/>
      <c r="C573" s="7"/>
      <c r="D573" s="116"/>
      <c r="E573" s="6"/>
      <c r="F573" s="258"/>
      <c r="G573" s="258"/>
      <c r="H573" s="258"/>
      <c r="I573" s="519" t="str">
        <f>"Total item "&amp;A569</f>
        <v>Total item 9.4</v>
      </c>
      <c r="J573" s="518">
        <f>SUM(J571:J572)</f>
        <v>36.982199999999999</v>
      </c>
    </row>
    <row r="574" spans="1:10" x14ac:dyDescent="0.2">
      <c r="A574" s="6"/>
      <c r="B574" s="6"/>
      <c r="C574" s="155"/>
      <c r="D574" s="108"/>
      <c r="E574" s="148"/>
      <c r="F574" s="253"/>
      <c r="G574" s="253"/>
      <c r="H574" s="253"/>
      <c r="I574" s="246"/>
      <c r="J574" s="258"/>
    </row>
    <row r="575" spans="1:10" s="139" customFormat="1" ht="20.399999999999999" x14ac:dyDescent="0.2">
      <c r="A575" s="515">
        <f>'ORÇAMENTO SEM DESON'!A75</f>
        <v>9.5</v>
      </c>
      <c r="B575" s="9" t="s">
        <v>163</v>
      </c>
      <c r="C575" s="13" t="s">
        <v>412</v>
      </c>
      <c r="D575" s="520" t="str">
        <f>'ORÇAMENTO SEM DESON'!D75</f>
        <v>REGULARIZACAO MANUAL DE TERRENO NATURAL, CORTE OU ATERRO ATE 20 CM DE ESPESSURA.</v>
      </c>
      <c r="E575" s="515" t="str">
        <f>'ORÇAMENTO SEM DESON'!E75</f>
        <v>m²</v>
      </c>
      <c r="F575" s="518"/>
      <c r="G575" s="518"/>
      <c r="H575" s="518"/>
      <c r="I575" s="519"/>
      <c r="J575" s="518"/>
    </row>
    <row r="576" spans="1:10" x14ac:dyDescent="0.2">
      <c r="A576" s="6"/>
      <c r="B576" s="6"/>
      <c r="C576" s="155"/>
      <c r="D576" s="2"/>
      <c r="E576" s="148"/>
      <c r="F576" s="137" t="s">
        <v>1137</v>
      </c>
      <c r="G576" s="137" t="s">
        <v>1141</v>
      </c>
      <c r="H576" s="137"/>
      <c r="I576" s="522"/>
      <c r="J576" s="253"/>
    </row>
    <row r="577" spans="1:10" x14ac:dyDescent="0.2">
      <c r="A577" s="6"/>
      <c r="B577" s="6"/>
      <c r="C577" s="155"/>
      <c r="D577" s="2" t="s">
        <v>1322</v>
      </c>
      <c r="E577" s="148" t="s">
        <v>9</v>
      </c>
      <c r="F577" s="137">
        <f>F572</f>
        <v>190.4</v>
      </c>
      <c r="G577" s="559">
        <v>1.5</v>
      </c>
      <c r="H577" s="137"/>
      <c r="I577" s="522"/>
      <c r="J577" s="253">
        <f>F577*G577</f>
        <v>285.60000000000002</v>
      </c>
    </row>
    <row r="578" spans="1:10" s="139" customFormat="1" x14ac:dyDescent="0.2">
      <c r="A578" s="6"/>
      <c r="B578" s="6"/>
      <c r="C578" s="7"/>
      <c r="D578" s="116"/>
      <c r="E578" s="6"/>
      <c r="F578" s="258"/>
      <c r="G578" s="258"/>
      <c r="H578" s="258"/>
      <c r="I578" s="519" t="str">
        <f>"Total item "&amp;A575</f>
        <v>Total item 9.5</v>
      </c>
      <c r="J578" s="518">
        <f>SUM(J577:J577)</f>
        <v>285.60000000000002</v>
      </c>
    </row>
    <row r="579" spans="1:10" x14ac:dyDescent="0.2">
      <c r="A579" s="6"/>
      <c r="B579" s="6"/>
      <c r="C579" s="155"/>
      <c r="D579" s="108"/>
      <c r="E579" s="148"/>
      <c r="F579" s="253"/>
      <c r="G579" s="253"/>
      <c r="H579" s="253"/>
      <c r="I579" s="246"/>
      <c r="J579" s="258"/>
    </row>
    <row r="580" spans="1:10" s="139" customFormat="1" ht="20.399999999999999" x14ac:dyDescent="0.2">
      <c r="A580" s="515">
        <f>'ORÇAMENTO SEM DESON'!A76</f>
        <v>9.6</v>
      </c>
      <c r="B580" s="9" t="s">
        <v>163</v>
      </c>
      <c r="C580" s="13" t="s">
        <v>412</v>
      </c>
      <c r="D580" s="520" t="str">
        <f>'ORÇAMENTO SEM DESON'!D76</f>
        <v>REATERRO MANUAL DE VALAS COM COMPACTAÇÃO MECANIZADA. AF_04/2016</v>
      </c>
      <c r="E580" s="515" t="str">
        <f>'ORÇAMENTO SEM DESON'!E76</f>
        <v>m²</v>
      </c>
      <c r="F580" s="518"/>
      <c r="G580" s="518"/>
      <c r="H580" s="518"/>
      <c r="I580" s="519"/>
      <c r="J580" s="518"/>
    </row>
    <row r="581" spans="1:10" x14ac:dyDescent="0.2">
      <c r="A581" s="6"/>
      <c r="B581" s="6"/>
      <c r="C581" s="155"/>
      <c r="D581" s="2"/>
      <c r="E581" s="148"/>
      <c r="F581" s="137" t="s">
        <v>34</v>
      </c>
      <c r="G581" s="137" t="s">
        <v>1142</v>
      </c>
      <c r="H581" s="137"/>
      <c r="I581" s="522"/>
      <c r="J581" s="253"/>
    </row>
    <row r="582" spans="1:10" x14ac:dyDescent="0.2">
      <c r="A582" s="6"/>
      <c r="B582" s="6"/>
      <c r="C582" s="155"/>
      <c r="D582" s="2" t="s">
        <v>1322</v>
      </c>
      <c r="E582" s="148" t="s">
        <v>9</v>
      </c>
      <c r="F582" s="137">
        <f>J578</f>
        <v>285.60000000000002</v>
      </c>
      <c r="G582" s="559">
        <v>0.15</v>
      </c>
      <c r="H582" s="137"/>
      <c r="I582" s="522"/>
      <c r="J582" s="253">
        <f>F582*G582</f>
        <v>42.84</v>
      </c>
    </row>
    <row r="583" spans="1:10" s="139" customFormat="1" x14ac:dyDescent="0.2">
      <c r="A583" s="6"/>
      <c r="B583" s="6"/>
      <c r="C583" s="7"/>
      <c r="D583" s="116"/>
      <c r="E583" s="6"/>
      <c r="F583" s="258"/>
      <c r="G583" s="258"/>
      <c r="H583" s="258"/>
      <c r="I583" s="519" t="str">
        <f>"Total item "&amp;A580</f>
        <v>Total item 9.6</v>
      </c>
      <c r="J583" s="518">
        <f>SUM(J582:J582)</f>
        <v>42.84</v>
      </c>
    </row>
    <row r="584" spans="1:10" x14ac:dyDescent="0.2">
      <c r="A584" s="6"/>
      <c r="B584" s="6"/>
      <c r="C584" s="155"/>
      <c r="D584" s="108"/>
      <c r="E584" s="148"/>
      <c r="F584" s="253"/>
      <c r="G584" s="253"/>
      <c r="H584" s="253"/>
      <c r="I584" s="246"/>
      <c r="J584" s="258"/>
    </row>
    <row r="585" spans="1:10" s="139" customFormat="1" ht="40.799999999999997" x14ac:dyDescent="0.2">
      <c r="A585" s="515">
        <f>'ORÇAMENTO SEM DESON'!A77</f>
        <v>9.6999999999999993</v>
      </c>
      <c r="B585" s="9" t="s">
        <v>163</v>
      </c>
      <c r="C585" s="13" t="s">
        <v>412</v>
      </c>
      <c r="D585" s="520" t="str">
        <f>'ORÇAMENTO SEM DESON'!D77</f>
        <v>EXECUÇÃO DE PASSEIO (CALÇADA) OU PISO DE CONCRETO COM CONCRETO MOLDADO IN LOCO, FEITO EM OBRA, ACABAMENTO CONVENCIONAL, ESPESSURA 6 CM, ARMADO. AF_07/2016</v>
      </c>
      <c r="E585" s="515" t="str">
        <f>'ORÇAMENTO SEM DESON'!E77</f>
        <v>m²</v>
      </c>
      <c r="F585" s="518"/>
      <c r="G585" s="518"/>
      <c r="H585" s="518"/>
      <c r="I585" s="519"/>
      <c r="J585" s="518"/>
    </row>
    <row r="586" spans="1:10" x14ac:dyDescent="0.2">
      <c r="A586" s="6"/>
      <c r="B586" s="6"/>
      <c r="C586" s="155"/>
      <c r="D586" s="2"/>
      <c r="E586" s="148"/>
      <c r="F586" s="137" t="s">
        <v>34</v>
      </c>
      <c r="G586" s="137"/>
      <c r="H586" s="137"/>
      <c r="I586" s="522"/>
      <c r="J586" s="253"/>
    </row>
    <row r="587" spans="1:10" x14ac:dyDescent="0.2">
      <c r="A587" s="6"/>
      <c r="B587" s="6"/>
      <c r="C587" s="155"/>
      <c r="D587" s="2" t="s">
        <v>1322</v>
      </c>
      <c r="E587" s="148" t="s">
        <v>9</v>
      </c>
      <c r="F587" s="137">
        <f>J578</f>
        <v>285.60000000000002</v>
      </c>
      <c r="G587" s="559"/>
      <c r="H587" s="137"/>
      <c r="I587" s="522"/>
      <c r="J587" s="253">
        <f>F587</f>
        <v>285.60000000000002</v>
      </c>
    </row>
    <row r="588" spans="1:10" s="139" customFormat="1" x14ac:dyDescent="0.2">
      <c r="A588" s="6"/>
      <c r="B588" s="6"/>
      <c r="C588" s="7"/>
      <c r="D588" s="116"/>
      <c r="E588" s="6"/>
      <c r="F588" s="258"/>
      <c r="G588" s="258"/>
      <c r="H588" s="258"/>
      <c r="I588" s="519" t="str">
        <f>"Total item "&amp;A585</f>
        <v>Total item 9.7</v>
      </c>
      <c r="J588" s="518">
        <f>SUM(J587:J587)</f>
        <v>285.60000000000002</v>
      </c>
    </row>
    <row r="589" spans="1:10" x14ac:dyDescent="0.2">
      <c r="A589" s="6"/>
      <c r="B589" s="6"/>
      <c r="C589" s="155"/>
      <c r="D589" s="108"/>
      <c r="E589" s="148"/>
      <c r="F589" s="253"/>
      <c r="G589" s="253"/>
      <c r="H589" s="253"/>
      <c r="I589" s="246"/>
      <c r="J589" s="258"/>
    </row>
    <row r="590" spans="1:10" s="139" customFormat="1" ht="24.6" customHeight="1" x14ac:dyDescent="0.2">
      <c r="A590" s="515">
        <f>'ORÇAMENTO SEM DESON'!A78</f>
        <v>9.8000000000000007</v>
      </c>
      <c r="B590" s="9" t="s">
        <v>163</v>
      </c>
      <c r="C590" s="13" t="s">
        <v>412</v>
      </c>
      <c r="D590" s="520" t="str">
        <f>'ORÇAMENTO SEM DESON'!D78</f>
        <v>FUNGENBAND PARA JUNTA DE DILATAÇÃO, O-22, ATÉ 5MCA</v>
      </c>
      <c r="E590" s="515" t="str">
        <f>'ORÇAMENTO SEM DESON'!E78</f>
        <v>m</v>
      </c>
      <c r="F590" s="518"/>
      <c r="G590" s="518"/>
      <c r="H590" s="518"/>
      <c r="I590" s="519"/>
      <c r="J590" s="518"/>
    </row>
    <row r="591" spans="1:10" x14ac:dyDescent="0.2">
      <c r="A591" s="6"/>
      <c r="B591" s="6"/>
      <c r="C591" s="155"/>
      <c r="D591" s="2"/>
      <c r="E591" s="148"/>
      <c r="F591" s="137" t="s">
        <v>1137</v>
      </c>
      <c r="G591" s="137" t="s">
        <v>1143</v>
      </c>
      <c r="H591" s="137"/>
      <c r="I591" s="522"/>
      <c r="J591" s="253"/>
    </row>
    <row r="592" spans="1:10" x14ac:dyDescent="0.2">
      <c r="A592" s="6"/>
      <c r="B592" s="6"/>
      <c r="C592" s="155"/>
      <c r="D592" s="2" t="s">
        <v>1322</v>
      </c>
      <c r="E592" s="148" t="s">
        <v>43</v>
      </c>
      <c r="F592" s="137">
        <v>1.5</v>
      </c>
      <c r="G592" s="559">
        <v>127</v>
      </c>
      <c r="H592" s="137"/>
      <c r="I592" s="522"/>
      <c r="J592" s="253">
        <f>F592*G592</f>
        <v>190.5</v>
      </c>
    </row>
    <row r="593" spans="1:10" s="139" customFormat="1" x14ac:dyDescent="0.2">
      <c r="A593" s="6"/>
      <c r="B593" s="6"/>
      <c r="C593" s="7"/>
      <c r="D593" s="116"/>
      <c r="E593" s="6"/>
      <c r="F593" s="258"/>
      <c r="G593" s="258"/>
      <c r="H593" s="258"/>
      <c r="I593" s="519" t="str">
        <f>"Total item "&amp;A590</f>
        <v>Total item 9.8</v>
      </c>
      <c r="J593" s="518">
        <f>SUM(J592:J592)</f>
        <v>190.5</v>
      </c>
    </row>
    <row r="594" spans="1:10" x14ac:dyDescent="0.2">
      <c r="A594" s="6"/>
      <c r="B594" s="6"/>
      <c r="C594" s="155"/>
      <c r="D594" s="108"/>
      <c r="E594" s="148"/>
      <c r="F594" s="253"/>
      <c r="G594" s="253"/>
      <c r="H594" s="253"/>
      <c r="I594" s="246"/>
      <c r="J594" s="258"/>
    </row>
    <row r="595" spans="1:10" s="431" customFormat="1" x14ac:dyDescent="0.2">
      <c r="A595" s="505">
        <f>'ORÇAMENTO SEM DESON'!A79</f>
        <v>10</v>
      </c>
      <c r="B595" s="498"/>
      <c r="C595" s="499"/>
      <c r="D595" s="500" t="str">
        <f>'ORÇAMENTO SEM DESON'!D79</f>
        <v>LOUÇAS, METAIS E MARMOARIA</v>
      </c>
      <c r="E595" s="498"/>
      <c r="F595" s="513"/>
      <c r="G595" s="513"/>
      <c r="H595" s="513"/>
      <c r="I595" s="514"/>
      <c r="J595" s="513"/>
    </row>
    <row r="596" spans="1:10" x14ac:dyDescent="0.2">
      <c r="A596" s="6"/>
      <c r="B596" s="6"/>
      <c r="C596" s="155"/>
      <c r="D596" s="108"/>
      <c r="E596" s="148"/>
      <c r="F596" s="253"/>
      <c r="G596" s="253"/>
      <c r="H596" s="253"/>
      <c r="I596" s="246"/>
      <c r="J596" s="258"/>
    </row>
    <row r="597" spans="1:10" s="139" customFormat="1" ht="30.6" x14ac:dyDescent="0.2">
      <c r="A597" s="515">
        <f>'ORÇAMENTO SEM DESON'!A80</f>
        <v>10.1</v>
      </c>
      <c r="B597" s="9" t="s">
        <v>163</v>
      </c>
      <c r="C597" s="13" t="s">
        <v>412</v>
      </c>
      <c r="D597" s="520" t="str">
        <f>'ORÇAMENTO SEM DESON'!D80</f>
        <v>FORNECIMENTO DE BANCADA EM GRANITO NATURAL PO
LIDO CINZA ANDORINHA, COM 2CM DE ESPESSURA,IN
CLUSIVE TRANSPORTE, MONTAGEM E ASSENTAMENTO.</v>
      </c>
      <c r="E597" s="515" t="str">
        <f>'ORÇAMENTO SEM DESON'!E80</f>
        <v>m²</v>
      </c>
      <c r="F597" s="518"/>
      <c r="G597" s="518"/>
      <c r="H597" s="518"/>
      <c r="I597" s="519"/>
      <c r="J597" s="518"/>
    </row>
    <row r="598" spans="1:10" x14ac:dyDescent="0.2">
      <c r="A598" s="6"/>
      <c r="B598" s="6"/>
      <c r="C598" s="155"/>
      <c r="D598" s="2"/>
      <c r="E598" s="148"/>
      <c r="F598" s="137" t="s">
        <v>1140</v>
      </c>
      <c r="G598" s="137" t="s">
        <v>1141</v>
      </c>
      <c r="H598" s="137" t="s">
        <v>1143</v>
      </c>
      <c r="I598" s="522"/>
      <c r="J598" s="253"/>
    </row>
    <row r="599" spans="1:10" x14ac:dyDescent="0.2">
      <c r="A599" s="6"/>
      <c r="B599" s="6"/>
      <c r="C599" s="155"/>
      <c r="D599" s="2" t="s">
        <v>1271</v>
      </c>
      <c r="E599" s="148" t="s">
        <v>9</v>
      </c>
      <c r="F599" s="137">
        <v>3.7</v>
      </c>
      <c r="G599" s="137">
        <v>1.2</v>
      </c>
      <c r="H599" s="137">
        <v>3</v>
      </c>
      <c r="I599" s="522"/>
      <c r="J599" s="253">
        <f>ROUND(PRODUCT(F599:I599),2)</f>
        <v>13.32</v>
      </c>
    </row>
    <row r="600" spans="1:10" x14ac:dyDescent="0.2">
      <c r="A600" s="6"/>
      <c r="B600" s="6"/>
      <c r="C600" s="155"/>
      <c r="D600" s="2" t="s">
        <v>1270</v>
      </c>
      <c r="E600" s="148" t="s">
        <v>9</v>
      </c>
      <c r="F600" s="137">
        <v>2.2999999999999998</v>
      </c>
      <c r="G600" s="137">
        <v>0.8</v>
      </c>
      <c r="H600" s="137">
        <v>3</v>
      </c>
      <c r="I600" s="522"/>
      <c r="J600" s="253">
        <f t="shared" ref="J600:J603" si="60">ROUND(PRODUCT(F600:I600),2)</f>
        <v>5.52</v>
      </c>
    </row>
    <row r="601" spans="1:10" x14ac:dyDescent="0.2">
      <c r="A601" s="6"/>
      <c r="B601" s="6"/>
      <c r="C601" s="155"/>
      <c r="D601" s="2" t="s">
        <v>1272</v>
      </c>
      <c r="E601" s="148" t="s">
        <v>9</v>
      </c>
      <c r="F601" s="137">
        <v>2</v>
      </c>
      <c r="G601" s="137">
        <v>0.4</v>
      </c>
      <c r="H601" s="137">
        <v>1</v>
      </c>
      <c r="I601" s="522"/>
      <c r="J601" s="253">
        <f t="shared" si="60"/>
        <v>0.8</v>
      </c>
    </row>
    <row r="602" spans="1:10" x14ac:dyDescent="0.2">
      <c r="A602" s="6"/>
      <c r="B602" s="6"/>
      <c r="C602" s="155"/>
      <c r="D602" s="2" t="s">
        <v>1273</v>
      </c>
      <c r="E602" s="148" t="s">
        <v>9</v>
      </c>
      <c r="F602" s="137">
        <v>1.65</v>
      </c>
      <c r="G602" s="137">
        <v>0.3</v>
      </c>
      <c r="H602" s="137">
        <v>1</v>
      </c>
      <c r="I602" s="522"/>
      <c r="J602" s="253">
        <f t="shared" si="60"/>
        <v>0.5</v>
      </c>
    </row>
    <row r="603" spans="1:10" x14ac:dyDescent="0.2">
      <c r="A603" s="6"/>
      <c r="B603" s="6"/>
      <c r="C603" s="155"/>
      <c r="D603" s="2" t="s">
        <v>165</v>
      </c>
      <c r="E603" s="148" t="s">
        <v>9</v>
      </c>
      <c r="F603" s="137">
        <f>1.39+0.67</f>
        <v>2.06</v>
      </c>
      <c r="G603" s="137">
        <v>0.6</v>
      </c>
      <c r="H603" s="137">
        <v>1</v>
      </c>
      <c r="I603" s="522"/>
      <c r="J603" s="253">
        <f t="shared" si="60"/>
        <v>1.24</v>
      </c>
    </row>
    <row r="604" spans="1:10" s="139" customFormat="1" x14ac:dyDescent="0.2">
      <c r="A604" s="6"/>
      <c r="B604" s="6"/>
      <c r="C604" s="7"/>
      <c r="D604" s="116"/>
      <c r="E604" s="6"/>
      <c r="F604" s="258"/>
      <c r="G604" s="258"/>
      <c r="H604" s="258"/>
      <c r="I604" s="519" t="str">
        <f>"Total item "&amp;A597</f>
        <v>Total item 10.1</v>
      </c>
      <c r="J604" s="518">
        <f>SUM(J599:J603)</f>
        <v>21.38</v>
      </c>
    </row>
    <row r="605" spans="1:10" x14ac:dyDescent="0.2">
      <c r="A605" s="6"/>
      <c r="B605" s="6"/>
      <c r="C605" s="155"/>
      <c r="D605" s="108"/>
      <c r="E605" s="148"/>
      <c r="F605" s="253"/>
      <c r="G605" s="253"/>
      <c r="H605" s="253"/>
      <c r="I605" s="246"/>
      <c r="J605" s="258"/>
    </row>
    <row r="606" spans="1:10" s="139" customFormat="1" ht="40.799999999999997" x14ac:dyDescent="0.2">
      <c r="A606" s="515">
        <f>'ORÇAMENTO SEM DESON'!A81</f>
        <v>10.199999999999999</v>
      </c>
      <c r="B606" s="9" t="s">
        <v>163</v>
      </c>
      <c r="C606" s="13" t="s">
        <v>412</v>
      </c>
      <c r="D606" s="520" t="str">
        <f>'ORÇAMENTO SEM DESON'!D81</f>
        <v>FORNECIMENTO DE BALCAO EM GRANITO NATURAL POLIDO
CINZA ANDORINHA, COM 2CM DE ESPESSURA,INCLUSIVE CORTE PARA DUAS CUBA, TRANSPORTE, MONTAGEM E ASSENTAMENTO.</v>
      </c>
      <c r="E606" s="515" t="str">
        <f>'ORÇAMENTO SEM DESON'!E81</f>
        <v>m²</v>
      </c>
      <c r="F606" s="518"/>
      <c r="G606" s="518"/>
      <c r="H606" s="518"/>
      <c r="I606" s="519"/>
      <c r="J606" s="518"/>
    </row>
    <row r="607" spans="1:10" x14ac:dyDescent="0.2">
      <c r="A607" s="6"/>
      <c r="B607" s="6"/>
      <c r="C607" s="155"/>
      <c r="D607" s="2"/>
      <c r="E607" s="148"/>
      <c r="F607" s="137" t="s">
        <v>1140</v>
      </c>
      <c r="G607" s="137" t="s">
        <v>1141</v>
      </c>
      <c r="H607" s="137"/>
      <c r="I607" s="522"/>
      <c r="J607" s="253"/>
    </row>
    <row r="608" spans="1:10" x14ac:dyDescent="0.2">
      <c r="A608" s="6"/>
      <c r="B608" s="6"/>
      <c r="C608" s="155"/>
      <c r="D608" s="2" t="s">
        <v>165</v>
      </c>
      <c r="E608" s="148" t="s">
        <v>9</v>
      </c>
      <c r="F608" s="137">
        <f>1.07+3.83</f>
        <v>4.9000000000000004</v>
      </c>
      <c r="G608" s="137">
        <v>0.6</v>
      </c>
      <c r="H608" s="137"/>
      <c r="I608" s="522"/>
      <c r="J608" s="253">
        <f>ROUND(PRODUCT(F608:I608),2)</f>
        <v>2.94</v>
      </c>
    </row>
    <row r="609" spans="1:10" x14ac:dyDescent="0.2">
      <c r="A609" s="6"/>
      <c r="B609" s="6"/>
      <c r="C609" s="155"/>
      <c r="D609" s="2" t="s">
        <v>485</v>
      </c>
      <c r="E609" s="148" t="s">
        <v>9</v>
      </c>
      <c r="F609" s="137">
        <v>2.23</v>
      </c>
      <c r="G609" s="137">
        <v>0.6</v>
      </c>
      <c r="H609" s="137"/>
      <c r="I609" s="522"/>
      <c r="J609" s="253">
        <f>ROUND(PRODUCT(F609:I609),2)</f>
        <v>1.34</v>
      </c>
    </row>
    <row r="610" spans="1:10" x14ac:dyDescent="0.2">
      <c r="A610" s="6"/>
      <c r="B610" s="6"/>
      <c r="C610" s="155"/>
      <c r="D610" s="2" t="s">
        <v>1167</v>
      </c>
      <c r="E610" s="148" t="s">
        <v>9</v>
      </c>
      <c r="F610" s="137">
        <v>1.1200000000000001</v>
      </c>
      <c r="G610" s="137">
        <v>0.5</v>
      </c>
      <c r="H610" s="137"/>
      <c r="I610" s="522"/>
      <c r="J610" s="253">
        <f t="shared" ref="J610:J611" si="61">ROUND(PRODUCT(F610:I610),2)</f>
        <v>0.56000000000000005</v>
      </c>
    </row>
    <row r="611" spans="1:10" x14ac:dyDescent="0.2">
      <c r="A611" s="6"/>
      <c r="B611" s="6"/>
      <c r="C611" s="155"/>
      <c r="D611" s="2" t="s">
        <v>1168</v>
      </c>
      <c r="E611" s="148" t="s">
        <v>9</v>
      </c>
      <c r="F611" s="137">
        <v>1.5</v>
      </c>
      <c r="G611" s="137">
        <v>0.5</v>
      </c>
      <c r="H611" s="137"/>
      <c r="I611" s="522"/>
      <c r="J611" s="253">
        <f t="shared" si="61"/>
        <v>0.75</v>
      </c>
    </row>
    <row r="612" spans="1:10" s="139" customFormat="1" x14ac:dyDescent="0.2">
      <c r="A612" s="6"/>
      <c r="B612" s="6"/>
      <c r="C612" s="7"/>
      <c r="D612" s="116"/>
      <c r="E612" s="6"/>
      <c r="F612" s="258"/>
      <c r="G612" s="258"/>
      <c r="H612" s="258"/>
      <c r="I612" s="519" t="str">
        <f>"Total item "&amp;A606</f>
        <v>Total item 10.2</v>
      </c>
      <c r="J612" s="518">
        <f>SUM(J608:J611)</f>
        <v>5.59</v>
      </c>
    </row>
    <row r="613" spans="1:10" x14ac:dyDescent="0.2">
      <c r="A613" s="6"/>
      <c r="B613" s="6"/>
      <c r="C613" s="155"/>
      <c r="D613" s="108"/>
      <c r="E613" s="148"/>
      <c r="F613" s="253"/>
      <c r="G613" s="253"/>
      <c r="H613" s="253"/>
      <c r="I613" s="246"/>
      <c r="J613" s="258"/>
    </row>
    <row r="614" spans="1:10" s="139" customFormat="1" ht="40.799999999999997" x14ac:dyDescent="0.2">
      <c r="A614" s="515">
        <f>'ORÇAMENTO SEM DESON'!A82</f>
        <v>10.3</v>
      </c>
      <c r="B614" s="9" t="s">
        <v>163</v>
      </c>
      <c r="C614" s="13" t="s">
        <v>412</v>
      </c>
      <c r="D614" s="520" t="str">
        <f>'ORÇAMENTO SEM DESON'!D82</f>
        <v>FORNECIMENTO DE RESPALDO DE 15CM DE ALTURA EM
GRANITO NATURAL POLIDO CINZA ANDORINHA, COM 2
CM DE ESPESSURA, INCLUSIVE TRANSPORTE, MONTAGEM
E ASSENTAMENTO.</v>
      </c>
      <c r="E614" s="515" t="str">
        <f>'ORÇAMENTO SEM DESON'!E82</f>
        <v>m</v>
      </c>
      <c r="F614" s="518"/>
      <c r="G614" s="518"/>
      <c r="H614" s="518"/>
      <c r="I614" s="519"/>
      <c r="J614" s="518"/>
    </row>
    <row r="615" spans="1:10" x14ac:dyDescent="0.2">
      <c r="A615" s="6"/>
      <c r="B615" s="6"/>
      <c r="C615" s="155"/>
      <c r="D615" s="2"/>
      <c r="E615" s="148"/>
      <c r="F615" s="137" t="s">
        <v>1140</v>
      </c>
      <c r="G615" s="137"/>
      <c r="H615" s="137"/>
      <c r="I615" s="522"/>
      <c r="J615" s="253"/>
    </row>
    <row r="616" spans="1:10" x14ac:dyDescent="0.2">
      <c r="A616" s="6"/>
      <c r="B616" s="6"/>
      <c r="C616" s="155"/>
      <c r="D616" s="2" t="s">
        <v>165</v>
      </c>
      <c r="E616" s="148" t="s">
        <v>43</v>
      </c>
      <c r="F616" s="137">
        <f>1.07+3.83+2.06</f>
        <v>6.9600000000000009</v>
      </c>
      <c r="G616" s="137"/>
      <c r="H616" s="137"/>
      <c r="I616" s="522"/>
      <c r="J616" s="253">
        <f>ROUND(PRODUCT(F616:I616),2)</f>
        <v>6.96</v>
      </c>
    </row>
    <row r="617" spans="1:10" x14ac:dyDescent="0.2">
      <c r="A617" s="6"/>
      <c r="B617" s="6"/>
      <c r="C617" s="155"/>
      <c r="D617" s="2" t="s">
        <v>485</v>
      </c>
      <c r="E617" s="148" t="s">
        <v>43</v>
      </c>
      <c r="F617" s="137">
        <f>2.23+1.2</f>
        <v>3.4299999999999997</v>
      </c>
      <c r="G617" s="137"/>
      <c r="H617" s="137"/>
      <c r="I617" s="522"/>
      <c r="J617" s="253">
        <f>ROUND(PRODUCT(F617:I617),2)</f>
        <v>3.43</v>
      </c>
    </row>
    <row r="618" spans="1:10" x14ac:dyDescent="0.2">
      <c r="A618" s="6"/>
      <c r="B618" s="6"/>
      <c r="C618" s="155"/>
      <c r="D618" s="2" t="s">
        <v>1167</v>
      </c>
      <c r="E618" s="148" t="s">
        <v>43</v>
      </c>
      <c r="F618" s="137">
        <v>1.1200000000000001</v>
      </c>
      <c r="G618" s="137"/>
      <c r="H618" s="137"/>
      <c r="I618" s="522"/>
      <c r="J618" s="253">
        <f t="shared" ref="J618:J619" si="62">ROUND(PRODUCT(F618:I618),2)</f>
        <v>1.1200000000000001</v>
      </c>
    </row>
    <row r="619" spans="1:10" x14ac:dyDescent="0.2">
      <c r="A619" s="6"/>
      <c r="B619" s="6"/>
      <c r="C619" s="155"/>
      <c r="D619" s="2" t="s">
        <v>1168</v>
      </c>
      <c r="E619" s="148" t="s">
        <v>43</v>
      </c>
      <c r="F619" s="137">
        <v>1.5</v>
      </c>
      <c r="G619" s="137"/>
      <c r="H619" s="137"/>
      <c r="I619" s="522"/>
      <c r="J619" s="253">
        <f t="shared" si="62"/>
        <v>1.5</v>
      </c>
    </row>
    <row r="620" spans="1:10" s="139" customFormat="1" x14ac:dyDescent="0.2">
      <c r="A620" s="6"/>
      <c r="B620" s="6"/>
      <c r="C620" s="7"/>
      <c r="D620" s="116"/>
      <c r="E620" s="6"/>
      <c r="F620" s="258"/>
      <c r="G620" s="258"/>
      <c r="H620" s="258"/>
      <c r="I620" s="519" t="str">
        <f>"Total item "&amp;A614</f>
        <v>Total item 10.3</v>
      </c>
      <c r="J620" s="518">
        <f>SUM(J616:J619)</f>
        <v>13.010000000000002</v>
      </c>
    </row>
    <row r="621" spans="1:10" x14ac:dyDescent="0.2">
      <c r="A621" s="6"/>
      <c r="B621" s="6"/>
      <c r="C621" s="155"/>
      <c r="D621" s="108"/>
      <c r="E621" s="148"/>
      <c r="F621" s="253"/>
      <c r="G621" s="253"/>
      <c r="H621" s="253"/>
      <c r="I621" s="246"/>
      <c r="J621" s="258"/>
    </row>
    <row r="622" spans="1:10" s="139" customFormat="1" ht="40.799999999999997" x14ac:dyDescent="0.2">
      <c r="A622" s="515">
        <f>'ORÇAMENTO SEM DESON'!A83</f>
        <v>10.4</v>
      </c>
      <c r="B622" s="9" t="s">
        <v>163</v>
      </c>
      <c r="C622" s="13" t="s">
        <v>412</v>
      </c>
      <c r="D622" s="520" t="str">
        <f>'ORÇAMENTO SEM DESON'!D83</f>
        <v>CUBA DE EMBUTIR DE AÇO INOXIDÁVEL MÉDIA, INCLUSO VÁLVULA TIPO AMERICANA EM METAL CROMADO E SIFÃO FLEXÍVEL EM PVC - FORNECIMENTO E INSTALAÇÃO . AF_01/2020</v>
      </c>
      <c r="E622" s="515" t="str">
        <f>'ORÇAMENTO SEM DESON'!E83</f>
        <v>un</v>
      </c>
      <c r="F622" s="518"/>
      <c r="G622" s="518"/>
      <c r="H622" s="518"/>
      <c r="I622" s="519"/>
      <c r="J622" s="518"/>
    </row>
    <row r="623" spans="1:10" x14ac:dyDescent="0.2">
      <c r="A623" s="6"/>
      <c r="B623" s="6"/>
      <c r="C623" s="155"/>
      <c r="D623" s="2"/>
      <c r="E623" s="148"/>
      <c r="F623" s="137" t="s">
        <v>1143</v>
      </c>
      <c r="G623" s="137"/>
      <c r="H623" s="137"/>
      <c r="I623" s="522"/>
      <c r="J623" s="253"/>
    </row>
    <row r="624" spans="1:10" x14ac:dyDescent="0.2">
      <c r="A624" s="6"/>
      <c r="B624" s="6"/>
      <c r="C624" s="155"/>
      <c r="D624" s="2" t="s">
        <v>165</v>
      </c>
      <c r="E624" s="148" t="s">
        <v>33</v>
      </c>
      <c r="F624" s="137">
        <v>2</v>
      </c>
      <c r="G624" s="137"/>
      <c r="H624" s="137"/>
      <c r="I624" s="522"/>
      <c r="J624" s="253">
        <f>ROUND(PRODUCT(F624:I624),2)</f>
        <v>2</v>
      </c>
    </row>
    <row r="625" spans="1:10" x14ac:dyDescent="0.2">
      <c r="A625" s="6"/>
      <c r="B625" s="6"/>
      <c r="C625" s="155"/>
      <c r="D625" s="2" t="s">
        <v>485</v>
      </c>
      <c r="E625" s="148" t="s">
        <v>33</v>
      </c>
      <c r="F625" s="137">
        <v>2</v>
      </c>
      <c r="G625" s="137"/>
      <c r="H625" s="137"/>
      <c r="I625" s="522"/>
      <c r="J625" s="253">
        <f>ROUND(PRODUCT(F625:I625),2)</f>
        <v>2</v>
      </c>
    </row>
    <row r="626" spans="1:10" s="139" customFormat="1" x14ac:dyDescent="0.2">
      <c r="A626" s="6"/>
      <c r="B626" s="6"/>
      <c r="C626" s="7"/>
      <c r="D626" s="116"/>
      <c r="E626" s="6"/>
      <c r="F626" s="258"/>
      <c r="G626" s="258"/>
      <c r="H626" s="258"/>
      <c r="I626" s="519" t="str">
        <f>"Total item "&amp;A622</f>
        <v>Total item 10.4</v>
      </c>
      <c r="J626" s="518">
        <f>SUM(J624:J625)</f>
        <v>4</v>
      </c>
    </row>
    <row r="627" spans="1:10" x14ac:dyDescent="0.2">
      <c r="A627" s="6"/>
      <c r="B627" s="6"/>
      <c r="C627" s="155"/>
      <c r="D627" s="108"/>
      <c r="E627" s="148"/>
      <c r="F627" s="253"/>
      <c r="G627" s="253"/>
      <c r="H627" s="253"/>
      <c r="I627" s="246"/>
      <c r="J627" s="258"/>
    </row>
    <row r="628" spans="1:10" s="139" customFormat="1" ht="30.6" x14ac:dyDescent="0.2">
      <c r="A628" s="515">
        <f>'ORÇAMENTO SEM DESON'!A84</f>
        <v>10.5</v>
      </c>
      <c r="B628" s="9" t="s">
        <v>163</v>
      </c>
      <c r="C628" s="13" t="s">
        <v>412</v>
      </c>
      <c r="D628" s="520" t="str">
        <f>'ORÇAMENTO SEM DESON'!D84</f>
        <v>TORNEIRA CROMADA LONGA, DE PAREDE, 1/2 OU 3/4, PARA PIA DE COZINHA, PADRÃO POPULAR - FORNECIMENTO E INSTALAÇÃO. AF_01/2020</v>
      </c>
      <c r="E628" s="515" t="str">
        <f>'ORÇAMENTO SEM DESON'!E84</f>
        <v>un</v>
      </c>
      <c r="F628" s="518"/>
      <c r="G628" s="518"/>
      <c r="H628" s="518"/>
      <c r="I628" s="519"/>
      <c r="J628" s="518"/>
    </row>
    <row r="629" spans="1:10" x14ac:dyDescent="0.2">
      <c r="A629" s="6"/>
      <c r="B629" s="6"/>
      <c r="C629" s="155"/>
      <c r="D629" s="2"/>
      <c r="E629" s="148"/>
      <c r="F629" s="137" t="s">
        <v>1143</v>
      </c>
      <c r="G629" s="137"/>
      <c r="H629" s="137"/>
      <c r="I629" s="522"/>
      <c r="J629" s="253"/>
    </row>
    <row r="630" spans="1:10" x14ac:dyDescent="0.2">
      <c r="A630" s="6"/>
      <c r="B630" s="6"/>
      <c r="C630" s="155"/>
      <c r="D630" s="2" t="s">
        <v>165</v>
      </c>
      <c r="E630" s="148" t="s">
        <v>33</v>
      </c>
      <c r="F630" s="137">
        <v>2</v>
      </c>
      <c r="G630" s="137"/>
      <c r="H630" s="137"/>
      <c r="I630" s="522"/>
      <c r="J630" s="253">
        <f>ROUND(PRODUCT(F630:I630),2)</f>
        <v>2</v>
      </c>
    </row>
    <row r="631" spans="1:10" x14ac:dyDescent="0.2">
      <c r="A631" s="6"/>
      <c r="B631" s="6"/>
      <c r="C631" s="155"/>
      <c r="D631" s="2" t="s">
        <v>485</v>
      </c>
      <c r="E631" s="148" t="s">
        <v>33</v>
      </c>
      <c r="F631" s="137">
        <v>2</v>
      </c>
      <c r="G631" s="137"/>
      <c r="H631" s="137"/>
      <c r="I631" s="522"/>
      <c r="J631" s="253">
        <f>ROUND(PRODUCT(F631:I631),2)</f>
        <v>2</v>
      </c>
    </row>
    <row r="632" spans="1:10" s="139" customFormat="1" x14ac:dyDescent="0.2">
      <c r="A632" s="6"/>
      <c r="B632" s="6"/>
      <c r="C632" s="7"/>
      <c r="D632" s="116"/>
      <c r="E632" s="6"/>
      <c r="F632" s="258"/>
      <c r="G632" s="258"/>
      <c r="H632" s="258"/>
      <c r="I632" s="519" t="str">
        <f>"Total item "&amp;A628</f>
        <v>Total item 10.5</v>
      </c>
      <c r="J632" s="518">
        <f>SUM(J630:J631)</f>
        <v>4</v>
      </c>
    </row>
    <row r="633" spans="1:10" x14ac:dyDescent="0.2">
      <c r="A633" s="6"/>
      <c r="B633" s="6"/>
      <c r="C633" s="155"/>
      <c r="D633" s="108"/>
      <c r="E633" s="148"/>
      <c r="F633" s="253"/>
      <c r="G633" s="253"/>
      <c r="H633" s="253"/>
      <c r="I633" s="246"/>
      <c r="J633" s="258"/>
    </row>
    <row r="634" spans="1:10" s="139" customFormat="1" x14ac:dyDescent="0.2">
      <c r="A634" s="515">
        <f>'ORÇAMENTO SEM DESON'!A85</f>
        <v>10.6</v>
      </c>
      <c r="B634" s="9" t="s">
        <v>163</v>
      </c>
      <c r="C634" s="13" t="s">
        <v>412</v>
      </c>
      <c r="D634" s="520" t="str">
        <f>'ORÇAMENTO SEM DESON'!D85</f>
        <v>BACIA DE LOUÇA BRANCA C/CAIXA ACOPLADA</v>
      </c>
      <c r="E634" s="515" t="str">
        <f>'ORÇAMENTO SEM DESON'!E85</f>
        <v>un</v>
      </c>
      <c r="F634" s="518"/>
      <c r="G634" s="518"/>
      <c r="H634" s="518"/>
      <c r="I634" s="519"/>
      <c r="J634" s="518"/>
    </row>
    <row r="635" spans="1:10" x14ac:dyDescent="0.2">
      <c r="A635" s="6"/>
      <c r="B635" s="6"/>
      <c r="C635" s="155"/>
      <c r="D635" s="2"/>
      <c r="E635" s="148"/>
      <c r="F635" s="137" t="s">
        <v>1143</v>
      </c>
      <c r="G635" s="137"/>
      <c r="H635" s="137"/>
      <c r="I635" s="522"/>
      <c r="J635" s="253"/>
    </row>
    <row r="636" spans="1:10" x14ac:dyDescent="0.2">
      <c r="A636" s="6"/>
      <c r="B636" s="6"/>
      <c r="C636" s="155"/>
      <c r="D636" s="2" t="s">
        <v>1167</v>
      </c>
      <c r="E636" s="148" t="s">
        <v>33</v>
      </c>
      <c r="F636" s="137">
        <v>2</v>
      </c>
      <c r="G636" s="137"/>
      <c r="H636" s="137"/>
      <c r="I636" s="522"/>
      <c r="J636" s="253">
        <f>ROUND(PRODUCT(F636:I636),2)</f>
        <v>2</v>
      </c>
    </row>
    <row r="637" spans="1:10" x14ac:dyDescent="0.2">
      <c r="A637" s="6"/>
      <c r="B637" s="6"/>
      <c r="C637" s="155"/>
      <c r="D637" s="2" t="s">
        <v>1168</v>
      </c>
      <c r="E637" s="148" t="s">
        <v>33</v>
      </c>
      <c r="F637" s="137">
        <v>2</v>
      </c>
      <c r="G637" s="137"/>
      <c r="H637" s="137"/>
      <c r="I637" s="522"/>
      <c r="J637" s="253">
        <f>ROUND(PRODUCT(F637:I637),2)</f>
        <v>2</v>
      </c>
    </row>
    <row r="638" spans="1:10" x14ac:dyDescent="0.2">
      <c r="A638" s="6"/>
      <c r="B638" s="6"/>
      <c r="C638" s="155"/>
      <c r="D638" s="2" t="s">
        <v>1177</v>
      </c>
      <c r="E638" s="148" t="s">
        <v>33</v>
      </c>
      <c r="F638" s="137">
        <v>1</v>
      </c>
      <c r="G638" s="137"/>
      <c r="H638" s="137"/>
      <c r="I638" s="522"/>
      <c r="J638" s="253">
        <f>ROUND(PRODUCT(F638:I638),2)</f>
        <v>1</v>
      </c>
    </row>
    <row r="639" spans="1:10" s="139" customFormat="1" x14ac:dyDescent="0.2">
      <c r="A639" s="6"/>
      <c r="B639" s="6"/>
      <c r="C639" s="7"/>
      <c r="D639" s="116"/>
      <c r="E639" s="6"/>
      <c r="F639" s="258"/>
      <c r="G639" s="258"/>
      <c r="H639" s="258"/>
      <c r="I639" s="519" t="str">
        <f>"Total item "&amp;A634</f>
        <v>Total item 10.6</v>
      </c>
      <c r="J639" s="518">
        <f>SUM(J636:J638)</f>
        <v>5</v>
      </c>
    </row>
    <row r="640" spans="1:10" x14ac:dyDescent="0.2">
      <c r="A640" s="6"/>
      <c r="B640" s="6"/>
      <c r="C640" s="155"/>
      <c r="D640" s="108"/>
      <c r="E640" s="148"/>
      <c r="F640" s="253"/>
      <c r="G640" s="253"/>
      <c r="H640" s="253"/>
      <c r="I640" s="246"/>
      <c r="J640" s="258"/>
    </row>
    <row r="641" spans="1:10" s="139" customFormat="1" ht="20.399999999999999" x14ac:dyDescent="0.2">
      <c r="A641" s="515">
        <f>'ORÇAMENTO SEM DESON'!A86</f>
        <v>10.7</v>
      </c>
      <c r="B641" s="9" t="s">
        <v>163</v>
      </c>
      <c r="C641" s="13" t="s">
        <v>412</v>
      </c>
      <c r="D641" s="520" t="str">
        <f>'ORÇAMENTO SEM DESON'!D86</f>
        <v>MICTÓRIO SIFONADO LOUÇA BRANCA PADRÃO MÉDIO FORNECIMENTO E INSTALAÇÃO. AF_01/2020</v>
      </c>
      <c r="E641" s="515" t="str">
        <f>'ORÇAMENTO SEM DESON'!E86</f>
        <v>un</v>
      </c>
      <c r="F641" s="518"/>
      <c r="G641" s="518"/>
      <c r="H641" s="518"/>
      <c r="I641" s="519"/>
      <c r="J641" s="518"/>
    </row>
    <row r="642" spans="1:10" x14ac:dyDescent="0.2">
      <c r="A642" s="6"/>
      <c r="B642" s="6"/>
      <c r="C642" s="155"/>
      <c r="D642" s="2"/>
      <c r="E642" s="148"/>
      <c r="F642" s="137" t="s">
        <v>1143</v>
      </c>
      <c r="G642" s="137"/>
      <c r="H642" s="137"/>
      <c r="I642" s="522"/>
      <c r="J642" s="253"/>
    </row>
    <row r="643" spans="1:10" x14ac:dyDescent="0.2">
      <c r="A643" s="6"/>
      <c r="B643" s="6"/>
      <c r="C643" s="155"/>
      <c r="D643" s="2" t="s">
        <v>1167</v>
      </c>
      <c r="E643" s="148" t="s">
        <v>33</v>
      </c>
      <c r="F643" s="137">
        <v>2</v>
      </c>
      <c r="G643" s="137"/>
      <c r="H643" s="137"/>
      <c r="I643" s="522"/>
      <c r="J643" s="253">
        <f>ROUND(PRODUCT(F643:I643),2)</f>
        <v>2</v>
      </c>
    </row>
    <row r="644" spans="1:10" s="139" customFormat="1" x14ac:dyDescent="0.2">
      <c r="A644" s="6"/>
      <c r="B644" s="6"/>
      <c r="C644" s="7"/>
      <c r="D644" s="116"/>
      <c r="E644" s="6"/>
      <c r="F644" s="258"/>
      <c r="G644" s="258"/>
      <c r="H644" s="258"/>
      <c r="I644" s="519" t="str">
        <f>"Total item "&amp;A641</f>
        <v>Total item 10.7</v>
      </c>
      <c r="J644" s="518">
        <f>SUM(J643:J643)</f>
        <v>2</v>
      </c>
    </row>
    <row r="645" spans="1:10" x14ac:dyDescent="0.2">
      <c r="A645" s="6"/>
      <c r="B645" s="6"/>
      <c r="C645" s="155"/>
      <c r="D645" s="108"/>
      <c r="E645" s="148"/>
      <c r="F645" s="253"/>
      <c r="G645" s="253"/>
      <c r="H645" s="253"/>
      <c r="I645" s="246"/>
      <c r="J645" s="258"/>
    </row>
    <row r="646" spans="1:10" s="139" customFormat="1" ht="30.6" x14ac:dyDescent="0.2">
      <c r="A646" s="515">
        <f>'ORÇAMENTO SEM DESON'!A87</f>
        <v>10.8</v>
      </c>
      <c r="B646" s="9" t="s">
        <v>163</v>
      </c>
      <c r="C646" s="13" t="s">
        <v>412</v>
      </c>
      <c r="D646" s="520" t="str">
        <f>'ORÇAMENTO SEM DESON'!D87</f>
        <v>TAPA VISTA DE MICTÓRIO EM GRANITO CINZA POLIDO, ESP = 3CM, ASSENTADO COM ARGAMASSA COLANTE AC III-E. AF_01/2021</v>
      </c>
      <c r="E646" s="515" t="str">
        <f>'ORÇAMENTO SEM DESON'!E87</f>
        <v>m²</v>
      </c>
      <c r="F646" s="518"/>
      <c r="G646" s="518"/>
      <c r="H646" s="518"/>
      <c r="I646" s="519"/>
      <c r="J646" s="518"/>
    </row>
    <row r="647" spans="1:10" x14ac:dyDescent="0.2">
      <c r="A647" s="6"/>
      <c r="B647" s="6"/>
      <c r="C647" s="155"/>
      <c r="D647" s="2"/>
      <c r="E647" s="148"/>
      <c r="F647" s="137" t="s">
        <v>1141</v>
      </c>
      <c r="G647" s="137" t="s">
        <v>1142</v>
      </c>
      <c r="H647" s="137" t="s">
        <v>1143</v>
      </c>
      <c r="I647" s="522"/>
      <c r="J647" s="253"/>
    </row>
    <row r="648" spans="1:10" x14ac:dyDescent="0.2">
      <c r="A648" s="6"/>
      <c r="B648" s="6"/>
      <c r="C648" s="155"/>
      <c r="D648" s="2" t="s">
        <v>1167</v>
      </c>
      <c r="E648" s="148" t="s">
        <v>9</v>
      </c>
      <c r="F648" s="137">
        <v>0.45</v>
      </c>
      <c r="G648" s="137">
        <v>1.6</v>
      </c>
      <c r="H648" s="137">
        <v>2</v>
      </c>
      <c r="I648" s="522"/>
      <c r="J648" s="253">
        <f>ROUND(PRODUCT(F648:I648),2)</f>
        <v>1.44</v>
      </c>
    </row>
    <row r="649" spans="1:10" s="139" customFormat="1" x14ac:dyDescent="0.2">
      <c r="A649" s="6"/>
      <c r="B649" s="6"/>
      <c r="C649" s="7"/>
      <c r="D649" s="116"/>
      <c r="E649" s="6"/>
      <c r="F649" s="258"/>
      <c r="G649" s="258"/>
      <c r="H649" s="258"/>
      <c r="I649" s="519" t="str">
        <f>"Total item "&amp;A646</f>
        <v>Total item 10.8</v>
      </c>
      <c r="J649" s="518">
        <f>SUM(J648:J648)</f>
        <v>1.44</v>
      </c>
    </row>
    <row r="650" spans="1:10" x14ac:dyDescent="0.2">
      <c r="A650" s="6"/>
      <c r="B650" s="6"/>
      <c r="C650" s="155"/>
      <c r="D650" s="108"/>
      <c r="E650" s="148"/>
      <c r="F650" s="253"/>
      <c r="G650" s="253"/>
      <c r="H650" s="253"/>
      <c r="I650" s="246"/>
      <c r="J650" s="258"/>
    </row>
    <row r="651" spans="1:10" s="139" customFormat="1" x14ac:dyDescent="0.2">
      <c r="A651" s="515">
        <f>'ORÇAMENTO SEM DESON'!A88</f>
        <v>10.9</v>
      </c>
      <c r="B651" s="9" t="s">
        <v>163</v>
      </c>
      <c r="C651" s="13" t="s">
        <v>412</v>
      </c>
      <c r="D651" s="520" t="str">
        <f>'ORÇAMENTO SEM DESON'!D88</f>
        <v>CUBA DE LOUÇA DE EMBUTIR C/ TORNEIRA E ACESSÓRIOS</v>
      </c>
      <c r="E651" s="515" t="str">
        <f>'ORÇAMENTO SEM DESON'!E88</f>
        <v>un</v>
      </c>
      <c r="F651" s="518"/>
      <c r="G651" s="518"/>
      <c r="H651" s="518"/>
      <c r="I651" s="519"/>
      <c r="J651" s="518"/>
    </row>
    <row r="652" spans="1:10" x14ac:dyDescent="0.2">
      <c r="A652" s="6"/>
      <c r="B652" s="6"/>
      <c r="C652" s="155"/>
      <c r="D652" s="2"/>
      <c r="E652" s="148"/>
      <c r="F652" s="137" t="s">
        <v>1143</v>
      </c>
      <c r="G652" s="137"/>
      <c r="H652" s="137"/>
      <c r="I652" s="522"/>
      <c r="J652" s="253"/>
    </row>
    <row r="653" spans="1:10" x14ac:dyDescent="0.2">
      <c r="A653" s="6"/>
      <c r="B653" s="6"/>
      <c r="C653" s="155"/>
      <c r="D653" s="2" t="s">
        <v>1167</v>
      </c>
      <c r="E653" s="148" t="s">
        <v>33</v>
      </c>
      <c r="F653" s="137">
        <v>2</v>
      </c>
      <c r="G653" s="137"/>
      <c r="H653" s="137"/>
      <c r="I653" s="522"/>
      <c r="J653" s="253">
        <f>ROUND(PRODUCT(F653:I653),2)</f>
        <v>2</v>
      </c>
    </row>
    <row r="654" spans="1:10" x14ac:dyDescent="0.2">
      <c r="A654" s="6"/>
      <c r="B654" s="6"/>
      <c r="C654" s="155"/>
      <c r="D654" s="2" t="s">
        <v>1168</v>
      </c>
      <c r="E654" s="148" t="s">
        <v>33</v>
      </c>
      <c r="F654" s="137">
        <v>2</v>
      </c>
      <c r="G654" s="137"/>
      <c r="H654" s="137"/>
      <c r="I654" s="522"/>
      <c r="J654" s="253">
        <f>ROUND(PRODUCT(F654:I654),2)</f>
        <v>2</v>
      </c>
    </row>
    <row r="655" spans="1:10" s="139" customFormat="1" x14ac:dyDescent="0.2">
      <c r="A655" s="6"/>
      <c r="B655" s="6"/>
      <c r="C655" s="7"/>
      <c r="D655" s="116"/>
      <c r="E655" s="6"/>
      <c r="F655" s="258"/>
      <c r="G655" s="258"/>
      <c r="H655" s="258"/>
      <c r="I655" s="519" t="str">
        <f>"Total item "&amp;A651</f>
        <v>Total item 10.9</v>
      </c>
      <c r="J655" s="518">
        <f>SUM(J653:J654)</f>
        <v>4</v>
      </c>
    </row>
    <row r="656" spans="1:10" x14ac:dyDescent="0.2">
      <c r="A656" s="6"/>
      <c r="B656" s="6"/>
      <c r="C656" s="155"/>
      <c r="D656" s="108"/>
      <c r="E656" s="148"/>
      <c r="F656" s="253"/>
      <c r="G656" s="253"/>
      <c r="H656" s="253"/>
      <c r="I656" s="246"/>
      <c r="J656" s="258"/>
    </row>
    <row r="657" spans="1:10" s="139" customFormat="1" ht="51" x14ac:dyDescent="0.2">
      <c r="A657" s="560">
        <f>'ORÇAMENTO SEM DESON'!A89</f>
        <v>10.1</v>
      </c>
      <c r="B657" s="9" t="s">
        <v>163</v>
      </c>
      <c r="C657" s="13" t="s">
        <v>412</v>
      </c>
      <c r="D657" s="520" t="str">
        <f>'ORÇAMENTO SEM DESON'!D89</f>
        <v>LAVATÓRIO LOUÇA BRANCA SUSPENSO, 29,5 X 39CM OU EQUIVALENTE, PADRÃO POPULAR, INCLUSO SIFÃO FLEXÍVEL EM PVC, VÁLVULA E ENGATE FLEXÍVEL 30CM EM PLÁSTICO E TORNEIRA CROMADA DE MESA, PADRÃO POPULAR - FORNECIMENTO E INSTALAÇÃO. AF_01/2020</v>
      </c>
      <c r="E657" s="515" t="str">
        <f>'ORÇAMENTO SEM DESON'!E89</f>
        <v>un</v>
      </c>
      <c r="F657" s="518"/>
      <c r="G657" s="518"/>
      <c r="H657" s="518"/>
      <c r="I657" s="519"/>
      <c r="J657" s="518"/>
    </row>
    <row r="658" spans="1:10" x14ac:dyDescent="0.2">
      <c r="A658" s="6"/>
      <c r="B658" s="6"/>
      <c r="C658" s="155"/>
      <c r="D658" s="2"/>
      <c r="E658" s="148"/>
      <c r="F658" s="137" t="s">
        <v>1143</v>
      </c>
      <c r="G658" s="137"/>
      <c r="H658" s="137"/>
      <c r="I658" s="522"/>
      <c r="J658" s="253"/>
    </row>
    <row r="659" spans="1:10" x14ac:dyDescent="0.2">
      <c r="A659" s="6"/>
      <c r="B659" s="6"/>
      <c r="C659" s="155"/>
      <c r="D659" s="2" t="s">
        <v>1177</v>
      </c>
      <c r="E659" s="148" t="s">
        <v>33</v>
      </c>
      <c r="F659" s="137">
        <v>1</v>
      </c>
      <c r="G659" s="137"/>
      <c r="H659" s="137"/>
      <c r="I659" s="522"/>
      <c r="J659" s="253">
        <f>ROUND(PRODUCT(F659:I659),2)</f>
        <v>1</v>
      </c>
    </row>
    <row r="660" spans="1:10" s="139" customFormat="1" x14ac:dyDescent="0.2">
      <c r="A660" s="6"/>
      <c r="B660" s="6"/>
      <c r="C660" s="7"/>
      <c r="D660" s="116"/>
      <c r="E660" s="6"/>
      <c r="F660" s="258"/>
      <c r="G660" s="258"/>
      <c r="H660" s="258"/>
      <c r="I660" s="519" t="str">
        <f>"Total item "&amp;A657</f>
        <v>Total item 10.1</v>
      </c>
      <c r="J660" s="518">
        <f>SUM(J659:J659)</f>
        <v>1</v>
      </c>
    </row>
    <row r="661" spans="1:10" x14ac:dyDescent="0.2">
      <c r="A661" s="6"/>
      <c r="B661" s="6"/>
      <c r="C661" s="155"/>
      <c r="D661" s="108"/>
      <c r="E661" s="148"/>
      <c r="F661" s="253"/>
      <c r="G661" s="253"/>
      <c r="H661" s="253"/>
      <c r="I661" s="246"/>
      <c r="J661" s="258"/>
    </row>
    <row r="662" spans="1:10" s="139" customFormat="1" ht="30.6" x14ac:dyDescent="0.2">
      <c r="A662" s="560">
        <f>'ORÇAMENTO SEM DESON'!A90</f>
        <v>10.11</v>
      </c>
      <c r="B662" s="9" t="s">
        <v>163</v>
      </c>
      <c r="C662" s="13" t="s">
        <v>412</v>
      </c>
      <c r="D662" s="520" t="str">
        <f>'ORÇAMENTO SEM DESON'!D90</f>
        <v>BARRA DE APOIO RETA, EM ACO INOX POLIDO, COMPRIMENTO 70 CM, FIXADA NA PAREDE - FORNECIMENTO E INSTALAÇÃO. AF_01/2020</v>
      </c>
      <c r="E662" s="515" t="str">
        <f>'ORÇAMENTO SEM DESON'!E90</f>
        <v>un</v>
      </c>
      <c r="F662" s="518"/>
      <c r="G662" s="518"/>
      <c r="H662" s="518"/>
      <c r="I662" s="519"/>
      <c r="J662" s="518"/>
    </row>
    <row r="663" spans="1:10" x14ac:dyDescent="0.2">
      <c r="A663" s="6"/>
      <c r="B663" s="6"/>
      <c r="C663" s="155"/>
      <c r="D663" s="2"/>
      <c r="E663" s="148"/>
      <c r="F663" s="137" t="s">
        <v>1143</v>
      </c>
      <c r="G663" s="137"/>
      <c r="H663" s="137"/>
      <c r="I663" s="522"/>
      <c r="J663" s="253"/>
    </row>
    <row r="664" spans="1:10" x14ac:dyDescent="0.2">
      <c r="A664" s="6"/>
      <c r="B664" s="6"/>
      <c r="C664" s="155"/>
      <c r="D664" s="2" t="s">
        <v>1167</v>
      </c>
      <c r="E664" s="148" t="s">
        <v>33</v>
      </c>
      <c r="F664" s="137">
        <v>8</v>
      </c>
      <c r="G664" s="137"/>
      <c r="H664" s="137"/>
      <c r="I664" s="522"/>
      <c r="J664" s="253">
        <f>ROUND(PRODUCT(F664:I664),2)</f>
        <v>8</v>
      </c>
    </row>
    <row r="665" spans="1:10" x14ac:dyDescent="0.2">
      <c r="A665" s="6"/>
      <c r="B665" s="6"/>
      <c r="C665" s="155"/>
      <c r="D665" s="2" t="s">
        <v>1168</v>
      </c>
      <c r="E665" s="148" t="s">
        <v>33</v>
      </c>
      <c r="F665" s="137">
        <v>4</v>
      </c>
      <c r="G665" s="137"/>
      <c r="H665" s="137"/>
      <c r="I665" s="522"/>
      <c r="J665" s="253">
        <f>ROUND(PRODUCT(F665:I665),2)</f>
        <v>4</v>
      </c>
    </row>
    <row r="666" spans="1:10" s="139" customFormat="1" x14ac:dyDescent="0.2">
      <c r="A666" s="6"/>
      <c r="B666" s="6"/>
      <c r="C666" s="7"/>
      <c r="D666" s="116"/>
      <c r="E666" s="6"/>
      <c r="F666" s="258"/>
      <c r="G666" s="258"/>
      <c r="H666" s="258"/>
      <c r="I666" s="519" t="str">
        <f>"Total item "&amp;A662</f>
        <v>Total item 10.11</v>
      </c>
      <c r="J666" s="518">
        <f>SUM(J664:J665)</f>
        <v>12</v>
      </c>
    </row>
    <row r="667" spans="1:10" x14ac:dyDescent="0.2">
      <c r="A667" s="6"/>
      <c r="B667" s="6"/>
      <c r="C667" s="155"/>
      <c r="D667" s="108"/>
      <c r="E667" s="148"/>
      <c r="F667" s="253"/>
      <c r="G667" s="253"/>
      <c r="H667" s="253"/>
      <c r="I667" s="246"/>
      <c r="J667" s="258"/>
    </row>
    <row r="668" spans="1:10" s="139" customFormat="1" ht="30.6" x14ac:dyDescent="0.2">
      <c r="A668" s="560">
        <f>'ORÇAMENTO SEM DESON'!A91</f>
        <v>10.119999999999999</v>
      </c>
      <c r="B668" s="9" t="s">
        <v>163</v>
      </c>
      <c r="C668" s="13" t="s">
        <v>412</v>
      </c>
      <c r="D668" s="520" t="str">
        <f>'ORÇAMENTO SEM DESON'!D91</f>
        <v>BARRA DE APOIO RETA, EM ACO INOX POLIDO, COMPRIMENTO 80 CM, FIXADA NA PAREDE - FORNECIMENTO E INSTALAÇÃO. AF_01/2020</v>
      </c>
      <c r="E668" s="515" t="str">
        <f>'ORÇAMENTO SEM DESON'!E91</f>
        <v>un</v>
      </c>
      <c r="F668" s="518"/>
      <c r="G668" s="518"/>
      <c r="H668" s="518"/>
      <c r="I668" s="519"/>
      <c r="J668" s="518"/>
    </row>
    <row r="669" spans="1:10" x14ac:dyDescent="0.2">
      <c r="A669" s="6"/>
      <c r="B669" s="6"/>
      <c r="C669" s="155"/>
      <c r="D669" s="2"/>
      <c r="E669" s="148"/>
      <c r="F669" s="137" t="s">
        <v>1143</v>
      </c>
      <c r="G669" s="137"/>
      <c r="H669" s="137"/>
      <c r="I669" s="522"/>
      <c r="J669" s="253"/>
    </row>
    <row r="670" spans="1:10" x14ac:dyDescent="0.2">
      <c r="A670" s="6"/>
      <c r="B670" s="6"/>
      <c r="C670" s="155"/>
      <c r="D670" s="2" t="s">
        <v>1167</v>
      </c>
      <c r="E670" s="148" t="s">
        <v>33</v>
      </c>
      <c r="F670" s="137">
        <v>4</v>
      </c>
      <c r="G670" s="137"/>
      <c r="H670" s="137"/>
      <c r="I670" s="522"/>
      <c r="J670" s="253">
        <f>ROUND(PRODUCT(F670:I670),2)</f>
        <v>4</v>
      </c>
    </row>
    <row r="671" spans="1:10" x14ac:dyDescent="0.2">
      <c r="A671" s="6"/>
      <c r="B671" s="6"/>
      <c r="C671" s="155"/>
      <c r="D671" s="2" t="s">
        <v>1168</v>
      </c>
      <c r="E671" s="148" t="s">
        <v>33</v>
      </c>
      <c r="F671" s="137">
        <v>4</v>
      </c>
      <c r="G671" s="137"/>
      <c r="H671" s="137"/>
      <c r="I671" s="522"/>
      <c r="J671" s="253">
        <f>ROUND(PRODUCT(F671:I671),2)</f>
        <v>4</v>
      </c>
    </row>
    <row r="672" spans="1:10" s="139" customFormat="1" x14ac:dyDescent="0.2">
      <c r="A672" s="6"/>
      <c r="B672" s="6"/>
      <c r="C672" s="7"/>
      <c r="D672" s="116"/>
      <c r="E672" s="6"/>
      <c r="F672" s="258"/>
      <c r="G672" s="258"/>
      <c r="H672" s="258"/>
      <c r="I672" s="519" t="str">
        <f>"Total item "&amp;A668</f>
        <v>Total item 10.12</v>
      </c>
      <c r="J672" s="518">
        <f>SUM(J670:J671)</f>
        <v>8</v>
      </c>
    </row>
    <row r="673" spans="1:10" x14ac:dyDescent="0.2">
      <c r="A673" s="6"/>
      <c r="B673" s="6"/>
      <c r="C673" s="155"/>
      <c r="D673" s="108"/>
      <c r="E673" s="148"/>
      <c r="F673" s="253"/>
      <c r="G673" s="253"/>
      <c r="H673" s="253"/>
      <c r="I673" s="246"/>
      <c r="J673" s="258"/>
    </row>
    <row r="674" spans="1:10" s="139" customFormat="1" ht="20.399999999999999" x14ac:dyDescent="0.2">
      <c r="A674" s="560">
        <f>'ORÇAMENTO SEM DESON'!A92</f>
        <v>10.130000000000001</v>
      </c>
      <c r="B674" s="9" t="s">
        <v>163</v>
      </c>
      <c r="C674" s="13" t="s">
        <v>412</v>
      </c>
      <c r="D674" s="520" t="str">
        <f>'ORÇAMENTO SEM DESON'!D92</f>
        <v>BANCO ARTICULADO, EM ACO INOX, PARA PCD, FIXADO NA PAREDE - FORNECIMENTO E INSTALAÇÃO. AF_01/2020</v>
      </c>
      <c r="E674" s="515" t="str">
        <f>'ORÇAMENTO SEM DESON'!E92</f>
        <v>un</v>
      </c>
      <c r="F674" s="518"/>
      <c r="G674" s="518"/>
      <c r="H674" s="518"/>
      <c r="I674" s="519"/>
      <c r="J674" s="518"/>
    </row>
    <row r="675" spans="1:10" x14ac:dyDescent="0.2">
      <c r="A675" s="6"/>
      <c r="B675" s="6"/>
      <c r="C675" s="155"/>
      <c r="D675" s="2"/>
      <c r="E675" s="148"/>
      <c r="F675" s="137" t="s">
        <v>1143</v>
      </c>
      <c r="G675" s="137"/>
      <c r="H675" s="137"/>
      <c r="I675" s="522"/>
      <c r="J675" s="253"/>
    </row>
    <row r="676" spans="1:10" x14ac:dyDescent="0.2">
      <c r="A676" s="6"/>
      <c r="B676" s="6"/>
      <c r="C676" s="155"/>
      <c r="D676" s="2" t="s">
        <v>1167</v>
      </c>
      <c r="E676" s="148" t="s">
        <v>33</v>
      </c>
      <c r="F676" s="137">
        <v>1</v>
      </c>
      <c r="G676" s="137"/>
      <c r="H676" s="137"/>
      <c r="I676" s="522"/>
      <c r="J676" s="253">
        <f>ROUND(PRODUCT(F676:I676),2)</f>
        <v>1</v>
      </c>
    </row>
    <row r="677" spans="1:10" x14ac:dyDescent="0.2">
      <c r="A677" s="6"/>
      <c r="B677" s="6"/>
      <c r="C677" s="155"/>
      <c r="D677" s="2" t="s">
        <v>1168</v>
      </c>
      <c r="E677" s="148" t="s">
        <v>33</v>
      </c>
      <c r="F677" s="137">
        <v>1</v>
      </c>
      <c r="G677" s="137"/>
      <c r="H677" s="137"/>
      <c r="I677" s="522"/>
      <c r="J677" s="253">
        <f>ROUND(PRODUCT(F677:I677),2)</f>
        <v>1</v>
      </c>
    </row>
    <row r="678" spans="1:10" s="139" customFormat="1" x14ac:dyDescent="0.2">
      <c r="A678" s="6"/>
      <c r="B678" s="6"/>
      <c r="C678" s="7"/>
      <c r="D678" s="116"/>
      <c r="E678" s="6"/>
      <c r="F678" s="258"/>
      <c r="G678" s="258"/>
      <c r="H678" s="258"/>
      <c r="I678" s="519" t="str">
        <f>"Total item "&amp;A674</f>
        <v>Total item 10.13</v>
      </c>
      <c r="J678" s="518">
        <f>SUM(J676:J677)</f>
        <v>2</v>
      </c>
    </row>
    <row r="679" spans="1:10" x14ac:dyDescent="0.2">
      <c r="A679" s="6"/>
      <c r="B679" s="6"/>
      <c r="C679" s="155"/>
      <c r="D679" s="108"/>
      <c r="E679" s="148"/>
      <c r="F679" s="253"/>
      <c r="G679" s="253"/>
      <c r="H679" s="253"/>
      <c r="I679" s="246"/>
      <c r="J679" s="258"/>
    </row>
    <row r="680" spans="1:10" s="139" customFormat="1" ht="20.399999999999999" x14ac:dyDescent="0.2">
      <c r="A680" s="560">
        <f>'ORÇAMENTO SEM DESON'!A93</f>
        <v>10.14</v>
      </c>
      <c r="B680" s="9" t="s">
        <v>163</v>
      </c>
      <c r="C680" s="13" t="s">
        <v>412</v>
      </c>
      <c r="D680" s="520" t="str">
        <f>'ORÇAMENTO SEM DESON'!D93</f>
        <v>BARRA DE APOIO LATERAL, EM ACO INOX POLIDO, FIXADA NA PAREDE - FORNECIMENTO E INSTALAÇÃO.</v>
      </c>
      <c r="E680" s="515" t="str">
        <f>'ORÇAMENTO SEM DESON'!E93</f>
        <v>un</v>
      </c>
      <c r="F680" s="518"/>
      <c r="G680" s="518"/>
      <c r="H680" s="518"/>
      <c r="I680" s="519"/>
      <c r="J680" s="518"/>
    </row>
    <row r="681" spans="1:10" x14ac:dyDescent="0.2">
      <c r="A681" s="6"/>
      <c r="B681" s="6"/>
      <c r="C681" s="155"/>
      <c r="D681" s="2"/>
      <c r="E681" s="148"/>
      <c r="F681" s="137" t="s">
        <v>1143</v>
      </c>
      <c r="G681" s="137"/>
      <c r="H681" s="137"/>
      <c r="I681" s="522"/>
      <c r="J681" s="253"/>
    </row>
    <row r="682" spans="1:10" x14ac:dyDescent="0.2">
      <c r="A682" s="6"/>
      <c r="B682" s="6"/>
      <c r="C682" s="155"/>
      <c r="D682" s="2" t="s">
        <v>1167</v>
      </c>
      <c r="E682" s="148" t="s">
        <v>33</v>
      </c>
      <c r="F682" s="137">
        <v>1</v>
      </c>
      <c r="G682" s="137"/>
      <c r="H682" s="137"/>
      <c r="I682" s="522"/>
      <c r="J682" s="253">
        <f>ROUND(PRODUCT(F682:I682),2)</f>
        <v>1</v>
      </c>
    </row>
    <row r="683" spans="1:10" x14ac:dyDescent="0.2">
      <c r="A683" s="6"/>
      <c r="B683" s="6"/>
      <c r="C683" s="155"/>
      <c r="D683" s="2" t="s">
        <v>1168</v>
      </c>
      <c r="E683" s="148" t="s">
        <v>33</v>
      </c>
      <c r="F683" s="137">
        <v>1</v>
      </c>
      <c r="G683" s="137"/>
      <c r="H683" s="137"/>
      <c r="I683" s="522"/>
      <c r="J683" s="253">
        <f>ROUND(PRODUCT(F683:I683),2)</f>
        <v>1</v>
      </c>
    </row>
    <row r="684" spans="1:10" s="139" customFormat="1" x14ac:dyDescent="0.2">
      <c r="A684" s="6"/>
      <c r="B684" s="6"/>
      <c r="C684" s="7"/>
      <c r="D684" s="116"/>
      <c r="E684" s="6"/>
      <c r="F684" s="258"/>
      <c r="G684" s="258"/>
      <c r="H684" s="258"/>
      <c r="I684" s="519" t="str">
        <f>"Total item "&amp;A680</f>
        <v>Total item 10.14</v>
      </c>
      <c r="J684" s="518">
        <f>SUM(J682:J683)</f>
        <v>2</v>
      </c>
    </row>
    <row r="685" spans="1:10" x14ac:dyDescent="0.2">
      <c r="A685" s="6"/>
      <c r="B685" s="6"/>
      <c r="C685" s="155"/>
      <c r="D685" s="108"/>
      <c r="E685" s="148"/>
      <c r="F685" s="253"/>
      <c r="G685" s="253"/>
      <c r="H685" s="253"/>
      <c r="I685" s="246"/>
      <c r="J685" s="258"/>
    </row>
    <row r="686" spans="1:10" s="139" customFormat="1" ht="20.399999999999999" x14ac:dyDescent="0.2">
      <c r="A686" s="560">
        <f>'ORÇAMENTO SEM DESON'!A94</f>
        <v>10.15</v>
      </c>
      <c r="B686" s="9" t="s">
        <v>163</v>
      </c>
      <c r="C686" s="13" t="s">
        <v>412</v>
      </c>
      <c r="D686" s="520" t="str">
        <f>'ORÇAMENTO SEM DESON'!D94</f>
        <v>MANOPLA E CANOPLA CROMADA FORNECIMENTO E INSTALAÇÃO. AF_01/2020</v>
      </c>
      <c r="E686" s="515" t="str">
        <f>'ORÇAMENTO SEM DESON'!E94</f>
        <v>un</v>
      </c>
      <c r="F686" s="518"/>
      <c r="G686" s="518"/>
      <c r="H686" s="518"/>
      <c r="I686" s="519"/>
      <c r="J686" s="518"/>
    </row>
    <row r="687" spans="1:10" x14ac:dyDescent="0.2">
      <c r="A687" s="6"/>
      <c r="B687" s="6"/>
      <c r="C687" s="155"/>
      <c r="D687" s="2"/>
      <c r="E687" s="148"/>
      <c r="F687" s="137" t="s">
        <v>1143</v>
      </c>
      <c r="G687" s="137"/>
      <c r="H687" s="137"/>
      <c r="I687" s="522"/>
      <c r="J687" s="253"/>
    </row>
    <row r="688" spans="1:10" x14ac:dyDescent="0.2">
      <c r="A688" s="6"/>
      <c r="B688" s="6"/>
      <c r="C688" s="155"/>
      <c r="D688" s="2" t="s">
        <v>1387</v>
      </c>
      <c r="E688" s="148" t="s">
        <v>33</v>
      </c>
      <c r="F688" s="137">
        <v>1</v>
      </c>
      <c r="G688" s="137"/>
      <c r="H688" s="137"/>
      <c r="I688" s="522"/>
      <c r="J688" s="253">
        <f t="shared" ref="J688:J690" si="63">ROUND(PRODUCT(F688:I688),2)</f>
        <v>1</v>
      </c>
    </row>
    <row r="689" spans="1:10" x14ac:dyDescent="0.2">
      <c r="A689" s="6"/>
      <c r="B689" s="6"/>
      <c r="C689" s="155"/>
      <c r="D689" s="2" t="s">
        <v>1177</v>
      </c>
      <c r="E689" s="148" t="s">
        <v>33</v>
      </c>
      <c r="F689" s="137">
        <v>1</v>
      </c>
      <c r="G689" s="137"/>
      <c r="H689" s="137"/>
      <c r="I689" s="522"/>
      <c r="J689" s="253">
        <f t="shared" si="63"/>
        <v>1</v>
      </c>
    </row>
    <row r="690" spans="1:10" x14ac:dyDescent="0.2">
      <c r="A690" s="6"/>
      <c r="B690" s="6"/>
      <c r="C690" s="155"/>
      <c r="D690" s="2" t="s">
        <v>165</v>
      </c>
      <c r="E690" s="148" t="s">
        <v>33</v>
      </c>
      <c r="F690" s="137">
        <v>1</v>
      </c>
      <c r="G690" s="137"/>
      <c r="H690" s="137"/>
      <c r="I690" s="522"/>
      <c r="J690" s="253">
        <f t="shared" si="63"/>
        <v>1</v>
      </c>
    </row>
    <row r="691" spans="1:10" x14ac:dyDescent="0.2">
      <c r="A691" s="6"/>
      <c r="B691" s="6"/>
      <c r="C691" s="155"/>
      <c r="D691" s="2" t="s">
        <v>1167</v>
      </c>
      <c r="E691" s="148" t="s">
        <v>33</v>
      </c>
      <c r="F691" s="137">
        <v>2</v>
      </c>
      <c r="G691" s="137"/>
      <c r="H691" s="137"/>
      <c r="I691" s="522"/>
      <c r="J691" s="253">
        <f>ROUND(PRODUCT(F691:I691),2)</f>
        <v>2</v>
      </c>
    </row>
    <row r="692" spans="1:10" x14ac:dyDescent="0.2">
      <c r="A692" s="6"/>
      <c r="B692" s="6"/>
      <c r="C692" s="155"/>
      <c r="D692" s="2" t="s">
        <v>1168</v>
      </c>
      <c r="E692" s="148" t="s">
        <v>33</v>
      </c>
      <c r="F692" s="137">
        <v>2</v>
      </c>
      <c r="G692" s="137"/>
      <c r="H692" s="137"/>
      <c r="I692" s="522"/>
      <c r="J692" s="253">
        <f>ROUND(PRODUCT(F692:I692),2)</f>
        <v>2</v>
      </c>
    </row>
    <row r="693" spans="1:10" s="139" customFormat="1" x14ac:dyDescent="0.2">
      <c r="A693" s="6"/>
      <c r="B693" s="6"/>
      <c r="C693" s="7"/>
      <c r="D693" s="116"/>
      <c r="E693" s="6"/>
      <c r="F693" s="258"/>
      <c r="G693" s="258"/>
      <c r="H693" s="258"/>
      <c r="I693" s="519" t="str">
        <f>"Total item "&amp;A686</f>
        <v>Total item 10.15</v>
      </c>
      <c r="J693" s="518">
        <f>SUM(J688:J692)</f>
        <v>7</v>
      </c>
    </row>
    <row r="694" spans="1:10" x14ac:dyDescent="0.2">
      <c r="A694" s="6"/>
      <c r="B694" s="6"/>
      <c r="C694" s="155"/>
      <c r="D694" s="108"/>
      <c r="E694" s="148"/>
      <c r="F694" s="253"/>
      <c r="G694" s="253"/>
      <c r="H694" s="253"/>
      <c r="I694" s="246"/>
      <c r="J694" s="258"/>
    </row>
    <row r="695" spans="1:10" s="139" customFormat="1" ht="20.399999999999999" x14ac:dyDescent="0.2">
      <c r="A695" s="560">
        <f>'ORÇAMENTO SEM DESON'!A95</f>
        <v>10.16</v>
      </c>
      <c r="B695" s="9" t="s">
        <v>163</v>
      </c>
      <c r="C695" s="13" t="s">
        <v>412</v>
      </c>
      <c r="D695" s="520" t="str">
        <f>'ORÇAMENTO SEM DESON'!D95</f>
        <v>FORNECIMENTO DE CHUVEIRO COM HASTE DE PLASTICO,
DIAM. 1/2 POL. TIGRE OU SIMILAR, INCLUSIVE FIXACAO.</v>
      </c>
      <c r="E695" s="515" t="str">
        <f>'ORÇAMENTO SEM DESON'!E95</f>
        <v>un</v>
      </c>
      <c r="F695" s="518"/>
      <c r="G695" s="518"/>
      <c r="H695" s="518"/>
      <c r="I695" s="519"/>
      <c r="J695" s="518"/>
    </row>
    <row r="696" spans="1:10" x14ac:dyDescent="0.2">
      <c r="A696" s="6"/>
      <c r="B696" s="6"/>
      <c r="C696" s="155"/>
      <c r="D696" s="2"/>
      <c r="E696" s="148"/>
      <c r="F696" s="137" t="s">
        <v>1143</v>
      </c>
      <c r="G696" s="137"/>
      <c r="H696" s="137"/>
      <c r="I696" s="522"/>
      <c r="J696" s="253"/>
    </row>
    <row r="697" spans="1:10" x14ac:dyDescent="0.2">
      <c r="A697" s="6"/>
      <c r="B697" s="6"/>
      <c r="C697" s="155"/>
      <c r="D697" s="2" t="s">
        <v>1167</v>
      </c>
      <c r="E697" s="148" t="s">
        <v>33</v>
      </c>
      <c r="F697" s="137">
        <v>1</v>
      </c>
      <c r="G697" s="137"/>
      <c r="H697" s="137"/>
      <c r="I697" s="522"/>
      <c r="J697" s="253">
        <f>ROUND(PRODUCT(F697:I697),2)</f>
        <v>1</v>
      </c>
    </row>
    <row r="698" spans="1:10" x14ac:dyDescent="0.2">
      <c r="A698" s="6"/>
      <c r="B698" s="6"/>
      <c r="C698" s="155"/>
      <c r="D698" s="2" t="s">
        <v>1168</v>
      </c>
      <c r="E698" s="148" t="s">
        <v>33</v>
      </c>
      <c r="F698" s="137">
        <v>1</v>
      </c>
      <c r="G698" s="137"/>
      <c r="H698" s="137"/>
      <c r="I698" s="522"/>
      <c r="J698" s="253">
        <f>ROUND(PRODUCT(F698:I698),2)</f>
        <v>1</v>
      </c>
    </row>
    <row r="699" spans="1:10" s="139" customFormat="1" x14ac:dyDescent="0.2">
      <c r="A699" s="6"/>
      <c r="B699" s="6"/>
      <c r="C699" s="7"/>
      <c r="D699" s="116"/>
      <c r="E699" s="6"/>
      <c r="F699" s="258"/>
      <c r="G699" s="258"/>
      <c r="H699" s="258"/>
      <c r="I699" s="519" t="str">
        <f>"Total item "&amp;A695</f>
        <v>Total item 10.16</v>
      </c>
      <c r="J699" s="518">
        <f>SUM(J697:J698)</f>
        <v>2</v>
      </c>
    </row>
    <row r="700" spans="1:10" x14ac:dyDescent="0.2">
      <c r="A700" s="6"/>
      <c r="B700" s="6"/>
      <c r="C700" s="155"/>
      <c r="D700" s="108"/>
      <c r="E700" s="148"/>
      <c r="F700" s="253"/>
      <c r="G700" s="253"/>
      <c r="H700" s="253"/>
      <c r="I700" s="246"/>
      <c r="J700" s="258"/>
    </row>
    <row r="701" spans="1:10" s="139" customFormat="1" x14ac:dyDescent="0.2">
      <c r="A701" s="560">
        <f>'ORÇAMENTO SEM DESON'!A96</f>
        <v>10.17</v>
      </c>
      <c r="B701" s="9" t="s">
        <v>163</v>
      </c>
      <c r="C701" s="13" t="s">
        <v>412</v>
      </c>
      <c r="D701" s="520" t="str">
        <f>'ORÇAMENTO SEM DESON'!D96</f>
        <v>TORNEIRA TIPO JARDIM CROMADA</v>
      </c>
      <c r="E701" s="515" t="str">
        <f>'ORÇAMENTO SEM DESON'!E96</f>
        <v>un</v>
      </c>
      <c r="F701" s="518"/>
      <c r="G701" s="518"/>
      <c r="H701" s="518"/>
      <c r="I701" s="519"/>
      <c r="J701" s="518"/>
    </row>
    <row r="702" spans="1:10" x14ac:dyDescent="0.2">
      <c r="A702" s="6"/>
      <c r="B702" s="6"/>
      <c r="C702" s="155"/>
      <c r="D702" s="2"/>
      <c r="E702" s="148"/>
      <c r="F702" s="137" t="s">
        <v>1143</v>
      </c>
      <c r="G702" s="137"/>
      <c r="H702" s="137"/>
      <c r="I702" s="522"/>
      <c r="J702" s="253"/>
    </row>
    <row r="703" spans="1:10" x14ac:dyDescent="0.2">
      <c r="A703" s="6"/>
      <c r="B703" s="6"/>
      <c r="C703" s="155"/>
      <c r="D703" s="2" t="s">
        <v>1435</v>
      </c>
      <c r="E703" s="148" t="s">
        <v>33</v>
      </c>
      <c r="F703" s="137">
        <v>2</v>
      </c>
      <c r="G703" s="137"/>
      <c r="H703" s="137"/>
      <c r="I703" s="522"/>
      <c r="J703" s="253">
        <f>ROUND(PRODUCT(F703:I703),2)</f>
        <v>2</v>
      </c>
    </row>
    <row r="704" spans="1:10" x14ac:dyDescent="0.2">
      <c r="A704" s="6"/>
      <c r="B704" s="6"/>
      <c r="C704" s="155"/>
      <c r="D704" s="2"/>
      <c r="E704" s="148"/>
      <c r="F704" s="137"/>
      <c r="G704" s="137"/>
      <c r="H704" s="137"/>
      <c r="I704" s="522"/>
      <c r="J704" s="253"/>
    </row>
    <row r="705" spans="1:10" s="139" customFormat="1" x14ac:dyDescent="0.2">
      <c r="A705" s="6"/>
      <c r="B705" s="6"/>
      <c r="C705" s="7"/>
      <c r="D705" s="116"/>
      <c r="E705" s="6"/>
      <c r="F705" s="258"/>
      <c r="G705" s="258"/>
      <c r="H705" s="258"/>
      <c r="I705" s="519" t="str">
        <f>"Total item "&amp;A701</f>
        <v>Total item 10.17</v>
      </c>
      <c r="J705" s="518">
        <f>SUM(J703:J704)</f>
        <v>2</v>
      </c>
    </row>
    <row r="706" spans="1:10" x14ac:dyDescent="0.2">
      <c r="A706" s="6"/>
      <c r="B706" s="6"/>
      <c r="C706" s="155"/>
      <c r="D706" s="108"/>
      <c r="E706" s="148"/>
      <c r="F706" s="253"/>
      <c r="G706" s="253"/>
      <c r="H706" s="253"/>
      <c r="I706" s="246"/>
      <c r="J706" s="258"/>
    </row>
    <row r="707" spans="1:10" s="145" customFormat="1" x14ac:dyDescent="0.2">
      <c r="A707" s="505">
        <f>'ORÇAMENTO SEM DESON'!A97</f>
        <v>11</v>
      </c>
      <c r="B707" s="549"/>
      <c r="C707" s="499"/>
      <c r="D707" s="504" t="str">
        <f>'ORÇAMENTO SEM DESON'!D97</f>
        <v>PISO</v>
      </c>
      <c r="E707" s="549"/>
      <c r="F707" s="513"/>
      <c r="G707" s="513"/>
      <c r="H707" s="513"/>
      <c r="I707" s="514"/>
      <c r="J707" s="513"/>
    </row>
    <row r="708" spans="1:10" x14ac:dyDescent="0.2">
      <c r="A708" s="6"/>
      <c r="B708" s="6"/>
      <c r="C708" s="155"/>
      <c r="D708" s="108"/>
      <c r="E708" s="148"/>
      <c r="F708" s="253"/>
      <c r="G708" s="253"/>
      <c r="H708" s="253"/>
      <c r="I708" s="246"/>
      <c r="J708" s="258"/>
    </row>
    <row r="709" spans="1:10" s="139" customFormat="1" ht="20.399999999999999" x14ac:dyDescent="0.2">
      <c r="A709" s="515">
        <f>'ORÇAMENTO SEM DESON'!A98</f>
        <v>11.1</v>
      </c>
      <c r="B709" s="9" t="s">
        <v>163</v>
      </c>
      <c r="C709" s="13" t="s">
        <v>412</v>
      </c>
      <c r="D709" s="520" t="str">
        <f>'ORÇAMENTO SEM DESON'!D98</f>
        <v>PORCELANATO RETIFICADO NATURAL (FOSCO) C/ ARG. PRÉ-FABRICADA - P/ PISO</v>
      </c>
      <c r="E709" s="515" t="str">
        <f>'ORÇAMENTO SEM DESON'!E98</f>
        <v>m²</v>
      </c>
      <c r="F709" s="518"/>
      <c r="G709" s="518"/>
      <c r="H709" s="518"/>
      <c r="I709" s="519"/>
      <c r="J709" s="518"/>
    </row>
    <row r="710" spans="1:10" x14ac:dyDescent="0.2">
      <c r="A710" s="6"/>
      <c r="B710" s="6"/>
      <c r="C710" s="155"/>
      <c r="D710" s="2"/>
      <c r="E710" s="148"/>
      <c r="F710" s="137" t="s">
        <v>34</v>
      </c>
      <c r="G710" s="137" t="s">
        <v>1368</v>
      </c>
      <c r="H710" s="253"/>
      <c r="I710" s="249"/>
      <c r="J710" s="253"/>
    </row>
    <row r="711" spans="1:10" x14ac:dyDescent="0.2">
      <c r="A711" s="6"/>
      <c r="B711" s="6"/>
      <c r="C711" s="155"/>
      <c r="D711" s="2" t="s">
        <v>1019</v>
      </c>
      <c r="E711" s="148" t="s">
        <v>9</v>
      </c>
      <c r="F711" s="137">
        <v>121.07</v>
      </c>
      <c r="G711" s="137">
        <v>1.1000000000000001</v>
      </c>
      <c r="H711" s="253"/>
      <c r="I711" s="249"/>
      <c r="J711" s="253">
        <f t="shared" ref="J711:J724" si="64">ROUND(PRODUCT(F711:I711),2)</f>
        <v>133.18</v>
      </c>
    </row>
    <row r="712" spans="1:10" x14ac:dyDescent="0.2">
      <c r="A712" s="6"/>
      <c r="B712" s="6"/>
      <c r="C712" s="155"/>
      <c r="D712" s="2" t="s">
        <v>402</v>
      </c>
      <c r="E712" s="148" t="s">
        <v>9</v>
      </c>
      <c r="F712" s="137">
        <v>28.56</v>
      </c>
      <c r="G712" s="137"/>
      <c r="H712" s="253"/>
      <c r="I712" s="249"/>
      <c r="J712" s="253">
        <f t="shared" si="64"/>
        <v>28.56</v>
      </c>
    </row>
    <row r="713" spans="1:10" x14ac:dyDescent="0.2">
      <c r="A713" s="6"/>
      <c r="B713" s="6"/>
      <c r="C713" s="155"/>
      <c r="D713" s="2" t="s">
        <v>1173</v>
      </c>
      <c r="E713" s="148" t="s">
        <v>9</v>
      </c>
      <c r="F713" s="137">
        <v>3.18</v>
      </c>
      <c r="G713" s="137">
        <v>1.1000000000000001</v>
      </c>
      <c r="H713" s="253"/>
      <c r="I713" s="249"/>
      <c r="J713" s="253">
        <f t="shared" si="64"/>
        <v>3.5</v>
      </c>
    </row>
    <row r="714" spans="1:10" x14ac:dyDescent="0.2">
      <c r="A714" s="6"/>
      <c r="B714" s="6"/>
      <c r="C714" s="155"/>
      <c r="D714" s="2" t="s">
        <v>485</v>
      </c>
      <c r="E714" s="148" t="s">
        <v>9</v>
      </c>
      <c r="F714" s="137">
        <v>4.7300000000000004</v>
      </c>
      <c r="G714" s="137">
        <v>1.1000000000000001</v>
      </c>
      <c r="H714" s="253"/>
      <c r="I714" s="249"/>
      <c r="J714" s="253">
        <f t="shared" si="64"/>
        <v>5.2</v>
      </c>
    </row>
    <row r="715" spans="1:10" x14ac:dyDescent="0.2">
      <c r="A715" s="6"/>
      <c r="B715" s="6"/>
      <c r="C715" s="155"/>
      <c r="D715" s="2" t="s">
        <v>1110</v>
      </c>
      <c r="E715" s="148" t="s">
        <v>9</v>
      </c>
      <c r="F715" s="137">
        <v>2.7</v>
      </c>
      <c r="G715" s="137">
        <v>1.1000000000000001</v>
      </c>
      <c r="H715" s="253"/>
      <c r="I715" s="249"/>
      <c r="J715" s="253">
        <f t="shared" si="64"/>
        <v>2.97</v>
      </c>
    </row>
    <row r="716" spans="1:10" x14ac:dyDescent="0.2">
      <c r="A716" s="6"/>
      <c r="B716" s="6"/>
      <c r="C716" s="155"/>
      <c r="D716" s="2" t="s">
        <v>165</v>
      </c>
      <c r="E716" s="148" t="s">
        <v>9</v>
      </c>
      <c r="F716" s="137">
        <v>14.71</v>
      </c>
      <c r="G716" s="137"/>
      <c r="H716" s="253"/>
      <c r="I716" s="249"/>
      <c r="J716" s="253">
        <f t="shared" si="64"/>
        <v>14.71</v>
      </c>
    </row>
    <row r="717" spans="1:10" x14ac:dyDescent="0.2">
      <c r="A717" s="6"/>
      <c r="B717" s="6"/>
      <c r="C717" s="155"/>
      <c r="D717" s="2" t="s">
        <v>166</v>
      </c>
      <c r="E717" s="148" t="s">
        <v>9</v>
      </c>
      <c r="F717" s="137">
        <v>5.54</v>
      </c>
      <c r="G717" s="137">
        <v>1.1000000000000001</v>
      </c>
      <c r="H717" s="253"/>
      <c r="I717" s="249"/>
      <c r="J717" s="253">
        <f t="shared" si="64"/>
        <v>6.09</v>
      </c>
    </row>
    <row r="718" spans="1:10" x14ac:dyDescent="0.2">
      <c r="A718" s="6"/>
      <c r="B718" s="6"/>
      <c r="C718" s="155"/>
      <c r="D718" s="2" t="s">
        <v>374</v>
      </c>
      <c r="E718" s="148" t="s">
        <v>9</v>
      </c>
      <c r="F718" s="137">
        <v>7.07</v>
      </c>
      <c r="G718" s="137">
        <v>1.1000000000000001</v>
      </c>
      <c r="H718" s="253"/>
      <c r="I718" s="249"/>
      <c r="J718" s="253">
        <f t="shared" si="64"/>
        <v>7.78</v>
      </c>
    </row>
    <row r="719" spans="1:10" x14ac:dyDescent="0.2">
      <c r="A719" s="6"/>
      <c r="B719" s="6"/>
      <c r="C719" s="155"/>
      <c r="D719" s="2" t="s">
        <v>1167</v>
      </c>
      <c r="E719" s="148" t="s">
        <v>9</v>
      </c>
      <c r="F719" s="137">
        <v>14.48</v>
      </c>
      <c r="G719" s="137"/>
      <c r="H719" s="253"/>
      <c r="I719" s="249"/>
      <c r="J719" s="253">
        <f t="shared" si="64"/>
        <v>14.48</v>
      </c>
    </row>
    <row r="720" spans="1:10" x14ac:dyDescent="0.2">
      <c r="A720" s="6"/>
      <c r="B720" s="6"/>
      <c r="C720" s="155"/>
      <c r="D720" s="2" t="s">
        <v>1168</v>
      </c>
      <c r="E720" s="148" t="s">
        <v>9</v>
      </c>
      <c r="F720" s="137">
        <v>14.48</v>
      </c>
      <c r="G720" s="137"/>
      <c r="H720" s="253"/>
      <c r="I720" s="249"/>
      <c r="J720" s="253">
        <f t="shared" si="64"/>
        <v>14.48</v>
      </c>
    </row>
    <row r="721" spans="1:10" x14ac:dyDescent="0.2">
      <c r="A721" s="6"/>
      <c r="B721" s="6"/>
      <c r="C721" s="155"/>
      <c r="D721" s="2" t="s">
        <v>1174</v>
      </c>
      <c r="E721" s="148" t="s">
        <v>9</v>
      </c>
      <c r="F721" s="137">
        <v>14.79</v>
      </c>
      <c r="G721" s="137">
        <v>1.1000000000000001</v>
      </c>
      <c r="H721" s="253"/>
      <c r="I721" s="249"/>
      <c r="J721" s="253">
        <f t="shared" si="64"/>
        <v>16.27</v>
      </c>
    </row>
    <row r="722" spans="1:10" x14ac:dyDescent="0.2">
      <c r="A722" s="6"/>
      <c r="B722" s="6"/>
      <c r="C722" s="155"/>
      <c r="D722" s="2" t="s">
        <v>1366</v>
      </c>
      <c r="E722" s="148" t="s">
        <v>9</v>
      </c>
      <c r="F722" s="137">
        <v>100.37</v>
      </c>
      <c r="G722" s="137">
        <v>1.1000000000000001</v>
      </c>
      <c r="H722" s="253"/>
      <c r="I722" s="249"/>
      <c r="J722" s="253">
        <f t="shared" si="64"/>
        <v>110.41</v>
      </c>
    </row>
    <row r="723" spans="1:10" x14ac:dyDescent="0.2">
      <c r="A723" s="6"/>
      <c r="B723" s="6"/>
      <c r="C723" s="155"/>
      <c r="D723" s="2" t="s">
        <v>1175</v>
      </c>
      <c r="E723" s="148" t="s">
        <v>9</v>
      </c>
      <c r="F723" s="137">
        <v>13.13</v>
      </c>
      <c r="G723" s="137">
        <v>1.1000000000000001</v>
      </c>
      <c r="H723" s="253"/>
      <c r="I723" s="249"/>
      <c r="J723" s="253">
        <f t="shared" si="64"/>
        <v>14.44</v>
      </c>
    </row>
    <row r="724" spans="1:10" x14ac:dyDescent="0.2">
      <c r="A724" s="6"/>
      <c r="B724" s="6"/>
      <c r="C724" s="155"/>
      <c r="D724" s="2" t="s">
        <v>1367</v>
      </c>
      <c r="E724" s="148" t="s">
        <v>9</v>
      </c>
      <c r="F724" s="137">
        <v>1.75</v>
      </c>
      <c r="G724" s="137"/>
      <c r="H724" s="253"/>
      <c r="I724" s="249"/>
      <c r="J724" s="253">
        <f t="shared" si="64"/>
        <v>1.75</v>
      </c>
    </row>
    <row r="725" spans="1:10" s="139" customFormat="1" x14ac:dyDescent="0.2">
      <c r="A725" s="6"/>
      <c r="B725" s="6"/>
      <c r="C725" s="7"/>
      <c r="D725" s="116"/>
      <c r="E725" s="6"/>
      <c r="F725" s="258"/>
      <c r="G725" s="136"/>
      <c r="H725" s="258"/>
      <c r="I725" s="519" t="str">
        <f>"Total item "&amp;A709</f>
        <v>Total item 11.1</v>
      </c>
      <c r="J725" s="518">
        <f>SUM(J711:J724)</f>
        <v>373.82</v>
      </c>
    </row>
    <row r="726" spans="1:10" s="139" customFormat="1" ht="20.399999999999999" x14ac:dyDescent="0.2">
      <c r="A726" s="515">
        <f>'ORÇAMENTO SEM DESON'!A99</f>
        <v>11.2</v>
      </c>
      <c r="B726" s="9" t="s">
        <v>163</v>
      </c>
      <c r="C726" s="13" t="s">
        <v>412</v>
      </c>
      <c r="D726" s="520" t="str">
        <f>'ORÇAMENTO SEM DESON'!D99</f>
        <v>LASTRO DE PISO COM 5,0 CM DE ESPESSURA EM
CONCRETO 1 4 8.</v>
      </c>
      <c r="E726" s="515" t="str">
        <f>'ORÇAMENTO SEM DESON'!E99</f>
        <v>m²</v>
      </c>
      <c r="F726" s="518"/>
      <c r="G726" s="518"/>
      <c r="H726" s="518"/>
      <c r="I726" s="519"/>
      <c r="J726" s="518"/>
    </row>
    <row r="727" spans="1:10" x14ac:dyDescent="0.2">
      <c r="A727" s="6"/>
      <c r="B727" s="6"/>
      <c r="C727" s="155"/>
      <c r="D727" s="2"/>
      <c r="E727" s="148"/>
      <c r="F727" s="137" t="s">
        <v>34</v>
      </c>
      <c r="G727" s="137"/>
      <c r="H727" s="253"/>
      <c r="I727" s="249"/>
      <c r="J727" s="253"/>
    </row>
    <row r="728" spans="1:10" x14ac:dyDescent="0.2">
      <c r="A728" s="6"/>
      <c r="B728" s="6"/>
      <c r="C728" s="155"/>
      <c r="D728" s="2" t="s">
        <v>1019</v>
      </c>
      <c r="E728" s="148" t="s">
        <v>9</v>
      </c>
      <c r="F728" s="137">
        <v>121.07</v>
      </c>
      <c r="G728" s="137"/>
      <c r="H728" s="253"/>
      <c r="I728" s="249"/>
      <c r="J728" s="253">
        <f t="shared" ref="J728:J742" si="65">ROUND(PRODUCT(F728:I728),2)</f>
        <v>121.07</v>
      </c>
    </row>
    <row r="729" spans="1:10" x14ac:dyDescent="0.2">
      <c r="A729" s="6"/>
      <c r="B729" s="6"/>
      <c r="C729" s="155"/>
      <c r="D729" s="2" t="s">
        <v>402</v>
      </c>
      <c r="E729" s="148" t="s">
        <v>9</v>
      </c>
      <c r="F729" s="137">
        <v>28.56</v>
      </c>
      <c r="G729" s="137"/>
      <c r="H729" s="253"/>
      <c r="I729" s="249"/>
      <c r="J729" s="253">
        <f t="shared" si="65"/>
        <v>28.56</v>
      </c>
    </row>
    <row r="730" spans="1:10" x14ac:dyDescent="0.2">
      <c r="A730" s="6"/>
      <c r="B730" s="6"/>
      <c r="C730" s="155"/>
      <c r="D730" s="2" t="s">
        <v>1173</v>
      </c>
      <c r="E730" s="148" t="s">
        <v>9</v>
      </c>
      <c r="F730" s="137">
        <v>3.18</v>
      </c>
      <c r="G730" s="137"/>
      <c r="H730" s="253"/>
      <c r="I730" s="249"/>
      <c r="J730" s="253">
        <f t="shared" si="65"/>
        <v>3.18</v>
      </c>
    </row>
    <row r="731" spans="1:10" x14ac:dyDescent="0.2">
      <c r="A731" s="6"/>
      <c r="B731" s="6"/>
      <c r="C731" s="155"/>
      <c r="D731" s="2" t="s">
        <v>485</v>
      </c>
      <c r="E731" s="148" t="s">
        <v>9</v>
      </c>
      <c r="F731" s="137">
        <v>4.7300000000000004</v>
      </c>
      <c r="G731" s="137"/>
      <c r="H731" s="253"/>
      <c r="I731" s="249"/>
      <c r="J731" s="253">
        <f t="shared" si="65"/>
        <v>4.7300000000000004</v>
      </c>
    </row>
    <row r="732" spans="1:10" x14ac:dyDescent="0.2">
      <c r="A732" s="6"/>
      <c r="B732" s="6"/>
      <c r="C732" s="155"/>
      <c r="D732" s="2" t="s">
        <v>1110</v>
      </c>
      <c r="E732" s="148" t="s">
        <v>9</v>
      </c>
      <c r="F732" s="137">
        <v>2.7</v>
      </c>
      <c r="G732" s="137"/>
      <c r="H732" s="253"/>
      <c r="I732" s="249"/>
      <c r="J732" s="253">
        <f t="shared" si="65"/>
        <v>2.7</v>
      </c>
    </row>
    <row r="733" spans="1:10" x14ac:dyDescent="0.2">
      <c r="A733" s="6"/>
      <c r="B733" s="6"/>
      <c r="C733" s="155"/>
      <c r="D733" s="2" t="s">
        <v>165</v>
      </c>
      <c r="E733" s="148" t="s">
        <v>9</v>
      </c>
      <c r="F733" s="137">
        <v>14.71</v>
      </c>
      <c r="G733" s="137"/>
      <c r="H733" s="253"/>
      <c r="I733" s="249"/>
      <c r="J733" s="253">
        <f t="shared" si="65"/>
        <v>14.71</v>
      </c>
    </row>
    <row r="734" spans="1:10" x14ac:dyDescent="0.2">
      <c r="A734" s="6"/>
      <c r="B734" s="6"/>
      <c r="C734" s="155"/>
      <c r="D734" s="2" t="s">
        <v>166</v>
      </c>
      <c r="E734" s="148" t="s">
        <v>9</v>
      </c>
      <c r="F734" s="137">
        <v>5.54</v>
      </c>
      <c r="G734" s="137"/>
      <c r="H734" s="253"/>
      <c r="I734" s="249"/>
      <c r="J734" s="253">
        <f t="shared" si="65"/>
        <v>5.54</v>
      </c>
    </row>
    <row r="735" spans="1:10" x14ac:dyDescent="0.2">
      <c r="A735" s="6"/>
      <c r="B735" s="6"/>
      <c r="C735" s="155"/>
      <c r="D735" s="2" t="s">
        <v>374</v>
      </c>
      <c r="E735" s="148" t="s">
        <v>9</v>
      </c>
      <c r="F735" s="137">
        <v>7.07</v>
      </c>
      <c r="G735" s="137"/>
      <c r="H735" s="253"/>
      <c r="I735" s="249"/>
      <c r="J735" s="253">
        <f t="shared" si="65"/>
        <v>7.07</v>
      </c>
    </row>
    <row r="736" spans="1:10" x14ac:dyDescent="0.2">
      <c r="A736" s="6"/>
      <c r="B736" s="6"/>
      <c r="C736" s="155"/>
      <c r="D736" s="2" t="s">
        <v>1167</v>
      </c>
      <c r="E736" s="148" t="s">
        <v>9</v>
      </c>
      <c r="F736" s="137">
        <v>14.48</v>
      </c>
      <c r="G736" s="137"/>
      <c r="H736" s="253"/>
      <c r="I736" s="249"/>
      <c r="J736" s="253">
        <f t="shared" si="65"/>
        <v>14.48</v>
      </c>
    </row>
    <row r="737" spans="1:10" x14ac:dyDescent="0.2">
      <c r="A737" s="6"/>
      <c r="B737" s="6"/>
      <c r="C737" s="155"/>
      <c r="D737" s="2" t="s">
        <v>1168</v>
      </c>
      <c r="E737" s="148" t="s">
        <v>9</v>
      </c>
      <c r="F737" s="137">
        <v>14.48</v>
      </c>
      <c r="G737" s="137"/>
      <c r="H737" s="253"/>
      <c r="I737" s="249"/>
      <c r="J737" s="253">
        <f t="shared" si="65"/>
        <v>14.48</v>
      </c>
    </row>
    <row r="738" spans="1:10" x14ac:dyDescent="0.2">
      <c r="A738" s="6"/>
      <c r="B738" s="6"/>
      <c r="C738" s="155"/>
      <c r="D738" s="2" t="s">
        <v>1174</v>
      </c>
      <c r="E738" s="148" t="s">
        <v>9</v>
      </c>
      <c r="F738" s="137">
        <v>14.79</v>
      </c>
      <c r="G738" s="137"/>
      <c r="H738" s="253"/>
      <c r="I738" s="249"/>
      <c r="J738" s="253">
        <f t="shared" si="65"/>
        <v>14.79</v>
      </c>
    </row>
    <row r="739" spans="1:10" x14ac:dyDescent="0.2">
      <c r="A739" s="6"/>
      <c r="B739" s="6"/>
      <c r="C739" s="155"/>
      <c r="D739" s="2" t="s">
        <v>1366</v>
      </c>
      <c r="E739" s="148" t="s">
        <v>9</v>
      </c>
      <c r="F739" s="137">
        <v>100.37</v>
      </c>
      <c r="G739" s="137"/>
      <c r="H739" s="253"/>
      <c r="I739" s="249"/>
      <c r="J739" s="253">
        <f t="shared" si="65"/>
        <v>100.37</v>
      </c>
    </row>
    <row r="740" spans="1:10" x14ac:dyDescent="0.2">
      <c r="A740" s="6"/>
      <c r="B740" s="6"/>
      <c r="C740" s="155"/>
      <c r="D740" s="2" t="s">
        <v>1175</v>
      </c>
      <c r="E740" s="148" t="s">
        <v>9</v>
      </c>
      <c r="F740" s="137">
        <v>13.13</v>
      </c>
      <c r="G740" s="137"/>
      <c r="H740" s="253"/>
      <c r="I740" s="249"/>
      <c r="J740" s="253">
        <f t="shared" si="65"/>
        <v>13.13</v>
      </c>
    </row>
    <row r="741" spans="1:10" x14ac:dyDescent="0.2">
      <c r="A741" s="6"/>
      <c r="B741" s="6"/>
      <c r="C741" s="155"/>
      <c r="D741" s="2" t="s">
        <v>1367</v>
      </c>
      <c r="E741" s="148" t="s">
        <v>9</v>
      </c>
      <c r="F741" s="137">
        <v>1.75</v>
      </c>
      <c r="G741" s="137"/>
      <c r="H741" s="253"/>
      <c r="I741" s="249"/>
      <c r="J741" s="253">
        <f t="shared" si="65"/>
        <v>1.75</v>
      </c>
    </row>
    <row r="742" spans="1:10" x14ac:dyDescent="0.2">
      <c r="A742" s="6"/>
      <c r="B742" s="6"/>
      <c r="C742" s="155"/>
      <c r="D742" s="2" t="s">
        <v>1375</v>
      </c>
      <c r="E742" s="148" t="s">
        <v>9</v>
      </c>
      <c r="F742" s="137">
        <f>6.5*6.5</f>
        <v>42.25</v>
      </c>
      <c r="G742" s="137">
        <v>2</v>
      </c>
      <c r="H742" s="253"/>
      <c r="I742" s="249"/>
      <c r="J742" s="253">
        <f t="shared" si="65"/>
        <v>84.5</v>
      </c>
    </row>
    <row r="743" spans="1:10" s="139" customFormat="1" x14ac:dyDescent="0.2">
      <c r="A743" s="6"/>
      <c r="B743" s="6"/>
      <c r="C743" s="7"/>
      <c r="D743" s="116"/>
      <c r="E743" s="6"/>
      <c r="F743" s="258"/>
      <c r="G743" s="136"/>
      <c r="H743" s="258"/>
      <c r="I743" s="519" t="str">
        <f>"Total item "&amp;A726</f>
        <v>Total item 11.2</v>
      </c>
      <c r="J743" s="518">
        <f>SUM(J728:J742)</f>
        <v>431.05999999999995</v>
      </c>
    </row>
    <row r="744" spans="1:10" x14ac:dyDescent="0.2">
      <c r="A744" s="6"/>
      <c r="B744" s="6"/>
      <c r="C744" s="155"/>
      <c r="D744" s="108"/>
      <c r="E744" s="148"/>
      <c r="F744" s="253"/>
      <c r="G744" s="253"/>
      <c r="H744" s="253"/>
      <c r="I744" s="246"/>
      <c r="J744" s="258"/>
    </row>
    <row r="745" spans="1:10" s="139" customFormat="1" ht="40.799999999999997" x14ac:dyDescent="0.2">
      <c r="A745" s="515">
        <f>'ORÇAMENTO SEM DESON'!A100</f>
        <v>11.2</v>
      </c>
      <c r="B745" s="9" t="s">
        <v>163</v>
      </c>
      <c r="C745" s="13" t="s">
        <v>412</v>
      </c>
      <c r="D745" s="520" t="str">
        <f>'ORÇAMENTO SEM DESON'!D100</f>
        <v>PISO CERAMICO ANTIDERRAPANTE 45X45CM, TIPO A, PEI 5, ELIANE, PORTO RICO, SAMARSA, ELIZABETH OU SIM. ASSENTADO COM ARGAMASSA PRE FABRICADA E REJUNTE DA QUARTZOLIT OU SIM.(ESP. DA JUNTA 6MM)</v>
      </c>
      <c r="E745" s="515" t="str">
        <f>'ORÇAMENTO SEM DESON'!E100</f>
        <v>m²</v>
      </c>
      <c r="F745" s="518"/>
      <c r="G745" s="518"/>
      <c r="H745" s="518"/>
      <c r="I745" s="519"/>
      <c r="J745" s="518"/>
    </row>
    <row r="746" spans="1:10" x14ac:dyDescent="0.2">
      <c r="A746" s="6"/>
      <c r="B746" s="6"/>
      <c r="C746" s="155"/>
      <c r="D746" s="2"/>
      <c r="E746" s="148"/>
      <c r="F746" s="137" t="s">
        <v>34</v>
      </c>
      <c r="G746" s="137" t="s">
        <v>1138</v>
      </c>
      <c r="H746" s="253"/>
      <c r="I746" s="249"/>
      <c r="J746" s="253"/>
    </row>
    <row r="747" spans="1:10" x14ac:dyDescent="0.2">
      <c r="A747" s="6"/>
      <c r="B747" s="6"/>
      <c r="C747" s="155"/>
      <c r="D747" s="2" t="s">
        <v>1375</v>
      </c>
      <c r="E747" s="148" t="s">
        <v>9</v>
      </c>
      <c r="F747" s="137">
        <f>6.5*6.5</f>
        <v>42.25</v>
      </c>
      <c r="G747" s="137">
        <v>2</v>
      </c>
      <c r="H747" s="253"/>
      <c r="I747" s="249"/>
      <c r="J747" s="253">
        <f t="shared" ref="J747" si="66">ROUND(PRODUCT(F747:I747),2)</f>
        <v>84.5</v>
      </c>
    </row>
    <row r="748" spans="1:10" s="139" customFormat="1" x14ac:dyDescent="0.2">
      <c r="A748" s="6"/>
      <c r="B748" s="6"/>
      <c r="C748" s="7"/>
      <c r="D748" s="116"/>
      <c r="E748" s="6"/>
      <c r="F748" s="258"/>
      <c r="G748" s="136"/>
      <c r="H748" s="258"/>
      <c r="I748" s="519" t="str">
        <f>"Total item "&amp;A745</f>
        <v>Total item 11.2</v>
      </c>
      <c r="J748" s="518">
        <f>SUM(J747:J747)</f>
        <v>84.5</v>
      </c>
    </row>
    <row r="749" spans="1:10" x14ac:dyDescent="0.2">
      <c r="A749" s="6"/>
      <c r="B749" s="6"/>
      <c r="C749" s="155"/>
      <c r="D749" s="108"/>
      <c r="E749" s="148"/>
      <c r="F749" s="253"/>
      <c r="G749" s="253"/>
      <c r="H749" s="253"/>
      <c r="I749" s="246"/>
      <c r="J749" s="258"/>
    </row>
    <row r="750" spans="1:10" s="145" customFormat="1" x14ac:dyDescent="0.2">
      <c r="A750" s="505">
        <f>'ORÇAMENTO SEM DESON'!A101</f>
        <v>12</v>
      </c>
      <c r="B750" s="498"/>
      <c r="C750" s="499"/>
      <c r="D750" s="504" t="str">
        <f>'ORÇAMENTO SEM DESON'!D101</f>
        <v>INSTALAÇÕES ELÉTRICAS</v>
      </c>
      <c r="E750" s="498"/>
      <c r="F750" s="513"/>
      <c r="G750" s="513"/>
      <c r="H750" s="513"/>
      <c r="I750" s="514"/>
      <c r="J750" s="513"/>
    </row>
    <row r="751" spans="1:10" x14ac:dyDescent="0.2">
      <c r="A751" s="6"/>
      <c r="B751" s="6"/>
      <c r="C751" s="155"/>
      <c r="D751" s="108"/>
      <c r="E751" s="148"/>
      <c r="F751" s="253"/>
      <c r="G751" s="253"/>
      <c r="H751" s="253"/>
      <c r="I751" s="246"/>
      <c r="J751" s="258"/>
    </row>
    <row r="752" spans="1:10" s="139" customFormat="1" ht="30.6" x14ac:dyDescent="0.2">
      <c r="A752" s="515">
        <f>'ORÇAMENTO SEM DESON'!A102</f>
        <v>12.1</v>
      </c>
      <c r="B752" s="9" t="s">
        <v>163</v>
      </c>
      <c r="C752" s="13" t="s">
        <v>412</v>
      </c>
      <c r="D752" s="520" t="str">
        <f>'ORÇAMENTO SEM DESON'!D102</f>
        <v>PONTO DE TOMADA RESIDENCIAL INCLUINDO TOMADA (2 MÓDULOS) 10A/250V, CAIXA ELÉTRICA, ELETRODUTO, CABO, RASGO, QUEBRA E CHUMBAMENTO. AF_01/2016</v>
      </c>
      <c r="E752" s="515" t="str">
        <f>'ORÇAMENTO SEM DESON'!E102</f>
        <v>un</v>
      </c>
      <c r="F752" s="518"/>
      <c r="G752" s="518"/>
      <c r="H752" s="518"/>
      <c r="I752" s="519"/>
      <c r="J752" s="518"/>
    </row>
    <row r="753" spans="1:10" x14ac:dyDescent="0.2">
      <c r="A753" s="6"/>
      <c r="B753" s="6"/>
      <c r="C753" s="155"/>
      <c r="D753" s="2"/>
      <c r="E753" s="148"/>
      <c r="F753" s="137" t="s">
        <v>1143</v>
      </c>
      <c r="G753" s="253"/>
      <c r="H753" s="253"/>
      <c r="I753" s="249"/>
      <c r="J753" s="253"/>
    </row>
    <row r="754" spans="1:10" x14ac:dyDescent="0.2">
      <c r="A754" s="6"/>
      <c r="B754" s="6"/>
      <c r="C754" s="155"/>
      <c r="D754" s="2" t="s">
        <v>1386</v>
      </c>
      <c r="E754" s="148" t="s">
        <v>33</v>
      </c>
      <c r="F754" s="137">
        <v>3</v>
      </c>
      <c r="G754" s="253"/>
      <c r="H754" s="253"/>
      <c r="I754" s="249"/>
      <c r="J754" s="253">
        <f t="shared" ref="J754:J759" si="67">ROUND(PRODUCT(F754:I754),2)</f>
        <v>3</v>
      </c>
    </row>
    <row r="755" spans="1:10" x14ac:dyDescent="0.2">
      <c r="A755" s="6"/>
      <c r="B755" s="6"/>
      <c r="C755" s="155"/>
      <c r="D755" s="2" t="s">
        <v>1387</v>
      </c>
      <c r="E755" s="148" t="s">
        <v>33</v>
      </c>
      <c r="F755" s="137">
        <v>1</v>
      </c>
      <c r="G755" s="253"/>
      <c r="H755" s="253"/>
      <c r="I755" s="249"/>
      <c r="J755" s="253">
        <f t="shared" si="67"/>
        <v>1</v>
      </c>
    </row>
    <row r="756" spans="1:10" x14ac:dyDescent="0.2">
      <c r="A756" s="6"/>
      <c r="B756" s="6"/>
      <c r="C756" s="155"/>
      <c r="D756" s="2" t="s">
        <v>165</v>
      </c>
      <c r="E756" s="148" t="s">
        <v>33</v>
      </c>
      <c r="F756" s="137">
        <v>2</v>
      </c>
      <c r="G756" s="253"/>
      <c r="H756" s="253"/>
      <c r="I756" s="249"/>
      <c r="J756" s="253">
        <f t="shared" si="67"/>
        <v>2</v>
      </c>
    </row>
    <row r="757" spans="1:10" x14ac:dyDescent="0.2">
      <c r="A757" s="6"/>
      <c r="B757" s="6"/>
      <c r="C757" s="155"/>
      <c r="D757" s="2" t="s">
        <v>1388</v>
      </c>
      <c r="E757" s="148" t="s">
        <v>33</v>
      </c>
      <c r="F757" s="137">
        <v>5</v>
      </c>
      <c r="G757" s="253"/>
      <c r="H757" s="253"/>
      <c r="I757" s="249"/>
      <c r="J757" s="253">
        <f t="shared" si="67"/>
        <v>5</v>
      </c>
    </row>
    <row r="758" spans="1:10" x14ac:dyDescent="0.2">
      <c r="A758" s="6"/>
      <c r="B758" s="6"/>
      <c r="C758" s="155"/>
      <c r="D758" s="2" t="s">
        <v>1019</v>
      </c>
      <c r="E758" s="148" t="s">
        <v>33</v>
      </c>
      <c r="F758" s="137">
        <v>4</v>
      </c>
      <c r="G758" s="253"/>
      <c r="H758" s="253"/>
      <c r="I758" s="249"/>
      <c r="J758" s="253">
        <f t="shared" si="67"/>
        <v>4</v>
      </c>
    </row>
    <row r="759" spans="1:10" x14ac:dyDescent="0.2">
      <c r="A759" s="6"/>
      <c r="B759" s="6"/>
      <c r="C759" s="155"/>
      <c r="D759" s="2" t="s">
        <v>1175</v>
      </c>
      <c r="E759" s="148" t="s">
        <v>33</v>
      </c>
      <c r="F759" s="137">
        <v>2</v>
      </c>
      <c r="G759" s="253"/>
      <c r="H759" s="253"/>
      <c r="I759" s="249"/>
      <c r="J759" s="253">
        <f t="shared" si="67"/>
        <v>2</v>
      </c>
    </row>
    <row r="760" spans="1:10" s="139" customFormat="1" x14ac:dyDescent="0.2">
      <c r="A760" s="6"/>
      <c r="B760" s="6"/>
      <c r="C760" s="7"/>
      <c r="D760" s="116"/>
      <c r="E760" s="6"/>
      <c r="F760" s="258"/>
      <c r="G760" s="258"/>
      <c r="H760" s="258"/>
      <c r="I760" s="519" t="str">
        <f>"Total item "&amp;A752</f>
        <v>Total item 12.1</v>
      </c>
      <c r="J760" s="518">
        <f>SUM(J754:J759)</f>
        <v>17</v>
      </c>
    </row>
    <row r="761" spans="1:10" x14ac:dyDescent="0.2">
      <c r="A761" s="6"/>
      <c r="B761" s="6"/>
      <c r="C761" s="155"/>
      <c r="D761" s="108"/>
      <c r="E761" s="148"/>
      <c r="F761" s="253"/>
      <c r="G761" s="253"/>
      <c r="H761" s="253"/>
      <c r="I761" s="246"/>
      <c r="J761" s="258"/>
    </row>
    <row r="762" spans="1:10" s="139" customFormat="1" ht="61.2" x14ac:dyDescent="0.2">
      <c r="A762" s="515">
        <f>'ORÇAMENTO SEM DESON'!A103</f>
        <v>12.2</v>
      </c>
      <c r="B762" s="9" t="s">
        <v>163</v>
      </c>
      <c r="C762" s="13" t="s">
        <v>412</v>
      </c>
      <c r="D762" s="520" t="str">
        <f>'ORÇAMENTO SEM DESON'!D103</f>
        <v>PONTO DE TOMADA P/AR CONDICIONADO C/CONJ. TIPO
ARSTOP OU SIMILAR,EM CAIXA TIGREFLEX OU SIMILAR 4 X 4 POL.,C/PLACA, TOMADA TRIP. P/PINO CHATO E DISJ. TERMOMAG. DE 25A, INCLUSIVE TUBULACAO PVC RIGIDO, FIACAO, ATERRAMENTO E DEMAIS ACESS. ATE O QUADRO DE DISTRIBUICAO.</v>
      </c>
      <c r="E762" s="515" t="str">
        <f>'ORÇAMENTO SEM DESON'!E103</f>
        <v>un</v>
      </c>
      <c r="F762" s="518"/>
      <c r="G762" s="518"/>
      <c r="H762" s="518"/>
      <c r="I762" s="519"/>
      <c r="J762" s="518"/>
    </row>
    <row r="763" spans="1:10" x14ac:dyDescent="0.2">
      <c r="A763" s="6"/>
      <c r="B763" s="6"/>
      <c r="C763" s="155"/>
      <c r="D763" s="2"/>
      <c r="E763" s="148"/>
      <c r="F763" s="137" t="s">
        <v>1143</v>
      </c>
      <c r="G763" s="253"/>
      <c r="H763" s="253"/>
      <c r="I763" s="249"/>
      <c r="J763" s="253"/>
    </row>
    <row r="764" spans="1:10" x14ac:dyDescent="0.2">
      <c r="A764" s="6"/>
      <c r="B764" s="6"/>
      <c r="C764" s="155"/>
      <c r="D764" s="2" t="s">
        <v>1175</v>
      </c>
      <c r="E764" s="148" t="s">
        <v>33</v>
      </c>
      <c r="F764" s="137">
        <v>1</v>
      </c>
      <c r="G764" s="253"/>
      <c r="H764" s="253"/>
      <c r="I764" s="249"/>
      <c r="J764" s="253">
        <f>ROUND(PRODUCT(F764:I764),2)</f>
        <v>1</v>
      </c>
    </row>
    <row r="765" spans="1:10" s="139" customFormat="1" x14ac:dyDescent="0.2">
      <c r="A765" s="6"/>
      <c r="B765" s="6"/>
      <c r="C765" s="7"/>
      <c r="D765" s="116"/>
      <c r="E765" s="6"/>
      <c r="F765" s="258"/>
      <c r="G765" s="258"/>
      <c r="H765" s="258"/>
      <c r="I765" s="519" t="str">
        <f>"Total item "&amp;A762</f>
        <v>Total item 12.2</v>
      </c>
      <c r="J765" s="518">
        <f>SUM(J764:J764)</f>
        <v>1</v>
      </c>
    </row>
    <row r="766" spans="1:10" x14ac:dyDescent="0.2">
      <c r="A766" s="6"/>
      <c r="B766" s="6"/>
      <c r="C766" s="155"/>
      <c r="D766" s="108"/>
      <c r="E766" s="148"/>
      <c r="F766" s="253"/>
      <c r="G766" s="253"/>
      <c r="H766" s="253"/>
      <c r="I766" s="246"/>
      <c r="J766" s="258"/>
    </row>
    <row r="767" spans="1:10" s="139" customFormat="1" ht="51" x14ac:dyDescent="0.2">
      <c r="A767" s="515">
        <f>'ORÇAMENTO SEM DESON'!A104</f>
        <v>12.3</v>
      </c>
      <c r="B767" s="9" t="s">
        <v>163</v>
      </c>
      <c r="C767" s="13" t="s">
        <v>412</v>
      </c>
      <c r="D767" s="520" t="str">
        <f>'ORÇAMENTO SEM DESON'!D104</f>
        <v>PROJETOR, EM LED (TEMPERATURA DE COR 4000K), CORPO EM ALUMÍNIO, LENTE EM ACRÍLICO E VEDAÇÃO EM SILICONE, GRAU DE PROTEÇÃO IP65, POTÊNCIA MÍNIMA 60W E MÁXIMA 70W, FLUXO LUMINOSO MÍNIMO 5.000LM, FATOR DE POTÊNCIA MÍNIMO 0,92</v>
      </c>
      <c r="E767" s="515" t="str">
        <f>'ORÇAMENTO SEM DESON'!E104</f>
        <v>un</v>
      </c>
      <c r="F767" s="518"/>
      <c r="G767" s="518"/>
      <c r="H767" s="518"/>
      <c r="I767" s="519"/>
      <c r="J767" s="518"/>
    </row>
    <row r="768" spans="1:10" x14ac:dyDescent="0.2">
      <c r="A768" s="6"/>
      <c r="B768" s="6"/>
      <c r="C768" s="155"/>
      <c r="D768" s="2"/>
      <c r="E768" s="148"/>
      <c r="F768" s="137" t="s">
        <v>1143</v>
      </c>
      <c r="G768" s="253"/>
      <c r="H768" s="253"/>
      <c r="I768" s="249"/>
      <c r="J768" s="253"/>
    </row>
    <row r="769" spans="1:10" x14ac:dyDescent="0.2">
      <c r="A769" s="6"/>
      <c r="B769" s="6"/>
      <c r="C769" s="155"/>
      <c r="D769" s="2" t="s">
        <v>1244</v>
      </c>
      <c r="E769" s="148" t="s">
        <v>33</v>
      </c>
      <c r="F769" s="137">
        <v>2</v>
      </c>
      <c r="G769" s="253"/>
      <c r="H769" s="253"/>
      <c r="I769" s="249"/>
      <c r="J769" s="253">
        <f>ROUND(PRODUCT(F769:I769),2)</f>
        <v>2</v>
      </c>
    </row>
    <row r="770" spans="1:10" x14ac:dyDescent="0.2">
      <c r="A770" s="6"/>
      <c r="B770" s="6"/>
      <c r="C770" s="155"/>
      <c r="D770" s="2" t="s">
        <v>1389</v>
      </c>
      <c r="E770" s="148" t="s">
        <v>33</v>
      </c>
      <c r="F770" s="137">
        <v>2</v>
      </c>
      <c r="G770" s="253"/>
      <c r="H770" s="253"/>
      <c r="I770" s="249"/>
      <c r="J770" s="253">
        <f t="shared" ref="J770:J772" si="68">ROUND(PRODUCT(F770:I770),2)</f>
        <v>2</v>
      </c>
    </row>
    <row r="771" spans="1:10" x14ac:dyDescent="0.2">
      <c r="A771" s="6"/>
      <c r="B771" s="6"/>
      <c r="C771" s="155"/>
      <c r="D771" s="2" t="s">
        <v>1390</v>
      </c>
      <c r="E771" s="148" t="s">
        <v>33</v>
      </c>
      <c r="F771" s="137">
        <v>2</v>
      </c>
      <c r="G771" s="253"/>
      <c r="H771" s="253"/>
      <c r="I771" s="249"/>
      <c r="J771" s="253">
        <f t="shared" si="68"/>
        <v>2</v>
      </c>
    </row>
    <row r="772" spans="1:10" x14ac:dyDescent="0.2">
      <c r="A772" s="6"/>
      <c r="B772" s="6"/>
      <c r="C772" s="155"/>
      <c r="D772" s="2" t="s">
        <v>1391</v>
      </c>
      <c r="E772" s="148" t="s">
        <v>33</v>
      </c>
      <c r="F772" s="137">
        <v>2</v>
      </c>
      <c r="G772" s="253"/>
      <c r="H772" s="253"/>
      <c r="I772" s="249"/>
      <c r="J772" s="253">
        <f t="shared" si="68"/>
        <v>2</v>
      </c>
    </row>
    <row r="773" spans="1:10" s="139" customFormat="1" x14ac:dyDescent="0.2">
      <c r="A773" s="6"/>
      <c r="B773" s="6"/>
      <c r="C773" s="7"/>
      <c r="D773" s="116"/>
      <c r="E773" s="6"/>
      <c r="F773" s="258"/>
      <c r="G773" s="258"/>
      <c r="H773" s="258"/>
      <c r="I773" s="519" t="str">
        <f>"Total item "&amp;A767</f>
        <v>Total item 12.3</v>
      </c>
      <c r="J773" s="518">
        <f>SUM(J769:J772)</f>
        <v>8</v>
      </c>
    </row>
    <row r="774" spans="1:10" x14ac:dyDescent="0.2">
      <c r="A774" s="6"/>
      <c r="B774" s="6"/>
      <c r="C774" s="155"/>
      <c r="D774" s="108"/>
      <c r="E774" s="148"/>
      <c r="F774" s="253"/>
      <c r="G774" s="253"/>
      <c r="H774" s="253"/>
      <c r="I774" s="246"/>
      <c r="J774" s="258"/>
    </row>
    <row r="775" spans="1:10" s="139" customFormat="1" ht="30.6" x14ac:dyDescent="0.2">
      <c r="A775" s="515">
        <f>'ORÇAMENTO SEM DESON'!A105</f>
        <v>12.4</v>
      </c>
      <c r="B775" s="9" t="s">
        <v>163</v>
      </c>
      <c r="C775" s="13" t="s">
        <v>412</v>
      </c>
      <c r="D775" s="520" t="str">
        <f>'ORÇAMENTO SEM DESON'!D105</f>
        <v>INTERRUPTOR DE EMBUTIR DE UMA SECCAO PARA CAIXA DE 4 X 2 POL., COM PLACA, 10A, 250V, PIAL (LINHA SILENTOQUE) OU SIMILAR, INCLUSIVE INSTALACAO.</v>
      </c>
      <c r="E775" s="515" t="str">
        <f>'ORÇAMENTO SEM DESON'!E105</f>
        <v>un</v>
      </c>
      <c r="F775" s="518"/>
      <c r="G775" s="518"/>
      <c r="H775" s="518"/>
      <c r="I775" s="519"/>
      <c r="J775" s="518"/>
    </row>
    <row r="776" spans="1:10" x14ac:dyDescent="0.2">
      <c r="A776" s="6"/>
      <c r="B776" s="6"/>
      <c r="C776" s="155"/>
      <c r="D776" s="2"/>
      <c r="E776" s="148"/>
      <c r="F776" s="137" t="s">
        <v>1143</v>
      </c>
      <c r="G776" s="253"/>
      <c r="H776" s="253"/>
      <c r="I776" s="249"/>
      <c r="J776" s="253"/>
    </row>
    <row r="777" spans="1:10" x14ac:dyDescent="0.2">
      <c r="A777" s="6"/>
      <c r="B777" s="6"/>
      <c r="C777" s="155"/>
      <c r="D777" s="2" t="s">
        <v>402</v>
      </c>
      <c r="E777" s="148" t="s">
        <v>33</v>
      </c>
      <c r="F777" s="137">
        <v>1</v>
      </c>
      <c r="G777" s="253"/>
      <c r="H777" s="253"/>
      <c r="I777" s="249"/>
      <c r="J777" s="253">
        <f t="shared" ref="J777:J784" si="69">ROUND(PRODUCT(F777:I777),2)</f>
        <v>1</v>
      </c>
    </row>
    <row r="778" spans="1:10" x14ac:dyDescent="0.2">
      <c r="A778" s="6"/>
      <c r="B778" s="6"/>
      <c r="C778" s="155"/>
      <c r="D778" s="2" t="s">
        <v>485</v>
      </c>
      <c r="E778" s="148" t="s">
        <v>33</v>
      </c>
      <c r="F778" s="137">
        <v>1</v>
      </c>
      <c r="G778" s="253"/>
      <c r="H778" s="253"/>
      <c r="I778" s="249"/>
      <c r="J778" s="253">
        <f t="shared" si="69"/>
        <v>1</v>
      </c>
    </row>
    <row r="779" spans="1:10" x14ac:dyDescent="0.2">
      <c r="A779" s="6"/>
      <c r="B779" s="6"/>
      <c r="C779" s="155"/>
      <c r="D779" s="2" t="s">
        <v>1110</v>
      </c>
      <c r="E779" s="148" t="s">
        <v>33</v>
      </c>
      <c r="F779" s="137">
        <v>1</v>
      </c>
      <c r="G779" s="253"/>
      <c r="H779" s="253"/>
      <c r="I779" s="249"/>
      <c r="J779" s="253">
        <f t="shared" si="69"/>
        <v>1</v>
      </c>
    </row>
    <row r="780" spans="1:10" x14ac:dyDescent="0.2">
      <c r="A780" s="6"/>
      <c r="B780" s="6"/>
      <c r="C780" s="155"/>
      <c r="D780" s="2" t="s">
        <v>166</v>
      </c>
      <c r="E780" s="148" t="s">
        <v>33</v>
      </c>
      <c r="F780" s="137">
        <v>1</v>
      </c>
      <c r="G780" s="253"/>
      <c r="H780" s="253"/>
      <c r="I780" s="249"/>
      <c r="J780" s="253">
        <f t="shared" si="69"/>
        <v>1</v>
      </c>
    </row>
    <row r="781" spans="1:10" x14ac:dyDescent="0.2">
      <c r="A781" s="6"/>
      <c r="B781" s="6"/>
      <c r="C781" s="155"/>
      <c r="D781" s="2" t="s">
        <v>165</v>
      </c>
      <c r="E781" s="148" t="s">
        <v>33</v>
      </c>
      <c r="F781" s="137">
        <v>1</v>
      </c>
      <c r="G781" s="253"/>
      <c r="H781" s="253"/>
      <c r="I781" s="249"/>
      <c r="J781" s="253">
        <f t="shared" si="69"/>
        <v>1</v>
      </c>
    </row>
    <row r="782" spans="1:10" x14ac:dyDescent="0.2">
      <c r="A782" s="6"/>
      <c r="B782" s="6"/>
      <c r="C782" s="155"/>
      <c r="D782" s="2" t="s">
        <v>374</v>
      </c>
      <c r="E782" s="148" t="s">
        <v>33</v>
      </c>
      <c r="F782" s="137">
        <v>1</v>
      </c>
      <c r="G782" s="253"/>
      <c r="H782" s="253"/>
      <c r="I782" s="249"/>
      <c r="J782" s="253">
        <f t="shared" si="69"/>
        <v>1</v>
      </c>
    </row>
    <row r="783" spans="1:10" x14ac:dyDescent="0.2">
      <c r="A783" s="6"/>
      <c r="B783" s="6"/>
      <c r="C783" s="155"/>
      <c r="D783" s="2" t="s">
        <v>1167</v>
      </c>
      <c r="E783" s="148" t="s">
        <v>33</v>
      </c>
      <c r="F783" s="137">
        <v>1</v>
      </c>
      <c r="G783" s="253"/>
      <c r="H783" s="253"/>
      <c r="I783" s="249"/>
      <c r="J783" s="253">
        <f t="shared" si="69"/>
        <v>1</v>
      </c>
    </row>
    <row r="784" spans="1:10" x14ac:dyDescent="0.2">
      <c r="A784" s="6"/>
      <c r="B784" s="6"/>
      <c r="C784" s="155"/>
      <c r="D784" s="2" t="s">
        <v>1168</v>
      </c>
      <c r="E784" s="148" t="s">
        <v>33</v>
      </c>
      <c r="F784" s="137">
        <v>1</v>
      </c>
      <c r="G784" s="253"/>
      <c r="H784" s="253"/>
      <c r="I784" s="249"/>
      <c r="J784" s="253">
        <f t="shared" si="69"/>
        <v>1</v>
      </c>
    </row>
    <row r="785" spans="1:10" x14ac:dyDescent="0.2">
      <c r="A785" s="6"/>
      <c r="B785" s="6"/>
      <c r="C785" s="155"/>
      <c r="D785" s="2" t="s">
        <v>1174</v>
      </c>
      <c r="E785" s="148" t="s">
        <v>33</v>
      </c>
      <c r="F785" s="137">
        <v>1</v>
      </c>
      <c r="G785" s="253"/>
      <c r="H785" s="253"/>
      <c r="I785" s="249"/>
      <c r="J785" s="253">
        <f>ROUND(PRODUCT(F785:I785),2)</f>
        <v>1</v>
      </c>
    </row>
    <row r="786" spans="1:10" x14ac:dyDescent="0.2">
      <c r="A786" s="6"/>
      <c r="B786" s="6"/>
      <c r="C786" s="155"/>
      <c r="D786" s="2" t="s">
        <v>1173</v>
      </c>
      <c r="E786" s="148" t="s">
        <v>33</v>
      </c>
      <c r="F786" s="137">
        <v>1</v>
      </c>
      <c r="G786" s="253"/>
      <c r="H786" s="253"/>
      <c r="I786" s="249"/>
      <c r="J786" s="253">
        <f t="shared" ref="J786:J788" si="70">ROUND(PRODUCT(F786:I786),2)</f>
        <v>1</v>
      </c>
    </row>
    <row r="787" spans="1:10" x14ac:dyDescent="0.2">
      <c r="A787" s="6"/>
      <c r="B787" s="6"/>
      <c r="C787" s="155"/>
      <c r="D787" s="2" t="s">
        <v>1175</v>
      </c>
      <c r="E787" s="148" t="s">
        <v>33</v>
      </c>
      <c r="F787" s="137">
        <v>1</v>
      </c>
      <c r="G787" s="253"/>
      <c r="H787" s="253"/>
      <c r="I787" s="249"/>
      <c r="J787" s="253">
        <f t="shared" si="70"/>
        <v>1</v>
      </c>
    </row>
    <row r="788" spans="1:10" x14ac:dyDescent="0.2">
      <c r="A788" s="6"/>
      <c r="B788" s="6"/>
      <c r="C788" s="155"/>
      <c r="D788" s="2" t="s">
        <v>1177</v>
      </c>
      <c r="E788" s="148" t="s">
        <v>33</v>
      </c>
      <c r="F788" s="137">
        <v>1</v>
      </c>
      <c r="G788" s="253"/>
      <c r="H788" s="253"/>
      <c r="I788" s="249"/>
      <c r="J788" s="253">
        <f t="shared" si="70"/>
        <v>1</v>
      </c>
    </row>
    <row r="789" spans="1:10" s="139" customFormat="1" x14ac:dyDescent="0.2">
      <c r="A789" s="6"/>
      <c r="B789" s="6"/>
      <c r="C789" s="7"/>
      <c r="D789" s="116"/>
      <c r="E789" s="6"/>
      <c r="F789" s="258"/>
      <c r="G789" s="258"/>
      <c r="H789" s="258"/>
      <c r="I789" s="519" t="str">
        <f>"Total item "&amp;A775</f>
        <v>Total item 12.4</v>
      </c>
      <c r="J789" s="518">
        <f>SUM(J777:J788)</f>
        <v>12</v>
      </c>
    </row>
    <row r="790" spans="1:10" x14ac:dyDescent="0.2">
      <c r="A790" s="6"/>
      <c r="B790" s="6"/>
      <c r="C790" s="155"/>
      <c r="D790" s="108"/>
      <c r="E790" s="148"/>
      <c r="F790" s="253"/>
      <c r="G790" s="253"/>
      <c r="H790" s="253"/>
      <c r="I790" s="246"/>
      <c r="J790" s="258"/>
    </row>
    <row r="791" spans="1:10" s="139" customFormat="1" ht="30.6" x14ac:dyDescent="0.2">
      <c r="A791" s="515">
        <f>'ORÇAMENTO SEM DESON'!A106</f>
        <v>12.5</v>
      </c>
      <c r="B791" s="9" t="s">
        <v>163</v>
      </c>
      <c r="C791" s="13" t="s">
        <v>412</v>
      </c>
      <c r="D791" s="520" t="str">
        <f>'ORÇAMENTO SEM DESON'!D106</f>
        <v>PONTO DE LUZ EM TETO OU PAREDE, INCLUINDO CAIXA 4 X 4 POL. TIGREFLEX OU SIMILAR, TUBULACAO PVC RIGIDO E FIACAO, ATE O QUADRO DE DISTRIBUICAO.</v>
      </c>
      <c r="E791" s="515" t="str">
        <f>'ORÇAMENTO SEM DESON'!E106</f>
        <v>pt</v>
      </c>
      <c r="F791" s="518"/>
      <c r="G791" s="518"/>
      <c r="H791" s="518"/>
      <c r="I791" s="519"/>
      <c r="J791" s="518"/>
    </row>
    <row r="792" spans="1:10" x14ac:dyDescent="0.2">
      <c r="A792" s="6"/>
      <c r="B792" s="6"/>
      <c r="C792" s="155"/>
      <c r="D792" s="2"/>
      <c r="E792" s="148"/>
      <c r="F792" s="137" t="s">
        <v>1143</v>
      </c>
      <c r="G792" s="253"/>
      <c r="H792" s="253"/>
      <c r="I792" s="249"/>
      <c r="J792" s="253"/>
    </row>
    <row r="793" spans="1:10" x14ac:dyDescent="0.2">
      <c r="A793" s="6"/>
      <c r="B793" s="6"/>
      <c r="C793" s="155"/>
      <c r="D793" s="2" t="s">
        <v>402</v>
      </c>
      <c r="E793" s="148" t="s">
        <v>33</v>
      </c>
      <c r="F793" s="137">
        <v>3</v>
      </c>
      <c r="G793" s="253"/>
      <c r="H793" s="253"/>
      <c r="I793" s="249"/>
      <c r="J793" s="253">
        <f t="shared" ref="J793:J800" si="71">ROUND(PRODUCT(F793:I793),2)</f>
        <v>3</v>
      </c>
    </row>
    <row r="794" spans="1:10" x14ac:dyDescent="0.2">
      <c r="A794" s="6"/>
      <c r="B794" s="6"/>
      <c r="C794" s="155"/>
      <c r="D794" s="2" t="s">
        <v>485</v>
      </c>
      <c r="E794" s="148" t="s">
        <v>33</v>
      </c>
      <c r="F794" s="137">
        <v>1</v>
      </c>
      <c r="G794" s="253"/>
      <c r="H794" s="253"/>
      <c r="I794" s="249"/>
      <c r="J794" s="253">
        <f t="shared" si="71"/>
        <v>1</v>
      </c>
    </row>
    <row r="795" spans="1:10" x14ac:dyDescent="0.2">
      <c r="A795" s="6"/>
      <c r="B795" s="6"/>
      <c r="C795" s="155"/>
      <c r="D795" s="2" t="s">
        <v>1110</v>
      </c>
      <c r="E795" s="148" t="s">
        <v>33</v>
      </c>
      <c r="F795" s="137">
        <v>1</v>
      </c>
      <c r="G795" s="253"/>
      <c r="H795" s="253"/>
      <c r="I795" s="249"/>
      <c r="J795" s="253">
        <f t="shared" si="71"/>
        <v>1</v>
      </c>
    </row>
    <row r="796" spans="1:10" x14ac:dyDescent="0.2">
      <c r="A796" s="6"/>
      <c r="B796" s="6"/>
      <c r="C796" s="155"/>
      <c r="D796" s="2" t="s">
        <v>166</v>
      </c>
      <c r="E796" s="148" t="s">
        <v>33</v>
      </c>
      <c r="F796" s="137">
        <v>1</v>
      </c>
      <c r="G796" s="253"/>
      <c r="H796" s="253"/>
      <c r="I796" s="249"/>
      <c r="J796" s="253">
        <f t="shared" si="71"/>
        <v>1</v>
      </c>
    </row>
    <row r="797" spans="1:10" x14ac:dyDescent="0.2">
      <c r="A797" s="6"/>
      <c r="B797" s="6"/>
      <c r="C797" s="155"/>
      <c r="D797" s="2" t="s">
        <v>165</v>
      </c>
      <c r="E797" s="148" t="s">
        <v>33</v>
      </c>
      <c r="F797" s="137">
        <v>2</v>
      </c>
      <c r="G797" s="253"/>
      <c r="H797" s="253"/>
      <c r="I797" s="249"/>
      <c r="J797" s="253">
        <f t="shared" si="71"/>
        <v>2</v>
      </c>
    </row>
    <row r="798" spans="1:10" x14ac:dyDescent="0.2">
      <c r="A798" s="6"/>
      <c r="B798" s="6"/>
      <c r="C798" s="155"/>
      <c r="D798" s="2" t="s">
        <v>374</v>
      </c>
      <c r="E798" s="148" t="s">
        <v>33</v>
      </c>
      <c r="F798" s="137">
        <v>1</v>
      </c>
      <c r="G798" s="253"/>
      <c r="H798" s="253"/>
      <c r="I798" s="249"/>
      <c r="J798" s="253">
        <f t="shared" si="71"/>
        <v>1</v>
      </c>
    </row>
    <row r="799" spans="1:10" x14ac:dyDescent="0.2">
      <c r="A799" s="6"/>
      <c r="B799" s="6"/>
      <c r="C799" s="155"/>
      <c r="D799" s="2" t="s">
        <v>1167</v>
      </c>
      <c r="E799" s="148" t="s">
        <v>33</v>
      </c>
      <c r="F799" s="137">
        <v>2</v>
      </c>
      <c r="G799" s="253"/>
      <c r="H799" s="253"/>
      <c r="I799" s="249"/>
      <c r="J799" s="253">
        <f t="shared" si="71"/>
        <v>2</v>
      </c>
    </row>
    <row r="800" spans="1:10" x14ac:dyDescent="0.2">
      <c r="A800" s="6"/>
      <c r="B800" s="6"/>
      <c r="C800" s="155"/>
      <c r="D800" s="2" t="s">
        <v>1168</v>
      </c>
      <c r="E800" s="148" t="s">
        <v>33</v>
      </c>
      <c r="F800" s="137">
        <v>2</v>
      </c>
      <c r="G800" s="253"/>
      <c r="H800" s="253"/>
      <c r="I800" s="249"/>
      <c r="J800" s="253">
        <f t="shared" si="71"/>
        <v>2</v>
      </c>
    </row>
    <row r="801" spans="1:10" x14ac:dyDescent="0.2">
      <c r="A801" s="6"/>
      <c r="B801" s="6"/>
      <c r="C801" s="155"/>
      <c r="D801" s="2" t="s">
        <v>1174</v>
      </c>
      <c r="E801" s="148" t="s">
        <v>33</v>
      </c>
      <c r="F801" s="137">
        <v>1</v>
      </c>
      <c r="G801" s="253"/>
      <c r="H801" s="253"/>
      <c r="I801" s="249"/>
      <c r="J801" s="253">
        <f>ROUND(PRODUCT(F801:I801),2)</f>
        <v>1</v>
      </c>
    </row>
    <row r="802" spans="1:10" x14ac:dyDescent="0.2">
      <c r="A802" s="6"/>
      <c r="B802" s="6"/>
      <c r="C802" s="155"/>
      <c r="D802" s="2" t="s">
        <v>1173</v>
      </c>
      <c r="E802" s="148" t="s">
        <v>33</v>
      </c>
      <c r="F802" s="137">
        <v>1</v>
      </c>
      <c r="G802" s="253"/>
      <c r="H802" s="253"/>
      <c r="I802" s="249"/>
      <c r="J802" s="253">
        <f t="shared" ref="J802:J810" si="72">ROUND(PRODUCT(F802:I802),2)</f>
        <v>1</v>
      </c>
    </row>
    <row r="803" spans="1:10" x14ac:dyDescent="0.2">
      <c r="A803" s="6"/>
      <c r="B803" s="6"/>
      <c r="C803" s="155"/>
      <c r="D803" s="2" t="s">
        <v>1175</v>
      </c>
      <c r="E803" s="148" t="s">
        <v>33</v>
      </c>
      <c r="F803" s="137">
        <v>2</v>
      </c>
      <c r="G803" s="253"/>
      <c r="H803" s="253"/>
      <c r="I803" s="249"/>
      <c r="J803" s="253">
        <f t="shared" si="72"/>
        <v>2</v>
      </c>
    </row>
    <row r="804" spans="1:10" x14ac:dyDescent="0.2">
      <c r="A804" s="6"/>
      <c r="B804" s="6"/>
      <c r="C804" s="155"/>
      <c r="D804" s="2" t="s">
        <v>1177</v>
      </c>
      <c r="E804" s="148" t="s">
        <v>33</v>
      </c>
      <c r="F804" s="137">
        <v>1</v>
      </c>
      <c r="G804" s="253"/>
      <c r="H804" s="253"/>
      <c r="I804" s="249"/>
      <c r="J804" s="253">
        <f t="shared" si="72"/>
        <v>1</v>
      </c>
    </row>
    <row r="805" spans="1:10" x14ac:dyDescent="0.2">
      <c r="A805" s="6"/>
      <c r="B805" s="6"/>
      <c r="C805" s="155"/>
      <c r="D805" s="2" t="s">
        <v>1392</v>
      </c>
      <c r="E805" s="148" t="s">
        <v>33</v>
      </c>
      <c r="F805" s="137">
        <v>1</v>
      </c>
      <c r="G805" s="253"/>
      <c r="H805" s="253"/>
      <c r="I805" s="249"/>
      <c r="J805" s="253">
        <f t="shared" si="72"/>
        <v>1</v>
      </c>
    </row>
    <row r="806" spans="1:10" x14ac:dyDescent="0.2">
      <c r="A806" s="6"/>
      <c r="B806" s="6"/>
      <c r="C806" s="155"/>
      <c r="D806" s="2" t="s">
        <v>1393</v>
      </c>
      <c r="E806" s="148" t="s">
        <v>33</v>
      </c>
      <c r="F806" s="137">
        <v>1</v>
      </c>
      <c r="G806" s="253"/>
      <c r="H806" s="253"/>
      <c r="I806" s="249"/>
      <c r="J806" s="253">
        <f t="shared" si="72"/>
        <v>1</v>
      </c>
    </row>
    <row r="807" spans="1:10" x14ac:dyDescent="0.2">
      <c r="A807" s="6"/>
      <c r="B807" s="6"/>
      <c r="C807" s="155"/>
      <c r="D807" s="2" t="s">
        <v>1394</v>
      </c>
      <c r="E807" s="148" t="s">
        <v>33</v>
      </c>
      <c r="F807" s="137">
        <v>1</v>
      </c>
      <c r="G807" s="253"/>
      <c r="H807" s="253"/>
      <c r="I807" s="249"/>
      <c r="J807" s="253">
        <f t="shared" si="72"/>
        <v>1</v>
      </c>
    </row>
    <row r="808" spans="1:10" x14ac:dyDescent="0.2">
      <c r="A808" s="6"/>
      <c r="B808" s="6"/>
      <c r="C808" s="155"/>
      <c r="D808" s="2" t="s">
        <v>1395</v>
      </c>
      <c r="E808" s="148" t="s">
        <v>33</v>
      </c>
      <c r="F808" s="137">
        <v>1</v>
      </c>
      <c r="G808" s="253"/>
      <c r="H808" s="253"/>
      <c r="I808" s="249"/>
      <c r="J808" s="253">
        <f t="shared" si="72"/>
        <v>1</v>
      </c>
    </row>
    <row r="809" spans="1:10" x14ac:dyDescent="0.2">
      <c r="A809" s="6"/>
      <c r="B809" s="6"/>
      <c r="C809" s="155"/>
      <c r="D809" s="2" t="s">
        <v>1019</v>
      </c>
      <c r="E809" s="148" t="s">
        <v>33</v>
      </c>
      <c r="F809" s="137">
        <v>6</v>
      </c>
      <c r="G809" s="253"/>
      <c r="H809" s="253"/>
      <c r="I809" s="249"/>
      <c r="J809" s="253">
        <f t="shared" si="72"/>
        <v>6</v>
      </c>
    </row>
    <row r="810" spans="1:10" x14ac:dyDescent="0.2">
      <c r="A810" s="6"/>
      <c r="B810" s="6"/>
      <c r="C810" s="155"/>
      <c r="D810" s="2" t="s">
        <v>1396</v>
      </c>
      <c r="E810" s="148" t="s">
        <v>33</v>
      </c>
      <c r="F810" s="137">
        <v>6</v>
      </c>
      <c r="G810" s="253"/>
      <c r="H810" s="253"/>
      <c r="I810" s="249"/>
      <c r="J810" s="253">
        <f t="shared" si="72"/>
        <v>6</v>
      </c>
    </row>
    <row r="811" spans="1:10" s="139" customFormat="1" x14ac:dyDescent="0.2">
      <c r="A811" s="6"/>
      <c r="B811" s="6"/>
      <c r="C811" s="7"/>
      <c r="D811" s="116"/>
      <c r="E811" s="6"/>
      <c r="F811" s="258"/>
      <c r="G811" s="258"/>
      <c r="H811" s="258"/>
      <c r="I811" s="519" t="str">
        <f>"Total item "&amp;A791</f>
        <v>Total item 12.5</v>
      </c>
      <c r="J811" s="518">
        <f>SUM(J793:J810)</f>
        <v>34</v>
      </c>
    </row>
    <row r="812" spans="1:10" x14ac:dyDescent="0.2">
      <c r="A812" s="6"/>
      <c r="B812" s="6"/>
      <c r="C812" s="155"/>
      <c r="D812" s="108"/>
      <c r="E812" s="148"/>
      <c r="F812" s="253"/>
      <c r="G812" s="253"/>
      <c r="H812" s="253"/>
      <c r="I812" s="246"/>
      <c r="J812" s="258"/>
    </row>
    <row r="813" spans="1:10" s="139" customFormat="1" ht="40.799999999999997" x14ac:dyDescent="0.2">
      <c r="A813" s="515">
        <f>'ORÇAMENTO SEM DESON'!A107</f>
        <v>12.6</v>
      </c>
      <c r="B813" s="9" t="s">
        <v>163</v>
      </c>
      <c r="C813" s="13" t="s">
        <v>412</v>
      </c>
      <c r="D813" s="520" t="str">
        <f>'ORÇAMENTO SEM DESON'!D107</f>
        <v>PONTO DE INTERRUPTOR DE 2 SECCOES, PIAL OU SIMILAR, INCLUSIVE TUBULACAO PVC RIGIDO, FIACAO CAIXA 4 X 2 POL. TIGREFLEX OU SIMILAR, PLACA E DEMAIS ACESSORIOS, ATE O PONTO DE LUZ.</v>
      </c>
      <c r="E813" s="515" t="str">
        <f>'ORÇAMENTO SEM DESON'!E107</f>
        <v>pt</v>
      </c>
      <c r="F813" s="518"/>
      <c r="G813" s="518"/>
      <c r="H813" s="518"/>
      <c r="I813" s="519"/>
      <c r="J813" s="518"/>
    </row>
    <row r="814" spans="1:10" x14ac:dyDescent="0.2">
      <c r="A814" s="6"/>
      <c r="B814" s="6"/>
      <c r="C814" s="155"/>
      <c r="D814" s="2"/>
      <c r="E814" s="148"/>
      <c r="F814" s="137" t="s">
        <v>1143</v>
      </c>
      <c r="G814" s="253"/>
      <c r="H814" s="253"/>
      <c r="I814" s="249"/>
      <c r="J814" s="253"/>
    </row>
    <row r="815" spans="1:10" x14ac:dyDescent="0.2">
      <c r="A815" s="6"/>
      <c r="B815" s="6"/>
      <c r="C815" s="155"/>
      <c r="D815" s="2" t="s">
        <v>1399</v>
      </c>
      <c r="E815" s="148" t="s">
        <v>33</v>
      </c>
      <c r="F815" s="137">
        <v>1</v>
      </c>
      <c r="G815" s="253"/>
      <c r="H815" s="253"/>
      <c r="I815" s="249"/>
      <c r="J815" s="253">
        <f>ROUND(PRODUCT(F815:I815),2)</f>
        <v>1</v>
      </c>
    </row>
    <row r="816" spans="1:10" x14ac:dyDescent="0.2">
      <c r="A816" s="6"/>
      <c r="B816" s="6"/>
      <c r="C816" s="155"/>
      <c r="D816" s="2" t="s">
        <v>1400</v>
      </c>
      <c r="E816" s="148" t="s">
        <v>33</v>
      </c>
      <c r="F816" s="137">
        <v>1</v>
      </c>
      <c r="G816" s="253"/>
      <c r="H816" s="253"/>
      <c r="I816" s="249"/>
      <c r="J816" s="253">
        <f t="shared" ref="J816:J818" si="73">ROUND(PRODUCT(F816:I816),2)</f>
        <v>1</v>
      </c>
    </row>
    <row r="817" spans="1:10" x14ac:dyDescent="0.2">
      <c r="A817" s="6"/>
      <c r="B817" s="6"/>
      <c r="C817" s="155"/>
      <c r="D817" s="2" t="s">
        <v>1019</v>
      </c>
      <c r="E817" s="148" t="s">
        <v>33</v>
      </c>
      <c r="F817" s="137">
        <v>1</v>
      </c>
      <c r="G817" s="253"/>
      <c r="H817" s="253"/>
      <c r="I817" s="249"/>
      <c r="J817" s="253">
        <f t="shared" si="73"/>
        <v>1</v>
      </c>
    </row>
    <row r="818" spans="1:10" x14ac:dyDescent="0.2">
      <c r="A818" s="6"/>
      <c r="B818" s="6"/>
      <c r="C818" s="155"/>
      <c r="D818" s="2" t="s">
        <v>1396</v>
      </c>
      <c r="E818" s="148" t="s">
        <v>33</v>
      </c>
      <c r="F818" s="137">
        <v>1</v>
      </c>
      <c r="G818" s="253"/>
      <c r="H818" s="253"/>
      <c r="I818" s="249"/>
      <c r="J818" s="253">
        <f t="shared" si="73"/>
        <v>1</v>
      </c>
    </row>
    <row r="819" spans="1:10" x14ac:dyDescent="0.2">
      <c r="A819" s="6"/>
      <c r="B819" s="6"/>
      <c r="C819" s="155"/>
      <c r="D819" s="118"/>
      <c r="E819" s="118"/>
      <c r="F819" s="118"/>
      <c r="G819" s="253"/>
      <c r="H819" s="253"/>
      <c r="I819" s="249"/>
      <c r="J819" s="253">
        <f t="shared" ref="J819" si="74">ROUND(PRODUCT(F819:I819),2)</f>
        <v>0</v>
      </c>
    </row>
    <row r="820" spans="1:10" s="139" customFormat="1" x14ac:dyDescent="0.2">
      <c r="A820" s="6"/>
      <c r="B820" s="6"/>
      <c r="C820" s="7"/>
      <c r="D820" s="116"/>
      <c r="E820" s="6"/>
      <c r="F820" s="258"/>
      <c r="G820" s="258"/>
      <c r="H820" s="258"/>
      <c r="I820" s="519" t="str">
        <f>"Total item "&amp;A813</f>
        <v>Total item 12.6</v>
      </c>
      <c r="J820" s="518">
        <f>SUM(J815:J819)</f>
        <v>4</v>
      </c>
    </row>
    <row r="821" spans="1:10" x14ac:dyDescent="0.2">
      <c r="A821" s="6"/>
      <c r="B821" s="6"/>
      <c r="C821" s="155"/>
      <c r="D821" s="108"/>
      <c r="E821" s="148"/>
      <c r="F821" s="253"/>
      <c r="G821" s="253"/>
      <c r="H821" s="253"/>
      <c r="I821" s="246"/>
      <c r="J821" s="258"/>
    </row>
    <row r="822" spans="1:10" s="139" customFormat="1" ht="30.6" x14ac:dyDescent="0.2">
      <c r="A822" s="515">
        <f>'ORÇAMENTO SEM DESON'!A108</f>
        <v>12.7</v>
      </c>
      <c r="B822" s="9" t="s">
        <v>163</v>
      </c>
      <c r="C822" s="13" t="s">
        <v>412</v>
      </c>
      <c r="D822" s="520" t="str">
        <f>'ORÇAMENTO SEM DESON'!D108</f>
        <v>PONTO DE TOMADA RESIDENCIAL INCLUINDO TOMADA (2 MÓDULOS) 10A/250V, CAIXA ELÉTRICA, ELETRODUTO, CABO, RASGO, QUEBRA E CHUMBAMENTO. AF_01/2016</v>
      </c>
      <c r="E822" s="515" t="str">
        <f>'ORÇAMENTO SEM DESON'!E108</f>
        <v>un</v>
      </c>
      <c r="F822" s="518"/>
      <c r="G822" s="518"/>
      <c r="H822" s="518"/>
      <c r="I822" s="519"/>
      <c r="J822" s="518"/>
    </row>
    <row r="823" spans="1:10" x14ac:dyDescent="0.2">
      <c r="A823" s="6"/>
      <c r="B823" s="6"/>
      <c r="C823" s="155"/>
      <c r="D823" s="2"/>
      <c r="E823" s="148"/>
      <c r="F823" s="137" t="s">
        <v>1143</v>
      </c>
      <c r="G823" s="253"/>
      <c r="H823" s="253"/>
      <c r="I823" s="249"/>
      <c r="J823" s="253"/>
    </row>
    <row r="824" spans="1:10" x14ac:dyDescent="0.2">
      <c r="A824" s="6"/>
      <c r="B824" s="6"/>
      <c r="C824" s="155"/>
      <c r="D824" s="2" t="s">
        <v>165</v>
      </c>
      <c r="E824" s="148" t="s">
        <v>33</v>
      </c>
      <c r="F824" s="137">
        <v>2</v>
      </c>
      <c r="G824" s="253"/>
      <c r="H824" s="253"/>
      <c r="I824" s="249"/>
      <c r="J824" s="253">
        <f t="shared" ref="J824" si="75">ROUND(PRODUCT(F824:I824),2)</f>
        <v>2</v>
      </c>
    </row>
    <row r="825" spans="1:10" s="139" customFormat="1" x14ac:dyDescent="0.2">
      <c r="A825" s="6"/>
      <c r="B825" s="6"/>
      <c r="C825" s="7"/>
      <c r="D825" s="116"/>
      <c r="E825" s="6"/>
      <c r="F825" s="258"/>
      <c r="G825" s="258"/>
      <c r="H825" s="258"/>
      <c r="I825" s="519" t="str">
        <f>"Total item "&amp;A822</f>
        <v>Total item 12.7</v>
      </c>
      <c r="J825" s="518">
        <f>SUM(J824:J824)</f>
        <v>2</v>
      </c>
    </row>
    <row r="826" spans="1:10" x14ac:dyDescent="0.2">
      <c r="A826" s="6"/>
      <c r="B826" s="6"/>
      <c r="C826" s="155"/>
      <c r="D826" s="108"/>
      <c r="E826" s="148"/>
      <c r="F826" s="253"/>
      <c r="G826" s="253"/>
      <c r="H826" s="253"/>
      <c r="I826" s="246"/>
      <c r="J826" s="258"/>
    </row>
    <row r="827" spans="1:10" s="139" customFormat="1" ht="30.6" x14ac:dyDescent="0.2">
      <c r="A827" s="515">
        <f>'ORÇAMENTO SEM DESON'!A109</f>
        <v>12.8</v>
      </c>
      <c r="B827" s="9" t="s">
        <v>163</v>
      </c>
      <c r="C827" s="13" t="s">
        <v>412</v>
      </c>
      <c r="D827" s="520" t="str">
        <f>'ORÇAMENTO SEM DESON'!D109</f>
        <v>QUADRO DE DISTRIBUIÇÃO DE LUZ EMBUTIR ATÉ 24 DIVISÕES
332X332X95mm, C/BARRAMENTO</v>
      </c>
      <c r="E827" s="515" t="str">
        <f>'ORÇAMENTO SEM DESON'!E109</f>
        <v>un</v>
      </c>
      <c r="F827" s="518"/>
      <c r="G827" s="518"/>
      <c r="H827" s="518"/>
      <c r="I827" s="519"/>
      <c r="J827" s="518"/>
    </row>
    <row r="828" spans="1:10" x14ac:dyDescent="0.2">
      <c r="A828" s="6"/>
      <c r="B828" s="6"/>
      <c r="C828" s="155"/>
      <c r="D828" s="2"/>
      <c r="E828" s="148"/>
      <c r="F828" s="137" t="s">
        <v>1143</v>
      </c>
      <c r="G828" s="253"/>
      <c r="H828" s="253"/>
      <c r="I828" s="249"/>
      <c r="J828" s="253"/>
    </row>
    <row r="829" spans="1:10" x14ac:dyDescent="0.2">
      <c r="A829" s="6"/>
      <c r="B829" s="6"/>
      <c r="C829" s="155"/>
      <c r="D829" s="2" t="s">
        <v>1396</v>
      </c>
      <c r="E829" s="148" t="s">
        <v>33</v>
      </c>
      <c r="F829" s="137">
        <v>1</v>
      </c>
      <c r="G829" s="253"/>
      <c r="H829" s="253"/>
      <c r="I829" s="249"/>
      <c r="J829" s="253">
        <f t="shared" ref="J829" si="76">ROUND(PRODUCT(F829:I829),2)</f>
        <v>1</v>
      </c>
    </row>
    <row r="830" spans="1:10" s="139" customFormat="1" x14ac:dyDescent="0.2">
      <c r="A830" s="6"/>
      <c r="B830" s="6"/>
      <c r="C830" s="7"/>
      <c r="D830" s="116"/>
      <c r="E830" s="6"/>
      <c r="F830" s="258"/>
      <c r="G830" s="258"/>
      <c r="H830" s="258"/>
      <c r="I830" s="519" t="str">
        <f>"Total item "&amp;A827</f>
        <v>Total item 12.8</v>
      </c>
      <c r="J830" s="518">
        <f>SUM(J829:J829)</f>
        <v>1</v>
      </c>
    </row>
    <row r="831" spans="1:10" x14ac:dyDescent="0.2">
      <c r="A831" s="6"/>
      <c r="B831" s="6"/>
      <c r="C831" s="155"/>
      <c r="D831" s="108"/>
      <c r="E831" s="148"/>
      <c r="F831" s="253"/>
      <c r="G831" s="253"/>
      <c r="H831" s="253"/>
      <c r="I831" s="246"/>
      <c r="J831" s="258"/>
    </row>
    <row r="832" spans="1:10" s="139" customFormat="1" ht="20.399999999999999" x14ac:dyDescent="0.2">
      <c r="A832" s="515">
        <f>'ORÇAMENTO SEM DESON'!A110</f>
        <v>12.9</v>
      </c>
      <c r="B832" s="9" t="s">
        <v>163</v>
      </c>
      <c r="C832" s="13" t="s">
        <v>412</v>
      </c>
      <c r="D832" s="520" t="str">
        <f>'ORÇAMENTO SEM DESON'!D110</f>
        <v>DISJUNTOR MONOPOLAR TIPO DIN, CORRENTE NOMINAL DE 25A - FORNECIMENTO E INSTALAÇÃO. AF_10/2020</v>
      </c>
      <c r="E832" s="515" t="str">
        <f>'ORÇAMENTO SEM DESON'!E110</f>
        <v>un</v>
      </c>
      <c r="F832" s="518"/>
      <c r="G832" s="518"/>
      <c r="H832" s="518"/>
      <c r="I832" s="519"/>
      <c r="J832" s="518"/>
    </row>
    <row r="833" spans="1:10" x14ac:dyDescent="0.2">
      <c r="A833" s="6"/>
      <c r="B833" s="6"/>
      <c r="C833" s="155"/>
      <c r="D833" s="2"/>
      <c r="E833" s="148"/>
      <c r="F833" s="137" t="s">
        <v>1143</v>
      </c>
      <c r="G833" s="253"/>
      <c r="H833" s="253"/>
      <c r="I833" s="249"/>
      <c r="J833" s="253"/>
    </row>
    <row r="834" spans="1:10" x14ac:dyDescent="0.2">
      <c r="A834" s="6"/>
      <c r="B834" s="6"/>
      <c r="C834" s="155"/>
      <c r="D834" s="2" t="s">
        <v>1402</v>
      </c>
      <c r="E834" s="148" t="s">
        <v>33</v>
      </c>
      <c r="F834" s="137">
        <v>6</v>
      </c>
      <c r="G834" s="253"/>
      <c r="H834" s="253"/>
      <c r="I834" s="249"/>
      <c r="J834" s="253">
        <f>ROUND(PRODUCT(F834:I834),2)</f>
        <v>6</v>
      </c>
    </row>
    <row r="835" spans="1:10" x14ac:dyDescent="0.2">
      <c r="A835" s="6"/>
      <c r="B835" s="6"/>
      <c r="C835" s="155"/>
      <c r="D835" s="118"/>
      <c r="E835" s="118"/>
      <c r="F835" s="118"/>
      <c r="G835" s="253"/>
      <c r="H835" s="253"/>
      <c r="I835" s="249"/>
      <c r="J835" s="253">
        <f t="shared" ref="J835" si="77">ROUND(PRODUCT(F835:I835),2)</f>
        <v>0</v>
      </c>
    </row>
    <row r="836" spans="1:10" s="139" customFormat="1" x14ac:dyDescent="0.2">
      <c r="A836" s="6"/>
      <c r="B836" s="6"/>
      <c r="C836" s="7"/>
      <c r="D836" s="116"/>
      <c r="E836" s="6"/>
      <c r="F836" s="258"/>
      <c r="G836" s="258"/>
      <c r="H836" s="258"/>
      <c r="I836" s="519" t="str">
        <f>"Total item "&amp;A832</f>
        <v>Total item 12.9</v>
      </c>
      <c r="J836" s="518">
        <f>SUM(J834:J835)</f>
        <v>6</v>
      </c>
    </row>
    <row r="837" spans="1:10" x14ac:dyDescent="0.2">
      <c r="A837" s="6"/>
      <c r="B837" s="6"/>
      <c r="C837" s="155"/>
      <c r="D837" s="108"/>
      <c r="E837" s="148"/>
      <c r="F837" s="253"/>
      <c r="G837" s="253"/>
      <c r="H837" s="253"/>
      <c r="I837" s="246"/>
      <c r="J837" s="258"/>
    </row>
    <row r="838" spans="1:10" s="139" customFormat="1" ht="30.6" x14ac:dyDescent="0.2">
      <c r="A838" s="560">
        <f>'ORÇAMENTO SEM DESON'!A111</f>
        <v>12.1</v>
      </c>
      <c r="B838" s="9" t="s">
        <v>163</v>
      </c>
      <c r="C838" s="13" t="s">
        <v>412</v>
      </c>
      <c r="D838" s="520" t="str">
        <f>'ORÇAMENTO SEM DESON'!D111</f>
        <v>CABO DE COBRE FLEXÍVEL ISOLADO, 2,5 MM², ANTI-CHAMA 0,6/1,0 KV, PARA CIRCUITOS TERMINAIS - FORNECIMENTO E INSTALAÇÃO. AF_12/2015</v>
      </c>
      <c r="E838" s="515" t="str">
        <f>'ORÇAMENTO SEM DESON'!E111</f>
        <v>m</v>
      </c>
      <c r="F838" s="518"/>
      <c r="G838" s="518"/>
      <c r="H838" s="518"/>
      <c r="I838" s="519"/>
      <c r="J838" s="518"/>
    </row>
    <row r="839" spans="1:10" x14ac:dyDescent="0.2">
      <c r="A839" s="6"/>
      <c r="B839" s="6"/>
      <c r="C839" s="155"/>
      <c r="D839" s="2"/>
      <c r="E839" s="148"/>
      <c r="F839" s="137" t="s">
        <v>1143</v>
      </c>
      <c r="G839" s="253"/>
      <c r="H839" s="253"/>
      <c r="I839" s="249"/>
      <c r="J839" s="253"/>
    </row>
    <row r="840" spans="1:10" x14ac:dyDescent="0.2">
      <c r="A840" s="6"/>
      <c r="B840" s="6"/>
      <c r="C840" s="155"/>
      <c r="D840" s="2" t="s">
        <v>1405</v>
      </c>
      <c r="E840" s="148" t="s">
        <v>43</v>
      </c>
      <c r="F840" s="137">
        <f>66*6</f>
        <v>396</v>
      </c>
      <c r="G840" s="253"/>
      <c r="H840" s="253"/>
      <c r="I840" s="249"/>
      <c r="J840" s="253">
        <f t="shared" ref="J840" si="78">ROUND(PRODUCT(F840:I840),2)</f>
        <v>396</v>
      </c>
    </row>
    <row r="841" spans="1:10" s="139" customFormat="1" x14ac:dyDescent="0.2">
      <c r="A841" s="6"/>
      <c r="B841" s="6"/>
      <c r="C841" s="7"/>
      <c r="D841" s="116"/>
      <c r="E841" s="6"/>
      <c r="F841" s="258"/>
      <c r="G841" s="258"/>
      <c r="H841" s="258"/>
      <c r="I841" s="519" t="str">
        <f>"Total item "&amp;A838</f>
        <v>Total item 12.1</v>
      </c>
      <c r="J841" s="518">
        <f>SUM(J840:J840)</f>
        <v>396</v>
      </c>
    </row>
    <row r="842" spans="1:10" x14ac:dyDescent="0.2">
      <c r="A842" s="6"/>
      <c r="B842" s="6"/>
      <c r="C842" s="155"/>
      <c r="D842" s="108"/>
      <c r="E842" s="148"/>
      <c r="F842" s="253"/>
      <c r="G842" s="253"/>
      <c r="H842" s="253"/>
      <c r="I842" s="246"/>
      <c r="J842" s="258"/>
    </row>
    <row r="843" spans="1:10" s="139" customFormat="1" ht="30.6" x14ac:dyDescent="0.2">
      <c r="A843" s="515">
        <f>'ORÇAMENTO SEM DESON'!A112</f>
        <v>12.11</v>
      </c>
      <c r="B843" s="9" t="s">
        <v>163</v>
      </c>
      <c r="C843" s="13" t="s">
        <v>412</v>
      </c>
      <c r="D843" s="520" t="str">
        <f>'ORÇAMENTO SEM DESON'!D112</f>
        <v>ELETRODUTO FLEXÍVEL CORRUGADO, PVC, DN 25 MM (3/4"), PARA CIRCUITOS TERMINAIS, INSTALADO EM FORRO - FORNECIMENTO E INSTALAÇÃO. AF_12/2015</v>
      </c>
      <c r="E843" s="515" t="str">
        <f>'ORÇAMENTO SEM DESON'!E112</f>
        <v>m</v>
      </c>
      <c r="F843" s="518"/>
      <c r="G843" s="518"/>
      <c r="H843" s="518"/>
      <c r="I843" s="519"/>
      <c r="J843" s="518"/>
    </row>
    <row r="844" spans="1:10" x14ac:dyDescent="0.2">
      <c r="A844" s="6"/>
      <c r="B844" s="6"/>
      <c r="C844" s="155"/>
      <c r="D844" s="2"/>
      <c r="E844" s="148"/>
      <c r="F844" s="137" t="s">
        <v>1143</v>
      </c>
      <c r="G844" s="253"/>
      <c r="H844" s="253"/>
      <c r="I844" s="249"/>
      <c r="J844" s="253"/>
    </row>
    <row r="845" spans="1:10" x14ac:dyDescent="0.2">
      <c r="A845" s="6"/>
      <c r="B845" s="6"/>
      <c r="C845" s="155"/>
      <c r="D845" s="2" t="s">
        <v>1405</v>
      </c>
      <c r="E845" s="148" t="s">
        <v>43</v>
      </c>
      <c r="F845" s="137">
        <f>66*3</f>
        <v>198</v>
      </c>
      <c r="G845" s="253"/>
      <c r="H845" s="253"/>
      <c r="I845" s="249"/>
      <c r="J845" s="253">
        <f t="shared" ref="J845" si="79">ROUND(PRODUCT(F845:I845),2)</f>
        <v>198</v>
      </c>
    </row>
    <row r="846" spans="1:10" s="139" customFormat="1" x14ac:dyDescent="0.2">
      <c r="A846" s="6"/>
      <c r="B846" s="6"/>
      <c r="C846" s="7"/>
      <c r="D846" s="116"/>
      <c r="E846" s="6"/>
      <c r="F846" s="258"/>
      <c r="G846" s="258"/>
      <c r="H846" s="258"/>
      <c r="I846" s="519" t="str">
        <f>"Total item "&amp;A843</f>
        <v>Total item 12.11</v>
      </c>
      <c r="J846" s="518">
        <f>SUM(J845:J845)</f>
        <v>198</v>
      </c>
    </row>
    <row r="847" spans="1:10" x14ac:dyDescent="0.2">
      <c r="A847" s="6"/>
      <c r="B847" s="6"/>
      <c r="C847" s="155"/>
      <c r="D847" s="108"/>
      <c r="E847" s="148"/>
      <c r="F847" s="253"/>
      <c r="G847" s="253"/>
      <c r="H847" s="253"/>
      <c r="I847" s="246"/>
      <c r="J847" s="258"/>
    </row>
    <row r="848" spans="1:10" s="139" customFormat="1" ht="20.399999999999999" x14ac:dyDescent="0.2">
      <c r="A848" s="515">
        <f>'ORÇAMENTO SEM DESON'!A113</f>
        <v>12.12</v>
      </c>
      <c r="B848" s="9" t="s">
        <v>163</v>
      </c>
      <c r="C848" s="13" t="s">
        <v>412</v>
      </c>
      <c r="D848" s="520" t="str">
        <f>'ORÇAMENTO SEM DESON'!D113</f>
        <v>RASGO EM ALVENARIA PARA ELETRODUTOS COM DIAMETROS MENORES OU IGUAIS A 40 MM. AF_05/2015</v>
      </c>
      <c r="E848" s="515" t="str">
        <f>'ORÇAMENTO SEM DESON'!E113</f>
        <v>m</v>
      </c>
      <c r="F848" s="518"/>
      <c r="G848" s="518"/>
      <c r="H848" s="518"/>
      <c r="I848" s="519"/>
      <c r="J848" s="518"/>
    </row>
    <row r="849" spans="1:10" x14ac:dyDescent="0.2">
      <c r="A849" s="6"/>
      <c r="B849" s="6"/>
      <c r="C849" s="155"/>
      <c r="D849" s="2"/>
      <c r="E849" s="148"/>
      <c r="F849" s="137" t="s">
        <v>1143</v>
      </c>
      <c r="G849" s="253"/>
      <c r="H849" s="253"/>
      <c r="I849" s="249"/>
      <c r="J849" s="253"/>
    </row>
    <row r="850" spans="1:10" x14ac:dyDescent="0.2">
      <c r="A850" s="6"/>
      <c r="B850" s="6"/>
      <c r="C850" s="155"/>
      <c r="D850" s="2" t="s">
        <v>1405</v>
      </c>
      <c r="E850" s="148" t="s">
        <v>43</v>
      </c>
      <c r="F850" s="137">
        <f>66*3</f>
        <v>198</v>
      </c>
      <c r="G850" s="253"/>
      <c r="H850" s="253"/>
      <c r="I850" s="249"/>
      <c r="J850" s="253">
        <f>ROUND(PRODUCT(F850:I850),2)</f>
        <v>198</v>
      </c>
    </row>
    <row r="851" spans="1:10" x14ac:dyDescent="0.2">
      <c r="A851" s="6"/>
      <c r="B851" s="6"/>
      <c r="C851" s="155"/>
      <c r="D851" s="116"/>
      <c r="E851" s="6"/>
      <c r="F851" s="258"/>
      <c r="G851" s="253"/>
      <c r="H851" s="253"/>
      <c r="I851" s="249"/>
      <c r="J851" s="253"/>
    </row>
    <row r="852" spans="1:10" s="139" customFormat="1" x14ac:dyDescent="0.2">
      <c r="A852" s="6"/>
      <c r="B852" s="6"/>
      <c r="C852" s="7"/>
      <c r="D852" s="116"/>
      <c r="E852" s="6"/>
      <c r="F852" s="258"/>
      <c r="G852" s="258"/>
      <c r="H852" s="258"/>
      <c r="I852" s="519" t="str">
        <f>"Total item "&amp;A848</f>
        <v>Total item 12.12</v>
      </c>
      <c r="J852" s="518">
        <f>SUM(J850:J851)</f>
        <v>198</v>
      </c>
    </row>
    <row r="853" spans="1:10" x14ac:dyDescent="0.2">
      <c r="A853" s="6"/>
      <c r="B853" s="6"/>
      <c r="C853" s="155"/>
      <c r="D853" s="108"/>
      <c r="E853" s="148"/>
      <c r="F853" s="253"/>
      <c r="G853" s="253"/>
      <c r="H853" s="253"/>
      <c r="I853" s="246"/>
      <c r="J853" s="258"/>
    </row>
    <row r="854" spans="1:10" s="139" customFormat="1" ht="20.399999999999999" x14ac:dyDescent="0.2">
      <c r="A854" s="515">
        <f>'ORÇAMENTO SEM DESON'!A114</f>
        <v>12.13</v>
      </c>
      <c r="B854" s="9" t="s">
        <v>163</v>
      </c>
      <c r="C854" s="13" t="s">
        <v>412</v>
      </c>
      <c r="D854" s="520" t="str">
        <f>'ORÇAMENTO SEM DESON'!D114</f>
        <v>HASTE DE ATERRAMENTO 3/4 PARA SPDA - FORNECIMENTO E INSTALAÇÃO. AF_12/2017</v>
      </c>
      <c r="E854" s="515" t="str">
        <f>'ORÇAMENTO SEM DESON'!E114</f>
        <v>un</v>
      </c>
      <c r="F854" s="518"/>
      <c r="G854" s="518"/>
      <c r="H854" s="518"/>
      <c r="I854" s="519"/>
      <c r="J854" s="518"/>
    </row>
    <row r="855" spans="1:10" x14ac:dyDescent="0.2">
      <c r="A855" s="6"/>
      <c r="B855" s="6"/>
      <c r="C855" s="155"/>
      <c r="D855" s="2"/>
      <c r="E855" s="148"/>
      <c r="F855" s="137" t="s">
        <v>1143</v>
      </c>
      <c r="G855" s="253"/>
      <c r="H855" s="253"/>
      <c r="I855" s="249"/>
      <c r="J855" s="253"/>
    </row>
    <row r="856" spans="1:10" x14ac:dyDescent="0.2">
      <c r="A856" s="6"/>
      <c r="B856" s="6"/>
      <c r="C856" s="155"/>
      <c r="D856" s="2" t="s">
        <v>1408</v>
      </c>
      <c r="E856" s="148" t="s">
        <v>33</v>
      </c>
      <c r="F856" s="137">
        <v>3</v>
      </c>
      <c r="G856" s="253"/>
      <c r="H856" s="253"/>
      <c r="I856" s="249"/>
      <c r="J856" s="253">
        <f t="shared" ref="J856" si="80">ROUND(PRODUCT(F856:I856),2)</f>
        <v>3</v>
      </c>
    </row>
    <row r="857" spans="1:10" s="139" customFormat="1" x14ac:dyDescent="0.2">
      <c r="A857" s="6"/>
      <c r="B857" s="6"/>
      <c r="C857" s="7"/>
      <c r="D857" s="116"/>
      <c r="E857" s="6"/>
      <c r="F857" s="258"/>
      <c r="G857" s="258"/>
      <c r="H857" s="258"/>
      <c r="I857" s="519" t="str">
        <f>"Total item "&amp;A854</f>
        <v>Total item 12.13</v>
      </c>
      <c r="J857" s="518">
        <f>SUM(J856:J856)</f>
        <v>3</v>
      </c>
    </row>
    <row r="858" spans="1:10" x14ac:dyDescent="0.2">
      <c r="A858" s="6"/>
      <c r="B858" s="6"/>
      <c r="C858" s="155"/>
      <c r="D858" s="108"/>
      <c r="E858" s="148"/>
      <c r="F858" s="253"/>
      <c r="G858" s="253"/>
      <c r="H858" s="253"/>
      <c r="I858" s="246"/>
      <c r="J858" s="258"/>
    </row>
    <row r="859" spans="1:10" s="139" customFormat="1" ht="20.399999999999999" x14ac:dyDescent="0.2">
      <c r="A859" s="515">
        <f>'ORÇAMENTO SEM DESON'!A115</f>
        <v>12.14</v>
      </c>
      <c r="B859" s="9" t="s">
        <v>163</v>
      </c>
      <c r="C859" s="13" t="s">
        <v>412</v>
      </c>
      <c r="D859" s="520" t="str">
        <f>'ORÇAMENTO SEM DESON'!D115</f>
        <v>GRAMPO METALICO TIPO OLHAL PARA HASTE DE ATERRAMENTO DE 5/8'', CONDUTOR DE *10* A 50 MM2</v>
      </c>
      <c r="E859" s="515" t="str">
        <f>'ORÇAMENTO SEM DESON'!E115</f>
        <v>un</v>
      </c>
      <c r="F859" s="518"/>
      <c r="G859" s="518"/>
      <c r="H859" s="518"/>
      <c r="I859" s="519"/>
      <c r="J859" s="518"/>
    </row>
    <row r="860" spans="1:10" x14ac:dyDescent="0.2">
      <c r="A860" s="6"/>
      <c r="B860" s="6"/>
      <c r="C860" s="155"/>
      <c r="D860" s="2"/>
      <c r="E860" s="148"/>
      <c r="F860" s="137" t="s">
        <v>1143</v>
      </c>
      <c r="G860" s="253"/>
      <c r="H860" s="253"/>
      <c r="I860" s="249"/>
      <c r="J860" s="253"/>
    </row>
    <row r="861" spans="1:10" x14ac:dyDescent="0.2">
      <c r="A861" s="6"/>
      <c r="B861" s="6"/>
      <c r="C861" s="155"/>
      <c r="D861" s="2" t="s">
        <v>1409</v>
      </c>
      <c r="E861" s="148" t="s">
        <v>33</v>
      </c>
      <c r="F861" s="137">
        <v>3</v>
      </c>
      <c r="G861" s="253"/>
      <c r="H861" s="253"/>
      <c r="I861" s="249"/>
      <c r="J861" s="253">
        <f>ROUND(PRODUCT(F861:I861),2)</f>
        <v>3</v>
      </c>
    </row>
    <row r="862" spans="1:10" x14ac:dyDescent="0.2">
      <c r="A862" s="6"/>
      <c r="B862" s="6"/>
      <c r="C862" s="155"/>
      <c r="D862" s="118"/>
      <c r="E862" s="118"/>
      <c r="F862" s="118"/>
      <c r="G862" s="253"/>
      <c r="H862" s="253"/>
      <c r="I862" s="249"/>
      <c r="J862" s="253"/>
    </row>
    <row r="863" spans="1:10" s="139" customFormat="1" x14ac:dyDescent="0.2">
      <c r="A863" s="6"/>
      <c r="B863" s="6"/>
      <c r="C863" s="7"/>
      <c r="D863" s="116"/>
      <c r="E863" s="6"/>
      <c r="F863" s="258"/>
      <c r="G863" s="258"/>
      <c r="H863" s="258"/>
      <c r="I863" s="519" t="str">
        <f>"Total item "&amp;A859</f>
        <v>Total item 12.14</v>
      </c>
      <c r="J863" s="518">
        <f>SUM(J861:J862)</f>
        <v>3</v>
      </c>
    </row>
    <row r="864" spans="1:10" x14ac:dyDescent="0.2">
      <c r="A864" s="6"/>
      <c r="B864" s="6"/>
      <c r="C864" s="155"/>
      <c r="D864" s="108"/>
      <c r="E864" s="148"/>
      <c r="F864" s="253"/>
      <c r="G864" s="253"/>
      <c r="H864" s="253"/>
      <c r="I864" s="246"/>
      <c r="J864" s="258"/>
    </row>
    <row r="865" spans="1:10" s="139" customFormat="1" ht="20.399999999999999" x14ac:dyDescent="0.2">
      <c r="A865" s="515">
        <f>'ORÇAMENTO SEM DESON'!A116</f>
        <v>12.15</v>
      </c>
      <c r="B865" s="9" t="s">
        <v>163</v>
      </c>
      <c r="C865" s="13" t="s">
        <v>412</v>
      </c>
      <c r="D865" s="520" t="str">
        <f>'ORÇAMENTO SEM DESON'!D116</f>
        <v>CORDOALHA DE COBRE NU 16 MM², NÃO ENTERRADA, COM ISOLADOR - FORNECIMENTO E INSTALAÇÃO. AF_12/2017</v>
      </c>
      <c r="E865" s="515" t="str">
        <f>'ORÇAMENTO SEM DESON'!E116</f>
        <v>m</v>
      </c>
      <c r="F865" s="518"/>
      <c r="G865" s="518"/>
      <c r="H865" s="518"/>
      <c r="I865" s="519"/>
      <c r="J865" s="518"/>
    </row>
    <row r="866" spans="1:10" x14ac:dyDescent="0.2">
      <c r="A866" s="6"/>
      <c r="B866" s="6"/>
      <c r="C866" s="155"/>
      <c r="D866" s="2"/>
      <c r="E866" s="148"/>
      <c r="F866" s="137" t="s">
        <v>1143</v>
      </c>
      <c r="G866" s="253"/>
      <c r="H866" s="253"/>
      <c r="I866" s="249"/>
      <c r="J866" s="253"/>
    </row>
    <row r="867" spans="1:10" x14ac:dyDescent="0.2">
      <c r="A867" s="6"/>
      <c r="B867" s="6"/>
      <c r="C867" s="155"/>
      <c r="D867" s="2" t="s">
        <v>1411</v>
      </c>
      <c r="E867" s="148" t="s">
        <v>43</v>
      </c>
      <c r="F867" s="137">
        <f>2.4*3</f>
        <v>7.1999999999999993</v>
      </c>
      <c r="G867" s="253"/>
      <c r="H867" s="253"/>
      <c r="I867" s="249"/>
      <c r="J867" s="253">
        <f>ROUND(PRODUCT(F867:I867),2)</f>
        <v>7.2</v>
      </c>
    </row>
    <row r="868" spans="1:10" x14ac:dyDescent="0.2">
      <c r="A868" s="6"/>
      <c r="B868" s="6"/>
      <c r="C868" s="155"/>
      <c r="D868" s="118"/>
      <c r="E868" s="118"/>
      <c r="F868" s="118"/>
      <c r="G868" s="253"/>
      <c r="H868" s="253"/>
      <c r="I868" s="249"/>
      <c r="J868" s="253"/>
    </row>
    <row r="869" spans="1:10" s="139" customFormat="1" x14ac:dyDescent="0.2">
      <c r="A869" s="6"/>
      <c r="B869" s="6"/>
      <c r="C869" s="7"/>
      <c r="D869" s="116"/>
      <c r="E869" s="6"/>
      <c r="F869" s="258"/>
      <c r="G869" s="258"/>
      <c r="H869" s="258"/>
      <c r="I869" s="519" t="str">
        <f>"Total item "&amp;A865</f>
        <v>Total item 12.15</v>
      </c>
      <c r="J869" s="518">
        <f>SUM(J867:J868)</f>
        <v>7.2</v>
      </c>
    </row>
    <row r="870" spans="1:10" x14ac:dyDescent="0.2">
      <c r="A870" s="6"/>
      <c r="B870" s="6"/>
      <c r="C870" s="155"/>
      <c r="D870" s="108"/>
      <c r="E870" s="148"/>
      <c r="F870" s="253"/>
      <c r="G870" s="253"/>
      <c r="H870" s="253"/>
      <c r="I870" s="246"/>
      <c r="J870" s="258"/>
    </row>
    <row r="871" spans="1:10" s="139" customFormat="1" ht="30.6" x14ac:dyDescent="0.2">
      <c r="A871" s="515">
        <f>'ORÇAMENTO SEM DESON'!A117</f>
        <v>12.16</v>
      </c>
      <c r="B871" s="9" t="s">
        <v>163</v>
      </c>
      <c r="C871" s="13" t="s">
        <v>412</v>
      </c>
      <c r="D871" s="520" t="str">
        <f>'ORÇAMENTO SEM DESON'!D117</f>
        <v>LUMINÁRIA TIPO PLAFON, DE SOBREPOR, COM 1 LÂMPADA LED DE 12/13 W, SEM REATOR - FORNECIMENTO E INSTALAÇÃO.</v>
      </c>
      <c r="E871" s="515" t="str">
        <f>'ORÇAMENTO SEM DESON'!E117</f>
        <v>un</v>
      </c>
      <c r="F871" s="518"/>
      <c r="G871" s="518"/>
      <c r="H871" s="518"/>
      <c r="I871" s="519"/>
      <c r="J871" s="518"/>
    </row>
    <row r="872" spans="1:10" x14ac:dyDescent="0.2">
      <c r="A872" s="6"/>
      <c r="B872" s="6"/>
      <c r="C872" s="155"/>
      <c r="D872" s="2"/>
      <c r="E872" s="148"/>
      <c r="F872" s="137" t="s">
        <v>1143</v>
      </c>
      <c r="G872" s="253"/>
      <c r="H872" s="253"/>
      <c r="I872" s="249"/>
      <c r="J872" s="253"/>
    </row>
    <row r="873" spans="1:10" x14ac:dyDescent="0.2">
      <c r="A873" s="6"/>
      <c r="B873" s="6"/>
      <c r="C873" s="155"/>
      <c r="D873" s="2" t="s">
        <v>402</v>
      </c>
      <c r="E873" s="148" t="s">
        <v>33</v>
      </c>
      <c r="F873" s="137">
        <v>3</v>
      </c>
      <c r="G873" s="253"/>
      <c r="H873" s="253"/>
      <c r="I873" s="249"/>
      <c r="J873" s="253">
        <f t="shared" ref="J873:J880" si="81">ROUND(PRODUCT(F873:I873),2)</f>
        <v>3</v>
      </c>
    </row>
    <row r="874" spans="1:10" x14ac:dyDescent="0.2">
      <c r="A874" s="6"/>
      <c r="B874" s="6"/>
      <c r="C874" s="155"/>
      <c r="D874" s="2" t="s">
        <v>485</v>
      </c>
      <c r="E874" s="148" t="s">
        <v>33</v>
      </c>
      <c r="F874" s="137">
        <v>1</v>
      </c>
      <c r="G874" s="253"/>
      <c r="H874" s="253"/>
      <c r="I874" s="249"/>
      <c r="J874" s="253">
        <f t="shared" si="81"/>
        <v>1</v>
      </c>
    </row>
    <row r="875" spans="1:10" x14ac:dyDescent="0.2">
      <c r="A875" s="6"/>
      <c r="B875" s="6"/>
      <c r="C875" s="155"/>
      <c r="D875" s="2" t="s">
        <v>1110</v>
      </c>
      <c r="E875" s="148" t="s">
        <v>33</v>
      </c>
      <c r="F875" s="137">
        <v>1</v>
      </c>
      <c r="G875" s="253"/>
      <c r="H875" s="253"/>
      <c r="I875" s="249"/>
      <c r="J875" s="253">
        <f t="shared" si="81"/>
        <v>1</v>
      </c>
    </row>
    <row r="876" spans="1:10" x14ac:dyDescent="0.2">
      <c r="A876" s="6"/>
      <c r="B876" s="6"/>
      <c r="C876" s="155"/>
      <c r="D876" s="2" t="s">
        <v>166</v>
      </c>
      <c r="E876" s="148" t="s">
        <v>33</v>
      </c>
      <c r="F876" s="137">
        <v>1</v>
      </c>
      <c r="G876" s="253"/>
      <c r="H876" s="253"/>
      <c r="I876" s="249"/>
      <c r="J876" s="253">
        <f t="shared" si="81"/>
        <v>1</v>
      </c>
    </row>
    <row r="877" spans="1:10" x14ac:dyDescent="0.2">
      <c r="A877" s="6"/>
      <c r="B877" s="6"/>
      <c r="C877" s="155"/>
      <c r="D877" s="2" t="s">
        <v>165</v>
      </c>
      <c r="E877" s="148" t="s">
        <v>33</v>
      </c>
      <c r="F877" s="137">
        <v>2</v>
      </c>
      <c r="G877" s="253"/>
      <c r="H877" s="253"/>
      <c r="I877" s="249"/>
      <c r="J877" s="253">
        <f t="shared" si="81"/>
        <v>2</v>
      </c>
    </row>
    <row r="878" spans="1:10" x14ac:dyDescent="0.2">
      <c r="A878" s="6"/>
      <c r="B878" s="6"/>
      <c r="C878" s="155"/>
      <c r="D878" s="2" t="s">
        <v>374</v>
      </c>
      <c r="E878" s="148" t="s">
        <v>33</v>
      </c>
      <c r="F878" s="137">
        <v>1</v>
      </c>
      <c r="G878" s="253"/>
      <c r="H878" s="253"/>
      <c r="I878" s="249"/>
      <c r="J878" s="253">
        <f t="shared" si="81"/>
        <v>1</v>
      </c>
    </row>
    <row r="879" spans="1:10" x14ac:dyDescent="0.2">
      <c r="A879" s="6"/>
      <c r="B879" s="6"/>
      <c r="C879" s="155"/>
      <c r="D879" s="2" t="s">
        <v>1167</v>
      </c>
      <c r="E879" s="148" t="s">
        <v>33</v>
      </c>
      <c r="F879" s="137">
        <v>2</v>
      </c>
      <c r="G879" s="253"/>
      <c r="H879" s="253"/>
      <c r="I879" s="249"/>
      <c r="J879" s="253">
        <f t="shared" si="81"/>
        <v>2</v>
      </c>
    </row>
    <row r="880" spans="1:10" x14ac:dyDescent="0.2">
      <c r="A880" s="6"/>
      <c r="B880" s="6"/>
      <c r="C880" s="155"/>
      <c r="D880" s="2" t="s">
        <v>1168</v>
      </c>
      <c r="E880" s="148" t="s">
        <v>33</v>
      </c>
      <c r="F880" s="137">
        <v>2</v>
      </c>
      <c r="G880" s="253"/>
      <c r="H880" s="253"/>
      <c r="I880" s="249"/>
      <c r="J880" s="253">
        <f t="shared" si="81"/>
        <v>2</v>
      </c>
    </row>
    <row r="881" spans="1:10" x14ac:dyDescent="0.2">
      <c r="A881" s="6"/>
      <c r="B881" s="6"/>
      <c r="C881" s="155"/>
      <c r="D881" s="2" t="s">
        <v>1174</v>
      </c>
      <c r="E881" s="148" t="s">
        <v>33</v>
      </c>
      <c r="F881" s="137">
        <v>1</v>
      </c>
      <c r="G881" s="253"/>
      <c r="H881" s="253"/>
      <c r="I881" s="249"/>
      <c r="J881" s="253">
        <f>ROUND(PRODUCT(F881:I881),2)</f>
        <v>1</v>
      </c>
    </row>
    <row r="882" spans="1:10" x14ac:dyDescent="0.2">
      <c r="A882" s="6"/>
      <c r="B882" s="6"/>
      <c r="C882" s="155"/>
      <c r="D882" s="2" t="s">
        <v>1173</v>
      </c>
      <c r="E882" s="148" t="s">
        <v>33</v>
      </c>
      <c r="F882" s="137">
        <v>1</v>
      </c>
      <c r="G882" s="253"/>
      <c r="H882" s="253"/>
      <c r="I882" s="249"/>
      <c r="J882" s="253">
        <f t="shared" ref="J882:J890" si="82">ROUND(PRODUCT(F882:I882),2)</f>
        <v>1</v>
      </c>
    </row>
    <row r="883" spans="1:10" x14ac:dyDescent="0.2">
      <c r="A883" s="6"/>
      <c r="B883" s="6"/>
      <c r="C883" s="155"/>
      <c r="D883" s="2" t="s">
        <v>1175</v>
      </c>
      <c r="E883" s="148" t="s">
        <v>33</v>
      </c>
      <c r="F883" s="137">
        <v>2</v>
      </c>
      <c r="G883" s="253"/>
      <c r="H883" s="253"/>
      <c r="I883" s="249"/>
      <c r="J883" s="253">
        <f t="shared" si="82"/>
        <v>2</v>
      </c>
    </row>
    <row r="884" spans="1:10" x14ac:dyDescent="0.2">
      <c r="A884" s="6"/>
      <c r="B884" s="6"/>
      <c r="C884" s="155"/>
      <c r="D884" s="2" t="s">
        <v>1177</v>
      </c>
      <c r="E884" s="148" t="s">
        <v>33</v>
      </c>
      <c r="F884" s="137">
        <v>1</v>
      </c>
      <c r="G884" s="253"/>
      <c r="H884" s="253"/>
      <c r="I884" s="249"/>
      <c r="J884" s="253">
        <f t="shared" si="82"/>
        <v>1</v>
      </c>
    </row>
    <row r="885" spans="1:10" x14ac:dyDescent="0.2">
      <c r="A885" s="6"/>
      <c r="B885" s="6"/>
      <c r="C885" s="155"/>
      <c r="D885" s="2" t="s">
        <v>1392</v>
      </c>
      <c r="E885" s="148" t="s">
        <v>33</v>
      </c>
      <c r="F885" s="137">
        <v>1</v>
      </c>
      <c r="G885" s="253"/>
      <c r="H885" s="253"/>
      <c r="I885" s="249"/>
      <c r="J885" s="253">
        <f t="shared" si="82"/>
        <v>1</v>
      </c>
    </row>
    <row r="886" spans="1:10" x14ac:dyDescent="0.2">
      <c r="A886" s="6"/>
      <c r="B886" s="6"/>
      <c r="C886" s="155"/>
      <c r="D886" s="2" t="s">
        <v>1393</v>
      </c>
      <c r="E886" s="148" t="s">
        <v>33</v>
      </c>
      <c r="F886" s="137">
        <v>1</v>
      </c>
      <c r="G886" s="253"/>
      <c r="H886" s="253"/>
      <c r="I886" s="249"/>
      <c r="J886" s="253">
        <f t="shared" si="82"/>
        <v>1</v>
      </c>
    </row>
    <row r="887" spans="1:10" x14ac:dyDescent="0.2">
      <c r="A887" s="6"/>
      <c r="B887" s="6"/>
      <c r="C887" s="155"/>
      <c r="D887" s="2" t="s">
        <v>1394</v>
      </c>
      <c r="E887" s="148" t="s">
        <v>33</v>
      </c>
      <c r="F887" s="137">
        <v>1</v>
      </c>
      <c r="G887" s="253"/>
      <c r="H887" s="253"/>
      <c r="I887" s="249"/>
      <c r="J887" s="253">
        <f t="shared" si="82"/>
        <v>1</v>
      </c>
    </row>
    <row r="888" spans="1:10" x14ac:dyDescent="0.2">
      <c r="A888" s="6"/>
      <c r="B888" s="6"/>
      <c r="C888" s="155"/>
      <c r="D888" s="2" t="s">
        <v>1395</v>
      </c>
      <c r="E888" s="148" t="s">
        <v>33</v>
      </c>
      <c r="F888" s="137">
        <v>1</v>
      </c>
      <c r="G888" s="253"/>
      <c r="H888" s="253"/>
      <c r="I888" s="249"/>
      <c r="J888" s="253">
        <f t="shared" si="82"/>
        <v>1</v>
      </c>
    </row>
    <row r="889" spans="1:10" x14ac:dyDescent="0.2">
      <c r="A889" s="6"/>
      <c r="B889" s="6"/>
      <c r="C889" s="155"/>
      <c r="D889" s="2" t="s">
        <v>1019</v>
      </c>
      <c r="E889" s="148" t="s">
        <v>33</v>
      </c>
      <c r="F889" s="137">
        <v>6</v>
      </c>
      <c r="G889" s="253"/>
      <c r="H889" s="253"/>
      <c r="I889" s="249"/>
      <c r="J889" s="253">
        <f t="shared" si="82"/>
        <v>6</v>
      </c>
    </row>
    <row r="890" spans="1:10" x14ac:dyDescent="0.2">
      <c r="A890" s="6"/>
      <c r="B890" s="6"/>
      <c r="C890" s="155"/>
      <c r="D890" s="2" t="s">
        <v>1396</v>
      </c>
      <c r="E890" s="148" t="s">
        <v>33</v>
      </c>
      <c r="F890" s="137">
        <v>6</v>
      </c>
      <c r="G890" s="253"/>
      <c r="H890" s="253"/>
      <c r="I890" s="249"/>
      <c r="J890" s="253">
        <f t="shared" si="82"/>
        <v>6</v>
      </c>
    </row>
    <row r="891" spans="1:10" s="139" customFormat="1" x14ac:dyDescent="0.2">
      <c r="A891" s="6"/>
      <c r="B891" s="6"/>
      <c r="C891" s="7"/>
      <c r="D891" s="116"/>
      <c r="E891" s="6"/>
      <c r="F891" s="258"/>
      <c r="G891" s="258"/>
      <c r="H891" s="258"/>
      <c r="I891" s="519" t="str">
        <f>"Total item "&amp;A871</f>
        <v>Total item 12.16</v>
      </c>
      <c r="J891" s="518">
        <f>SUM(J873:J890)</f>
        <v>34</v>
      </c>
    </row>
    <row r="892" spans="1:10" x14ac:dyDescent="0.2">
      <c r="A892" s="6"/>
      <c r="B892" s="6"/>
      <c r="C892" s="155"/>
      <c r="D892" s="108"/>
      <c r="E892" s="148"/>
      <c r="F892" s="253"/>
      <c r="G892" s="253"/>
      <c r="H892" s="253"/>
      <c r="I892" s="246"/>
      <c r="J892" s="258"/>
    </row>
    <row r="893" spans="1:10" s="139" customFormat="1" ht="20.399999999999999" x14ac:dyDescent="0.2">
      <c r="A893" s="515">
        <f>'ORÇAMENTO SEM DESON'!A118</f>
        <v>12.17</v>
      </c>
      <c r="B893" s="9" t="s">
        <v>163</v>
      </c>
      <c r="C893" s="13" t="s">
        <v>412</v>
      </c>
      <c r="D893" s="520" t="str">
        <f>'ORÇAMENTO SEM DESON'!D118</f>
        <v>DISPOSITIVO DE PROTEÇÃO CONTRA SURTOS DE TENSÃO - DPS's - 40 KA/440V</v>
      </c>
      <c r="E893" s="515" t="str">
        <f>'ORÇAMENTO SEM DESON'!E118</f>
        <v>un</v>
      </c>
      <c r="F893" s="518"/>
      <c r="G893" s="518"/>
      <c r="H893" s="518"/>
      <c r="I893" s="519"/>
      <c r="J893" s="518"/>
    </row>
    <row r="894" spans="1:10" x14ac:dyDescent="0.2">
      <c r="A894" s="6"/>
      <c r="B894" s="6"/>
      <c r="C894" s="155"/>
      <c r="D894" s="2"/>
      <c r="E894" s="148"/>
      <c r="F894" s="137" t="s">
        <v>1143</v>
      </c>
      <c r="G894" s="253"/>
      <c r="H894" s="253"/>
      <c r="I894" s="249"/>
      <c r="J894" s="253"/>
    </row>
    <row r="895" spans="1:10" x14ac:dyDescent="0.2">
      <c r="A895" s="6"/>
      <c r="B895" s="6"/>
      <c r="C895" s="155"/>
      <c r="D895" s="2" t="s">
        <v>1446</v>
      </c>
      <c r="E895" s="148" t="s">
        <v>33</v>
      </c>
      <c r="F895" s="137">
        <v>1</v>
      </c>
      <c r="G895" s="253"/>
      <c r="H895" s="253"/>
      <c r="I895" s="249"/>
      <c r="J895" s="253">
        <f t="shared" ref="J895" si="83">ROUND(PRODUCT(F895:I895),2)</f>
        <v>1</v>
      </c>
    </row>
    <row r="896" spans="1:10" x14ac:dyDescent="0.2">
      <c r="A896" s="6"/>
      <c r="B896" s="6"/>
      <c r="C896" s="155"/>
      <c r="D896" s="2"/>
      <c r="E896" s="148"/>
      <c r="F896" s="137"/>
      <c r="G896" s="253"/>
      <c r="H896" s="253"/>
      <c r="I896" s="249"/>
      <c r="J896" s="253"/>
    </row>
    <row r="897" spans="1:10" s="139" customFormat="1" x14ac:dyDescent="0.2">
      <c r="A897" s="6"/>
      <c r="B897" s="6"/>
      <c r="C897" s="7"/>
      <c r="D897" s="116"/>
      <c r="E897" s="6"/>
      <c r="F897" s="258"/>
      <c r="G897" s="258"/>
      <c r="H897" s="258"/>
      <c r="I897" s="519" t="str">
        <f>"Total item "&amp;A893</f>
        <v>Total item 12.17</v>
      </c>
      <c r="J897" s="518">
        <f>SUM(J895:J896)</f>
        <v>1</v>
      </c>
    </row>
    <row r="898" spans="1:10" x14ac:dyDescent="0.2">
      <c r="A898" s="6"/>
      <c r="B898" s="6"/>
      <c r="C898" s="155"/>
      <c r="D898" s="108"/>
      <c r="E898" s="148"/>
      <c r="F898" s="253"/>
      <c r="G898" s="253"/>
      <c r="H898" s="253"/>
      <c r="I898" s="246"/>
      <c r="J898" s="258"/>
    </row>
    <row r="899" spans="1:10" s="139" customFormat="1" x14ac:dyDescent="0.2">
      <c r="A899" s="515">
        <f>'ORÇAMENTO SEM DESON'!A119</f>
        <v>12.18</v>
      </c>
      <c r="B899" s="9" t="s">
        <v>163</v>
      </c>
      <c r="C899" s="13" t="s">
        <v>412</v>
      </c>
      <c r="D899" s="520" t="str">
        <f>'ORÇAMENTO SEM DESON'!D119</f>
        <v>DISJUNTOR DIFERENCIAL DR-16A - 40A, 30mA</v>
      </c>
      <c r="E899" s="515" t="str">
        <f>'ORÇAMENTO SEM DESON'!E119</f>
        <v>un</v>
      </c>
      <c r="F899" s="518"/>
      <c r="G899" s="518"/>
      <c r="H899" s="518"/>
      <c r="I899" s="519"/>
      <c r="J899" s="518"/>
    </row>
    <row r="900" spans="1:10" x14ac:dyDescent="0.2">
      <c r="A900" s="6"/>
      <c r="B900" s="6"/>
      <c r="C900" s="155"/>
      <c r="D900" s="2"/>
      <c r="E900" s="148"/>
      <c r="F900" s="137" t="s">
        <v>1143</v>
      </c>
      <c r="G900" s="253"/>
      <c r="H900" s="253"/>
      <c r="I900" s="249"/>
      <c r="J900" s="253"/>
    </row>
    <row r="901" spans="1:10" x14ac:dyDescent="0.2">
      <c r="A901" s="6"/>
      <c r="B901" s="6"/>
      <c r="C901" s="155"/>
      <c r="D901" s="2" t="s">
        <v>1446</v>
      </c>
      <c r="E901" s="148" t="s">
        <v>33</v>
      </c>
      <c r="F901" s="137">
        <v>1</v>
      </c>
      <c r="G901" s="253"/>
      <c r="H901" s="253"/>
      <c r="I901" s="249"/>
      <c r="J901" s="253">
        <f>ROUND(PRODUCT(F901:I901),2)</f>
        <v>1</v>
      </c>
    </row>
    <row r="902" spans="1:10" s="139" customFormat="1" x14ac:dyDescent="0.2">
      <c r="A902" s="6"/>
      <c r="B902" s="6"/>
      <c r="C902" s="7"/>
      <c r="D902" s="116"/>
      <c r="E902" s="6"/>
      <c r="F902" s="258"/>
      <c r="G902" s="258"/>
      <c r="H902" s="258"/>
      <c r="I902" s="519" t="str">
        <f>"Total item "&amp;A899</f>
        <v>Total item 12.18</v>
      </c>
      <c r="J902" s="518">
        <f>SUM(J901:J901)</f>
        <v>1</v>
      </c>
    </row>
    <row r="903" spans="1:10" x14ac:dyDescent="0.2">
      <c r="A903" s="6"/>
      <c r="B903" s="6"/>
      <c r="C903" s="155"/>
      <c r="D903" s="108"/>
      <c r="E903" s="148"/>
      <c r="F903" s="253"/>
      <c r="G903" s="253"/>
      <c r="H903" s="253"/>
      <c r="I903" s="246"/>
      <c r="J903" s="258"/>
    </row>
    <row r="904" spans="1:10" s="139" customFormat="1" ht="30.6" x14ac:dyDescent="0.2">
      <c r="A904" s="515">
        <f>'ORÇAMENTO SEM DESON'!A120</f>
        <v>12.19</v>
      </c>
      <c r="B904" s="9" t="s">
        <v>163</v>
      </c>
      <c r="C904" s="13" t="s">
        <v>412</v>
      </c>
      <c r="D904" s="520" t="str">
        <f>'ORÇAMENTO SEM DESON'!D120</f>
        <v>CABO DE COBRE FLEXÍVEL ISOLADO, 4 MM², ANTI-CHAMA 450/750 V, PARA CIRCUITOS TERMINAIS - FORNECIMENTO E INSTALAÇÃO. AF_12/2015</v>
      </c>
      <c r="E904" s="515" t="str">
        <f>'ORÇAMENTO SEM DESON'!E120</f>
        <v>m</v>
      </c>
      <c r="F904" s="518"/>
      <c r="G904" s="518"/>
      <c r="H904" s="518"/>
      <c r="I904" s="519"/>
      <c r="J904" s="518"/>
    </row>
    <row r="905" spans="1:10" x14ac:dyDescent="0.2">
      <c r="A905" s="6"/>
      <c r="B905" s="6"/>
      <c r="C905" s="155"/>
      <c r="D905" s="2"/>
      <c r="E905" s="148"/>
      <c r="F905" s="137" t="s">
        <v>1143</v>
      </c>
      <c r="G905" s="253"/>
      <c r="H905" s="253"/>
      <c r="I905" s="249"/>
      <c r="J905" s="253"/>
    </row>
    <row r="906" spans="1:10" x14ac:dyDescent="0.2">
      <c r="A906" s="6"/>
      <c r="B906" s="6"/>
      <c r="C906" s="155"/>
      <c r="D906" s="2" t="s">
        <v>1405</v>
      </c>
      <c r="E906" s="148" t="s">
        <v>43</v>
      </c>
      <c r="F906" s="137">
        <v>100</v>
      </c>
      <c r="G906" s="253"/>
      <c r="H906" s="253"/>
      <c r="I906" s="249"/>
      <c r="J906" s="253">
        <f>ROUND(PRODUCT(F906:I906),2)</f>
        <v>100</v>
      </c>
    </row>
    <row r="907" spans="1:10" s="139" customFormat="1" x14ac:dyDescent="0.2">
      <c r="A907" s="6"/>
      <c r="B907" s="6"/>
      <c r="C907" s="7"/>
      <c r="D907" s="116"/>
      <c r="E907" s="6"/>
      <c r="F907" s="258"/>
      <c r="G907" s="258"/>
      <c r="H907" s="258"/>
      <c r="I907" s="519" t="str">
        <f>"Total item "&amp;A904</f>
        <v>Total item 12.19</v>
      </c>
      <c r="J907" s="518">
        <f>SUM(J906:J906)</f>
        <v>100</v>
      </c>
    </row>
    <row r="908" spans="1:10" x14ac:dyDescent="0.2">
      <c r="A908" s="6"/>
      <c r="B908" s="6"/>
      <c r="C908" s="155"/>
      <c r="D908" s="108"/>
      <c r="E908" s="148"/>
      <c r="F908" s="253"/>
      <c r="G908" s="253"/>
      <c r="H908" s="253"/>
      <c r="I908" s="246"/>
      <c r="J908" s="258"/>
    </row>
    <row r="909" spans="1:10" s="145" customFormat="1" x14ac:dyDescent="0.2">
      <c r="A909" s="505">
        <f>'ORÇAMENTO SEM DESON'!A121</f>
        <v>13</v>
      </c>
      <c r="B909" s="549"/>
      <c r="C909" s="499"/>
      <c r="D909" s="504" t="str">
        <f>'ORÇAMENTO SEM DESON'!D121</f>
        <v>INSTALAÇÕES HIDROSSANITÁRIAS</v>
      </c>
      <c r="E909" s="549"/>
      <c r="F909" s="513"/>
      <c r="G909" s="513"/>
      <c r="H909" s="513"/>
      <c r="I909" s="514"/>
      <c r="J909" s="513"/>
    </row>
    <row r="910" spans="1:10" x14ac:dyDescent="0.2">
      <c r="A910" s="6"/>
      <c r="B910" s="6"/>
      <c r="C910" s="155"/>
      <c r="D910" s="108"/>
      <c r="E910" s="148"/>
      <c r="F910" s="253"/>
      <c r="G910" s="253"/>
      <c r="H910" s="253"/>
      <c r="I910" s="246"/>
      <c r="J910" s="258"/>
    </row>
    <row r="911" spans="1:10" s="139" customFormat="1" ht="20.399999999999999" x14ac:dyDescent="0.2">
      <c r="A911" s="515">
        <f>'ORÇAMENTO SEM DESON'!A122</f>
        <v>13.1</v>
      </c>
      <c r="B911" s="9" t="s">
        <v>163</v>
      </c>
      <c r="C911" s="13" t="s">
        <v>412</v>
      </c>
      <c r="D911" s="520" t="str">
        <f>'ORÇAMENTO SEM DESON'!D122</f>
        <v>REGISTRO DE PRESSÃO BRUTO, LATÃO, ROSCÁVEL, 3/4'' - FORNECIMENTO E INSTALAÇÃO. AF_08/2021</v>
      </c>
      <c r="E911" s="515" t="str">
        <f>'ORÇAMENTO SEM DESON'!E122</f>
        <v>un</v>
      </c>
      <c r="F911" s="518"/>
      <c r="G911" s="518"/>
      <c r="H911" s="518"/>
      <c r="I911" s="519"/>
      <c r="J911" s="518"/>
    </row>
    <row r="912" spans="1:10" x14ac:dyDescent="0.2">
      <c r="A912" s="6"/>
      <c r="B912" s="6"/>
      <c r="C912" s="155"/>
      <c r="D912" s="2"/>
      <c r="E912" s="148"/>
      <c r="F912" s="137" t="s">
        <v>1143</v>
      </c>
      <c r="G912" s="253"/>
      <c r="H912" s="253"/>
      <c r="I912" s="249"/>
      <c r="J912" s="253"/>
    </row>
    <row r="913" spans="1:10" x14ac:dyDescent="0.2">
      <c r="A913" s="6"/>
      <c r="B913" s="6"/>
      <c r="C913" s="155"/>
      <c r="D913" s="2" t="s">
        <v>1167</v>
      </c>
      <c r="E913" s="148" t="s">
        <v>33</v>
      </c>
      <c r="F913" s="137">
        <v>1</v>
      </c>
      <c r="G913" s="253"/>
      <c r="H913" s="253"/>
      <c r="I913" s="249"/>
      <c r="J913" s="253">
        <f t="shared" ref="J913:J914" si="84">ROUND(PRODUCT(F913:I913),2)</f>
        <v>1</v>
      </c>
    </row>
    <row r="914" spans="1:10" x14ac:dyDescent="0.2">
      <c r="A914" s="6"/>
      <c r="B914" s="6"/>
      <c r="C914" s="155"/>
      <c r="D914" s="2" t="s">
        <v>1168</v>
      </c>
      <c r="E914" s="148" t="s">
        <v>33</v>
      </c>
      <c r="F914" s="137">
        <v>1</v>
      </c>
      <c r="G914" s="253"/>
      <c r="H914" s="253"/>
      <c r="I914" s="249"/>
      <c r="J914" s="253">
        <f t="shared" si="84"/>
        <v>1</v>
      </c>
    </row>
    <row r="915" spans="1:10" s="139" customFormat="1" x14ac:dyDescent="0.2">
      <c r="A915" s="6"/>
      <c r="B915" s="6"/>
      <c r="C915" s="7"/>
      <c r="D915" s="116"/>
      <c r="E915" s="6"/>
      <c r="F915" s="258"/>
      <c r="G915" s="258"/>
      <c r="H915" s="258"/>
      <c r="I915" s="519" t="str">
        <f>"Total item "&amp;A911</f>
        <v>Total item 13.1</v>
      </c>
      <c r="J915" s="518">
        <f>SUM(J913:J914)</f>
        <v>2</v>
      </c>
    </row>
    <row r="916" spans="1:10" x14ac:dyDescent="0.2">
      <c r="A916" s="6"/>
      <c r="B916" s="6"/>
      <c r="C916" s="155"/>
      <c r="D916" s="108"/>
      <c r="E916" s="148"/>
      <c r="F916" s="253"/>
      <c r="G916" s="253"/>
      <c r="H916" s="253"/>
      <c r="I916" s="246"/>
      <c r="J916" s="258"/>
    </row>
    <row r="917" spans="1:10" s="139" customFormat="1" ht="20.399999999999999" x14ac:dyDescent="0.2">
      <c r="A917" s="515">
        <f>'ORÇAMENTO SEM DESON'!A123</f>
        <v>13.2</v>
      </c>
      <c r="B917" s="9" t="s">
        <v>163</v>
      </c>
      <c r="C917" s="13" t="s">
        <v>412</v>
      </c>
      <c r="D917" s="520" t="str">
        <f>'ORÇAMENTO SEM DESON'!D123</f>
        <v>REGISTRO DE GAVETA BRUTO, LATÃO, ROSCÁVEL, 3/4" - FORNECIMENTO E INSTALAÇÃO. AF_08/2021</v>
      </c>
      <c r="E917" s="515" t="str">
        <f>'ORÇAMENTO SEM DESON'!E123</f>
        <v>un</v>
      </c>
      <c r="F917" s="518"/>
      <c r="G917" s="518"/>
      <c r="H917" s="518"/>
      <c r="I917" s="519"/>
      <c r="J917" s="518"/>
    </row>
    <row r="918" spans="1:10" x14ac:dyDescent="0.2">
      <c r="A918" s="6"/>
      <c r="B918" s="6"/>
      <c r="C918" s="155"/>
      <c r="D918" s="2"/>
      <c r="E918" s="148"/>
      <c r="F918" s="137" t="s">
        <v>1143</v>
      </c>
      <c r="G918" s="253"/>
      <c r="H918" s="253"/>
      <c r="I918" s="249"/>
      <c r="J918" s="253"/>
    </row>
    <row r="919" spans="1:10" x14ac:dyDescent="0.2">
      <c r="A919" s="6"/>
      <c r="B919" s="6"/>
      <c r="C919" s="155"/>
      <c r="D919" s="2" t="s">
        <v>165</v>
      </c>
      <c r="E919" s="148" t="s">
        <v>33</v>
      </c>
      <c r="F919" s="137">
        <v>1</v>
      </c>
      <c r="G919" s="253"/>
      <c r="H919" s="253"/>
      <c r="I919" s="249"/>
      <c r="J919" s="253">
        <f>ROUND(PRODUCT(F919:I919),2)</f>
        <v>1</v>
      </c>
    </row>
    <row r="920" spans="1:10" x14ac:dyDescent="0.2">
      <c r="A920" s="6"/>
      <c r="B920" s="6"/>
      <c r="C920" s="155"/>
      <c r="D920" s="2" t="s">
        <v>1167</v>
      </c>
      <c r="E920" s="148" t="s">
        <v>33</v>
      </c>
      <c r="F920" s="137">
        <v>1</v>
      </c>
      <c r="G920" s="253"/>
      <c r="H920" s="253"/>
      <c r="I920" s="249"/>
      <c r="J920" s="253">
        <f>ROUND(PRODUCT(F920:I920),2)</f>
        <v>1</v>
      </c>
    </row>
    <row r="921" spans="1:10" x14ac:dyDescent="0.2">
      <c r="A921" s="6"/>
      <c r="B921" s="6"/>
      <c r="C921" s="155"/>
      <c r="D921" s="2" t="s">
        <v>1168</v>
      </c>
      <c r="E921" s="148" t="s">
        <v>33</v>
      </c>
      <c r="F921" s="137">
        <v>1</v>
      </c>
      <c r="G921" s="253"/>
      <c r="H921" s="253"/>
      <c r="I921" s="249"/>
      <c r="J921" s="253">
        <f>ROUND(PRODUCT(F921:I921),2)</f>
        <v>1</v>
      </c>
    </row>
    <row r="922" spans="1:10" x14ac:dyDescent="0.2">
      <c r="A922" s="6"/>
      <c r="B922" s="6"/>
      <c r="C922" s="155"/>
      <c r="D922" s="2" t="s">
        <v>1387</v>
      </c>
      <c r="E922" s="148" t="s">
        <v>33</v>
      </c>
      <c r="F922" s="137">
        <v>1</v>
      </c>
      <c r="G922" s="253"/>
      <c r="H922" s="253"/>
      <c r="I922" s="249"/>
      <c r="J922" s="253">
        <f>ROUND(PRODUCT(F922:I922),2)</f>
        <v>1</v>
      </c>
    </row>
    <row r="923" spans="1:10" x14ac:dyDescent="0.2">
      <c r="A923" s="6"/>
      <c r="B923" s="6"/>
      <c r="C923" s="155"/>
      <c r="D923" s="2" t="s">
        <v>1177</v>
      </c>
      <c r="E923" s="148" t="s">
        <v>33</v>
      </c>
      <c r="F923" s="137">
        <v>1</v>
      </c>
      <c r="G923" s="253"/>
      <c r="H923" s="253"/>
      <c r="I923" s="249"/>
      <c r="J923" s="253">
        <f>ROUND(PRODUCT(F923:I923),2)</f>
        <v>1</v>
      </c>
    </row>
    <row r="924" spans="1:10" s="139" customFormat="1" x14ac:dyDescent="0.2">
      <c r="A924" s="6"/>
      <c r="B924" s="6"/>
      <c r="C924" s="7"/>
      <c r="D924" s="116"/>
      <c r="E924" s="6"/>
      <c r="F924" s="258"/>
      <c r="G924" s="258"/>
      <c r="H924" s="258"/>
      <c r="I924" s="519" t="str">
        <f>"Total item "&amp;A917</f>
        <v>Total item 13.2</v>
      </c>
      <c r="J924" s="518">
        <f>SUM(J919:J923)</f>
        <v>5</v>
      </c>
    </row>
    <row r="925" spans="1:10" x14ac:dyDescent="0.2">
      <c r="A925" s="6"/>
      <c r="B925" s="6"/>
      <c r="C925" s="155"/>
      <c r="D925" s="108"/>
      <c r="E925" s="148"/>
      <c r="F925" s="253"/>
      <c r="G925" s="253"/>
      <c r="H925" s="253"/>
      <c r="I925" s="246"/>
      <c r="J925" s="258"/>
    </row>
    <row r="926" spans="1:10" s="139" customFormat="1" ht="20.399999999999999" x14ac:dyDescent="0.2">
      <c r="A926" s="515">
        <f>'ORÇAMENTO SEM DESON'!A124</f>
        <v>13.3</v>
      </c>
      <c r="B926" s="9" t="s">
        <v>163</v>
      </c>
      <c r="C926" s="13" t="s">
        <v>412</v>
      </c>
      <c r="D926" s="520" t="str">
        <f>'ORÇAMENTO SEM DESON'!D124</f>
        <v>TORNEIRA DE BOIA PARA CAIXA D'ÁGUA, ROSCÁVEL, 3/4" - FORNECIMENTO E INSTALAÇÃO. AF_08/2021</v>
      </c>
      <c r="E926" s="515" t="str">
        <f>'ORÇAMENTO SEM DESON'!E124</f>
        <v>un</v>
      </c>
      <c r="F926" s="518"/>
      <c r="G926" s="518"/>
      <c r="H926" s="518"/>
      <c r="I926" s="519"/>
      <c r="J926" s="518"/>
    </row>
    <row r="927" spans="1:10" x14ac:dyDescent="0.2">
      <c r="A927" s="6"/>
      <c r="B927" s="6"/>
      <c r="C927" s="155"/>
      <c r="D927" s="2"/>
      <c r="E927" s="148"/>
      <c r="F927" s="137" t="s">
        <v>1143</v>
      </c>
      <c r="G927" s="253"/>
      <c r="H927" s="253"/>
      <c r="I927" s="249"/>
      <c r="J927" s="253"/>
    </row>
    <row r="928" spans="1:10" x14ac:dyDescent="0.2">
      <c r="A928" s="6"/>
      <c r="B928" s="6"/>
      <c r="C928" s="155"/>
      <c r="D928" s="2" t="s">
        <v>1426</v>
      </c>
      <c r="E928" s="148" t="s">
        <v>33</v>
      </c>
      <c r="F928" s="137">
        <v>1</v>
      </c>
      <c r="G928" s="253"/>
      <c r="H928" s="253"/>
      <c r="I928" s="249"/>
      <c r="J928" s="253">
        <f>ROUND(PRODUCT(F928:I928),2)</f>
        <v>1</v>
      </c>
    </row>
    <row r="929" spans="1:10" s="139" customFormat="1" x14ac:dyDescent="0.2">
      <c r="A929" s="6"/>
      <c r="B929" s="6"/>
      <c r="C929" s="7"/>
      <c r="D929" s="116"/>
      <c r="E929" s="6"/>
      <c r="F929" s="258"/>
      <c r="G929" s="258"/>
      <c r="H929" s="258"/>
      <c r="I929" s="519" t="str">
        <f>"Total item "&amp;A926</f>
        <v>Total item 13.3</v>
      </c>
      <c r="J929" s="518">
        <f>SUM(J928:J928)</f>
        <v>1</v>
      </c>
    </row>
    <row r="930" spans="1:10" x14ac:dyDescent="0.2">
      <c r="A930" s="6"/>
      <c r="B930" s="6"/>
      <c r="C930" s="155"/>
      <c r="D930" s="108"/>
      <c r="E930" s="148"/>
      <c r="F930" s="253"/>
      <c r="G930" s="253"/>
      <c r="H930" s="253"/>
      <c r="I930" s="246"/>
      <c r="J930" s="258"/>
    </row>
    <row r="931" spans="1:10" s="139" customFormat="1" ht="30.6" x14ac:dyDescent="0.2">
      <c r="A931" s="515">
        <f>'ORÇAMENTO SEM DESON'!A125</f>
        <v>13.4</v>
      </c>
      <c r="B931" s="9" t="s">
        <v>163</v>
      </c>
      <c r="C931" s="13" t="s">
        <v>412</v>
      </c>
      <c r="D931" s="520" t="str">
        <f>'ORÇAMENTO SEM DESON'!D125</f>
        <v>PONTO DE AGUA, INCLUSIVE TUBULACOES E CONEXOES
DE PVC RIGIDO ROSQUEAVEL E ABERTURA DE RASGOS EM ALVENARIA,ATE O REGISTRO GERAL DO AMBIENTE.</v>
      </c>
      <c r="E931" s="515" t="str">
        <f>'ORÇAMENTO SEM DESON'!E125</f>
        <v>pt</v>
      </c>
      <c r="F931" s="518"/>
      <c r="G931" s="518"/>
      <c r="H931" s="518"/>
      <c r="I931" s="519"/>
      <c r="J931" s="518"/>
    </row>
    <row r="932" spans="1:10" x14ac:dyDescent="0.2">
      <c r="A932" s="6"/>
      <c r="B932" s="6"/>
      <c r="C932" s="155"/>
      <c r="D932" s="2"/>
      <c r="E932" s="148"/>
      <c r="F932" s="137" t="s">
        <v>1143</v>
      </c>
      <c r="G932" s="253"/>
      <c r="H932" s="253"/>
      <c r="I932" s="249"/>
      <c r="J932" s="253"/>
    </row>
    <row r="933" spans="1:10" x14ac:dyDescent="0.2">
      <c r="A933" s="6"/>
      <c r="B933" s="6"/>
      <c r="C933" s="155"/>
      <c r="D933" s="2" t="s">
        <v>1167</v>
      </c>
      <c r="E933" s="148" t="s">
        <v>31</v>
      </c>
      <c r="F933" s="137">
        <v>7</v>
      </c>
      <c r="G933" s="253"/>
      <c r="H933" s="253"/>
      <c r="I933" s="249"/>
      <c r="J933" s="253">
        <f t="shared" ref="J933:J938" si="85">ROUND(PRODUCT(F933:I933),2)</f>
        <v>7</v>
      </c>
    </row>
    <row r="934" spans="1:10" x14ac:dyDescent="0.2">
      <c r="A934" s="6"/>
      <c r="B934" s="6"/>
      <c r="C934" s="155"/>
      <c r="D934" s="2" t="s">
        <v>1168</v>
      </c>
      <c r="E934" s="148" t="s">
        <v>31</v>
      </c>
      <c r="F934" s="137">
        <v>5</v>
      </c>
      <c r="G934" s="253"/>
      <c r="H934" s="253"/>
      <c r="I934" s="249"/>
      <c r="J934" s="253">
        <f t="shared" si="85"/>
        <v>5</v>
      </c>
    </row>
    <row r="935" spans="1:10" x14ac:dyDescent="0.2">
      <c r="A935" s="6"/>
      <c r="B935" s="6"/>
      <c r="C935" s="155"/>
      <c r="D935" s="2" t="s">
        <v>165</v>
      </c>
      <c r="E935" s="148" t="s">
        <v>31</v>
      </c>
      <c r="F935" s="137">
        <v>2</v>
      </c>
      <c r="G935" s="253"/>
      <c r="H935" s="253"/>
      <c r="I935" s="249"/>
      <c r="J935" s="253">
        <f t="shared" si="85"/>
        <v>2</v>
      </c>
    </row>
    <row r="936" spans="1:10" x14ac:dyDescent="0.2">
      <c r="A936" s="6"/>
      <c r="B936" s="6"/>
      <c r="C936" s="155"/>
      <c r="D936" s="2" t="s">
        <v>485</v>
      </c>
      <c r="E936" s="148" t="s">
        <v>31</v>
      </c>
      <c r="F936" s="137">
        <v>2</v>
      </c>
      <c r="G936" s="253"/>
      <c r="H936" s="253"/>
      <c r="I936" s="249"/>
      <c r="J936" s="253">
        <f t="shared" si="85"/>
        <v>2</v>
      </c>
    </row>
    <row r="937" spans="1:10" x14ac:dyDescent="0.2">
      <c r="A937" s="6"/>
      <c r="B937" s="6"/>
      <c r="C937" s="155"/>
      <c r="D937" s="2" t="s">
        <v>1177</v>
      </c>
      <c r="E937" s="148" t="s">
        <v>31</v>
      </c>
      <c r="F937" s="137">
        <v>2</v>
      </c>
      <c r="G937" s="253"/>
      <c r="H937" s="253"/>
      <c r="I937" s="249"/>
      <c r="J937" s="253">
        <f t="shared" si="85"/>
        <v>2</v>
      </c>
    </row>
    <row r="938" spans="1:10" x14ac:dyDescent="0.2">
      <c r="A938" s="6"/>
      <c r="B938" s="6"/>
      <c r="C938" s="155"/>
      <c r="D938" s="575" t="s">
        <v>1427</v>
      </c>
      <c r="E938" s="148" t="s">
        <v>31</v>
      </c>
      <c r="F938" s="137">
        <v>2</v>
      </c>
      <c r="G938" s="253"/>
      <c r="H938" s="253"/>
      <c r="I938" s="249"/>
      <c r="J938" s="253">
        <f t="shared" si="85"/>
        <v>2</v>
      </c>
    </row>
    <row r="939" spans="1:10" s="139" customFormat="1" x14ac:dyDescent="0.2">
      <c r="A939" s="6"/>
      <c r="B939" s="6"/>
      <c r="C939" s="7"/>
      <c r="D939" s="116"/>
      <c r="E939" s="6"/>
      <c r="F939" s="258"/>
      <c r="G939" s="258"/>
      <c r="H939" s="258"/>
      <c r="I939" s="519" t="str">
        <f>"Total item "&amp;A931</f>
        <v>Total item 13.4</v>
      </c>
      <c r="J939" s="518">
        <f>SUM(J933:J938)</f>
        <v>20</v>
      </c>
    </row>
    <row r="940" spans="1:10" x14ac:dyDescent="0.2">
      <c r="A940" s="6"/>
      <c r="B940" s="6"/>
      <c r="C940" s="155"/>
      <c r="D940" s="108"/>
      <c r="E940" s="148"/>
      <c r="F940" s="253"/>
      <c r="G940" s="253"/>
      <c r="H940" s="253"/>
      <c r="I940" s="246"/>
      <c r="J940" s="258"/>
    </row>
    <row r="941" spans="1:10" s="139" customFormat="1" ht="30.6" x14ac:dyDescent="0.2">
      <c r="A941" s="515">
        <f>'ORÇAMENTO SEM DESON'!A126</f>
        <v>13.5</v>
      </c>
      <c r="B941" s="9" t="s">
        <v>163</v>
      </c>
      <c r="C941" s="13" t="s">
        <v>412</v>
      </c>
      <c r="D941" s="520" t="str">
        <f>'ORÇAMENTO SEM DESON'!D126</f>
        <v>PONTO DE ESGOTO PARA BACIA SANITARIA, INCLUSIVE
TUBULACOES E CONEXOES EM PVC RIGI DO SOLDAVEIS, ATE A COLUNA OU O SUB-COLE- TOR.</v>
      </c>
      <c r="E941" s="515" t="str">
        <f>'ORÇAMENTO SEM DESON'!E126</f>
        <v>pt</v>
      </c>
      <c r="F941" s="518"/>
      <c r="G941" s="518"/>
      <c r="H941" s="518"/>
      <c r="I941" s="519"/>
      <c r="J941" s="518"/>
    </row>
    <row r="942" spans="1:10" x14ac:dyDescent="0.2">
      <c r="A942" s="6"/>
      <c r="B942" s="6"/>
      <c r="C942" s="155"/>
      <c r="D942" s="2"/>
      <c r="E942" s="148"/>
      <c r="F942" s="137" t="s">
        <v>1143</v>
      </c>
      <c r="G942" s="253"/>
      <c r="H942" s="253"/>
      <c r="I942" s="249"/>
      <c r="J942" s="253"/>
    </row>
    <row r="943" spans="1:10" x14ac:dyDescent="0.2">
      <c r="A943" s="6"/>
      <c r="B943" s="6"/>
      <c r="C943" s="155"/>
      <c r="D943" s="2" t="s">
        <v>1167</v>
      </c>
      <c r="E943" s="148" t="s">
        <v>31</v>
      </c>
      <c r="F943" s="137">
        <v>2</v>
      </c>
      <c r="G943" s="253"/>
      <c r="H943" s="253"/>
      <c r="I943" s="249"/>
      <c r="J943" s="253">
        <f t="shared" ref="J943:J946" si="86">ROUND(PRODUCT(F943:I943),2)</f>
        <v>2</v>
      </c>
    </row>
    <row r="944" spans="1:10" x14ac:dyDescent="0.2">
      <c r="A944" s="6"/>
      <c r="B944" s="6"/>
      <c r="C944" s="155"/>
      <c r="D944" s="2" t="s">
        <v>1168</v>
      </c>
      <c r="E944" s="148" t="s">
        <v>31</v>
      </c>
      <c r="F944" s="137">
        <v>2</v>
      </c>
      <c r="G944" s="253"/>
      <c r="H944" s="253"/>
      <c r="I944" s="249"/>
      <c r="J944" s="253">
        <f t="shared" si="86"/>
        <v>2</v>
      </c>
    </row>
    <row r="945" spans="1:10" x14ac:dyDescent="0.2">
      <c r="A945" s="6"/>
      <c r="B945" s="6"/>
      <c r="C945" s="155"/>
      <c r="D945" s="2" t="s">
        <v>1177</v>
      </c>
      <c r="E945" s="148" t="s">
        <v>31</v>
      </c>
      <c r="F945" s="137">
        <v>1</v>
      </c>
      <c r="G945" s="253"/>
      <c r="H945" s="253"/>
      <c r="I945" s="249"/>
      <c r="J945" s="253">
        <f t="shared" si="86"/>
        <v>1</v>
      </c>
    </row>
    <row r="946" spans="1:10" x14ac:dyDescent="0.2">
      <c r="A946" s="6"/>
      <c r="B946" s="6"/>
      <c r="C946" s="155"/>
      <c r="D946" s="2"/>
      <c r="E946" s="148"/>
      <c r="F946" s="137"/>
      <c r="G946" s="253"/>
      <c r="H946" s="253"/>
      <c r="I946" s="249"/>
      <c r="J946" s="253">
        <f t="shared" si="86"/>
        <v>0</v>
      </c>
    </row>
    <row r="947" spans="1:10" s="139" customFormat="1" x14ac:dyDescent="0.2">
      <c r="A947" s="6"/>
      <c r="B947" s="6"/>
      <c r="C947" s="7"/>
      <c r="D947" s="116"/>
      <c r="E947" s="6"/>
      <c r="F947" s="258"/>
      <c r="G947" s="258"/>
      <c r="H947" s="258"/>
      <c r="I947" s="519" t="str">
        <f>"Total item "&amp;A941</f>
        <v>Total item 13.5</v>
      </c>
      <c r="J947" s="518">
        <f>SUM(J943:J946)</f>
        <v>5</v>
      </c>
    </row>
    <row r="948" spans="1:10" x14ac:dyDescent="0.2">
      <c r="A948" s="6"/>
      <c r="B948" s="6"/>
      <c r="C948" s="155"/>
      <c r="D948" s="108"/>
      <c r="E948" s="148"/>
      <c r="F948" s="253"/>
      <c r="G948" s="253"/>
      <c r="H948" s="253"/>
      <c r="I948" s="246"/>
      <c r="J948" s="258"/>
    </row>
    <row r="949" spans="1:10" s="139" customFormat="1" ht="30.6" x14ac:dyDescent="0.2">
      <c r="A949" s="515">
        <f>'ORÇAMENTO SEM DESON'!A127</f>
        <v>13.6</v>
      </c>
      <c r="B949" s="9" t="s">
        <v>163</v>
      </c>
      <c r="C949" s="13" t="s">
        <v>412</v>
      </c>
      <c r="D949" s="520" t="str">
        <f>'ORÇAMENTO SEM DESON'!D127</f>
        <v>PONTO DE ESGOTO PARA PIA OU LAVANDARIA,INCLUSIVE
TUBULACOES E CONEXOES EM PVC RIGI- DO SOLDAVEIS , ATE A COLUNA OU O SUB-COLE- TOR.</v>
      </c>
      <c r="E949" s="515" t="str">
        <f>'ORÇAMENTO SEM DESON'!E127</f>
        <v>pt</v>
      </c>
      <c r="F949" s="518"/>
      <c r="G949" s="518"/>
      <c r="H949" s="518"/>
      <c r="I949" s="519"/>
      <c r="J949" s="518"/>
    </row>
    <row r="950" spans="1:10" x14ac:dyDescent="0.2">
      <c r="A950" s="6"/>
      <c r="B950" s="6"/>
      <c r="C950" s="155"/>
      <c r="D950" s="2"/>
      <c r="E950" s="148"/>
      <c r="F950" s="137" t="s">
        <v>1143</v>
      </c>
      <c r="G950" s="253"/>
      <c r="H950" s="253"/>
      <c r="I950" s="249"/>
      <c r="J950" s="253"/>
    </row>
    <row r="951" spans="1:10" x14ac:dyDescent="0.2">
      <c r="A951" s="6"/>
      <c r="B951" s="6"/>
      <c r="C951" s="155"/>
      <c r="D951" s="2" t="s">
        <v>165</v>
      </c>
      <c r="E951" s="148" t="s">
        <v>31</v>
      </c>
      <c r="F951" s="137">
        <v>2</v>
      </c>
      <c r="G951" s="253"/>
      <c r="H951" s="253"/>
      <c r="I951" s="249"/>
      <c r="J951" s="253">
        <f t="shared" ref="J951:J952" si="87">ROUND(PRODUCT(F951:I951),2)</f>
        <v>2</v>
      </c>
    </row>
    <row r="952" spans="1:10" x14ac:dyDescent="0.2">
      <c r="A952" s="6"/>
      <c r="B952" s="6"/>
      <c r="C952" s="155"/>
      <c r="D952" s="2" t="s">
        <v>485</v>
      </c>
      <c r="E952" s="148" t="s">
        <v>31</v>
      </c>
      <c r="F952" s="137">
        <v>2</v>
      </c>
      <c r="G952" s="253"/>
      <c r="H952" s="253"/>
      <c r="I952" s="249"/>
      <c r="J952" s="253">
        <f t="shared" si="87"/>
        <v>2</v>
      </c>
    </row>
    <row r="953" spans="1:10" s="139" customFormat="1" x14ac:dyDescent="0.2">
      <c r="A953" s="6"/>
      <c r="B953" s="6"/>
      <c r="C953" s="7"/>
      <c r="D953" s="116"/>
      <c r="E953" s="6"/>
      <c r="F953" s="258"/>
      <c r="G953" s="258"/>
      <c r="H953" s="258"/>
      <c r="I953" s="519" t="str">
        <f>"Total item "&amp;A949</f>
        <v>Total item 13.6</v>
      </c>
      <c r="J953" s="518">
        <f>SUM(J951:J952)</f>
        <v>4</v>
      </c>
    </row>
    <row r="954" spans="1:10" x14ac:dyDescent="0.2">
      <c r="A954" s="6"/>
      <c r="B954" s="6"/>
      <c r="C954" s="155"/>
      <c r="D954" s="108"/>
      <c r="E954" s="148"/>
      <c r="F954" s="253"/>
      <c r="G954" s="253"/>
      <c r="H954" s="253"/>
      <c r="I954" s="246"/>
      <c r="J954" s="258"/>
    </row>
    <row r="955" spans="1:10" s="139" customFormat="1" ht="30.6" x14ac:dyDescent="0.2">
      <c r="A955" s="515">
        <f>'ORÇAMENTO SEM DESON'!A128</f>
        <v>13.7</v>
      </c>
      <c r="B955" s="9" t="s">
        <v>163</v>
      </c>
      <c r="C955" s="13" t="s">
        <v>412</v>
      </c>
      <c r="D955" s="520" t="str">
        <f>'ORÇAMENTO SEM DESON'!D128</f>
        <v>PONTO DE ESGOTO PARA LAVATORIO OU MICTORIO, INCLUSIVE TUBULACOES E CONEXOES EM PVC RIGIDO SOLDAVEIS, ATE A COLUNA OU O SUB-COLETOR</v>
      </c>
      <c r="E955" s="515" t="str">
        <f>'ORÇAMENTO SEM DESON'!E128</f>
        <v>pt</v>
      </c>
      <c r="F955" s="518"/>
      <c r="G955" s="518"/>
      <c r="H955" s="518"/>
      <c r="I955" s="519"/>
      <c r="J955" s="518"/>
    </row>
    <row r="956" spans="1:10" x14ac:dyDescent="0.2">
      <c r="A956" s="6"/>
      <c r="B956" s="6"/>
      <c r="C956" s="155"/>
      <c r="D956" s="2"/>
      <c r="E956" s="148"/>
      <c r="F956" s="137" t="s">
        <v>1143</v>
      </c>
      <c r="G956" s="253"/>
      <c r="H956" s="253"/>
      <c r="I956" s="249"/>
      <c r="J956" s="253"/>
    </row>
    <row r="957" spans="1:10" x14ac:dyDescent="0.2">
      <c r="A957" s="6"/>
      <c r="B957" s="6"/>
      <c r="C957" s="155"/>
      <c r="D957" s="2" t="s">
        <v>1167</v>
      </c>
      <c r="E957" s="148" t="s">
        <v>31</v>
      </c>
      <c r="F957" s="137">
        <v>4</v>
      </c>
      <c r="G957" s="253"/>
      <c r="H957" s="253"/>
      <c r="I957" s="249"/>
      <c r="J957" s="253">
        <f>ROUND(PRODUCT(F957:I957),2)</f>
        <v>4</v>
      </c>
    </row>
    <row r="958" spans="1:10" x14ac:dyDescent="0.2">
      <c r="A958" s="6"/>
      <c r="B958" s="6"/>
      <c r="C958" s="155"/>
      <c r="D958" s="2" t="s">
        <v>1168</v>
      </c>
      <c r="E958" s="148" t="s">
        <v>31</v>
      </c>
      <c r="F958" s="137">
        <v>2</v>
      </c>
      <c r="G958" s="253"/>
      <c r="H958" s="253"/>
      <c r="I958" s="249"/>
      <c r="J958" s="253">
        <f t="shared" ref="J958:J959" si="88">ROUND(PRODUCT(F958:I958),2)</f>
        <v>2</v>
      </c>
    </row>
    <row r="959" spans="1:10" x14ac:dyDescent="0.2">
      <c r="A959" s="6"/>
      <c r="B959" s="6"/>
      <c r="C959" s="155"/>
      <c r="D959" s="2" t="s">
        <v>1177</v>
      </c>
      <c r="E959" s="148" t="s">
        <v>31</v>
      </c>
      <c r="F959" s="137">
        <v>1</v>
      </c>
      <c r="G959" s="253"/>
      <c r="H959" s="253"/>
      <c r="I959" s="249"/>
      <c r="J959" s="253">
        <f t="shared" si="88"/>
        <v>1</v>
      </c>
    </row>
    <row r="960" spans="1:10" s="139" customFormat="1" x14ac:dyDescent="0.2">
      <c r="A960" s="6"/>
      <c r="B960" s="6"/>
      <c r="C960" s="7"/>
      <c r="D960" s="116"/>
      <c r="E960" s="6"/>
      <c r="F960" s="258"/>
      <c r="G960" s="258"/>
      <c r="H960" s="258"/>
      <c r="I960" s="519" t="str">
        <f>"Total item "&amp;A955</f>
        <v>Total item 13.7</v>
      </c>
      <c r="J960" s="518">
        <f>SUM(J957:J959)</f>
        <v>7</v>
      </c>
    </row>
    <row r="961" spans="1:10" x14ac:dyDescent="0.2">
      <c r="A961" s="6"/>
      <c r="B961" s="6"/>
      <c r="C961" s="155"/>
      <c r="D961" s="108"/>
      <c r="E961" s="148"/>
      <c r="F961" s="253"/>
      <c r="G961" s="253"/>
      <c r="H961" s="253"/>
      <c r="I961" s="246"/>
      <c r="J961" s="258"/>
    </row>
    <row r="962" spans="1:10" s="139" customFormat="1" ht="30.6" x14ac:dyDescent="0.2">
      <c r="A962" s="515">
        <f>'ORÇAMENTO SEM DESON'!A129</f>
        <v>13.8</v>
      </c>
      <c r="B962" s="9" t="s">
        <v>163</v>
      </c>
      <c r="C962" s="13" t="s">
        <v>412</v>
      </c>
      <c r="D962" s="520" t="str">
        <f>'ORÇAMENTO SEM DESON'!D129</f>
        <v>PONTO DE ESGOTO PARA RALO SIFONADO, INCLUSIVE RALO, TUBULACOES E CONEXOES EM PVC RIGIDO SOLDAVEIS , ATE A COLUNA OU O SUBCOLETOR.</v>
      </c>
      <c r="E962" s="515" t="str">
        <f>'ORÇAMENTO SEM DESON'!E129</f>
        <v>pt</v>
      </c>
      <c r="F962" s="518"/>
      <c r="G962" s="518"/>
      <c r="H962" s="518"/>
      <c r="I962" s="519"/>
      <c r="J962" s="518"/>
    </row>
    <row r="963" spans="1:10" x14ac:dyDescent="0.2">
      <c r="A963" s="6"/>
      <c r="B963" s="6"/>
      <c r="C963" s="155"/>
      <c r="D963" s="2"/>
      <c r="E963" s="148"/>
      <c r="F963" s="137" t="s">
        <v>1143</v>
      </c>
      <c r="G963" s="253"/>
      <c r="H963" s="253"/>
      <c r="I963" s="249"/>
      <c r="J963" s="253"/>
    </row>
    <row r="964" spans="1:10" x14ac:dyDescent="0.2">
      <c r="A964" s="6"/>
      <c r="B964" s="6"/>
      <c r="C964" s="155"/>
      <c r="D964" s="2" t="s">
        <v>1167</v>
      </c>
      <c r="E964" s="148" t="s">
        <v>31</v>
      </c>
      <c r="F964" s="137">
        <v>4</v>
      </c>
      <c r="G964" s="253"/>
      <c r="H964" s="253"/>
      <c r="I964" s="249"/>
      <c r="J964" s="253">
        <f>ROUND(PRODUCT(F964:I964),2)</f>
        <v>4</v>
      </c>
    </row>
    <row r="965" spans="1:10" x14ac:dyDescent="0.2">
      <c r="A965" s="6"/>
      <c r="B965" s="6"/>
      <c r="C965" s="155"/>
      <c r="D965" s="2" t="s">
        <v>1168</v>
      </c>
      <c r="E965" s="148" t="s">
        <v>31</v>
      </c>
      <c r="F965" s="137">
        <v>4</v>
      </c>
      <c r="G965" s="253"/>
      <c r="H965" s="253"/>
      <c r="I965" s="249"/>
      <c r="J965" s="253">
        <f t="shared" ref="J965:J967" si="89">ROUND(PRODUCT(F965:I965),2)</f>
        <v>4</v>
      </c>
    </row>
    <row r="966" spans="1:10" x14ac:dyDescent="0.2">
      <c r="A966" s="6"/>
      <c r="B966" s="6"/>
      <c r="C966" s="155"/>
      <c r="D966" s="2" t="s">
        <v>1177</v>
      </c>
      <c r="E966" s="148" t="s">
        <v>31</v>
      </c>
      <c r="F966" s="137">
        <v>1</v>
      </c>
      <c r="G966" s="253"/>
      <c r="H966" s="253"/>
      <c r="I966" s="249"/>
      <c r="J966" s="253">
        <f t="shared" si="89"/>
        <v>1</v>
      </c>
    </row>
    <row r="967" spans="1:10" x14ac:dyDescent="0.2">
      <c r="A967" s="6"/>
      <c r="B967" s="6"/>
      <c r="C967" s="155"/>
      <c r="D967" s="2" t="s">
        <v>485</v>
      </c>
      <c r="E967" s="148" t="s">
        <v>31</v>
      </c>
      <c r="F967" s="137">
        <v>1</v>
      </c>
      <c r="G967" s="253"/>
      <c r="H967" s="253"/>
      <c r="I967" s="249"/>
      <c r="J967" s="253">
        <f t="shared" si="89"/>
        <v>1</v>
      </c>
    </row>
    <row r="968" spans="1:10" x14ac:dyDescent="0.2">
      <c r="A968" s="6"/>
      <c r="B968" s="6"/>
      <c r="C968" s="155"/>
      <c r="D968" s="2" t="s">
        <v>165</v>
      </c>
      <c r="E968" s="148" t="s">
        <v>31</v>
      </c>
      <c r="F968" s="137">
        <v>1</v>
      </c>
      <c r="G968" s="253"/>
      <c r="H968" s="253"/>
      <c r="I968" s="249"/>
      <c r="J968" s="253">
        <f t="shared" ref="J968" si="90">ROUND(PRODUCT(F968:I968),2)</f>
        <v>1</v>
      </c>
    </row>
    <row r="969" spans="1:10" s="139" customFormat="1" x14ac:dyDescent="0.2">
      <c r="A969" s="6"/>
      <c r="B969" s="6"/>
      <c r="C969" s="7"/>
      <c r="D969" s="116"/>
      <c r="E969" s="6"/>
      <c r="F969" s="258"/>
      <c r="G969" s="258"/>
      <c r="H969" s="258"/>
      <c r="I969" s="519" t="str">
        <f>"Total item "&amp;A962</f>
        <v>Total item 13.8</v>
      </c>
      <c r="J969" s="518">
        <f>SUM(J964:J968)</f>
        <v>11</v>
      </c>
    </row>
    <row r="970" spans="1:10" x14ac:dyDescent="0.2">
      <c r="A970" s="6"/>
      <c r="B970" s="6"/>
      <c r="C970" s="155"/>
      <c r="D970" s="108"/>
      <c r="E970" s="148"/>
      <c r="F970" s="253"/>
      <c r="G970" s="253"/>
      <c r="H970" s="253"/>
      <c r="I970" s="246"/>
      <c r="J970" s="258"/>
    </row>
    <row r="971" spans="1:10" s="139" customFormat="1" ht="40.799999999999997" x14ac:dyDescent="0.2">
      <c r="A971" s="515">
        <f>'ORÇAMENTO SEM DESON'!A130</f>
        <v>13.9</v>
      </c>
      <c r="B971" s="9" t="s">
        <v>163</v>
      </c>
      <c r="C971" s="13" t="s">
        <v>412</v>
      </c>
      <c r="D971" s="520" t="str">
        <f>'ORÇAMENTO SEM DESON'!D130</f>
        <v>CAIXA DE GORDURA SIMPLES (CAPACIDADE: 36L), RETANGULAR, EM ALVENARIA COM TIJOLOS CERÂMICOS MACIÇOS, DIMENSÕES INTERNAS = 0,2X0,4 M, ALTURA I
NTERNA = 0,8 M. AF_12/2020</v>
      </c>
      <c r="E971" s="515" t="str">
        <f>'ORÇAMENTO SEM DESON'!E130</f>
        <v>un</v>
      </c>
      <c r="F971" s="518"/>
      <c r="G971" s="518"/>
      <c r="H971" s="518"/>
      <c r="I971" s="519"/>
      <c r="J971" s="518"/>
    </row>
    <row r="972" spans="1:10" x14ac:dyDescent="0.2">
      <c r="A972" s="6"/>
      <c r="B972" s="6"/>
      <c r="C972" s="155"/>
      <c r="D972" s="2"/>
      <c r="E972" s="148"/>
      <c r="F972" s="137" t="s">
        <v>1143</v>
      </c>
      <c r="G972" s="253"/>
      <c r="H972" s="253"/>
      <c r="I972" s="249"/>
      <c r="J972" s="253"/>
    </row>
    <row r="973" spans="1:10" x14ac:dyDescent="0.2">
      <c r="A973" s="6"/>
      <c r="B973" s="6"/>
      <c r="C973" s="155"/>
      <c r="D973" s="2" t="s">
        <v>1431</v>
      </c>
      <c r="E973" s="148" t="s">
        <v>33</v>
      </c>
      <c r="F973" s="137">
        <v>1</v>
      </c>
      <c r="G973" s="253"/>
      <c r="H973" s="253"/>
      <c r="I973" s="249"/>
      <c r="J973" s="253">
        <f>ROUND(PRODUCT(F973:I973),2)</f>
        <v>1</v>
      </c>
    </row>
    <row r="974" spans="1:10" x14ac:dyDescent="0.2">
      <c r="A974" s="6"/>
      <c r="B974" s="6"/>
      <c r="C974" s="155"/>
      <c r="D974" s="2"/>
      <c r="E974" s="148"/>
      <c r="F974" s="137"/>
      <c r="G974" s="253"/>
      <c r="H974" s="253"/>
      <c r="I974" s="249"/>
      <c r="J974" s="253">
        <f t="shared" ref="J974:J975" si="91">ROUND(PRODUCT(F974:I974),2)</f>
        <v>0</v>
      </c>
    </row>
    <row r="975" spans="1:10" x14ac:dyDescent="0.2">
      <c r="A975" s="6"/>
      <c r="B975" s="6"/>
      <c r="C975" s="155"/>
      <c r="D975" s="2"/>
      <c r="E975" s="148"/>
      <c r="F975" s="137"/>
      <c r="G975" s="253"/>
      <c r="H975" s="253"/>
      <c r="I975" s="249"/>
      <c r="J975" s="253">
        <f t="shared" si="91"/>
        <v>0</v>
      </c>
    </row>
    <row r="976" spans="1:10" s="139" customFormat="1" x14ac:dyDescent="0.2">
      <c r="A976" s="6"/>
      <c r="B976" s="6"/>
      <c r="C976" s="7"/>
      <c r="D976" s="116"/>
      <c r="E976" s="6"/>
      <c r="F976" s="258"/>
      <c r="G976" s="258"/>
      <c r="H976" s="258"/>
      <c r="I976" s="519" t="str">
        <f>"Total item "&amp;A971</f>
        <v>Total item 13.9</v>
      </c>
      <c r="J976" s="518">
        <f>SUM(J973:J975)</f>
        <v>1</v>
      </c>
    </row>
    <row r="977" spans="1:10" x14ac:dyDescent="0.2">
      <c r="A977" s="6"/>
      <c r="B977" s="6"/>
      <c r="C977" s="155"/>
      <c r="D977" s="108"/>
      <c r="E977" s="148"/>
      <c r="F977" s="253"/>
      <c r="G977" s="253"/>
      <c r="H977" s="253"/>
      <c r="I977" s="246"/>
      <c r="J977" s="258"/>
    </row>
    <row r="978" spans="1:10" s="139" customFormat="1" ht="20.399999999999999" x14ac:dyDescent="0.2">
      <c r="A978" s="560">
        <f>'ORÇAMENTO SEM DESON'!A131</f>
        <v>13.1</v>
      </c>
      <c r="B978" s="9" t="s">
        <v>163</v>
      </c>
      <c r="C978" s="13" t="s">
        <v>412</v>
      </c>
      <c r="D978" s="520" t="str">
        <f>'ORÇAMENTO SEM DESON'!D131</f>
        <v>CAIXA DE INSPEÇÃO EM ALVENARIA P/LIGAÇÃO CONDOMINIAL, DI= (40X40)cm</v>
      </c>
      <c r="E978" s="515" t="str">
        <f>'ORÇAMENTO SEM DESON'!E131</f>
        <v>un</v>
      </c>
      <c r="F978" s="518"/>
      <c r="G978" s="518"/>
      <c r="H978" s="518"/>
      <c r="I978" s="519"/>
      <c r="J978" s="518"/>
    </row>
    <row r="979" spans="1:10" x14ac:dyDescent="0.2">
      <c r="A979" s="6"/>
      <c r="B979" s="6"/>
      <c r="C979" s="155"/>
      <c r="D979" s="2"/>
      <c r="E979" s="148"/>
      <c r="F979" s="137" t="s">
        <v>1143</v>
      </c>
      <c r="G979" s="253"/>
      <c r="H979" s="253"/>
      <c r="I979" s="249"/>
      <c r="J979" s="253"/>
    </row>
    <row r="980" spans="1:10" x14ac:dyDescent="0.2">
      <c r="A980" s="6"/>
      <c r="B980" s="6"/>
      <c r="C980" s="155"/>
      <c r="D980" s="2" t="s">
        <v>1432</v>
      </c>
      <c r="E980" s="148" t="s">
        <v>33</v>
      </c>
      <c r="F980" s="137">
        <v>4</v>
      </c>
      <c r="G980" s="253"/>
      <c r="H980" s="253"/>
      <c r="I980" s="249"/>
      <c r="J980" s="253">
        <f>ROUND(PRODUCT(F980:I980),2)</f>
        <v>4</v>
      </c>
    </row>
    <row r="981" spans="1:10" s="139" customFormat="1" x14ac:dyDescent="0.2">
      <c r="A981" s="6"/>
      <c r="B981" s="6"/>
      <c r="C981" s="7"/>
      <c r="D981" s="116"/>
      <c r="E981" s="6"/>
      <c r="F981" s="258"/>
      <c r="G981" s="258"/>
      <c r="H981" s="258"/>
      <c r="I981" s="519" t="str">
        <f>"Total item "&amp;A978</f>
        <v>Total item 13.1</v>
      </c>
      <c r="J981" s="518">
        <f>SUM(J980:J980)</f>
        <v>4</v>
      </c>
    </row>
    <row r="982" spans="1:10" x14ac:dyDescent="0.2">
      <c r="A982" s="6"/>
      <c r="B982" s="6"/>
      <c r="C982" s="155"/>
      <c r="D982" s="108"/>
      <c r="E982" s="148"/>
      <c r="F982" s="253"/>
      <c r="G982" s="253"/>
      <c r="H982" s="253"/>
      <c r="I982" s="246"/>
      <c r="J982" s="258"/>
    </row>
    <row r="983" spans="1:10" s="139" customFormat="1" ht="40.799999999999997" x14ac:dyDescent="0.2">
      <c r="A983" s="560">
        <f>'ORÇAMENTO SEM DESON'!A132</f>
        <v>13.11</v>
      </c>
      <c r="B983" s="9" t="s">
        <v>163</v>
      </c>
      <c r="C983" s="13" t="s">
        <v>412</v>
      </c>
      <c r="D983" s="520" t="str">
        <f>'ORÇAMENTO SEM DESON'!D132</f>
        <v>TANQUE SÉPTICO RETANGULAR, EM ALVENARIA COM BLOCOS DE CONCRETO, DIMENSÕES INTERNAS: 1,4 X 3,2 X 1,8 M, VOLUME ÚTIL: 6272 L (PARA 32 CONTRIBUINTES). AF_12/2020</v>
      </c>
      <c r="E983" s="515" t="str">
        <f>'ORÇAMENTO SEM DESON'!E132</f>
        <v>un</v>
      </c>
      <c r="F983" s="518"/>
      <c r="G983" s="518"/>
      <c r="H983" s="518"/>
      <c r="I983" s="519"/>
      <c r="J983" s="518"/>
    </row>
    <row r="984" spans="1:10" x14ac:dyDescent="0.2">
      <c r="A984" s="6"/>
      <c r="B984" s="6"/>
      <c r="C984" s="155"/>
      <c r="D984" s="2"/>
      <c r="E984" s="148"/>
      <c r="F984" s="137" t="s">
        <v>1143</v>
      </c>
      <c r="G984" s="253"/>
      <c r="H984" s="253"/>
      <c r="I984" s="249"/>
      <c r="J984" s="253"/>
    </row>
    <row r="985" spans="1:10" x14ac:dyDescent="0.2">
      <c r="A985" s="6"/>
      <c r="B985" s="6"/>
      <c r="C985" s="155"/>
      <c r="D985" s="2" t="s">
        <v>201</v>
      </c>
      <c r="E985" s="148" t="s">
        <v>33</v>
      </c>
      <c r="F985" s="137">
        <v>1</v>
      </c>
      <c r="G985" s="253"/>
      <c r="H985" s="253"/>
      <c r="I985" s="249"/>
      <c r="J985" s="253">
        <f>ROUND(PRODUCT(F985:I985),2)</f>
        <v>1</v>
      </c>
    </row>
    <row r="986" spans="1:10" x14ac:dyDescent="0.2">
      <c r="A986" s="6"/>
      <c r="B986" s="6"/>
      <c r="C986" s="155"/>
      <c r="D986" s="2"/>
      <c r="E986" s="148"/>
      <c r="F986" s="137"/>
      <c r="G986" s="253"/>
      <c r="H986" s="253"/>
      <c r="I986" s="249"/>
      <c r="J986" s="253">
        <f t="shared" ref="J986:J987" si="92">ROUND(PRODUCT(F986:I986),2)</f>
        <v>0</v>
      </c>
    </row>
    <row r="987" spans="1:10" x14ac:dyDescent="0.2">
      <c r="A987" s="6"/>
      <c r="B987" s="6"/>
      <c r="C987" s="155"/>
      <c r="D987" s="2"/>
      <c r="E987" s="148"/>
      <c r="F987" s="137"/>
      <c r="G987" s="253"/>
      <c r="H987" s="253"/>
      <c r="I987" s="249"/>
      <c r="J987" s="253">
        <f t="shared" si="92"/>
        <v>0</v>
      </c>
    </row>
    <row r="988" spans="1:10" s="139" customFormat="1" x14ac:dyDescent="0.2">
      <c r="A988" s="6"/>
      <c r="B988" s="6"/>
      <c r="C988" s="7"/>
      <c r="D988" s="116"/>
      <c r="E988" s="6"/>
      <c r="F988" s="258"/>
      <c r="G988" s="258"/>
      <c r="H988" s="258"/>
      <c r="I988" s="519" t="str">
        <f>"Total item "&amp;A983</f>
        <v>Total item 13.11</v>
      </c>
      <c r="J988" s="518">
        <f>SUM(J985:J987)</f>
        <v>1</v>
      </c>
    </row>
    <row r="989" spans="1:10" x14ac:dyDescent="0.2">
      <c r="A989" s="6"/>
      <c r="B989" s="6"/>
      <c r="C989" s="155"/>
      <c r="D989" s="108"/>
      <c r="E989" s="148"/>
      <c r="F989" s="253"/>
      <c r="G989" s="253"/>
      <c r="H989" s="253"/>
      <c r="I989" s="246"/>
      <c r="J989" s="258"/>
    </row>
    <row r="990" spans="1:10" s="139" customFormat="1" ht="20.399999999999999" x14ac:dyDescent="0.2">
      <c r="A990" s="560">
        <f>'ORÇAMENTO SEM DESON'!A133</f>
        <v>13.12</v>
      </c>
      <c r="B990" s="9" t="s">
        <v>163</v>
      </c>
      <c r="C990" s="13" t="s">
        <v>412</v>
      </c>
      <c r="D990" s="520" t="str">
        <f>'ORÇAMENTO SEM DESON'!D133</f>
        <v>SUMIDOURO RETANGULAR, EM ALVENARIA COM BLOCOS DE CONCRETO, DIMENSÕES INTERNAS: 1,6 X 3,4 X 3,0 M, ÁREA DE INFILTRAÇÃO: 32,9 M² (PARA 13 CONTRIBUINTES). . AF_12/2020</v>
      </c>
      <c r="E990" s="515" t="str">
        <f>'ORÇAMENTO SEM DESON'!E133</f>
        <v>un</v>
      </c>
      <c r="F990" s="518"/>
      <c r="G990" s="518"/>
      <c r="H990" s="518"/>
      <c r="I990" s="519"/>
      <c r="J990" s="518"/>
    </row>
    <row r="991" spans="1:10" x14ac:dyDescent="0.2">
      <c r="A991" s="6"/>
      <c r="B991" s="6"/>
      <c r="C991" s="155"/>
      <c r="D991" s="2"/>
      <c r="E991" s="148"/>
      <c r="F991" s="137" t="s">
        <v>1143</v>
      </c>
      <c r="G991" s="253"/>
      <c r="H991" s="253"/>
      <c r="I991" s="249"/>
      <c r="J991" s="253"/>
    </row>
    <row r="992" spans="1:10" x14ac:dyDescent="0.2">
      <c r="A992" s="6"/>
      <c r="B992" s="6"/>
      <c r="C992" s="155"/>
      <c r="D992" s="2" t="s">
        <v>1451</v>
      </c>
      <c r="E992" s="148" t="s">
        <v>33</v>
      </c>
      <c r="F992" s="137">
        <v>1</v>
      </c>
      <c r="G992" s="253"/>
      <c r="H992" s="253"/>
      <c r="I992" s="249"/>
      <c r="J992" s="253">
        <f>ROUND(PRODUCT(F992:I992),2)</f>
        <v>1</v>
      </c>
    </row>
    <row r="993" spans="1:10" s="139" customFormat="1" x14ac:dyDescent="0.2">
      <c r="A993" s="6"/>
      <c r="B993" s="6"/>
      <c r="C993" s="7"/>
      <c r="D993" s="116"/>
      <c r="E993" s="6"/>
      <c r="F993" s="258"/>
      <c r="G993" s="258"/>
      <c r="H993" s="258"/>
      <c r="I993" s="519" t="str">
        <f>"Total item "&amp;A990</f>
        <v>Total item 13.12</v>
      </c>
      <c r="J993" s="518">
        <f>SUM(J992:J992)</f>
        <v>1</v>
      </c>
    </row>
    <row r="994" spans="1:10" x14ac:dyDescent="0.2">
      <c r="A994" s="6"/>
      <c r="B994" s="6"/>
      <c r="C994" s="155"/>
      <c r="D994" s="108"/>
      <c r="E994" s="148"/>
      <c r="F994" s="253"/>
      <c r="G994" s="253"/>
      <c r="H994" s="253"/>
      <c r="I994" s="246"/>
      <c r="J994" s="258"/>
    </row>
    <row r="995" spans="1:10" s="145" customFormat="1" x14ac:dyDescent="0.2">
      <c r="A995" s="505">
        <f>'ORÇAMENTO SEM DESON'!A134</f>
        <v>14</v>
      </c>
      <c r="B995" s="549"/>
      <c r="C995" s="499"/>
      <c r="D995" s="504" t="str">
        <f>'ORÇAMENTO SEM DESON'!D134</f>
        <v>PAISAGISMO</v>
      </c>
      <c r="E995" s="549"/>
      <c r="F995" s="513"/>
      <c r="G995" s="513"/>
      <c r="H995" s="513"/>
      <c r="I995" s="514"/>
      <c r="J995" s="513"/>
    </row>
    <row r="996" spans="1:10" x14ac:dyDescent="0.2">
      <c r="A996" s="6"/>
      <c r="B996" s="6"/>
      <c r="C996" s="155"/>
      <c r="D996" s="108"/>
      <c r="E996" s="148"/>
      <c r="F996" s="253"/>
      <c r="G996" s="253"/>
      <c r="H996" s="253"/>
      <c r="I996" s="246"/>
      <c r="J996" s="258"/>
    </row>
    <row r="997" spans="1:10" s="139" customFormat="1" x14ac:dyDescent="0.2">
      <c r="A997" s="515">
        <f>'ORÇAMENTO SEM DESON'!A135</f>
        <v>14.1</v>
      </c>
      <c r="B997" s="9" t="s">
        <v>163</v>
      </c>
      <c r="C997" s="13" t="s">
        <v>412</v>
      </c>
      <c r="D997" s="520" t="str">
        <f>'ORÇAMENTO SEM DESON'!D135</f>
        <v>PLANTIO DE ARBUSTO OU CERCA VIVA. AF_05/2018</v>
      </c>
      <c r="E997" s="515" t="str">
        <f>'ORÇAMENTO SEM DESON'!E135</f>
        <v>un</v>
      </c>
      <c r="F997" s="518"/>
      <c r="G997" s="518"/>
      <c r="H997" s="518"/>
      <c r="I997" s="519"/>
      <c r="J997" s="518"/>
    </row>
    <row r="998" spans="1:10" x14ac:dyDescent="0.2">
      <c r="A998" s="6"/>
      <c r="B998" s="6"/>
      <c r="C998" s="155"/>
      <c r="D998" s="2"/>
      <c r="E998" s="148"/>
      <c r="F998" s="137" t="s">
        <v>1143</v>
      </c>
      <c r="G998" s="253"/>
      <c r="H998" s="253"/>
      <c r="I998" s="249"/>
      <c r="J998" s="253"/>
    </row>
    <row r="999" spans="1:10" x14ac:dyDescent="0.2">
      <c r="A999" s="6"/>
      <c r="B999" s="6"/>
      <c r="C999" s="155"/>
      <c r="D999" s="2" t="s">
        <v>1339</v>
      </c>
      <c r="E999" s="148" t="s">
        <v>33</v>
      </c>
      <c r="F999" s="137">
        <v>12</v>
      </c>
      <c r="G999" s="253"/>
      <c r="H999" s="253"/>
      <c r="I999" s="249"/>
      <c r="J999" s="253">
        <f t="shared" ref="J999" si="93">ROUND(PRODUCT(F999:I999),2)</f>
        <v>12</v>
      </c>
    </row>
    <row r="1000" spans="1:10" x14ac:dyDescent="0.2">
      <c r="A1000" s="6"/>
      <c r="B1000" s="6"/>
      <c r="C1000" s="155"/>
      <c r="D1000" s="2"/>
      <c r="E1000" s="148"/>
      <c r="F1000" s="137"/>
      <c r="G1000" s="253"/>
      <c r="H1000" s="253"/>
      <c r="I1000" s="249"/>
      <c r="J1000" s="253"/>
    </row>
    <row r="1001" spans="1:10" s="139" customFormat="1" x14ac:dyDescent="0.2">
      <c r="A1001" s="6"/>
      <c r="B1001" s="6"/>
      <c r="C1001" s="7"/>
      <c r="D1001" s="116"/>
      <c r="E1001" s="6"/>
      <c r="F1001" s="258"/>
      <c r="G1001" s="258"/>
      <c r="H1001" s="258"/>
      <c r="I1001" s="519" t="str">
        <f>"Total item "&amp;A997</f>
        <v>Total item 14.1</v>
      </c>
      <c r="J1001" s="518">
        <f>SUM(J999:J1000)</f>
        <v>12</v>
      </c>
    </row>
    <row r="1002" spans="1:10" x14ac:dyDescent="0.2">
      <c r="A1002" s="6"/>
      <c r="B1002" s="6"/>
      <c r="C1002" s="155"/>
      <c r="D1002" s="108"/>
      <c r="E1002" s="148"/>
      <c r="F1002" s="253"/>
      <c r="G1002" s="253"/>
      <c r="H1002" s="253"/>
      <c r="I1002" s="246"/>
      <c r="J1002" s="258"/>
    </row>
    <row r="1003" spans="1:10" s="139" customFormat="1" ht="20.399999999999999" x14ac:dyDescent="0.2">
      <c r="A1003" s="515">
        <f>'ORÇAMENTO SEM DESON'!A136</f>
        <v>14.2</v>
      </c>
      <c r="B1003" s="9" t="s">
        <v>163</v>
      </c>
      <c r="C1003" s="13" t="s">
        <v>412</v>
      </c>
      <c r="D1003" s="520" t="str">
        <f>'ORÇAMENTO SEM DESON'!D136</f>
        <v>PLANTIO DE ÁRVORE ORNAMENTAL COM ALTURA DE MUDA MENOR OU IGUAL A 2,00M. AF_05/2018</v>
      </c>
      <c r="E1003" s="515" t="str">
        <f>'ORÇAMENTO SEM DESON'!E136</f>
        <v>un</v>
      </c>
      <c r="F1003" s="518"/>
      <c r="G1003" s="518"/>
      <c r="H1003" s="518"/>
      <c r="I1003" s="519"/>
      <c r="J1003" s="518"/>
    </row>
    <row r="1004" spans="1:10" x14ac:dyDescent="0.2">
      <c r="A1004" s="6"/>
      <c r="B1004" s="6"/>
      <c r="C1004" s="155"/>
      <c r="D1004" s="2"/>
      <c r="E1004" s="148"/>
      <c r="F1004" s="137" t="s">
        <v>1143</v>
      </c>
      <c r="G1004" s="253"/>
      <c r="H1004" s="253"/>
      <c r="I1004" s="249"/>
      <c r="J1004" s="253"/>
    </row>
    <row r="1005" spans="1:10" x14ac:dyDescent="0.2">
      <c r="A1005" s="6"/>
      <c r="B1005" s="6"/>
      <c r="C1005" s="155"/>
      <c r="D1005" s="2" t="s">
        <v>1340</v>
      </c>
      <c r="E1005" s="148" t="s">
        <v>33</v>
      </c>
      <c r="F1005" s="137">
        <v>27</v>
      </c>
      <c r="G1005" s="253"/>
      <c r="H1005" s="253"/>
      <c r="I1005" s="249"/>
      <c r="J1005" s="253">
        <f>ROUND(PRODUCT(F1005:I1005),2)</f>
        <v>27</v>
      </c>
    </row>
    <row r="1006" spans="1:10" x14ac:dyDescent="0.2">
      <c r="A1006" s="6"/>
      <c r="B1006" s="6"/>
      <c r="C1006" s="155"/>
      <c r="D1006" s="2"/>
      <c r="E1006" s="148"/>
      <c r="F1006" s="137"/>
      <c r="G1006" s="253"/>
      <c r="H1006" s="253"/>
      <c r="I1006" s="249"/>
      <c r="J1006" s="253"/>
    </row>
    <row r="1007" spans="1:10" s="139" customFormat="1" x14ac:dyDescent="0.2">
      <c r="A1007" s="6"/>
      <c r="B1007" s="6"/>
      <c r="C1007" s="7"/>
      <c r="D1007" s="116"/>
      <c r="E1007" s="6"/>
      <c r="F1007" s="258"/>
      <c r="G1007" s="258"/>
      <c r="H1007" s="258"/>
      <c r="I1007" s="519" t="str">
        <f>"Total item "&amp;A1003</f>
        <v>Total item 14.2</v>
      </c>
      <c r="J1007" s="518">
        <f>SUM(J1005:J1006)</f>
        <v>27</v>
      </c>
    </row>
    <row r="1008" spans="1:10" x14ac:dyDescent="0.2">
      <c r="A1008" s="6"/>
      <c r="B1008" s="6"/>
      <c r="C1008" s="155"/>
      <c r="D1008" s="108"/>
      <c r="E1008" s="148"/>
      <c r="F1008" s="253"/>
      <c r="G1008" s="253"/>
      <c r="H1008" s="253"/>
      <c r="I1008" s="246"/>
      <c r="J1008" s="258"/>
    </row>
    <row r="1009" spans="1:10" s="139" customFormat="1" x14ac:dyDescent="0.2">
      <c r="A1009" s="515">
        <f>'ORÇAMENTO SEM DESON'!A137</f>
        <v>14.3</v>
      </c>
      <c r="B1009" s="9" t="s">
        <v>163</v>
      </c>
      <c r="C1009" s="13" t="s">
        <v>412</v>
      </c>
      <c r="D1009" s="520" t="str">
        <f>'ORÇAMENTO SEM DESON'!D137</f>
        <v>PLANTIO DE GRAMA EM PLACAS. AF_05/2018</v>
      </c>
      <c r="E1009" s="515" t="str">
        <f>'ORÇAMENTO SEM DESON'!E137</f>
        <v>m²</v>
      </c>
      <c r="F1009" s="518"/>
      <c r="G1009" s="518"/>
      <c r="H1009" s="518"/>
      <c r="I1009" s="519"/>
      <c r="J1009" s="518"/>
    </row>
    <row r="1010" spans="1:10" x14ac:dyDescent="0.2">
      <c r="A1010" s="6"/>
      <c r="B1010" s="6"/>
      <c r="C1010" s="155"/>
      <c r="D1010" s="2"/>
      <c r="E1010" s="148"/>
      <c r="F1010" s="137" t="s">
        <v>1143</v>
      </c>
      <c r="G1010" s="137" t="s">
        <v>1138</v>
      </c>
      <c r="H1010" s="253"/>
      <c r="I1010" s="249"/>
      <c r="J1010" s="253"/>
    </row>
    <row r="1011" spans="1:10" x14ac:dyDescent="0.2">
      <c r="A1011" s="6"/>
      <c r="B1011" s="6"/>
      <c r="C1011" s="155"/>
      <c r="D1011" s="2" t="s">
        <v>1302</v>
      </c>
      <c r="E1011" s="148" t="s">
        <v>33</v>
      </c>
      <c r="F1011" s="137">
        <v>210.40000000000003</v>
      </c>
      <c r="G1011" s="253"/>
      <c r="H1011" s="253"/>
      <c r="I1011" s="249"/>
      <c r="J1011" s="253">
        <f>ROUND(PRODUCT(F1011:I1011),2)</f>
        <v>210.4</v>
      </c>
    </row>
    <row r="1012" spans="1:10" x14ac:dyDescent="0.2">
      <c r="A1012" s="6"/>
      <c r="B1012" s="6"/>
      <c r="C1012" s="155"/>
      <c r="D1012" s="2" t="s">
        <v>1341</v>
      </c>
      <c r="E1012" s="148" t="s">
        <v>33</v>
      </c>
      <c r="F1012" s="137">
        <f>41.62+17+17+20.62+128.94+(17*6)+55.26+33.5+92.7+57.09+37+17+20.64+67+7+9.5+4+17+17+95+25+54</f>
        <v>935.87</v>
      </c>
      <c r="G1012" s="253">
        <v>0.2</v>
      </c>
      <c r="H1012" s="253"/>
      <c r="I1012" s="249"/>
      <c r="J1012" s="253">
        <f>ROUND(PRODUCT(F1012:I1012),2)</f>
        <v>187.17</v>
      </c>
    </row>
    <row r="1013" spans="1:10" s="139" customFormat="1" x14ac:dyDescent="0.2">
      <c r="A1013" s="6"/>
      <c r="B1013" s="6"/>
      <c r="C1013" s="7"/>
      <c r="D1013" s="116"/>
      <c r="E1013" s="6"/>
      <c r="F1013" s="258"/>
      <c r="G1013" s="258"/>
      <c r="H1013" s="258"/>
      <c r="I1013" s="519" t="str">
        <f>"Total item "&amp;A1009</f>
        <v>Total item 14.3</v>
      </c>
      <c r="J1013" s="518">
        <f>SUM(J1011:J1012)</f>
        <v>397.57</v>
      </c>
    </row>
    <row r="1014" spans="1:10" x14ac:dyDescent="0.2">
      <c r="A1014" s="6"/>
      <c r="B1014" s="6"/>
      <c r="C1014" s="155"/>
      <c r="D1014" s="108"/>
      <c r="E1014" s="148"/>
      <c r="F1014" s="253"/>
      <c r="G1014" s="253"/>
      <c r="H1014" s="253"/>
      <c r="I1014" s="246"/>
      <c r="J1014" s="258"/>
    </row>
    <row r="1015" spans="1:10" s="145" customFormat="1" x14ac:dyDescent="0.2">
      <c r="A1015" s="505">
        <f>'ORÇAMENTO SEM DESON'!A138</f>
        <v>15</v>
      </c>
      <c r="B1015" s="549"/>
      <c r="C1015" s="499"/>
      <c r="D1015" s="504" t="str">
        <f>'ORÇAMENTO SEM DESON'!D138</f>
        <v>SERVIÇOS COMPLEMENTARES</v>
      </c>
      <c r="E1015" s="549"/>
      <c r="F1015" s="513"/>
      <c r="G1015" s="513"/>
      <c r="H1015" s="513"/>
      <c r="I1015" s="514"/>
      <c r="J1015" s="513"/>
    </row>
    <row r="1016" spans="1:10" x14ac:dyDescent="0.2">
      <c r="A1016" s="6"/>
      <c r="B1016" s="6"/>
      <c r="C1016" s="155"/>
      <c r="D1016" s="108"/>
      <c r="E1016" s="148"/>
      <c r="F1016" s="253"/>
      <c r="G1016" s="253"/>
      <c r="H1016" s="253"/>
      <c r="I1016" s="246"/>
      <c r="J1016" s="258"/>
    </row>
    <row r="1017" spans="1:10" s="139" customFormat="1" ht="40.799999999999997" x14ac:dyDescent="0.2">
      <c r="A1017" s="515">
        <f>'ORÇAMENTO SEM DESON'!A139</f>
        <v>15.1</v>
      </c>
      <c r="B1017" s="9" t="s">
        <v>163</v>
      </c>
      <c r="C1017" s="13" t="s">
        <v>412</v>
      </c>
      <c r="D1017" s="520" t="str">
        <f>'ORÇAMENTO SEM DESON'!D139</f>
        <v>INSTALAÇÃO DE ESQUI TRIPLO, EM TUBO DE AÇO CARBONO - EQUIPAMENTO DE GINÁSTICA PARA ACADEMIA AO AR LIVRE / ACADEMIA DA TERCEIRA IDADE - ATI, INSTALADO SOBRE PISO DE CONCRETO EXISTENTE. AF_10/2021</v>
      </c>
      <c r="E1017" s="515" t="str">
        <f>'ORÇAMENTO SEM DESON'!E139</f>
        <v>un</v>
      </c>
      <c r="F1017" s="518"/>
      <c r="G1017" s="518"/>
      <c r="H1017" s="518"/>
      <c r="I1017" s="519"/>
      <c r="J1017" s="518"/>
    </row>
    <row r="1018" spans="1:10" x14ac:dyDescent="0.2">
      <c r="A1018" s="6"/>
      <c r="B1018" s="6"/>
      <c r="C1018" s="155"/>
      <c r="D1018" s="2"/>
      <c r="E1018" s="148"/>
      <c r="F1018" s="137" t="s">
        <v>1143</v>
      </c>
      <c r="G1018" s="253"/>
      <c r="H1018" s="253"/>
      <c r="I1018" s="249"/>
      <c r="J1018" s="253"/>
    </row>
    <row r="1019" spans="1:10" x14ac:dyDescent="0.2">
      <c r="A1019" s="6"/>
      <c r="B1019" s="6"/>
      <c r="C1019" s="155"/>
      <c r="D1019" s="2" t="s">
        <v>1302</v>
      </c>
      <c r="E1019" s="148" t="s">
        <v>33</v>
      </c>
      <c r="F1019" s="137">
        <v>1</v>
      </c>
      <c r="G1019" s="253"/>
      <c r="H1019" s="253"/>
      <c r="I1019" s="249"/>
      <c r="J1019" s="253">
        <f t="shared" ref="J1019" si="94">ROUND(PRODUCT(F1019:I1019),2)</f>
        <v>1</v>
      </c>
    </row>
    <row r="1020" spans="1:10" x14ac:dyDescent="0.2">
      <c r="A1020" s="6"/>
      <c r="B1020" s="6"/>
      <c r="C1020" s="155"/>
      <c r="D1020" s="2"/>
      <c r="E1020" s="148"/>
      <c r="F1020" s="137"/>
      <c r="G1020" s="253"/>
      <c r="H1020" s="253"/>
      <c r="I1020" s="249"/>
      <c r="J1020" s="253"/>
    </row>
    <row r="1021" spans="1:10" s="139" customFormat="1" x14ac:dyDescent="0.2">
      <c r="A1021" s="6"/>
      <c r="B1021" s="6"/>
      <c r="C1021" s="7"/>
      <c r="D1021" s="116"/>
      <c r="E1021" s="6"/>
      <c r="F1021" s="258"/>
      <c r="G1021" s="258"/>
      <c r="H1021" s="258"/>
      <c r="I1021" s="519" t="str">
        <f>"Total item "&amp;A1017</f>
        <v>Total item 15.1</v>
      </c>
      <c r="J1021" s="518">
        <f>SUM(J1019:J1020)</f>
        <v>1</v>
      </c>
    </row>
    <row r="1022" spans="1:10" x14ac:dyDescent="0.2">
      <c r="A1022" s="6"/>
      <c r="B1022" s="6"/>
      <c r="C1022" s="155"/>
      <c r="D1022" s="108"/>
      <c r="E1022" s="148"/>
      <c r="F1022" s="253"/>
      <c r="G1022" s="253"/>
      <c r="H1022" s="253"/>
      <c r="I1022" s="246"/>
      <c r="J1022" s="258"/>
    </row>
    <row r="1023" spans="1:10" s="139" customFormat="1" ht="51" x14ac:dyDescent="0.2">
      <c r="A1023" s="515">
        <f>'ORÇAMENTO SEM DESON'!A140</f>
        <v>15.2</v>
      </c>
      <c r="B1023" s="9" t="s">
        <v>163</v>
      </c>
      <c r="C1023" s="13" t="s">
        <v>412</v>
      </c>
      <c r="D1023" s="520" t="str">
        <f>'ORÇAMENTO SEM DESON'!D140</f>
        <v>INSTALAÇÃO DE SIMULADOR DE CAMINHADA TRIPLO, EM TUBO DE AÇO CARBONO -EQUIPAMENTO DE GINÁSTICA PARA ACADEMIA AO AR LIVRE / ACADEMIA DA TERCEIRA IDADE - ATI, INSTALADO SOBRE PISO DE CONCRETO EXISTENTE. AF_10/2021</v>
      </c>
      <c r="E1023" s="515" t="str">
        <f>'ORÇAMENTO SEM DESON'!E140</f>
        <v>un</v>
      </c>
      <c r="F1023" s="518"/>
      <c r="G1023" s="518"/>
      <c r="H1023" s="518"/>
      <c r="I1023" s="519"/>
      <c r="J1023" s="518"/>
    </row>
    <row r="1024" spans="1:10" x14ac:dyDescent="0.2">
      <c r="A1024" s="6"/>
      <c r="B1024" s="6"/>
      <c r="C1024" s="155"/>
      <c r="D1024" s="2"/>
      <c r="E1024" s="148"/>
      <c r="F1024" s="137" t="s">
        <v>1143</v>
      </c>
      <c r="G1024" s="253"/>
      <c r="H1024" s="253"/>
      <c r="I1024" s="249"/>
      <c r="J1024" s="253"/>
    </row>
    <row r="1025" spans="1:10" x14ac:dyDescent="0.2">
      <c r="A1025" s="6"/>
      <c r="B1025" s="6"/>
      <c r="C1025" s="155"/>
      <c r="D1025" s="2" t="s">
        <v>1302</v>
      </c>
      <c r="E1025" s="148" t="s">
        <v>33</v>
      </c>
      <c r="F1025" s="137">
        <v>1</v>
      </c>
      <c r="G1025" s="253"/>
      <c r="H1025" s="253"/>
      <c r="I1025" s="249"/>
      <c r="J1025" s="253">
        <f>ROUND(PRODUCT(F1025:I1025),2)</f>
        <v>1</v>
      </c>
    </row>
    <row r="1026" spans="1:10" x14ac:dyDescent="0.2">
      <c r="A1026" s="6"/>
      <c r="B1026" s="6"/>
      <c r="C1026" s="155"/>
      <c r="D1026" s="2"/>
      <c r="E1026" s="148"/>
      <c r="F1026" s="137"/>
      <c r="G1026" s="253"/>
      <c r="H1026" s="253"/>
      <c r="I1026" s="249"/>
      <c r="J1026" s="253"/>
    </row>
    <row r="1027" spans="1:10" s="139" customFormat="1" x14ac:dyDescent="0.2">
      <c r="A1027" s="6"/>
      <c r="B1027" s="6"/>
      <c r="C1027" s="7"/>
      <c r="D1027" s="116"/>
      <c r="E1027" s="6"/>
      <c r="F1027" s="258"/>
      <c r="G1027" s="258"/>
      <c r="H1027" s="258"/>
      <c r="I1027" s="519" t="str">
        <f>"Total item "&amp;A1023</f>
        <v>Total item 15.2</v>
      </c>
      <c r="J1027" s="518">
        <f>SUM(J1025:J1026)</f>
        <v>1</v>
      </c>
    </row>
    <row r="1028" spans="1:10" x14ac:dyDescent="0.2">
      <c r="A1028" s="6"/>
      <c r="B1028" s="6"/>
      <c r="C1028" s="155"/>
      <c r="D1028" s="108"/>
      <c r="E1028" s="148"/>
      <c r="F1028" s="253"/>
      <c r="G1028" s="253"/>
      <c r="H1028" s="253"/>
      <c r="I1028" s="246"/>
      <c r="J1028" s="258"/>
    </row>
    <row r="1029" spans="1:10" s="139" customFormat="1" ht="40.799999999999997" x14ac:dyDescent="0.2">
      <c r="A1029" s="515">
        <f>'ORÇAMENTO SEM DESON'!A141</f>
        <v>15.3</v>
      </c>
      <c r="B1029" s="9" t="s">
        <v>163</v>
      </c>
      <c r="C1029" s="13" t="s">
        <v>412</v>
      </c>
      <c r="D1029" s="520" t="str">
        <f>'ORÇAMENTO SEM DESON'!D141</f>
        <v>INSTALAÇÃO DE PRESSÃO DE PERNAS TRIPLO, EM TUBO DE AÇO CARBONO - EQUIPAMENTO DE GINÁSTICA PARA ACADEMIA AO AR LIVRE / ACADEMIA DA TERCEIRA IDADE - ATI, INSTALADO SOBRE SOLO. AF_10/2021</v>
      </c>
      <c r="E1029" s="515" t="str">
        <f>'ORÇAMENTO SEM DESON'!E141</f>
        <v>un</v>
      </c>
      <c r="F1029" s="518"/>
      <c r="G1029" s="518"/>
      <c r="H1029" s="518"/>
      <c r="I1029" s="519"/>
      <c r="J1029" s="518"/>
    </row>
    <row r="1030" spans="1:10" x14ac:dyDescent="0.2">
      <c r="A1030" s="6"/>
      <c r="B1030" s="6"/>
      <c r="C1030" s="155"/>
      <c r="D1030" s="2"/>
      <c r="E1030" s="148"/>
      <c r="F1030" s="137" t="s">
        <v>1143</v>
      </c>
      <c r="G1030" s="253"/>
      <c r="H1030" s="253"/>
      <c r="I1030" s="249"/>
      <c r="J1030" s="253"/>
    </row>
    <row r="1031" spans="1:10" x14ac:dyDescent="0.2">
      <c r="A1031" s="6"/>
      <c r="B1031" s="6"/>
      <c r="C1031" s="155"/>
      <c r="D1031" s="2" t="s">
        <v>1302</v>
      </c>
      <c r="E1031" s="148" t="s">
        <v>33</v>
      </c>
      <c r="F1031" s="137">
        <v>1</v>
      </c>
      <c r="G1031" s="253"/>
      <c r="H1031" s="253"/>
      <c r="I1031" s="249"/>
      <c r="J1031" s="253">
        <f>ROUND(PRODUCT(F1031:I1031),2)</f>
        <v>1</v>
      </c>
    </row>
    <row r="1032" spans="1:10" s="139" customFormat="1" x14ac:dyDescent="0.2">
      <c r="A1032" s="6"/>
      <c r="B1032" s="6"/>
      <c r="C1032" s="7"/>
      <c r="D1032" s="116"/>
      <c r="E1032" s="6"/>
      <c r="F1032" s="258"/>
      <c r="G1032" s="258"/>
      <c r="H1032" s="258"/>
      <c r="I1032" s="519" t="str">
        <f>"Total item "&amp;A1029</f>
        <v>Total item 15.3</v>
      </c>
      <c r="J1032" s="518">
        <f>SUM(J1031:J1031)</f>
        <v>1</v>
      </c>
    </row>
    <row r="1033" spans="1:10" x14ac:dyDescent="0.2">
      <c r="A1033" s="6"/>
      <c r="B1033" s="6"/>
      <c r="C1033" s="155"/>
      <c r="D1033" s="108"/>
      <c r="E1033" s="148"/>
      <c r="F1033" s="253"/>
      <c r="G1033" s="253"/>
      <c r="H1033" s="253"/>
      <c r="I1033" s="246"/>
      <c r="J1033" s="258"/>
    </row>
    <row r="1034" spans="1:10" s="139" customFormat="1" ht="40.799999999999997" x14ac:dyDescent="0.2">
      <c r="A1034" s="515">
        <f>'ORÇAMENTO SEM DESON'!A142</f>
        <v>15.4</v>
      </c>
      <c r="B1034" s="9" t="s">
        <v>163</v>
      </c>
      <c r="C1034" s="13" t="s">
        <v>412</v>
      </c>
      <c r="D1034" s="520" t="str">
        <f>'ORÇAMENTO SEM DESON'!D142</f>
        <v>INSTALAÇÃO DE ROTAÇÃO DIAGONAL DUPLA, APARELHO TRIPLO, EM TUBO DE AÇO CARBONO - EQUIPAMENTO DE GINÁSTICA PARA ACADEMIA AO AR LIVRE / ACADEMIA DA TERCEIRA IDADE - ATI, INSTALADO SOBRE SOLO. AF_10/2021</v>
      </c>
      <c r="E1034" s="515" t="str">
        <f>'ORÇAMENTO SEM DESON'!E142</f>
        <v>un</v>
      </c>
      <c r="F1034" s="518"/>
      <c r="G1034" s="518"/>
      <c r="H1034" s="518"/>
      <c r="I1034" s="519"/>
      <c r="J1034" s="518"/>
    </row>
    <row r="1035" spans="1:10" x14ac:dyDescent="0.2">
      <c r="A1035" s="6"/>
      <c r="B1035" s="6"/>
      <c r="C1035" s="155"/>
      <c r="D1035" s="2"/>
      <c r="E1035" s="148"/>
      <c r="F1035" s="137" t="s">
        <v>1143</v>
      </c>
      <c r="G1035" s="253"/>
      <c r="H1035" s="253"/>
      <c r="I1035" s="249"/>
      <c r="J1035" s="253"/>
    </row>
    <row r="1036" spans="1:10" x14ac:dyDescent="0.2">
      <c r="A1036" s="6"/>
      <c r="B1036" s="6"/>
      <c r="C1036" s="155"/>
      <c r="D1036" s="2" t="s">
        <v>1302</v>
      </c>
      <c r="E1036" s="148" t="s">
        <v>33</v>
      </c>
      <c r="F1036" s="137">
        <v>1</v>
      </c>
      <c r="G1036" s="253"/>
      <c r="H1036" s="253"/>
      <c r="I1036" s="249"/>
      <c r="J1036" s="253">
        <f>ROUND(PRODUCT(F1036:I1036),2)</f>
        <v>1</v>
      </c>
    </row>
    <row r="1037" spans="1:10" s="139" customFormat="1" x14ac:dyDescent="0.2">
      <c r="A1037" s="6"/>
      <c r="B1037" s="6"/>
      <c r="C1037" s="7"/>
      <c r="D1037" s="116"/>
      <c r="E1037" s="6"/>
      <c r="F1037" s="258"/>
      <c r="G1037" s="258"/>
      <c r="H1037" s="258"/>
      <c r="I1037" s="519" t="str">
        <f>"Total item "&amp;A1034</f>
        <v>Total item 15.4</v>
      </c>
      <c r="J1037" s="518">
        <f>SUM(J1036:J1036)</f>
        <v>1</v>
      </c>
    </row>
    <row r="1038" spans="1:10" x14ac:dyDescent="0.2">
      <c r="A1038" s="6"/>
      <c r="B1038" s="6"/>
      <c r="C1038" s="155"/>
      <c r="D1038" s="108"/>
      <c r="E1038" s="148"/>
      <c r="F1038" s="253"/>
      <c r="G1038" s="253"/>
      <c r="H1038" s="253"/>
      <c r="I1038" s="246"/>
      <c r="J1038" s="258"/>
    </row>
    <row r="1039" spans="1:10" s="139" customFormat="1" ht="51" x14ac:dyDescent="0.2">
      <c r="A1039" s="515">
        <f>'ORÇAMENTO SEM DESON'!A143</f>
        <v>15.5</v>
      </c>
      <c r="B1039" s="9" t="s">
        <v>163</v>
      </c>
      <c r="C1039" s="13" t="s">
        <v>412</v>
      </c>
      <c r="D1039" s="520" t="str">
        <f>'ORÇAMENTO SEM DESON'!D143</f>
        <v>INSTALAÇÃO DE PLACA ORIENTATIVA SOBRE EXERCÍCIOS, 2,00M X 1,00M, EM TUBO DE AÇO CARBONO - PARA ACADEMIA AO AR LIVRE / ACADEMIA DA TERCEIRA IDADE - ATI, INSTALADO SOBRE PISO DE CONCRETO EXISTENTE. AF_10/2021</v>
      </c>
      <c r="E1039" s="515" t="str">
        <f>'ORÇAMENTO SEM DESON'!E143</f>
        <v>un</v>
      </c>
      <c r="F1039" s="518"/>
      <c r="G1039" s="518"/>
      <c r="H1039" s="518"/>
      <c r="I1039" s="519"/>
      <c r="J1039" s="518"/>
    </row>
    <row r="1040" spans="1:10" x14ac:dyDescent="0.2">
      <c r="A1040" s="6"/>
      <c r="B1040" s="6"/>
      <c r="C1040" s="155"/>
      <c r="D1040" s="2"/>
      <c r="E1040" s="148"/>
      <c r="F1040" s="137" t="s">
        <v>1143</v>
      </c>
      <c r="G1040" s="253"/>
      <c r="H1040" s="253"/>
      <c r="I1040" s="249"/>
      <c r="J1040" s="253"/>
    </row>
    <row r="1041" spans="1:10" x14ac:dyDescent="0.2">
      <c r="A1041" s="6"/>
      <c r="B1041" s="6"/>
      <c r="C1041" s="155"/>
      <c r="D1041" s="2" t="s">
        <v>1302</v>
      </c>
      <c r="E1041" s="148" t="s">
        <v>33</v>
      </c>
      <c r="F1041" s="137">
        <v>1</v>
      </c>
      <c r="G1041" s="253"/>
      <c r="H1041" s="253"/>
      <c r="I1041" s="249"/>
      <c r="J1041" s="253">
        <f>ROUND(PRODUCT(F1041:I1041),2)</f>
        <v>1</v>
      </c>
    </row>
    <row r="1042" spans="1:10" s="139" customFormat="1" x14ac:dyDescent="0.2">
      <c r="A1042" s="6"/>
      <c r="B1042" s="6"/>
      <c r="C1042" s="7"/>
      <c r="D1042" s="116"/>
      <c r="E1042" s="6"/>
      <c r="F1042" s="258"/>
      <c r="G1042" s="258"/>
      <c r="H1042" s="258"/>
      <c r="I1042" s="519" t="str">
        <f>"Total item "&amp;A1039</f>
        <v>Total item 15.5</v>
      </c>
      <c r="J1042" s="518">
        <f>SUM(J1041:J1041)</f>
        <v>1</v>
      </c>
    </row>
    <row r="1043" spans="1:10" x14ac:dyDescent="0.2">
      <c r="A1043" s="6"/>
      <c r="B1043" s="6"/>
      <c r="C1043" s="155"/>
      <c r="D1043" s="108"/>
      <c r="E1043" s="148"/>
      <c r="F1043" s="253"/>
      <c r="G1043" s="253"/>
      <c r="H1043" s="253"/>
      <c r="I1043" s="246"/>
      <c r="J1043" s="258"/>
    </row>
    <row r="1044" spans="1:10" s="139" customFormat="1" ht="20.399999999999999" x14ac:dyDescent="0.2">
      <c r="A1044" s="515">
        <f>'ORÇAMENTO SEM DESON'!A144</f>
        <v>15.6</v>
      </c>
      <c r="B1044" s="9" t="s">
        <v>163</v>
      </c>
      <c r="C1044" s="13" t="s">
        <v>412</v>
      </c>
      <c r="D1044" s="520" t="str">
        <f>'ORÇAMENTO SEM DESON'!D144</f>
        <v>MESA DE JOGOS COM QUATRO BANCOS, TAMPO COM REVESTIMENTO CERÂMICO 10X10, INCLUSO PINTURA</v>
      </c>
      <c r="E1044" s="515" t="str">
        <f>'ORÇAMENTO SEM DESON'!E144</f>
        <v>un</v>
      </c>
      <c r="F1044" s="518"/>
      <c r="G1044" s="518"/>
      <c r="H1044" s="518"/>
      <c r="I1044" s="519"/>
      <c r="J1044" s="518"/>
    </row>
    <row r="1045" spans="1:10" x14ac:dyDescent="0.2">
      <c r="A1045" s="6"/>
      <c r="B1045" s="6"/>
      <c r="C1045" s="155"/>
      <c r="D1045" s="2"/>
      <c r="E1045" s="148"/>
      <c r="F1045" s="137" t="s">
        <v>1143</v>
      </c>
      <c r="G1045" s="253"/>
      <c r="H1045" s="253"/>
      <c r="I1045" s="249"/>
      <c r="J1045" s="253"/>
    </row>
    <row r="1046" spans="1:10" x14ac:dyDescent="0.2">
      <c r="A1046" s="6"/>
      <c r="B1046" s="6"/>
      <c r="C1046" s="155"/>
      <c r="D1046" s="2" t="s">
        <v>1358</v>
      </c>
      <c r="E1046" s="148" t="s">
        <v>33</v>
      </c>
      <c r="F1046" s="137">
        <v>6</v>
      </c>
      <c r="G1046" s="253"/>
      <c r="H1046" s="253"/>
      <c r="I1046" s="249"/>
      <c r="J1046" s="253">
        <f>ROUND(PRODUCT(F1046:I1046),2)</f>
        <v>6</v>
      </c>
    </row>
    <row r="1047" spans="1:10" s="139" customFormat="1" x14ac:dyDescent="0.2">
      <c r="A1047" s="6"/>
      <c r="B1047" s="6"/>
      <c r="C1047" s="7"/>
      <c r="D1047" s="116"/>
      <c r="E1047" s="6"/>
      <c r="F1047" s="258"/>
      <c r="G1047" s="258"/>
      <c r="H1047" s="258"/>
      <c r="I1047" s="519" t="str">
        <f>"Total item "&amp;A1044</f>
        <v>Total item 15.6</v>
      </c>
      <c r="J1047" s="518">
        <f>SUM(J1046:J1046)</f>
        <v>6</v>
      </c>
    </row>
    <row r="1048" spans="1:10" x14ac:dyDescent="0.2">
      <c r="A1048" s="6"/>
      <c r="B1048" s="6"/>
      <c r="C1048" s="155"/>
      <c r="D1048" s="108"/>
      <c r="E1048" s="148"/>
      <c r="F1048" s="253"/>
      <c r="G1048" s="253"/>
      <c r="H1048" s="253"/>
      <c r="I1048" s="246"/>
      <c r="J1048" s="258"/>
    </row>
    <row r="1049" spans="1:10" s="139" customFormat="1" x14ac:dyDescent="0.2">
      <c r="A1049" s="515">
        <f>'ORÇAMENTO SEM DESON'!A145</f>
        <v>15.7</v>
      </c>
      <c r="B1049" s="9" t="s">
        <v>163</v>
      </c>
      <c r="C1049" s="13" t="s">
        <v>412</v>
      </c>
      <c r="D1049" s="520" t="str">
        <f>'ORÇAMENTO SEM DESON'!D145</f>
        <v>LETREIRO - LETRA EM CAIXA DE ZINCO, H= 20CM</v>
      </c>
      <c r="E1049" s="515" t="str">
        <f>'ORÇAMENTO SEM DESON'!E145</f>
        <v>un</v>
      </c>
      <c r="F1049" s="518"/>
      <c r="G1049" s="518"/>
      <c r="H1049" s="518"/>
      <c r="I1049" s="519"/>
      <c r="J1049" s="518"/>
    </row>
    <row r="1050" spans="1:10" x14ac:dyDescent="0.2">
      <c r="A1050" s="6"/>
      <c r="B1050" s="6"/>
      <c r="C1050" s="155"/>
      <c r="D1050" s="2"/>
      <c r="E1050" s="148"/>
      <c r="F1050" s="137" t="s">
        <v>1143</v>
      </c>
      <c r="G1050" s="253"/>
      <c r="H1050" s="253"/>
      <c r="I1050" s="249"/>
      <c r="J1050" s="253"/>
    </row>
    <row r="1051" spans="1:10" x14ac:dyDescent="0.2">
      <c r="A1051" s="6"/>
      <c r="B1051" s="6"/>
      <c r="C1051" s="155"/>
      <c r="D1051" s="2" t="s">
        <v>1362</v>
      </c>
      <c r="E1051" s="148" t="s">
        <v>33</v>
      </c>
      <c r="F1051" s="137">
        <v>39</v>
      </c>
      <c r="G1051" s="253"/>
      <c r="H1051" s="253"/>
      <c r="I1051" s="249"/>
      <c r="J1051" s="253">
        <f>ROUND(PRODUCT(F1051:I1051),2)</f>
        <v>39</v>
      </c>
    </row>
    <row r="1052" spans="1:10" s="139" customFormat="1" x14ac:dyDescent="0.2">
      <c r="A1052" s="6"/>
      <c r="B1052" s="6"/>
      <c r="C1052" s="7"/>
      <c r="D1052" s="2" t="s">
        <v>1363</v>
      </c>
      <c r="E1052" s="6"/>
      <c r="F1052" s="258"/>
      <c r="G1052" s="258"/>
      <c r="H1052" s="258"/>
      <c r="I1052" s="519" t="str">
        <f>"Total item "&amp;A1049</f>
        <v>Total item 15.7</v>
      </c>
      <c r="J1052" s="518">
        <f>SUM(J1051:J1051)</f>
        <v>39</v>
      </c>
    </row>
    <row r="1053" spans="1:10" x14ac:dyDescent="0.2">
      <c r="A1053" s="6"/>
      <c r="B1053" s="6"/>
      <c r="C1053" s="155"/>
      <c r="D1053" s="108"/>
      <c r="E1053" s="148"/>
      <c r="F1053" s="253"/>
      <c r="G1053" s="253"/>
      <c r="H1053" s="253"/>
      <c r="I1053" s="246"/>
      <c r="J1053" s="258"/>
    </row>
    <row r="1054" spans="1:10" s="139" customFormat="1" x14ac:dyDescent="0.2">
      <c r="A1054" s="515">
        <f>'ORÇAMENTO SEM DESON'!A146</f>
        <v>15.8</v>
      </c>
      <c r="B1054" s="9" t="s">
        <v>163</v>
      </c>
      <c r="C1054" s="13" t="s">
        <v>412</v>
      </c>
      <c r="D1054" s="520" t="str">
        <f>'ORÇAMENTO SEM DESON'!D146</f>
        <v xml:space="preserve">IMPERMEABILIZACAO COM APLICACAO DIRETAMENTE 
NA ESTRUTURA DE CONCRETO COM QUATRO DEMAOS DE ARGAMASSA POLIMERICA, PARA RESERVATORIOS, CAIXAS D AGUAS, PISCINAS, POCOS DE ELEVADORES ETC.,INCLUINDO MATERIAL E MAO DE OBRA. </v>
      </c>
      <c r="E1054" s="515" t="str">
        <f>'ORÇAMENTO SEM DESON'!E146</f>
        <v>m²</v>
      </c>
      <c r="F1054" s="518"/>
      <c r="G1054" s="518"/>
      <c r="H1054" s="518"/>
      <c r="I1054" s="519"/>
      <c r="J1054" s="518"/>
    </row>
    <row r="1055" spans="1:10" x14ac:dyDescent="0.2">
      <c r="A1055" s="6"/>
      <c r="B1055" s="6"/>
      <c r="C1055" s="155"/>
      <c r="D1055" s="2"/>
      <c r="E1055" s="148"/>
      <c r="F1055" s="137" t="s">
        <v>1455</v>
      </c>
      <c r="G1055" s="253" t="s">
        <v>1141</v>
      </c>
      <c r="H1055" s="253" t="s">
        <v>1456</v>
      </c>
      <c r="I1055" s="249"/>
      <c r="J1055" s="253"/>
    </row>
    <row r="1056" spans="1:10" x14ac:dyDescent="0.2">
      <c r="A1056" s="6"/>
      <c r="B1056" s="6"/>
      <c r="C1056" s="155"/>
      <c r="D1056" s="2" t="s">
        <v>1454</v>
      </c>
      <c r="E1056" s="148" t="s">
        <v>9</v>
      </c>
      <c r="F1056" s="137">
        <v>3.4</v>
      </c>
      <c r="G1056" s="253">
        <v>3.4</v>
      </c>
      <c r="H1056" s="253">
        <v>2</v>
      </c>
      <c r="I1056" s="249"/>
      <c r="J1056" s="253">
        <f>((F1056+G1056+F1056+G1056)*H1056)+(F1056*G1056)</f>
        <v>38.76</v>
      </c>
    </row>
    <row r="1057" spans="1:20" s="139" customFormat="1" x14ac:dyDescent="0.2">
      <c r="A1057" s="6"/>
      <c r="B1057" s="6"/>
      <c r="C1057" s="7"/>
      <c r="D1057" s="2"/>
      <c r="E1057" s="6"/>
      <c r="F1057" s="258"/>
      <c r="G1057" s="258"/>
      <c r="H1057" s="258"/>
      <c r="I1057" s="519" t="str">
        <f>"Total item "&amp;A1054</f>
        <v>Total item 15.8</v>
      </c>
      <c r="J1057" s="518">
        <f>SUM(J1056:J1056)</f>
        <v>38.76</v>
      </c>
    </row>
    <row r="1058" spans="1:20" x14ac:dyDescent="0.2">
      <c r="A1058" s="6"/>
      <c r="B1058" s="6"/>
      <c r="C1058" s="155"/>
      <c r="D1058" s="108"/>
      <c r="E1058" s="148"/>
      <c r="F1058" s="253"/>
      <c r="G1058" s="253"/>
      <c r="H1058" s="253"/>
      <c r="I1058" s="246"/>
      <c r="J1058" s="258"/>
    </row>
    <row r="1059" spans="1:20" s="139" customFormat="1" ht="20.399999999999999" x14ac:dyDescent="0.2">
      <c r="A1059" s="515">
        <f>'ORÇAMENTO SEM DESON'!A147</f>
        <v>15.9</v>
      </c>
      <c r="B1059" s="9" t="s">
        <v>163</v>
      </c>
      <c r="C1059" s="13" t="s">
        <v>412</v>
      </c>
      <c r="D1059" s="520" t="str">
        <f>'ORÇAMENTO SEM DESON'!D147</f>
        <v>REDÁRIO EM MADEIRA ROLIÇA TRATADA, D = 16 A 20 CM, H = 2,20 M, EM EUCALIPTO</v>
      </c>
      <c r="E1059" s="515" t="str">
        <f>'ORÇAMENTO SEM DESON'!E147</f>
        <v>un</v>
      </c>
      <c r="F1059" s="518"/>
      <c r="G1059" s="518"/>
      <c r="H1059" s="518"/>
      <c r="I1059" s="519"/>
      <c r="J1059" s="518"/>
    </row>
    <row r="1060" spans="1:20" x14ac:dyDescent="0.2">
      <c r="A1060" s="6"/>
      <c r="B1060" s="6"/>
      <c r="C1060" s="155"/>
      <c r="D1060" s="2"/>
      <c r="E1060" s="148"/>
      <c r="F1060" s="137" t="s">
        <v>1143</v>
      </c>
      <c r="G1060" s="253"/>
      <c r="H1060" s="253"/>
      <c r="I1060" s="249"/>
      <c r="J1060" s="253"/>
    </row>
    <row r="1061" spans="1:20" x14ac:dyDescent="0.2">
      <c r="A1061" s="6"/>
      <c r="B1061" s="6"/>
      <c r="C1061" s="155"/>
      <c r="D1061" s="2" t="s">
        <v>1375</v>
      </c>
      <c r="E1061" s="148" t="s">
        <v>33</v>
      </c>
      <c r="F1061" s="137">
        <v>2</v>
      </c>
      <c r="G1061" s="253"/>
      <c r="H1061" s="253"/>
      <c r="I1061" s="249"/>
      <c r="J1061" s="253">
        <f>F1061</f>
        <v>2</v>
      </c>
    </row>
    <row r="1062" spans="1:20" s="139" customFormat="1" x14ac:dyDescent="0.2">
      <c r="A1062" s="6"/>
      <c r="B1062" s="6"/>
      <c r="C1062" s="7"/>
      <c r="D1062" s="2"/>
      <c r="E1062" s="6"/>
      <c r="F1062" s="258"/>
      <c r="G1062" s="258"/>
      <c r="H1062" s="258"/>
      <c r="I1062" s="519" t="str">
        <f>"Total item "&amp;A1059</f>
        <v>Total item 15.9</v>
      </c>
      <c r="J1062" s="518">
        <f>SUM(J1061:J1061)</f>
        <v>2</v>
      </c>
    </row>
    <row r="1063" spans="1:20" x14ac:dyDescent="0.2">
      <c r="A1063" s="6"/>
      <c r="B1063" s="6"/>
      <c r="C1063" s="155"/>
      <c r="D1063" s="108"/>
      <c r="E1063" s="148"/>
      <c r="F1063" s="253"/>
      <c r="G1063" s="253"/>
      <c r="H1063" s="253"/>
      <c r="I1063" s="246"/>
      <c r="J1063" s="258"/>
    </row>
    <row r="1064" spans="1:20" s="412" customFormat="1" x14ac:dyDescent="0.2">
      <c r="A1064" s="413"/>
      <c r="B1064" s="413"/>
      <c r="C1064" s="414"/>
      <c r="D1064" s="415"/>
      <c r="E1064" s="416"/>
      <c r="F1064" s="417"/>
      <c r="G1064" s="417"/>
      <c r="H1064" s="417"/>
      <c r="I1064" s="418"/>
      <c r="J1064" s="419"/>
      <c r="K1064" s="424"/>
      <c r="L1064" s="424"/>
      <c r="M1064" s="424"/>
      <c r="N1064" s="424"/>
      <c r="O1064" s="424"/>
      <c r="P1064" s="424"/>
      <c r="Q1064" s="424"/>
      <c r="R1064" s="424"/>
      <c r="S1064" s="424"/>
      <c r="T1064" s="424"/>
    </row>
    <row r="1069" spans="1:20" s="147" customFormat="1" ht="30.6" hidden="1" x14ac:dyDescent="0.2">
      <c r="A1069" s="9" t="s">
        <v>597</v>
      </c>
      <c r="B1069" s="9" t="s">
        <v>89</v>
      </c>
      <c r="C1069" s="13">
        <v>92541</v>
      </c>
      <c r="D1069" s="420" t="s">
        <v>674</v>
      </c>
      <c r="E1069" s="9" t="s">
        <v>9</v>
      </c>
      <c r="F1069" s="131"/>
      <c r="G1069" s="131"/>
      <c r="H1069" s="131"/>
      <c r="I1069" s="245"/>
      <c r="J1069" s="131"/>
    </row>
  </sheetData>
  <mergeCells count="2">
    <mergeCell ref="A3:J3"/>
    <mergeCell ref="A1:J1"/>
  </mergeCells>
  <phoneticPr fontId="10" type="noConversion"/>
  <printOptions horizontalCentered="1"/>
  <pageMargins left="0.59055118110236227" right="0.39370078740157483" top="1.5354330708661419" bottom="1.3385826771653544" header="0.39370078740157483" footer="0.39370078740157483"/>
  <pageSetup paperSize="9" scale="84" fitToHeight="0" orientation="portrait" r:id="rId1"/>
  <headerFooter>
    <oddHeader>&amp;C&amp;G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24</vt:i4>
      </vt:variant>
    </vt:vector>
  </HeadingPairs>
  <TitlesOfParts>
    <vt:vector size="37" baseType="lpstr">
      <vt:lpstr>COMP_BDI_EDIFICACOES_26,53%_COM</vt:lpstr>
      <vt:lpstr>ORÇAMENTO PINTURA</vt:lpstr>
      <vt:lpstr>MEMÓRIA PINTURA</vt:lpstr>
      <vt:lpstr>_RESUMO COMPARATIVO_</vt:lpstr>
      <vt:lpstr>(PLANILHA GERAL COM DESON)</vt:lpstr>
      <vt:lpstr>ORÇAMENTO COM DESON</vt:lpstr>
      <vt:lpstr>RESUMO SEM DESON</vt:lpstr>
      <vt:lpstr>ORÇAMENTO SEM DESON</vt:lpstr>
      <vt:lpstr>MEMORIA DE CALCULO</vt:lpstr>
      <vt:lpstr>COMPOSICOES</vt:lpstr>
      <vt:lpstr>COMPOSICOES - SINAPI COM DESON</vt:lpstr>
      <vt:lpstr>CRONOGRAMA</vt:lpstr>
      <vt:lpstr>COMP_BDI_EDIFICACOES_20,84%_SEM</vt:lpstr>
      <vt:lpstr>'(PLANILHA GERAL COM DESON)'!Area_de_impressao</vt:lpstr>
      <vt:lpstr>'_RESUMO COMPARATIVO_'!Area_de_impressao</vt:lpstr>
      <vt:lpstr>'COMP_BDI_EDIFICACOES_20,84%_SEM'!Area_de_impressao</vt:lpstr>
      <vt:lpstr>'COMP_BDI_EDIFICACOES_26,53%_COM'!Area_de_impressao</vt:lpstr>
      <vt:lpstr>COMPOSICOES!Area_de_impressao</vt:lpstr>
      <vt:lpstr>'COMPOSICOES - SINAPI COM DESON'!Area_de_impressao</vt:lpstr>
      <vt:lpstr>CRONOGRAMA!Area_de_impressao</vt:lpstr>
      <vt:lpstr>'MEMORIA DE CALCULO'!Area_de_impressao</vt:lpstr>
      <vt:lpstr>'MEMÓRIA PINTURA'!Area_de_impressao</vt:lpstr>
      <vt:lpstr>'ORÇAMENTO COM DESON'!Area_de_impressao</vt:lpstr>
      <vt:lpstr>'ORÇAMENTO PINTURA'!Area_de_impressao</vt:lpstr>
      <vt:lpstr>'ORÇAMENTO SEM DESON'!Area_de_impressao</vt:lpstr>
      <vt:lpstr>'RESUMO SEM DESON'!Area_de_impressao</vt:lpstr>
      <vt:lpstr>'(PLANILHA GERAL COM DESON)'!Titulos_de_impressao</vt:lpstr>
      <vt:lpstr>'_RESUMO COMPARATIVO_'!Titulos_de_impressao</vt:lpstr>
      <vt:lpstr>COMPOSICOES!Titulos_de_impressao</vt:lpstr>
      <vt:lpstr>'COMPOSICOES - SINAPI COM DESON'!Titulos_de_impressao</vt:lpstr>
      <vt:lpstr>CRONOGRAMA!Titulos_de_impressao</vt:lpstr>
      <vt:lpstr>'MEMORIA DE CALCULO'!Titulos_de_impressao</vt:lpstr>
      <vt:lpstr>'MEMÓRIA PINTURA'!Titulos_de_impressao</vt:lpstr>
      <vt:lpstr>'ORÇAMENTO COM DESON'!Titulos_de_impressao</vt:lpstr>
      <vt:lpstr>'ORÇAMENTO PINTURA'!Titulos_de_impressao</vt:lpstr>
      <vt:lpstr>'ORÇAMENTO SEM DESON'!Titulos_de_impressao</vt:lpstr>
      <vt:lpstr>'RESUMO SEM DESON'!Titulos_de_impressao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2022-04-13T09:06:49Z</dcterms:modified>
</cp:coreProperties>
</file>