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0730" windowHeight="11760" firstSheet="2" activeTab="6"/>
  </bookViews>
  <sheets>
    <sheet name="Planilha orç" sheetId="2" r:id="rId1"/>
    <sheet name="Memória de cálculo" sheetId="1" r:id="rId2"/>
    <sheet name="COMPOSIÇÕES" sheetId="6" r:id="rId3"/>
    <sheet name="COTAÇÕES" sheetId="7" r:id="rId4"/>
    <sheet name="RESUMO SEM DESON" sheetId="8" r:id="rId5"/>
    <sheet name="CRONOGRAMA" sheetId="9" r:id="rId6"/>
    <sheet name="COMP_BDI_EDIFICACOES_23,38%_SEM" sheetId="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2" hidden="1">COMPOSIÇÕES!$A$8:$J$8</definedName>
    <definedName name="_xlnm._FilterDatabase" localSheetId="3" hidden="1">COTAÇÕES!$A$8:$F$19</definedName>
    <definedName name="_xlnm._FilterDatabase" localSheetId="1" hidden="1">'Memória de cálculo'!$A$6:$H$6</definedName>
    <definedName name="_xlnm._FilterDatabase" localSheetId="0" hidden="1">'Planilha orç'!$A$5:$J$234</definedName>
    <definedName name="_xlnm._FilterDatabase" localSheetId="4" hidden="1">'RESUMO SEM DESON'!$A$7:$C$38</definedName>
    <definedName name="AF">#REF!</definedName>
    <definedName name="AFF">#REF!</definedName>
    <definedName name="AFFF">#REF!</definedName>
    <definedName name="AFFFF">#REF!</definedName>
    <definedName name="AFFFFFF">#REF!</definedName>
    <definedName name="AFFFFFFF">#REF!</definedName>
    <definedName name="AFFFFFFFF">#REF!</definedName>
    <definedName name="AFFFFFFFFFFF">#REF!</definedName>
    <definedName name="AFFFFFFFFFFFFF">#REF!</definedName>
    <definedName name="AFFFFFFFFFFFFFFF">#REF!</definedName>
    <definedName name="_xlnm.Print_Area" localSheetId="6">'COMP_BDI_EDIFICACOES_23,38%_SEM'!$B$1:$D$51</definedName>
    <definedName name="_xlnm.Print_Area" localSheetId="2">COMPOSIÇÕES!$A$1:$J$209</definedName>
    <definedName name="_xlnm.Print_Area" localSheetId="3">COTAÇÕES!$A$1:$F$151</definedName>
    <definedName name="_xlnm.Print_Area" localSheetId="5">CRONOGRAMA!$A$1:$O$45</definedName>
    <definedName name="_xlnm.Print_Area" localSheetId="1">'Memória de cálculo'!$A$1:$H$1341</definedName>
    <definedName name="_xlnm.Print_Area" localSheetId="0">'Planilha orç'!$A$1:$J$234</definedName>
    <definedName name="_xlnm.Print_Area" localSheetId="4">'RESUMO SEM DESON'!$A$1:$D$37</definedName>
    <definedName name="AreaTeste" localSheetId="6">#REF!</definedName>
    <definedName name="AreaTeste" localSheetId="3">#REF!</definedName>
    <definedName name="AreaTeste" localSheetId="5">#REF!</definedName>
    <definedName name="AreaTeste" localSheetId="4">#REF!</definedName>
    <definedName name="AreaTeste">#REF!</definedName>
    <definedName name="AreaTeste2" localSheetId="6">#REF!</definedName>
    <definedName name="AreaTeste2" localSheetId="3">#REF!</definedName>
    <definedName name="AreaTeste2" localSheetId="4">#REF!</definedName>
    <definedName name="AreaTeste2">#REF!</definedName>
    <definedName name="CélulaInicioPlanilha" localSheetId="6">#REF!</definedName>
    <definedName name="CélulaInicioPlanilha" localSheetId="3">#REF!</definedName>
    <definedName name="CélulaInicioPlanilha" localSheetId="4">#REF!</definedName>
    <definedName name="CélulaInicioPlanilha">#REF!</definedName>
    <definedName name="CélulaResumo" localSheetId="6">#REF!</definedName>
    <definedName name="CélulaResumo" localSheetId="3">#REF!</definedName>
    <definedName name="CélulaResumo" localSheetId="4">#REF!</definedName>
    <definedName name="CélulaResumo">#REF!</definedName>
    <definedName name="fdfd" localSheetId="6">#REF!</definedName>
    <definedName name="fdfd" localSheetId="3">#REF!</definedName>
    <definedName name="fdfd" localSheetId="5">#REF!</definedName>
    <definedName name="fdfd" localSheetId="4">#REF!</definedName>
    <definedName name="fdfd">#REF!</definedName>
    <definedName name="FFF">#REF!</definedName>
    <definedName name="GGGG">#REF!</definedName>
    <definedName name="HHHHH">#REF!</definedName>
    <definedName name="jfhdskjg" localSheetId="6">#REF!</definedName>
    <definedName name="jfhdskjg" localSheetId="3">#REF!</definedName>
    <definedName name="jfhdskjg" localSheetId="4">#REF!</definedName>
    <definedName name="jfhdskjg">#REF!</definedName>
    <definedName name="orçamento" localSheetId="6">#REF!</definedName>
    <definedName name="orçamento" localSheetId="3">#REF!</definedName>
    <definedName name="orçamento" localSheetId="4">#REF!</definedName>
    <definedName name="orçamento">#REF!</definedName>
    <definedName name="PINTURA">#REF!</definedName>
    <definedName name="RESUMO">#REF!</definedName>
    <definedName name="TABELA" localSheetId="6">'[1]PLANILHA FONTE'!$B$1:$G$290</definedName>
    <definedName name="TABELA" localSheetId="3">'[2]PLANILHA FONTE'!$B$1:$G$290</definedName>
    <definedName name="TABELA" localSheetId="5">'[2]PLANILHA FONTE'!$B$1:$G$290</definedName>
    <definedName name="TABELA" localSheetId="4">'[2]PLANILHA FONTE'!$B$1:$G$290</definedName>
    <definedName name="TABELA">'[3]PLANILHA FONTE'!$B$1:$G$290</definedName>
    <definedName name="_xlnm.Print_Titles" localSheetId="3">COTAÇÕES!$1:$8</definedName>
    <definedName name="_xlnm.Print_Titles" localSheetId="5">CRONOGRAMA!$1:$9</definedName>
    <definedName name="_xlnm.Print_Titles" localSheetId="4">'RESUMO SEM DESON'!$1:$7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64" i="1" l="1"/>
  <c r="H561" i="1"/>
  <c r="H558" i="1"/>
  <c r="H545" i="1"/>
  <c r="H523" i="1"/>
  <c r="H520" i="1"/>
  <c r="H517" i="1"/>
  <c r="H468" i="1"/>
  <c r="H461" i="1"/>
  <c r="H449" i="1"/>
  <c r="H437" i="1"/>
  <c r="H429" i="1"/>
  <c r="H426" i="1"/>
  <c r="H420" i="1"/>
  <c r="H390" i="1"/>
  <c r="H384" i="1"/>
  <c r="H381" i="1"/>
  <c r="H352" i="1"/>
  <c r="H346" i="1"/>
  <c r="H343" i="1"/>
  <c r="H340" i="1"/>
  <c r="H316" i="1"/>
  <c r="H308" i="1"/>
  <c r="H293" i="1"/>
  <c r="H289" i="1"/>
  <c r="H283" i="1"/>
  <c r="H265" i="1"/>
  <c r="H249" i="1"/>
  <c r="H226" i="1"/>
  <c r="H222" i="1"/>
  <c r="H213" i="1"/>
  <c r="H201" i="1"/>
  <c r="H197" i="1"/>
  <c r="H194" i="1"/>
  <c r="H191" i="1"/>
  <c r="H188" i="1"/>
  <c r="H177" i="1"/>
  <c r="H166" i="1"/>
  <c r="H146" i="1"/>
  <c r="H125" i="1"/>
  <c r="H115" i="1"/>
  <c r="H103" i="1"/>
  <c r="H90" i="1"/>
  <c r="H84" i="1"/>
  <c r="H77" i="1"/>
  <c r="H74" i="1"/>
  <c r="H70" i="1"/>
  <c r="H67" i="1"/>
  <c r="H60" i="1"/>
  <c r="H57" i="1"/>
  <c r="H50" i="1"/>
  <c r="H46" i="1"/>
  <c r="H41" i="1"/>
  <c r="H34" i="1"/>
  <c r="H27" i="1"/>
  <c r="H20" i="1"/>
  <c r="H12" i="1"/>
  <c r="J88" i="2"/>
  <c r="J103" i="2"/>
  <c r="J105" i="2"/>
  <c r="J162" i="2"/>
  <c r="J195" i="2"/>
  <c r="J225" i="2"/>
  <c r="J231" i="2"/>
  <c r="C58" i="1"/>
  <c r="B58" i="1"/>
  <c r="A58" i="1"/>
  <c r="G60" i="1" s="1"/>
  <c r="D59" i="1"/>
  <c r="H59" i="1" s="1"/>
  <c r="D56" i="1"/>
  <c r="H56" i="1" s="1"/>
  <c r="E244" i="1"/>
  <c r="H244" i="1" s="1"/>
  <c r="E235" i="1"/>
  <c r="H235" i="1" s="1"/>
  <c r="E243" i="1"/>
  <c r="H243" i="1" s="1"/>
  <c r="E242" i="1"/>
  <c r="H242" i="1" s="1"/>
  <c r="E241" i="1"/>
  <c r="H241" i="1" s="1"/>
  <c r="E240" i="1"/>
  <c r="H240" i="1" s="1"/>
  <c r="E239" i="1"/>
  <c r="H239" i="1" s="1"/>
  <c r="E238" i="1"/>
  <c r="H238" i="1" s="1"/>
  <c r="E237" i="1"/>
  <c r="H237" i="1" s="1"/>
  <c r="H221" i="1"/>
  <c r="E204" i="1"/>
  <c r="E212" i="1"/>
  <c r="H212" i="1" s="1"/>
  <c r="E187" i="1"/>
  <c r="H187" i="1" s="1"/>
  <c r="E176" i="1"/>
  <c r="H176" i="1" s="1"/>
  <c r="H165" i="1"/>
  <c r="F156" i="1"/>
  <c r="E156" i="1"/>
  <c r="E228" i="1"/>
  <c r="E179" i="1"/>
  <c r="E169" i="1"/>
  <c r="E149" i="1"/>
  <c r="E137" i="1"/>
  <c r="H137" i="1" s="1"/>
  <c r="E145" i="1"/>
  <c r="H145" i="1" s="1"/>
  <c r="H135" i="1"/>
  <c r="E124" i="1"/>
  <c r="H124" i="1" s="1"/>
  <c r="H114" i="1"/>
  <c r="G180" i="1"/>
  <c r="G181" i="1"/>
  <c r="G182" i="1"/>
  <c r="G183" i="1"/>
  <c r="G184" i="1"/>
  <c r="G185" i="1"/>
  <c r="G186" i="1"/>
  <c r="H186" i="1" s="1"/>
  <c r="G179" i="1"/>
  <c r="J192" i="6"/>
  <c r="J188" i="6"/>
  <c r="J183" i="6"/>
  <c r="J171" i="6"/>
  <c r="J159" i="6"/>
  <c r="J155" i="6"/>
  <c r="J141" i="6"/>
  <c r="J124" i="6"/>
  <c r="J117" i="6"/>
  <c r="J100" i="6"/>
  <c r="J93" i="6"/>
  <c r="J86" i="6"/>
  <c r="J79" i="6"/>
  <c r="J73" i="6"/>
  <c r="J67" i="6"/>
  <c r="J62" i="6"/>
  <c r="J57" i="6"/>
  <c r="J52" i="6"/>
  <c r="J47" i="6"/>
  <c r="J42" i="6"/>
  <c r="J37" i="6"/>
  <c r="J32" i="6"/>
  <c r="J27" i="6"/>
  <c r="J22" i="6"/>
  <c r="J15" i="6"/>
  <c r="J9" i="6"/>
  <c r="H9" i="1"/>
  <c r="F9" i="2" s="1"/>
  <c r="H8" i="1"/>
  <c r="F8" i="2" s="1"/>
  <c r="H79" i="1"/>
  <c r="E83" i="1"/>
  <c r="H83" i="1" s="1"/>
  <c r="E82" i="1"/>
  <c r="H82" i="1" s="1"/>
  <c r="E81" i="1"/>
  <c r="H81" i="1" s="1"/>
  <c r="E80" i="1"/>
  <c r="H80" i="1" s="1"/>
  <c r="H205" i="1"/>
  <c r="H144" i="1"/>
  <c r="E143" i="1"/>
  <c r="H143" i="1" s="1"/>
  <c r="E142" i="1"/>
  <c r="H142" i="1" s="1"/>
  <c r="E141" i="1"/>
  <c r="H141" i="1" s="1"/>
  <c r="E140" i="1"/>
  <c r="H140" i="1" s="1"/>
  <c r="E139" i="1"/>
  <c r="H139" i="1" s="1"/>
  <c r="E138" i="1"/>
  <c r="H138" i="1" s="1"/>
  <c r="B33" i="8"/>
  <c r="A33" i="8"/>
  <c r="B35" i="9"/>
  <c r="A35" i="9"/>
  <c r="D11" i="9"/>
  <c r="J200" i="6"/>
  <c r="Q195" i="6"/>
  <c r="Q192" i="6"/>
  <c r="N192" i="6"/>
  <c r="P192" i="6"/>
  <c r="J199" i="6"/>
  <c r="J198" i="6"/>
  <c r="M198" i="6"/>
  <c r="N197" i="6"/>
  <c r="M197" i="6"/>
  <c r="D39" i="2"/>
  <c r="C39" i="2"/>
  <c r="J209" i="6"/>
  <c r="J208" i="6"/>
  <c r="J207" i="6"/>
  <c r="J206" i="6"/>
  <c r="J205" i="6"/>
  <c r="J204" i="6"/>
  <c r="J203" i="6"/>
  <c r="J202" i="6"/>
  <c r="J201" i="6"/>
  <c r="J197" i="6"/>
  <c r="J196" i="6"/>
  <c r="J195" i="6"/>
  <c r="J194" i="6"/>
  <c r="J193" i="6"/>
  <c r="J189" i="6"/>
  <c r="H190" i="6"/>
  <c r="J190" i="6" s="1"/>
  <c r="C190" i="6"/>
  <c r="I35" i="1"/>
  <c r="F66" i="1"/>
  <c r="E66" i="1"/>
  <c r="F65" i="1"/>
  <c r="E65" i="1"/>
  <c r="F64" i="1"/>
  <c r="E64" i="1"/>
  <c r="F63" i="1"/>
  <c r="E63" i="1"/>
  <c r="F62" i="1"/>
  <c r="E62" i="1"/>
  <c r="H40" i="1"/>
  <c r="I33" i="1"/>
  <c r="I34" i="1"/>
  <c r="H23" i="1"/>
  <c r="F26" i="1"/>
  <c r="E26" i="1"/>
  <c r="F25" i="1"/>
  <c r="E25" i="1"/>
  <c r="F24" i="1"/>
  <c r="E24" i="1"/>
  <c r="F22" i="1"/>
  <c r="E22" i="1"/>
  <c r="E19" i="1"/>
  <c r="F19" i="1"/>
  <c r="F18" i="1"/>
  <c r="E18" i="1"/>
  <c r="F17" i="1"/>
  <c r="E17" i="1"/>
  <c r="I17" i="1"/>
  <c r="I16" i="1"/>
  <c r="I15" i="1"/>
  <c r="F15" i="1"/>
  <c r="E15" i="1"/>
  <c r="H1340" i="1"/>
  <c r="H1310" i="1"/>
  <c r="H1304" i="1"/>
  <c r="H1305" i="1"/>
  <c r="H1306" i="1"/>
  <c r="H1292" i="1"/>
  <c r="H1293" i="1"/>
  <c r="H1294" i="1"/>
  <c r="H1295" i="1"/>
  <c r="H1296" i="1"/>
  <c r="H1297" i="1"/>
  <c r="H1298" i="1"/>
  <c r="H1299" i="1"/>
  <c r="H1300" i="1"/>
  <c r="H1280" i="1"/>
  <c r="H1281" i="1"/>
  <c r="H1282" i="1"/>
  <c r="H1283" i="1"/>
  <c r="H1284" i="1"/>
  <c r="H1285" i="1"/>
  <c r="H1286" i="1"/>
  <c r="H1287" i="1"/>
  <c r="H1288" i="1"/>
  <c r="H1274" i="1"/>
  <c r="H1275" i="1"/>
  <c r="H1276" i="1"/>
  <c r="H1268" i="1"/>
  <c r="H1269" i="1"/>
  <c r="H1270" i="1"/>
  <c r="H1256" i="1"/>
  <c r="H1257" i="1"/>
  <c r="H1258" i="1"/>
  <c r="H1259" i="1"/>
  <c r="H1260" i="1"/>
  <c r="H1261" i="1"/>
  <c r="H1262" i="1"/>
  <c r="H1263" i="1"/>
  <c r="H1264" i="1"/>
  <c r="H1244" i="1"/>
  <c r="H1245" i="1"/>
  <c r="H1246" i="1"/>
  <c r="H1247" i="1"/>
  <c r="H1248" i="1"/>
  <c r="H1249" i="1"/>
  <c r="H1250" i="1"/>
  <c r="H1251" i="1"/>
  <c r="H1252" i="1"/>
  <c r="H1240" i="1"/>
  <c r="H1233" i="1"/>
  <c r="H1229" i="1"/>
  <c r="H1216" i="1"/>
  <c r="H1206" i="1"/>
  <c r="H1195" i="1"/>
  <c r="H1168" i="1"/>
  <c r="H1169" i="1"/>
  <c r="H1170" i="1"/>
  <c r="H1171" i="1"/>
  <c r="H1172" i="1"/>
  <c r="H1116" i="1"/>
  <c r="H1117" i="1"/>
  <c r="H1118" i="1"/>
  <c r="H1119" i="1"/>
  <c r="H1120" i="1"/>
  <c r="H1121" i="1"/>
  <c r="H1059" i="1"/>
  <c r="H1060" i="1"/>
  <c r="H1040" i="1"/>
  <c r="H1012" i="1"/>
  <c r="H1013" i="1"/>
  <c r="H1014" i="1"/>
  <c r="H1015" i="1"/>
  <c r="H1005" i="1"/>
  <c r="H1006" i="1"/>
  <c r="H1007" i="1"/>
  <c r="H1008" i="1"/>
  <c r="H998" i="1"/>
  <c r="H999" i="1"/>
  <c r="H1000" i="1"/>
  <c r="H1001" i="1"/>
  <c r="H991" i="1"/>
  <c r="H992" i="1"/>
  <c r="H993" i="1"/>
  <c r="H994" i="1"/>
  <c r="H959" i="1"/>
  <c r="H96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57" i="1"/>
  <c r="H858" i="1"/>
  <c r="H859" i="1"/>
  <c r="H860" i="1"/>
  <c r="H852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27" i="1"/>
  <c r="H828" i="1"/>
  <c r="H821" i="1"/>
  <c r="H822" i="1"/>
  <c r="H823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778" i="1"/>
  <c r="H779" i="1"/>
  <c r="H780" i="1"/>
  <c r="H781" i="1"/>
  <c r="H782" i="1"/>
  <c r="H783" i="1"/>
  <c r="H784" i="1"/>
  <c r="H785" i="1"/>
  <c r="H786" i="1"/>
  <c r="H787" i="1"/>
  <c r="H788" i="1"/>
  <c r="H729" i="1"/>
  <c r="H730" i="1"/>
  <c r="H720" i="1"/>
  <c r="H721" i="1"/>
  <c r="H722" i="1"/>
  <c r="H723" i="1"/>
  <c r="H724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684" i="1"/>
  <c r="H686" i="1"/>
  <c r="H687" i="1"/>
  <c r="H678" i="1"/>
  <c r="H679" i="1"/>
  <c r="H680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464" i="1"/>
  <c r="H465" i="1"/>
  <c r="H466" i="1"/>
  <c r="H467" i="1"/>
  <c r="H452" i="1"/>
  <c r="H453" i="1"/>
  <c r="H454" i="1"/>
  <c r="H455" i="1"/>
  <c r="H456" i="1"/>
  <c r="H440" i="1"/>
  <c r="H441" i="1"/>
  <c r="H442" i="1"/>
  <c r="H443" i="1"/>
  <c r="H444" i="1"/>
  <c r="H445" i="1"/>
  <c r="H446" i="1"/>
  <c r="H447" i="1"/>
  <c r="H448" i="1"/>
  <c r="H432" i="1"/>
  <c r="H433" i="1"/>
  <c r="H434" i="1"/>
  <c r="H435" i="1"/>
  <c r="H436" i="1"/>
  <c r="H423" i="1"/>
  <c r="H424" i="1"/>
  <c r="H425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387" i="1"/>
  <c r="H388" i="1"/>
  <c r="H389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49" i="1"/>
  <c r="H350" i="1"/>
  <c r="H351" i="1"/>
  <c r="H292" i="1"/>
  <c r="H287" i="1"/>
  <c r="H288" i="1"/>
  <c r="H274" i="1"/>
  <c r="H276" i="1"/>
  <c r="H277" i="1"/>
  <c r="H278" i="1"/>
  <c r="H279" i="1"/>
  <c r="H280" i="1"/>
  <c r="H281" i="1"/>
  <c r="H282" i="1"/>
  <c r="H257" i="1"/>
  <c r="H258" i="1"/>
  <c r="H259" i="1"/>
  <c r="H260" i="1"/>
  <c r="H261" i="1"/>
  <c r="H262" i="1"/>
  <c r="H263" i="1"/>
  <c r="H264" i="1"/>
  <c r="H246" i="1"/>
  <c r="H247" i="1"/>
  <c r="H248" i="1"/>
  <c r="H200" i="1"/>
  <c r="H158" i="1"/>
  <c r="H159" i="1"/>
  <c r="H160" i="1"/>
  <c r="H161" i="1"/>
  <c r="H162" i="1"/>
  <c r="H163" i="1"/>
  <c r="H164" i="1"/>
  <c r="H129" i="1"/>
  <c r="H130" i="1"/>
  <c r="H131" i="1"/>
  <c r="H132" i="1"/>
  <c r="H133" i="1"/>
  <c r="H134" i="1"/>
  <c r="H108" i="1"/>
  <c r="H109" i="1"/>
  <c r="H110" i="1"/>
  <c r="H111" i="1"/>
  <c r="H112" i="1"/>
  <c r="H113" i="1"/>
  <c r="H93" i="1"/>
  <c r="H94" i="1"/>
  <c r="H95" i="1"/>
  <c r="H96" i="1"/>
  <c r="H97" i="1"/>
  <c r="H98" i="1"/>
  <c r="H99" i="1"/>
  <c r="H100" i="1"/>
  <c r="H101" i="1"/>
  <c r="H102" i="1"/>
  <c r="H53" i="1"/>
  <c r="H54" i="1"/>
  <c r="H55" i="1"/>
  <c r="H52" i="1"/>
  <c r="H49" i="1"/>
  <c r="H48" i="1"/>
  <c r="H44" i="1"/>
  <c r="H45" i="1"/>
  <c r="H43" i="1"/>
  <c r="H37" i="1"/>
  <c r="H38" i="1"/>
  <c r="H39" i="1"/>
  <c r="H36" i="1"/>
  <c r="H30" i="1"/>
  <c r="H31" i="1"/>
  <c r="H32" i="1"/>
  <c r="H33" i="1"/>
  <c r="H29" i="1"/>
  <c r="H16" i="1"/>
  <c r="E86" i="1"/>
  <c r="E89" i="1"/>
  <c r="H89" i="1" s="1"/>
  <c r="E87" i="1"/>
  <c r="H87" i="1" s="1"/>
  <c r="E88" i="1"/>
  <c r="H88" i="1" s="1"/>
  <c r="F270" i="1"/>
  <c r="H270" i="1" s="1"/>
  <c r="F253" i="1"/>
  <c r="H253" i="1" s="1"/>
  <c r="E211" i="1"/>
  <c r="H211" i="1" s="1"/>
  <c r="E210" i="1"/>
  <c r="H210" i="1" s="1"/>
  <c r="E209" i="1"/>
  <c r="H209" i="1" s="1"/>
  <c r="E208" i="1"/>
  <c r="H208" i="1" s="1"/>
  <c r="E207" i="1"/>
  <c r="H207" i="1" s="1"/>
  <c r="E206" i="1"/>
  <c r="H206" i="1" s="1"/>
  <c r="E185" i="1"/>
  <c r="E184" i="1"/>
  <c r="E183" i="1"/>
  <c r="E182" i="1"/>
  <c r="E181" i="1"/>
  <c r="H181" i="1" s="1"/>
  <c r="E180" i="1"/>
  <c r="E234" i="1"/>
  <c r="H234" i="1" s="1"/>
  <c r="E233" i="1"/>
  <c r="H233" i="1" s="1"/>
  <c r="E232" i="1"/>
  <c r="H232" i="1" s="1"/>
  <c r="E231" i="1"/>
  <c r="H231" i="1" s="1"/>
  <c r="E230" i="1"/>
  <c r="H230" i="1" s="1"/>
  <c r="E229" i="1"/>
  <c r="H229" i="1" s="1"/>
  <c r="G220" i="1"/>
  <c r="H220" i="1" s="1"/>
  <c r="E175" i="1"/>
  <c r="H175" i="1" s="1"/>
  <c r="E174" i="1"/>
  <c r="H174" i="1" s="1"/>
  <c r="E173" i="1"/>
  <c r="H173" i="1" s="1"/>
  <c r="E172" i="1"/>
  <c r="H172" i="1" s="1"/>
  <c r="E171" i="1"/>
  <c r="H171" i="1" s="1"/>
  <c r="E170" i="1"/>
  <c r="H170" i="1" s="1"/>
  <c r="E154" i="1"/>
  <c r="E155" i="1"/>
  <c r="E153" i="1"/>
  <c r="E152" i="1"/>
  <c r="J153" i="1"/>
  <c r="E151" i="1"/>
  <c r="E150" i="1"/>
  <c r="F155" i="1"/>
  <c r="F154" i="1"/>
  <c r="F153" i="1"/>
  <c r="F152" i="1"/>
  <c r="F151" i="1"/>
  <c r="F150" i="1"/>
  <c r="F149" i="1"/>
  <c r="E121" i="1"/>
  <c r="E123" i="1"/>
  <c r="E122" i="1"/>
  <c r="E120" i="1"/>
  <c r="E119" i="1"/>
  <c r="E118" i="1"/>
  <c r="E117" i="1"/>
  <c r="C104" i="2"/>
  <c r="F185" i="6"/>
  <c r="J185" i="6" s="1"/>
  <c r="C221" i="2"/>
  <c r="C220" i="2"/>
  <c r="D685" i="1"/>
  <c r="H685" i="1" s="1"/>
  <c r="F150" i="7"/>
  <c r="F151" i="7" s="1"/>
  <c r="F149" i="7"/>
  <c r="F148" i="7"/>
  <c r="E557" i="1"/>
  <c r="H557" i="1" s="1"/>
  <c r="E556" i="1"/>
  <c r="H556" i="1" s="1"/>
  <c r="E555" i="1"/>
  <c r="H555" i="1" s="1"/>
  <c r="E554" i="1"/>
  <c r="H554" i="1" s="1"/>
  <c r="E553" i="1"/>
  <c r="H553" i="1" s="1"/>
  <c r="E552" i="1"/>
  <c r="H552" i="1" s="1"/>
  <c r="E551" i="1"/>
  <c r="H551" i="1" s="1"/>
  <c r="E550" i="1"/>
  <c r="H550" i="1" s="1"/>
  <c r="E549" i="1"/>
  <c r="H549" i="1" s="1"/>
  <c r="E548" i="1"/>
  <c r="H548" i="1" s="1"/>
  <c r="D516" i="1"/>
  <c r="H516" i="1" s="1"/>
  <c r="D515" i="1"/>
  <c r="H515" i="1" s="1"/>
  <c r="D514" i="1"/>
  <c r="H514" i="1" s="1"/>
  <c r="C290" i="1"/>
  <c r="B290" i="1"/>
  <c r="A290" i="1"/>
  <c r="G293" i="1" s="1"/>
  <c r="H291" i="1"/>
  <c r="D542" i="1"/>
  <c r="H542" i="1" s="1"/>
  <c r="D541" i="1"/>
  <c r="H541" i="1" s="1"/>
  <c r="D540" i="1"/>
  <c r="H540" i="1" s="1"/>
  <c r="E299" i="1"/>
  <c r="H299" i="1" s="1"/>
  <c r="E298" i="1"/>
  <c r="H298" i="1" s="1"/>
  <c r="E297" i="1"/>
  <c r="H297" i="1" s="1"/>
  <c r="C1334" i="1"/>
  <c r="B1334" i="1"/>
  <c r="A1334" i="1"/>
  <c r="G1336" i="1" s="1"/>
  <c r="C1331" i="1"/>
  <c r="B1331" i="1"/>
  <c r="A1331" i="1"/>
  <c r="G1333" i="1" s="1"/>
  <c r="B1335" i="1" s="1"/>
  <c r="C1328" i="1"/>
  <c r="B1328" i="1"/>
  <c r="A1328" i="1"/>
  <c r="G1330" i="1" s="1"/>
  <c r="B1332" i="1" s="1"/>
  <c r="C1325" i="1"/>
  <c r="B1325" i="1"/>
  <c r="A1325" i="1"/>
  <c r="G1327" i="1" s="1"/>
  <c r="B1329" i="1" s="1"/>
  <c r="C1322" i="1"/>
  <c r="B1322" i="1"/>
  <c r="A1322" i="1"/>
  <c r="G1324" i="1" s="1"/>
  <c r="B1326" i="1" s="1"/>
  <c r="B1321" i="1"/>
  <c r="A1321" i="1"/>
  <c r="H1323" i="1"/>
  <c r="H1324" i="1" s="1"/>
  <c r="H569" i="1"/>
  <c r="C601" i="1"/>
  <c r="B601" i="1"/>
  <c r="A601" i="1"/>
  <c r="G603" i="1" s="1"/>
  <c r="C568" i="1"/>
  <c r="B568" i="1"/>
  <c r="A568" i="1"/>
  <c r="G600" i="1" s="1"/>
  <c r="B602" i="1" s="1"/>
  <c r="F19" i="2" l="1"/>
  <c r="I19" i="2"/>
  <c r="J19" i="2"/>
  <c r="H180" i="1"/>
  <c r="H183" i="1"/>
  <c r="H185" i="1"/>
  <c r="H156" i="1"/>
  <c r="H182" i="1"/>
  <c r="H184" i="1"/>
  <c r="F47" i="2"/>
  <c r="H179" i="1"/>
  <c r="H600" i="1"/>
  <c r="H18" i="1"/>
  <c r="G39" i="2"/>
  <c r="H66" i="1"/>
  <c r="H19" i="1"/>
  <c r="H63" i="1"/>
  <c r="H17" i="1"/>
  <c r="H64" i="1"/>
  <c r="M201" i="6"/>
  <c r="N201" i="6"/>
  <c r="G104" i="2"/>
  <c r="H150" i="1"/>
  <c r="H62" i="1"/>
  <c r="H15" i="1"/>
  <c r="H22" i="1"/>
  <c r="H24" i="1"/>
  <c r="H25" i="1"/>
  <c r="H26" i="1"/>
  <c r="H151" i="1"/>
  <c r="H123" i="1"/>
  <c r="H152" i="1"/>
  <c r="H153" i="1"/>
  <c r="H155" i="1"/>
  <c r="H154" i="1"/>
  <c r="F144" i="7"/>
  <c r="I47" i="2" l="1"/>
  <c r="H1326" i="1"/>
  <c r="H1327" i="1" s="1"/>
  <c r="F226" i="2"/>
  <c r="I226" i="2" s="1"/>
  <c r="H602" i="1"/>
  <c r="H603" i="1" s="1"/>
  <c r="F75" i="2"/>
  <c r="F76" i="2" l="1"/>
  <c r="G1329" i="1"/>
  <c r="H1329" i="1" s="1"/>
  <c r="H1330" i="1" s="1"/>
  <c r="F227" i="2"/>
  <c r="I75" i="2"/>
  <c r="I76" i="2" l="1"/>
  <c r="I227" i="2"/>
  <c r="H1332" i="1"/>
  <c r="H1333" i="1" s="1"/>
  <c r="F228" i="2"/>
  <c r="C1072" i="1"/>
  <c r="B1072" i="1"/>
  <c r="A1072" i="1"/>
  <c r="G1074" i="1" s="1"/>
  <c r="H1073" i="1"/>
  <c r="H1074" i="1" s="1"/>
  <c r="C285" i="1"/>
  <c r="B285" i="1"/>
  <c r="A285" i="1"/>
  <c r="G289" i="1" s="1"/>
  <c r="H286" i="1"/>
  <c r="D102" i="2"/>
  <c r="C102" i="2"/>
  <c r="C470" i="1"/>
  <c r="B470" i="1"/>
  <c r="A470" i="1"/>
  <c r="G472" i="1" s="1"/>
  <c r="E512" i="1"/>
  <c r="H512" i="1" s="1"/>
  <c r="E511" i="1"/>
  <c r="H511" i="1" s="1"/>
  <c r="E510" i="1"/>
  <c r="H510" i="1" s="1"/>
  <c r="E509" i="1"/>
  <c r="H509" i="1" s="1"/>
  <c r="E508" i="1"/>
  <c r="H508" i="1" s="1"/>
  <c r="E507" i="1"/>
  <c r="H507" i="1" s="1"/>
  <c r="E506" i="1"/>
  <c r="H506" i="1" s="1"/>
  <c r="E505" i="1"/>
  <c r="H505" i="1" s="1"/>
  <c r="E504" i="1"/>
  <c r="H504" i="1" s="1"/>
  <c r="E503" i="1"/>
  <c r="H503" i="1" s="1"/>
  <c r="E502" i="1"/>
  <c r="H502" i="1" s="1"/>
  <c r="E501" i="1"/>
  <c r="H501" i="1" s="1"/>
  <c r="E500" i="1"/>
  <c r="H500" i="1" s="1"/>
  <c r="E499" i="1"/>
  <c r="H499" i="1" s="1"/>
  <c r="E498" i="1"/>
  <c r="H498" i="1" s="1"/>
  <c r="E497" i="1"/>
  <c r="H497" i="1" s="1"/>
  <c r="E496" i="1"/>
  <c r="H496" i="1" s="1"/>
  <c r="E495" i="1"/>
  <c r="H495" i="1" s="1"/>
  <c r="E494" i="1"/>
  <c r="H494" i="1" s="1"/>
  <c r="E493" i="1"/>
  <c r="H493" i="1" s="1"/>
  <c r="E492" i="1"/>
  <c r="H492" i="1" s="1"/>
  <c r="E491" i="1"/>
  <c r="H491" i="1" s="1"/>
  <c r="E490" i="1"/>
  <c r="H490" i="1" s="1"/>
  <c r="E487" i="1"/>
  <c r="H487" i="1" s="1"/>
  <c r="E483" i="1"/>
  <c r="H483" i="1" s="1"/>
  <c r="E482" i="1"/>
  <c r="H482" i="1" s="1"/>
  <c r="E489" i="1"/>
  <c r="H489" i="1" s="1"/>
  <c r="E488" i="1"/>
  <c r="H488" i="1" s="1"/>
  <c r="E486" i="1"/>
  <c r="H486" i="1" s="1"/>
  <c r="E485" i="1"/>
  <c r="H485" i="1" s="1"/>
  <c r="E484" i="1"/>
  <c r="H484" i="1" s="1"/>
  <c r="E481" i="1"/>
  <c r="H481" i="1" s="1"/>
  <c r="E480" i="1"/>
  <c r="H480" i="1" s="1"/>
  <c r="E479" i="1"/>
  <c r="H479" i="1" s="1"/>
  <c r="E478" i="1"/>
  <c r="H478" i="1" s="1"/>
  <c r="E477" i="1"/>
  <c r="H477" i="1" s="1"/>
  <c r="E476" i="1"/>
  <c r="H476" i="1" s="1"/>
  <c r="E475" i="1"/>
  <c r="H475" i="1" s="1"/>
  <c r="E474" i="1"/>
  <c r="G216" i="1"/>
  <c r="H216" i="1" s="1"/>
  <c r="G217" i="1"/>
  <c r="H217" i="1" s="1"/>
  <c r="G218" i="1"/>
  <c r="H218" i="1" s="1"/>
  <c r="G219" i="1"/>
  <c r="H219" i="1" s="1"/>
  <c r="G215" i="1"/>
  <c r="C1078" i="1"/>
  <c r="B1078" i="1"/>
  <c r="A1078" i="1"/>
  <c r="C1075" i="1"/>
  <c r="B1075" i="1"/>
  <c r="A1075" i="1"/>
  <c r="B37" i="9"/>
  <c r="A37" i="9"/>
  <c r="B33" i="9"/>
  <c r="A33" i="9"/>
  <c r="B31" i="9"/>
  <c r="A31" i="9"/>
  <c r="B29" i="9"/>
  <c r="A29" i="9"/>
  <c r="B27" i="9"/>
  <c r="A27" i="9"/>
  <c r="B25" i="9"/>
  <c r="A25" i="9"/>
  <c r="B23" i="9"/>
  <c r="A23" i="9"/>
  <c r="B21" i="9"/>
  <c r="A21" i="9"/>
  <c r="B19" i="9"/>
  <c r="A19" i="9"/>
  <c r="B17" i="9"/>
  <c r="A17" i="9"/>
  <c r="B1193" i="1"/>
  <c r="A1193" i="1"/>
  <c r="G1196" i="1" s="1"/>
  <c r="H1194" i="1"/>
  <c r="H1196" i="1" s="1"/>
  <c r="C1318" i="1"/>
  <c r="B1318" i="1"/>
  <c r="A1318" i="1"/>
  <c r="G1320" i="1" s="1"/>
  <c r="H1319" i="1"/>
  <c r="H1320" i="1" s="1"/>
  <c r="E190" i="2"/>
  <c r="H1313" i="1"/>
  <c r="H1314" i="1" s="1"/>
  <c r="C1315" i="1"/>
  <c r="B1315" i="1"/>
  <c r="A1315" i="1"/>
  <c r="G1317" i="1" s="1"/>
  <c r="C1312" i="1"/>
  <c r="B1312" i="1"/>
  <c r="A1312" i="1"/>
  <c r="G1314" i="1" s="1"/>
  <c r="H1316" i="1"/>
  <c r="H1317" i="1" s="1"/>
  <c r="E220" i="2"/>
  <c r="C1302" i="1" s="1"/>
  <c r="A1308" i="1"/>
  <c r="G1311" i="1" s="1"/>
  <c r="A1302" i="1"/>
  <c r="E221" i="2"/>
  <c r="C1308" i="1" s="1"/>
  <c r="D221" i="2"/>
  <c r="B1308" i="1" s="1"/>
  <c r="D220" i="2"/>
  <c r="B1302" i="1" s="1"/>
  <c r="C718" i="1"/>
  <c r="B718" i="1"/>
  <c r="A718" i="1"/>
  <c r="G725" i="1" s="1"/>
  <c r="H719" i="1"/>
  <c r="H725" i="1" s="1"/>
  <c r="M161" i="6"/>
  <c r="N161" i="6" s="1"/>
  <c r="L174" i="6"/>
  <c r="M174" i="6" s="1"/>
  <c r="H1309" i="1"/>
  <c r="H1311" i="1" s="1"/>
  <c r="J181" i="6"/>
  <c r="J180" i="6"/>
  <c r="J179" i="6"/>
  <c r="J178" i="6"/>
  <c r="J177" i="6"/>
  <c r="J176" i="6"/>
  <c r="J175" i="6"/>
  <c r="J174" i="6"/>
  <c r="J173" i="6"/>
  <c r="J172" i="6"/>
  <c r="J169" i="6"/>
  <c r="J168" i="6"/>
  <c r="J167" i="6"/>
  <c r="J166" i="6"/>
  <c r="J165" i="6"/>
  <c r="J164" i="6"/>
  <c r="J163" i="6"/>
  <c r="J162" i="6"/>
  <c r="J161" i="6"/>
  <c r="J160" i="6"/>
  <c r="R128" i="6"/>
  <c r="Q129" i="6" s="1"/>
  <c r="O132" i="6"/>
  <c r="O133" i="6"/>
  <c r="R138" i="6"/>
  <c r="L125" i="6"/>
  <c r="L126" i="6"/>
  <c r="B15" i="9"/>
  <c r="A15" i="9"/>
  <c r="B13" i="9"/>
  <c r="A13" i="9"/>
  <c r="B10" i="9"/>
  <c r="A10" i="9"/>
  <c r="C48" i="9"/>
  <c r="B35" i="8"/>
  <c r="A35" i="8"/>
  <c r="B31" i="8"/>
  <c r="A31" i="8"/>
  <c r="B29" i="8"/>
  <c r="A29" i="8"/>
  <c r="B27" i="8"/>
  <c r="A27" i="8"/>
  <c r="B25" i="8"/>
  <c r="A25" i="8"/>
  <c r="B23" i="8"/>
  <c r="A23" i="8"/>
  <c r="B21" i="8"/>
  <c r="A21" i="8"/>
  <c r="B19" i="8"/>
  <c r="A19" i="8"/>
  <c r="B17" i="8"/>
  <c r="A17" i="8"/>
  <c r="B15" i="8"/>
  <c r="A15" i="8"/>
  <c r="B13" i="8"/>
  <c r="A13" i="8"/>
  <c r="B11" i="8"/>
  <c r="A11" i="8"/>
  <c r="B9" i="8"/>
  <c r="A9" i="8"/>
  <c r="C46" i="8"/>
  <c r="G220" i="2" l="1"/>
  <c r="G221" i="2"/>
  <c r="F221" i="2"/>
  <c r="I228" i="2"/>
  <c r="F46" i="2"/>
  <c r="I46" i="2" s="1"/>
  <c r="F222" i="2"/>
  <c r="F87" i="2"/>
  <c r="F224" i="2"/>
  <c r="F223" i="2"/>
  <c r="F163" i="2"/>
  <c r="I163" i="2" s="1"/>
  <c r="F200" i="2"/>
  <c r="H1335" i="1"/>
  <c r="H1336" i="1" s="1"/>
  <c r="F229" i="2"/>
  <c r="M126" i="6"/>
  <c r="I87" i="2" l="1"/>
  <c r="I229" i="2"/>
  <c r="I223" i="2"/>
  <c r="I222" i="2"/>
  <c r="I224" i="2"/>
  <c r="F230" i="2"/>
  <c r="I200" i="2"/>
  <c r="I221" i="2"/>
  <c r="H1339" i="1"/>
  <c r="H1341" i="1" s="1"/>
  <c r="D1228" i="1"/>
  <c r="D1232" i="1"/>
  <c r="D1222" i="1"/>
  <c r="D1215" i="1"/>
  <c r="D1199" i="1"/>
  <c r="H1199" i="1" s="1"/>
  <c r="H1200" i="1" s="1"/>
  <c r="D1202" i="1"/>
  <c r="B1201" i="1"/>
  <c r="D1185" i="1"/>
  <c r="B1198" i="1"/>
  <c r="A1198" i="1"/>
  <c r="G1200" i="1" s="1"/>
  <c r="D1079" i="1"/>
  <c r="H1079" i="1" s="1"/>
  <c r="H1080" i="1" s="1"/>
  <c r="D1076" i="1"/>
  <c r="H1076" i="1" s="1"/>
  <c r="H1077" i="1" s="1"/>
  <c r="G1080" i="1"/>
  <c r="G1077" i="1"/>
  <c r="D303" i="1"/>
  <c r="E457" i="1"/>
  <c r="H457" i="1" s="1"/>
  <c r="E458" i="1"/>
  <c r="H458" i="1" s="1"/>
  <c r="E459" i="1"/>
  <c r="H459" i="1" s="1"/>
  <c r="E460" i="1"/>
  <c r="H460" i="1" s="1"/>
  <c r="H1273" i="1"/>
  <c r="H1277" i="1" s="1"/>
  <c r="I230" i="2" l="1"/>
  <c r="F201" i="2"/>
  <c r="F165" i="2"/>
  <c r="F164" i="2"/>
  <c r="I201" i="2" l="1"/>
  <c r="I164" i="2"/>
  <c r="I165" i="2"/>
  <c r="C462" i="1"/>
  <c r="B462" i="1"/>
  <c r="A462" i="1"/>
  <c r="G468" i="1" s="1"/>
  <c r="H463" i="1"/>
  <c r="B1290" i="1"/>
  <c r="A1290" i="1"/>
  <c r="G1301" i="1" s="1"/>
  <c r="H1291" i="1"/>
  <c r="H1301" i="1" s="1"/>
  <c r="A1337" i="1"/>
  <c r="B1337" i="1"/>
  <c r="H1239" i="1"/>
  <c r="H1241" i="1" s="1"/>
  <c r="B1278" i="1"/>
  <c r="A1278" i="1"/>
  <c r="G1289" i="1" s="1"/>
  <c r="B1272" i="1"/>
  <c r="A1272" i="1"/>
  <c r="G1277" i="1" s="1"/>
  <c r="B1266" i="1"/>
  <c r="A1266" i="1"/>
  <c r="G1271" i="1" s="1"/>
  <c r="B1254" i="1"/>
  <c r="A1254" i="1"/>
  <c r="G1265" i="1" s="1"/>
  <c r="H1279" i="1"/>
  <c r="H1289" i="1" s="1"/>
  <c r="H1267" i="1"/>
  <c r="H1271" i="1" s="1"/>
  <c r="H1255" i="1"/>
  <c r="H1265" i="1" s="1"/>
  <c r="B1242" i="1"/>
  <c r="A1242" i="1"/>
  <c r="G1253" i="1" s="1"/>
  <c r="B1238" i="1"/>
  <c r="A1238" i="1"/>
  <c r="G1241" i="1" s="1"/>
  <c r="H1243" i="1"/>
  <c r="H1253" i="1" s="1"/>
  <c r="B1190" i="1"/>
  <c r="A1190" i="1"/>
  <c r="G1192" i="1" s="1"/>
  <c r="H1191" i="1"/>
  <c r="H1192" i="1" s="1"/>
  <c r="C1338" i="1"/>
  <c r="B1338" i="1"/>
  <c r="A1338" i="1"/>
  <c r="G1341" i="1" s="1"/>
  <c r="H451" i="1"/>
  <c r="H439" i="1"/>
  <c r="H431" i="1"/>
  <c r="C450" i="1"/>
  <c r="B450" i="1"/>
  <c r="A450" i="1"/>
  <c r="G461" i="1" s="1"/>
  <c r="C438" i="1"/>
  <c r="B438" i="1"/>
  <c r="A438" i="1"/>
  <c r="G449" i="1" s="1"/>
  <c r="C430" i="1"/>
  <c r="B430" i="1"/>
  <c r="A430" i="1"/>
  <c r="G437" i="1" s="1"/>
  <c r="F64" i="2" l="1"/>
  <c r="F63" i="2"/>
  <c r="F213" i="2"/>
  <c r="F62" i="2"/>
  <c r="F199" i="2"/>
  <c r="F214" i="2"/>
  <c r="F219" i="2"/>
  <c r="F61" i="2"/>
  <c r="F215" i="2"/>
  <c r="F216" i="2"/>
  <c r="F218" i="2"/>
  <c r="F217" i="2"/>
  <c r="F232" i="2"/>
  <c r="I232" i="2" s="1"/>
  <c r="F273" i="1"/>
  <c r="H273" i="1" s="1"/>
  <c r="F256" i="1"/>
  <c r="H256" i="1" s="1"/>
  <c r="F272" i="1"/>
  <c r="H272" i="1" s="1"/>
  <c r="F271" i="1"/>
  <c r="H271" i="1" s="1"/>
  <c r="F269" i="1"/>
  <c r="H269" i="1" s="1"/>
  <c r="F268" i="1"/>
  <c r="H268" i="1" s="1"/>
  <c r="F255" i="1"/>
  <c r="H255" i="1" s="1"/>
  <c r="F254" i="1"/>
  <c r="H254" i="1" s="1"/>
  <c r="F252" i="1"/>
  <c r="H252" i="1" s="1"/>
  <c r="F251" i="1"/>
  <c r="H251" i="1" s="1"/>
  <c r="A266" i="1"/>
  <c r="G283" i="1" s="1"/>
  <c r="B266" i="1"/>
  <c r="C266" i="1"/>
  <c r="C250" i="1"/>
  <c r="B250" i="1"/>
  <c r="A250" i="1"/>
  <c r="G265" i="1" s="1"/>
  <c r="H118" i="1"/>
  <c r="H119" i="1"/>
  <c r="H120" i="1"/>
  <c r="H121" i="1"/>
  <c r="H122" i="1"/>
  <c r="F43" i="2" l="1"/>
  <c r="F44" i="2"/>
  <c r="I64" i="2"/>
  <c r="I63" i="2"/>
  <c r="I218" i="2"/>
  <c r="I219" i="2"/>
  <c r="I61" i="2"/>
  <c r="I215" i="2"/>
  <c r="I214" i="2"/>
  <c r="I216" i="2"/>
  <c r="I199" i="2"/>
  <c r="I62" i="2"/>
  <c r="I217" i="2"/>
  <c r="I213" i="2"/>
  <c r="H65" i="1"/>
  <c r="O17" i="2"/>
  <c r="I44" i="2" l="1"/>
  <c r="I43" i="2"/>
  <c r="C565" i="1"/>
  <c r="B565" i="1"/>
  <c r="A565" i="1"/>
  <c r="G567" i="1" s="1"/>
  <c r="C562" i="1"/>
  <c r="B562" i="1"/>
  <c r="A562" i="1"/>
  <c r="G564" i="1" s="1"/>
  <c r="B566" i="1" s="1"/>
  <c r="H526" i="1"/>
  <c r="C695" i="1"/>
  <c r="B695" i="1"/>
  <c r="A695" i="1"/>
  <c r="G698" i="1" s="1"/>
  <c r="C692" i="1"/>
  <c r="B692" i="1"/>
  <c r="A692" i="1"/>
  <c r="G694" i="1" s="1"/>
  <c r="C689" i="1"/>
  <c r="B689" i="1"/>
  <c r="A689" i="1"/>
  <c r="G691" i="1" s="1"/>
  <c r="H224" i="1"/>
  <c r="J127" i="6"/>
  <c r="H92" i="1"/>
  <c r="C198" i="1"/>
  <c r="B198" i="1"/>
  <c r="A198" i="1"/>
  <c r="G201" i="1" s="1"/>
  <c r="C195" i="1"/>
  <c r="B195" i="1"/>
  <c r="A195" i="1"/>
  <c r="G197" i="1" s="1"/>
  <c r="C192" i="1"/>
  <c r="B192" i="1"/>
  <c r="A192" i="1"/>
  <c r="G194" i="1" s="1"/>
  <c r="H199" i="1"/>
  <c r="H196" i="1"/>
  <c r="H193" i="1"/>
  <c r="C10" i="1"/>
  <c r="B10" i="1"/>
  <c r="A10" i="1"/>
  <c r="G12" i="1" s="1"/>
  <c r="D11" i="1"/>
  <c r="D194" i="2"/>
  <c r="B1177" i="1" s="1"/>
  <c r="C194" i="2"/>
  <c r="D192" i="2"/>
  <c r="B1166" i="1" s="1"/>
  <c r="C192" i="2"/>
  <c r="D190" i="2"/>
  <c r="B1160" i="1" s="1"/>
  <c r="C190" i="2"/>
  <c r="D173" i="2"/>
  <c r="B1102" i="1" s="1"/>
  <c r="D171" i="2"/>
  <c r="B1096" i="1" s="1"/>
  <c r="C173" i="2"/>
  <c r="C171" i="2"/>
  <c r="D167" i="2"/>
  <c r="B1084" i="1" s="1"/>
  <c r="C167" i="2"/>
  <c r="D107" i="2"/>
  <c r="B790" i="1" s="1"/>
  <c r="D106" i="2"/>
  <c r="B776" i="1" s="1"/>
  <c r="C107" i="2"/>
  <c r="C106" i="2"/>
  <c r="J138" i="6"/>
  <c r="J137" i="6"/>
  <c r="J136" i="6"/>
  <c r="J135" i="6"/>
  <c r="J134" i="6"/>
  <c r="J133" i="6"/>
  <c r="J132" i="6"/>
  <c r="J131" i="6"/>
  <c r="J130" i="6"/>
  <c r="J129" i="6"/>
  <c r="J128" i="6"/>
  <c r="J126" i="6"/>
  <c r="J125" i="6"/>
  <c r="J122" i="6"/>
  <c r="J121" i="6"/>
  <c r="J120" i="6"/>
  <c r="J119" i="6"/>
  <c r="J118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F98" i="6"/>
  <c r="J98" i="6" s="1"/>
  <c r="F97" i="6"/>
  <c r="J97" i="6" s="1"/>
  <c r="F96" i="6"/>
  <c r="J96" i="6" s="1"/>
  <c r="F95" i="6"/>
  <c r="J95" i="6" s="1"/>
  <c r="F94" i="6"/>
  <c r="J94" i="6" s="1"/>
  <c r="J91" i="6"/>
  <c r="F90" i="6"/>
  <c r="J90" i="6" s="1"/>
  <c r="F89" i="6"/>
  <c r="J89" i="6" s="1"/>
  <c r="F88" i="6"/>
  <c r="J88" i="6" s="1"/>
  <c r="F87" i="6"/>
  <c r="J87" i="6" s="1"/>
  <c r="J84" i="6"/>
  <c r="J83" i="6"/>
  <c r="J82" i="6"/>
  <c r="J81" i="6"/>
  <c r="J80" i="6"/>
  <c r="H77" i="6"/>
  <c r="J77" i="6" s="1"/>
  <c r="J76" i="6"/>
  <c r="J75" i="6"/>
  <c r="J74" i="6"/>
  <c r="H71" i="6"/>
  <c r="J71" i="6" s="1"/>
  <c r="J70" i="6"/>
  <c r="J69" i="6"/>
  <c r="J68" i="6"/>
  <c r="C1177" i="1"/>
  <c r="A1177" i="1"/>
  <c r="G1179" i="1" s="1"/>
  <c r="C1174" i="1"/>
  <c r="B1174" i="1"/>
  <c r="A1174" i="1"/>
  <c r="G1176" i="1" s="1"/>
  <c r="C1166" i="1"/>
  <c r="A1166" i="1"/>
  <c r="G1173" i="1" s="1"/>
  <c r="C1163" i="1"/>
  <c r="B1163" i="1"/>
  <c r="A1163" i="1"/>
  <c r="G1165" i="1" s="1"/>
  <c r="A1160" i="1"/>
  <c r="G1162" i="1" s="1"/>
  <c r="C1157" i="1"/>
  <c r="B1157" i="1"/>
  <c r="A1157" i="1"/>
  <c r="G1159" i="1" s="1"/>
  <c r="C1154" i="1"/>
  <c r="B1154" i="1"/>
  <c r="A1154" i="1"/>
  <c r="G1156" i="1" s="1"/>
  <c r="C1151" i="1"/>
  <c r="B1151" i="1"/>
  <c r="A1151" i="1"/>
  <c r="G1153" i="1" s="1"/>
  <c r="C1147" i="1"/>
  <c r="B1147" i="1"/>
  <c r="A1147" i="1"/>
  <c r="G1150" i="1" s="1"/>
  <c r="C1144" i="1"/>
  <c r="B1144" i="1"/>
  <c r="A1144" i="1"/>
  <c r="G1146" i="1" s="1"/>
  <c r="C1141" i="1"/>
  <c r="B1141" i="1"/>
  <c r="A1141" i="1"/>
  <c r="G1143" i="1" s="1"/>
  <c r="C1138" i="1"/>
  <c r="B1138" i="1"/>
  <c r="A1138" i="1"/>
  <c r="G1140" i="1" s="1"/>
  <c r="C1135" i="1"/>
  <c r="B1135" i="1"/>
  <c r="A1135" i="1"/>
  <c r="G1137" i="1" s="1"/>
  <c r="C1132" i="1"/>
  <c r="B1132" i="1"/>
  <c r="A1132" i="1"/>
  <c r="G1134" i="1" s="1"/>
  <c r="C1129" i="1"/>
  <c r="B1129" i="1"/>
  <c r="A1129" i="1"/>
  <c r="G1131" i="1" s="1"/>
  <c r="C1126" i="1"/>
  <c r="B1126" i="1"/>
  <c r="A1126" i="1"/>
  <c r="G1128" i="1" s="1"/>
  <c r="C1123" i="1"/>
  <c r="B1123" i="1"/>
  <c r="A1123" i="1"/>
  <c r="G1125" i="1" s="1"/>
  <c r="C1114" i="1"/>
  <c r="B1114" i="1"/>
  <c r="A1114" i="1"/>
  <c r="G1122" i="1" s="1"/>
  <c r="C1111" i="1"/>
  <c r="B1111" i="1"/>
  <c r="A1111" i="1"/>
  <c r="G1113" i="1" s="1"/>
  <c r="C1108" i="1"/>
  <c r="B1108" i="1"/>
  <c r="A1108" i="1"/>
  <c r="G1110" i="1" s="1"/>
  <c r="C1105" i="1"/>
  <c r="B1105" i="1"/>
  <c r="A1105" i="1"/>
  <c r="G1107" i="1" s="1"/>
  <c r="G1307" i="1"/>
  <c r="C1102" i="1"/>
  <c r="A1102" i="1"/>
  <c r="G1104" i="1" s="1"/>
  <c r="C1099" i="1"/>
  <c r="B1099" i="1"/>
  <c r="A1099" i="1"/>
  <c r="G1101" i="1" s="1"/>
  <c r="C1096" i="1"/>
  <c r="A1096" i="1"/>
  <c r="G1098" i="1" s="1"/>
  <c r="C1093" i="1"/>
  <c r="B1093" i="1"/>
  <c r="A1093" i="1"/>
  <c r="G1095" i="1" s="1"/>
  <c r="C1090" i="1"/>
  <c r="B1090" i="1"/>
  <c r="A1090" i="1"/>
  <c r="G1092" i="1" s="1"/>
  <c r="C1087" i="1"/>
  <c r="B1087" i="1"/>
  <c r="A1087" i="1"/>
  <c r="G1089" i="1" s="1"/>
  <c r="C1084" i="1"/>
  <c r="A1084" i="1"/>
  <c r="G1086" i="1" s="1"/>
  <c r="C1081" i="1"/>
  <c r="B1081" i="1"/>
  <c r="A1081" i="1"/>
  <c r="G1083" i="1" s="1"/>
  <c r="B1071" i="1"/>
  <c r="A1071" i="1"/>
  <c r="H1178" i="1"/>
  <c r="H1179" i="1" s="1"/>
  <c r="H1175" i="1"/>
  <c r="H1176" i="1" s="1"/>
  <c r="H1167" i="1"/>
  <c r="H1173" i="1" s="1"/>
  <c r="H1164" i="1"/>
  <c r="H1165" i="1" s="1"/>
  <c r="H1161" i="1"/>
  <c r="H1162" i="1" s="1"/>
  <c r="H1158" i="1"/>
  <c r="H1159" i="1" s="1"/>
  <c r="H1155" i="1"/>
  <c r="H1156" i="1" s="1"/>
  <c r="D1152" i="1"/>
  <c r="H1152" i="1" s="1"/>
  <c r="H1153" i="1" s="1"/>
  <c r="D1149" i="1"/>
  <c r="H1149" i="1" s="1"/>
  <c r="D1148" i="1"/>
  <c r="H1148" i="1" s="1"/>
  <c r="D1145" i="1"/>
  <c r="H1145" i="1" s="1"/>
  <c r="H1146" i="1" s="1"/>
  <c r="D1142" i="1"/>
  <c r="H1142" i="1" s="1"/>
  <c r="H1143" i="1" s="1"/>
  <c r="H1139" i="1"/>
  <c r="H1140" i="1" s="1"/>
  <c r="H1136" i="1"/>
  <c r="H1137" i="1" s="1"/>
  <c r="H1133" i="1"/>
  <c r="H1134" i="1" s="1"/>
  <c r="H1130" i="1"/>
  <c r="H1131" i="1" s="1"/>
  <c r="H1127" i="1"/>
  <c r="H1128" i="1" s="1"/>
  <c r="H1124" i="1"/>
  <c r="H1125" i="1" s="1"/>
  <c r="H1115" i="1"/>
  <c r="H1122" i="1" s="1"/>
  <c r="H1112" i="1"/>
  <c r="H1113" i="1" s="1"/>
  <c r="H1109" i="1"/>
  <c r="H1110" i="1" s="1"/>
  <c r="H1106" i="1"/>
  <c r="H1107" i="1" s="1"/>
  <c r="H1303" i="1"/>
  <c r="H1307" i="1" s="1"/>
  <c r="H1103" i="1"/>
  <c r="H1104" i="1" s="1"/>
  <c r="H1100" i="1"/>
  <c r="H1101" i="1" s="1"/>
  <c r="H1097" i="1"/>
  <c r="H1098" i="1" s="1"/>
  <c r="H1094" i="1"/>
  <c r="H1095" i="1" s="1"/>
  <c r="H1091" i="1"/>
  <c r="H1092" i="1" s="1"/>
  <c r="H1088" i="1"/>
  <c r="H1089" i="1" s="1"/>
  <c r="H1085" i="1"/>
  <c r="H1086" i="1" s="1"/>
  <c r="H1082" i="1"/>
  <c r="H1083" i="1" s="1"/>
  <c r="C1068" i="1"/>
  <c r="B1068" i="1"/>
  <c r="A1068" i="1"/>
  <c r="G1070" i="1" s="1"/>
  <c r="C1065" i="1"/>
  <c r="B1065" i="1"/>
  <c r="A1065" i="1"/>
  <c r="G1067" i="1" s="1"/>
  <c r="C1062" i="1"/>
  <c r="B1062" i="1"/>
  <c r="A1062" i="1"/>
  <c r="G1064" i="1" s="1"/>
  <c r="C1057" i="1"/>
  <c r="B1057" i="1"/>
  <c r="A1057" i="1"/>
  <c r="G1061" i="1" s="1"/>
  <c r="C1054" i="1"/>
  <c r="B1054" i="1"/>
  <c r="A1054" i="1"/>
  <c r="G1056" i="1" s="1"/>
  <c r="C1051" i="1"/>
  <c r="B1051" i="1"/>
  <c r="A1051" i="1"/>
  <c r="G1053" i="1" s="1"/>
  <c r="C1048" i="1"/>
  <c r="B1048" i="1"/>
  <c r="A1048" i="1"/>
  <c r="G1050" i="1" s="1"/>
  <c r="C1045" i="1"/>
  <c r="B1045" i="1"/>
  <c r="A1045" i="1"/>
  <c r="G1047" i="1" s="1"/>
  <c r="C1042" i="1"/>
  <c r="B1042" i="1"/>
  <c r="A1042" i="1"/>
  <c r="G1044" i="1" s="1"/>
  <c r="C1038" i="1"/>
  <c r="B1038" i="1"/>
  <c r="A1038" i="1"/>
  <c r="G1041" i="1" s="1"/>
  <c r="C1035" i="1"/>
  <c r="B1035" i="1"/>
  <c r="A1035" i="1"/>
  <c r="G1037" i="1" s="1"/>
  <c r="C1032" i="1"/>
  <c r="B1032" i="1"/>
  <c r="A1032" i="1"/>
  <c r="G1034" i="1" s="1"/>
  <c r="C1029" i="1"/>
  <c r="B1029" i="1"/>
  <c r="A1029" i="1"/>
  <c r="G1031" i="1" s="1"/>
  <c r="C1026" i="1"/>
  <c r="B1026" i="1"/>
  <c r="A1026" i="1"/>
  <c r="G1028" i="1" s="1"/>
  <c r="C1023" i="1"/>
  <c r="B1023" i="1"/>
  <c r="A1023" i="1"/>
  <c r="G1025" i="1" s="1"/>
  <c r="C1020" i="1"/>
  <c r="B1020" i="1"/>
  <c r="A1020" i="1"/>
  <c r="G1022" i="1" s="1"/>
  <c r="C1017" i="1"/>
  <c r="B1017" i="1"/>
  <c r="A1017" i="1"/>
  <c r="G1019" i="1" s="1"/>
  <c r="C1010" i="1"/>
  <c r="B1010" i="1"/>
  <c r="A1010" i="1"/>
  <c r="G1016" i="1" s="1"/>
  <c r="C1003" i="1"/>
  <c r="B1003" i="1"/>
  <c r="A1003" i="1"/>
  <c r="G1009" i="1" s="1"/>
  <c r="C996" i="1"/>
  <c r="B996" i="1"/>
  <c r="A996" i="1"/>
  <c r="G1002" i="1" s="1"/>
  <c r="C989" i="1"/>
  <c r="B989" i="1"/>
  <c r="A989" i="1"/>
  <c r="G995" i="1" s="1"/>
  <c r="C986" i="1"/>
  <c r="B986" i="1"/>
  <c r="A986" i="1"/>
  <c r="G988" i="1" s="1"/>
  <c r="C983" i="1"/>
  <c r="B983" i="1"/>
  <c r="A983" i="1"/>
  <c r="G985" i="1" s="1"/>
  <c r="C980" i="1"/>
  <c r="B980" i="1"/>
  <c r="A980" i="1"/>
  <c r="G982" i="1" s="1"/>
  <c r="C977" i="1"/>
  <c r="B977" i="1"/>
  <c r="A977" i="1"/>
  <c r="G979" i="1" s="1"/>
  <c r="C974" i="1"/>
  <c r="B974" i="1"/>
  <c r="A974" i="1"/>
  <c r="G976" i="1" s="1"/>
  <c r="C971" i="1"/>
  <c r="B971" i="1"/>
  <c r="A971" i="1"/>
  <c r="G973" i="1" s="1"/>
  <c r="C968" i="1"/>
  <c r="B968" i="1"/>
  <c r="A968" i="1"/>
  <c r="G970" i="1" s="1"/>
  <c r="C965" i="1"/>
  <c r="B965" i="1"/>
  <c r="A965" i="1"/>
  <c r="G967" i="1" s="1"/>
  <c r="C962" i="1"/>
  <c r="B962" i="1"/>
  <c r="A962" i="1"/>
  <c r="G964" i="1" s="1"/>
  <c r="C957" i="1"/>
  <c r="B957" i="1"/>
  <c r="A957" i="1"/>
  <c r="G961" i="1" s="1"/>
  <c r="C953" i="1"/>
  <c r="B953" i="1"/>
  <c r="A953" i="1"/>
  <c r="G956" i="1" s="1"/>
  <c r="C950" i="1"/>
  <c r="B950" i="1"/>
  <c r="A950" i="1"/>
  <c r="G952" i="1" s="1"/>
  <c r="C947" i="1"/>
  <c r="B947" i="1"/>
  <c r="A947" i="1"/>
  <c r="G949" i="1" s="1"/>
  <c r="C944" i="1"/>
  <c r="B944" i="1"/>
  <c r="A944" i="1"/>
  <c r="G946" i="1" s="1"/>
  <c r="C941" i="1"/>
  <c r="B941" i="1"/>
  <c r="A941" i="1"/>
  <c r="G943" i="1" s="1"/>
  <c r="C938" i="1"/>
  <c r="B938" i="1"/>
  <c r="A938" i="1"/>
  <c r="G940" i="1" s="1"/>
  <c r="C935" i="1"/>
  <c r="B935" i="1"/>
  <c r="A935" i="1"/>
  <c r="G937" i="1" s="1"/>
  <c r="C932" i="1"/>
  <c r="B932" i="1"/>
  <c r="A932" i="1"/>
  <c r="G934" i="1" s="1"/>
  <c r="C929" i="1"/>
  <c r="B929" i="1"/>
  <c r="A929" i="1"/>
  <c r="G931" i="1" s="1"/>
  <c r="C926" i="1"/>
  <c r="B926" i="1"/>
  <c r="A926" i="1"/>
  <c r="G928" i="1" s="1"/>
  <c r="C923" i="1"/>
  <c r="B923" i="1"/>
  <c r="A923" i="1"/>
  <c r="G925" i="1" s="1"/>
  <c r="C920" i="1"/>
  <c r="B920" i="1"/>
  <c r="A920" i="1"/>
  <c r="G922" i="1" s="1"/>
  <c r="C917" i="1"/>
  <c r="B917" i="1"/>
  <c r="A917" i="1"/>
  <c r="G919" i="1" s="1"/>
  <c r="C914" i="1"/>
  <c r="B914" i="1"/>
  <c r="A914" i="1"/>
  <c r="G916" i="1" s="1"/>
  <c r="C911" i="1"/>
  <c r="B911" i="1"/>
  <c r="A911" i="1"/>
  <c r="G913" i="1" s="1"/>
  <c r="C908" i="1"/>
  <c r="B908" i="1"/>
  <c r="A908" i="1"/>
  <c r="G910" i="1" s="1"/>
  <c r="C905" i="1"/>
  <c r="B905" i="1"/>
  <c r="A905" i="1"/>
  <c r="G907" i="1" s="1"/>
  <c r="C902" i="1"/>
  <c r="B902" i="1"/>
  <c r="A902" i="1"/>
  <c r="G904" i="1" s="1"/>
  <c r="C879" i="1"/>
  <c r="B879" i="1"/>
  <c r="A879" i="1"/>
  <c r="G901" i="1" s="1"/>
  <c r="C854" i="1"/>
  <c r="B854" i="1"/>
  <c r="A854" i="1"/>
  <c r="G878" i="1" s="1"/>
  <c r="C830" i="1"/>
  <c r="B830" i="1"/>
  <c r="A830" i="1"/>
  <c r="G853" i="1" s="1"/>
  <c r="C825" i="1"/>
  <c r="B825" i="1"/>
  <c r="A825" i="1"/>
  <c r="G829" i="1" s="1"/>
  <c r="C819" i="1"/>
  <c r="B819" i="1"/>
  <c r="A819" i="1"/>
  <c r="G824" i="1" s="1"/>
  <c r="C790" i="1"/>
  <c r="A790" i="1"/>
  <c r="G818" i="1" s="1"/>
  <c r="C776" i="1"/>
  <c r="A776" i="1"/>
  <c r="G789" i="1" s="1"/>
  <c r="H1069" i="1"/>
  <c r="H1070" i="1" s="1"/>
  <c r="H1066" i="1"/>
  <c r="H1067" i="1" s="1"/>
  <c r="H1063" i="1"/>
  <c r="H1064" i="1" s="1"/>
  <c r="H1058" i="1"/>
  <c r="H1061" i="1" s="1"/>
  <c r="H1055" i="1"/>
  <c r="H1056" i="1" s="1"/>
  <c r="H1052" i="1"/>
  <c r="H1053" i="1" s="1"/>
  <c r="H1049" i="1"/>
  <c r="H1050" i="1" s="1"/>
  <c r="H1046" i="1"/>
  <c r="H1047" i="1" s="1"/>
  <c r="H1043" i="1"/>
  <c r="H1044" i="1" s="1"/>
  <c r="H1039" i="1"/>
  <c r="H1041" i="1" s="1"/>
  <c r="H1036" i="1"/>
  <c r="H1037" i="1" s="1"/>
  <c r="H1033" i="1"/>
  <c r="H1034" i="1" s="1"/>
  <c r="H1030" i="1"/>
  <c r="H1031" i="1" s="1"/>
  <c r="H1027" i="1"/>
  <c r="H1028" i="1" s="1"/>
  <c r="H1024" i="1"/>
  <c r="H1025" i="1" s="1"/>
  <c r="H1021" i="1"/>
  <c r="H1022" i="1" s="1"/>
  <c r="H1018" i="1"/>
  <c r="H1019" i="1" s="1"/>
  <c r="H1011" i="1"/>
  <c r="H1016" i="1" s="1"/>
  <c r="H1004" i="1"/>
  <c r="H1009" i="1" s="1"/>
  <c r="H997" i="1"/>
  <c r="H1002" i="1" s="1"/>
  <c r="H990" i="1"/>
  <c r="H995" i="1" s="1"/>
  <c r="H987" i="1"/>
  <c r="H988" i="1" s="1"/>
  <c r="H984" i="1"/>
  <c r="H985" i="1" s="1"/>
  <c r="H981" i="1"/>
  <c r="H982" i="1" s="1"/>
  <c r="H978" i="1"/>
  <c r="H979" i="1" s="1"/>
  <c r="H975" i="1"/>
  <c r="H976" i="1" s="1"/>
  <c r="H972" i="1"/>
  <c r="H973" i="1" s="1"/>
  <c r="H969" i="1"/>
  <c r="H970" i="1" s="1"/>
  <c r="H966" i="1"/>
  <c r="H967" i="1" s="1"/>
  <c r="H963" i="1"/>
  <c r="H964" i="1" s="1"/>
  <c r="H958" i="1"/>
  <c r="H961" i="1" s="1"/>
  <c r="H955" i="1"/>
  <c r="H954" i="1"/>
  <c r="H951" i="1"/>
  <c r="H952" i="1" s="1"/>
  <c r="H948" i="1"/>
  <c r="H949" i="1" s="1"/>
  <c r="H945" i="1"/>
  <c r="H946" i="1" s="1"/>
  <c r="H942" i="1"/>
  <c r="H943" i="1" s="1"/>
  <c r="H939" i="1"/>
  <c r="H940" i="1" s="1"/>
  <c r="H936" i="1"/>
  <c r="H937" i="1" s="1"/>
  <c r="H933" i="1"/>
  <c r="H934" i="1" s="1"/>
  <c r="H930" i="1"/>
  <c r="H931" i="1" s="1"/>
  <c r="H927" i="1"/>
  <c r="H928" i="1" s="1"/>
  <c r="H924" i="1"/>
  <c r="H925" i="1" s="1"/>
  <c r="H921" i="1"/>
  <c r="H922" i="1" s="1"/>
  <c r="H918" i="1"/>
  <c r="H919" i="1" s="1"/>
  <c r="H915" i="1"/>
  <c r="H916" i="1" s="1"/>
  <c r="H912" i="1"/>
  <c r="H913" i="1" s="1"/>
  <c r="H909" i="1"/>
  <c r="H910" i="1" s="1"/>
  <c r="H906" i="1"/>
  <c r="H907" i="1" s="1"/>
  <c r="H903" i="1"/>
  <c r="H904" i="1" s="1"/>
  <c r="H880" i="1"/>
  <c r="H901" i="1" s="1"/>
  <c r="H862" i="1"/>
  <c r="H856" i="1"/>
  <c r="H831" i="1"/>
  <c r="H853" i="1" s="1"/>
  <c r="H826" i="1"/>
  <c r="H829" i="1" s="1"/>
  <c r="H820" i="1"/>
  <c r="H824" i="1" s="1"/>
  <c r="H791" i="1"/>
  <c r="H818" i="1" s="1"/>
  <c r="H777" i="1"/>
  <c r="H789" i="1" s="1"/>
  <c r="C1160" i="1"/>
  <c r="F10" i="6"/>
  <c r="F11" i="6" s="1"/>
  <c r="D9" i="2"/>
  <c r="E9" i="2"/>
  <c r="C91" i="1"/>
  <c r="C223" i="1"/>
  <c r="B91" i="1"/>
  <c r="B223" i="1"/>
  <c r="A91" i="1"/>
  <c r="G103" i="1" s="1"/>
  <c r="B563" i="1" s="1"/>
  <c r="A223" i="1"/>
  <c r="G226" i="1" s="1"/>
  <c r="J156" i="6"/>
  <c r="H215" i="1"/>
  <c r="H204" i="1"/>
  <c r="H878" i="1" l="1"/>
  <c r="F111" i="2" s="1"/>
  <c r="H1150" i="1"/>
  <c r="F186" i="2" s="1"/>
  <c r="H956" i="1"/>
  <c r="F130" i="2" s="1"/>
  <c r="G194" i="2"/>
  <c r="G171" i="2"/>
  <c r="G106" i="2"/>
  <c r="G192" i="2"/>
  <c r="G190" i="2"/>
  <c r="G173" i="2"/>
  <c r="F192" i="2"/>
  <c r="F108" i="2"/>
  <c r="F109" i="2"/>
  <c r="H11" i="1"/>
  <c r="F110" i="2"/>
  <c r="F131" i="2"/>
  <c r="F141" i="2"/>
  <c r="F144" i="2"/>
  <c r="F26" i="2"/>
  <c r="F177" i="2"/>
  <c r="F37" i="2"/>
  <c r="F107" i="2"/>
  <c r="F106" i="2"/>
  <c r="F142" i="2"/>
  <c r="F112" i="2"/>
  <c r="F143" i="2"/>
  <c r="F158" i="2"/>
  <c r="F189" i="2"/>
  <c r="G167" i="2"/>
  <c r="G107" i="2"/>
  <c r="F152" i="2"/>
  <c r="F120" i="2"/>
  <c r="F117" i="2"/>
  <c r="F138" i="2"/>
  <c r="F146" i="2"/>
  <c r="F119" i="2"/>
  <c r="F140" i="2"/>
  <c r="F148" i="2"/>
  <c r="F193" i="2"/>
  <c r="F149" i="2"/>
  <c r="F122" i="2"/>
  <c r="F151" i="2"/>
  <c r="F160" i="2"/>
  <c r="F166" i="2"/>
  <c r="F178" i="2"/>
  <c r="F132" i="2"/>
  <c r="F167" i="2"/>
  <c r="F179" i="2"/>
  <c r="F124" i="2"/>
  <c r="F133" i="2"/>
  <c r="F168" i="2"/>
  <c r="F174" i="2"/>
  <c r="F41" i="2"/>
  <c r="F121" i="2"/>
  <c r="F123" i="2"/>
  <c r="F161" i="2"/>
  <c r="F113" i="2"/>
  <c r="F125" i="2"/>
  <c r="F134" i="2"/>
  <c r="F153" i="2"/>
  <c r="F169" i="2"/>
  <c r="F175" i="2"/>
  <c r="F159" i="2"/>
  <c r="F114" i="2"/>
  <c r="F126" i="2"/>
  <c r="F135" i="2"/>
  <c r="F154" i="2"/>
  <c r="F170" i="2"/>
  <c r="F176" i="2"/>
  <c r="F115" i="2"/>
  <c r="F127" i="2"/>
  <c r="F136" i="2"/>
  <c r="F155" i="2"/>
  <c r="F171" i="2"/>
  <c r="F116" i="2"/>
  <c r="F128" i="2"/>
  <c r="F137" i="2"/>
  <c r="F145" i="2"/>
  <c r="F156" i="2"/>
  <c r="F172" i="2"/>
  <c r="F150" i="2"/>
  <c r="F129" i="2"/>
  <c r="F157" i="2"/>
  <c r="F173" i="2"/>
  <c r="F118" i="2"/>
  <c r="F139" i="2"/>
  <c r="F147" i="2"/>
  <c r="F35" i="2"/>
  <c r="F36" i="2"/>
  <c r="F183" i="2"/>
  <c r="F184" i="2"/>
  <c r="F185" i="2"/>
  <c r="F187" i="2"/>
  <c r="F194" i="2"/>
  <c r="F188" i="2"/>
  <c r="F190" i="2"/>
  <c r="F191" i="2"/>
  <c r="F182" i="2"/>
  <c r="F180" i="2"/>
  <c r="F181" i="2"/>
  <c r="G41" i="2"/>
  <c r="H228" i="1"/>
  <c r="F10" i="2" l="1"/>
  <c r="I10" i="2" s="1"/>
  <c r="I143" i="2"/>
  <c r="I109" i="2"/>
  <c r="I112" i="2"/>
  <c r="I115" i="2"/>
  <c r="I185" i="2"/>
  <c r="I150" i="2"/>
  <c r="I177" i="2"/>
  <c r="I169" i="2"/>
  <c r="I168" i="2"/>
  <c r="I149" i="2"/>
  <c r="I110" i="2"/>
  <c r="I172" i="2"/>
  <c r="I153" i="2"/>
  <c r="I133" i="2"/>
  <c r="I193" i="2"/>
  <c r="I152" i="2"/>
  <c r="I183" i="2"/>
  <c r="I156" i="2"/>
  <c r="I176" i="2"/>
  <c r="I142" i="2"/>
  <c r="I124" i="2"/>
  <c r="I148" i="2"/>
  <c r="I26" i="2"/>
  <c r="I158" i="2"/>
  <c r="I134" i="2"/>
  <c r="I144" i="2"/>
  <c r="I35" i="2"/>
  <c r="I137" i="2"/>
  <c r="I154" i="2"/>
  <c r="I125" i="2"/>
  <c r="I119" i="2"/>
  <c r="I130" i="2"/>
  <c r="I141" i="2"/>
  <c r="I180" i="2"/>
  <c r="I147" i="2"/>
  <c r="I128" i="2"/>
  <c r="I135" i="2"/>
  <c r="I113" i="2"/>
  <c r="I132" i="2"/>
  <c r="I146" i="2"/>
  <c r="I111" i="2"/>
  <c r="I131" i="2"/>
  <c r="I184" i="2"/>
  <c r="I170" i="2"/>
  <c r="I181" i="2"/>
  <c r="I182" i="2"/>
  <c r="I116" i="2"/>
  <c r="I126" i="2"/>
  <c r="I108" i="2"/>
  <c r="I178" i="2"/>
  <c r="I138" i="2"/>
  <c r="I36" i="2"/>
  <c r="I140" i="2"/>
  <c r="I191" i="2"/>
  <c r="I114" i="2"/>
  <c r="I166" i="2"/>
  <c r="I117" i="2"/>
  <c r="I118" i="2"/>
  <c r="I155" i="2"/>
  <c r="I159" i="2"/>
  <c r="I123" i="2"/>
  <c r="I160" i="2"/>
  <c r="I120" i="2"/>
  <c r="I145" i="2"/>
  <c r="I139" i="2"/>
  <c r="I151" i="2"/>
  <c r="I157" i="2"/>
  <c r="I127" i="2"/>
  <c r="I122" i="2"/>
  <c r="I179" i="2"/>
  <c r="I161" i="2"/>
  <c r="I188" i="2"/>
  <c r="I136" i="2"/>
  <c r="I37" i="2"/>
  <c r="I121" i="2"/>
  <c r="I186" i="2"/>
  <c r="I187" i="2"/>
  <c r="I129" i="2"/>
  <c r="I175" i="2"/>
  <c r="I174" i="2"/>
  <c r="I189" i="2"/>
  <c r="F220" i="2"/>
  <c r="I171" i="2"/>
  <c r="I41" i="2"/>
  <c r="I173" i="2"/>
  <c r="I167" i="2"/>
  <c r="I190" i="2"/>
  <c r="I192" i="2"/>
  <c r="I107" i="2"/>
  <c r="I106" i="2"/>
  <c r="H563" i="1"/>
  <c r="I194" i="2"/>
  <c r="I220" i="2" l="1"/>
  <c r="F73" i="2"/>
  <c r="H566" i="1"/>
  <c r="H567" i="1" s="1"/>
  <c r="I73" i="2" l="1"/>
  <c r="F74" i="2"/>
  <c r="F153" i="6"/>
  <c r="J153" i="6" s="1"/>
  <c r="F152" i="6"/>
  <c r="J152" i="6" s="1"/>
  <c r="F151" i="6"/>
  <c r="J151" i="6" s="1"/>
  <c r="F150" i="6"/>
  <c r="J150" i="6" s="1"/>
  <c r="F149" i="6"/>
  <c r="J149" i="6" s="1"/>
  <c r="F148" i="6"/>
  <c r="J148" i="6" s="1"/>
  <c r="F147" i="6"/>
  <c r="J147" i="6" s="1"/>
  <c r="F146" i="6"/>
  <c r="J146" i="6" s="1"/>
  <c r="F145" i="6"/>
  <c r="J145" i="6" s="1"/>
  <c r="F144" i="6"/>
  <c r="J144" i="6" s="1"/>
  <c r="F143" i="6"/>
  <c r="J143" i="6" s="1"/>
  <c r="F142" i="6"/>
  <c r="J142" i="6" s="1"/>
  <c r="H86" i="1"/>
  <c r="C85" i="1"/>
  <c r="C78" i="1"/>
  <c r="C75" i="1"/>
  <c r="A78" i="1"/>
  <c r="G84" i="1" s="1"/>
  <c r="A85" i="1"/>
  <c r="G90" i="1" s="1"/>
  <c r="B697" i="1" s="1"/>
  <c r="B78" i="1"/>
  <c r="B85" i="1"/>
  <c r="B75" i="1"/>
  <c r="A75" i="1"/>
  <c r="G77" i="1" s="1"/>
  <c r="I74" i="2" l="1"/>
  <c r="E69" i="1"/>
  <c r="F15" i="2"/>
  <c r="D73" i="1"/>
  <c r="F24" i="2"/>
  <c r="H73" i="1" l="1"/>
  <c r="F25" i="2"/>
  <c r="H697" i="1"/>
  <c r="I25" i="2" l="1"/>
  <c r="I15" i="2"/>
  <c r="I24" i="2"/>
  <c r="H1236" i="1" l="1"/>
  <c r="H1237" i="1" s="1"/>
  <c r="H1232" i="1"/>
  <c r="H1234" i="1" s="1"/>
  <c r="H1228" i="1"/>
  <c r="H1230" i="1" s="1"/>
  <c r="H1225" i="1"/>
  <c r="H1226" i="1" s="1"/>
  <c r="H1222" i="1"/>
  <c r="H1223" i="1" s="1"/>
  <c r="H1219" i="1"/>
  <c r="H1220" i="1" s="1"/>
  <c r="H1215" i="1"/>
  <c r="H1217" i="1" s="1"/>
  <c r="H1212" i="1"/>
  <c r="H1213" i="1" s="1"/>
  <c r="H1209" i="1"/>
  <c r="H1210" i="1" s="1"/>
  <c r="H1205" i="1"/>
  <c r="H1207" i="1" s="1"/>
  <c r="H1188" i="1"/>
  <c r="H1189" i="1" s="1"/>
  <c r="H1185" i="1"/>
  <c r="H1186" i="1" s="1"/>
  <c r="H1182" i="1"/>
  <c r="H1183" i="1" s="1"/>
  <c r="H1202" i="1"/>
  <c r="H1203" i="1" s="1"/>
  <c r="F205" i="2" l="1"/>
  <c r="F202" i="2"/>
  <c r="F196" i="2"/>
  <c r="I196" i="2" s="1"/>
  <c r="F211" i="2"/>
  <c r="F203" i="2"/>
  <c r="F207" i="2"/>
  <c r="F212" i="2"/>
  <c r="F204" i="2"/>
  <c r="F206" i="2"/>
  <c r="F208" i="2"/>
  <c r="F209" i="2"/>
  <c r="F197" i="2"/>
  <c r="F210" i="2"/>
  <c r="F198" i="2"/>
  <c r="A1227" i="1"/>
  <c r="G1230" i="1" s="1"/>
  <c r="B1227" i="1"/>
  <c r="A1231" i="1"/>
  <c r="G1234" i="1" s="1"/>
  <c r="B1231" i="1"/>
  <c r="A1235" i="1"/>
  <c r="G1237" i="1" s="1"/>
  <c r="B1235" i="1"/>
  <c r="A1184" i="1"/>
  <c r="G1186" i="1" s="1"/>
  <c r="B1184" i="1"/>
  <c r="A1187" i="1"/>
  <c r="G1189" i="1" s="1"/>
  <c r="B1187" i="1"/>
  <c r="A1201" i="1"/>
  <c r="G1203" i="1" s="1"/>
  <c r="A1204" i="1"/>
  <c r="G1207" i="1" s="1"/>
  <c r="B1204" i="1"/>
  <c r="A1208" i="1"/>
  <c r="G1210" i="1" s="1"/>
  <c r="B1208" i="1"/>
  <c r="A1211" i="1"/>
  <c r="G1213" i="1" s="1"/>
  <c r="B1211" i="1"/>
  <c r="A1214" i="1"/>
  <c r="G1217" i="1" s="1"/>
  <c r="B1214" i="1"/>
  <c r="A1218" i="1"/>
  <c r="G1220" i="1" s="1"/>
  <c r="B1218" i="1"/>
  <c r="A1221" i="1"/>
  <c r="G1223" i="1" s="1"/>
  <c r="B1221" i="1"/>
  <c r="A1224" i="1"/>
  <c r="G1226" i="1" s="1"/>
  <c r="B1224" i="1"/>
  <c r="B1181" i="1"/>
  <c r="A1181" i="1"/>
  <c r="G1183" i="1" s="1"/>
  <c r="B1180" i="1"/>
  <c r="A1180" i="1"/>
  <c r="I206" i="2" l="1"/>
  <c r="I204" i="2"/>
  <c r="I212" i="2"/>
  <c r="I207" i="2"/>
  <c r="I209" i="2"/>
  <c r="I203" i="2"/>
  <c r="I211" i="2"/>
  <c r="I208" i="2"/>
  <c r="I197" i="2"/>
  <c r="I198" i="2"/>
  <c r="I202" i="2"/>
  <c r="I210" i="2"/>
  <c r="I205" i="2"/>
  <c r="F139" i="7"/>
  <c r="F138" i="7"/>
  <c r="F137" i="7"/>
  <c r="F140" i="7" s="1"/>
  <c r="H48" i="6" s="1"/>
  <c r="F128" i="7"/>
  <c r="F127" i="7"/>
  <c r="F126" i="7"/>
  <c r="F117" i="7"/>
  <c r="F116" i="7"/>
  <c r="F115" i="7"/>
  <c r="D95" i="7"/>
  <c r="D94" i="7"/>
  <c r="D93" i="7"/>
  <c r="D62" i="7"/>
  <c r="F62" i="7" s="1"/>
  <c r="D61" i="7"/>
  <c r="F61" i="7" s="1"/>
  <c r="D60" i="7"/>
  <c r="F60" i="7" s="1"/>
  <c r="F63" i="7" s="1"/>
  <c r="F50" i="7"/>
  <c r="F51" i="7"/>
  <c r="F49" i="7"/>
  <c r="B768" i="1"/>
  <c r="A768" i="1"/>
  <c r="G770" i="1" s="1"/>
  <c r="H769" i="1"/>
  <c r="H770" i="1" s="1"/>
  <c r="F106" i="7"/>
  <c r="F105" i="7"/>
  <c r="F104" i="7"/>
  <c r="F95" i="7"/>
  <c r="F94" i="7"/>
  <c r="F93" i="7"/>
  <c r="F84" i="7"/>
  <c r="F83" i="7"/>
  <c r="F82" i="7"/>
  <c r="F73" i="7"/>
  <c r="F72" i="7"/>
  <c r="F40" i="7"/>
  <c r="F39" i="7"/>
  <c r="F38" i="7"/>
  <c r="F41" i="7" s="1"/>
  <c r="F34" i="7" s="1"/>
  <c r="F29" i="7"/>
  <c r="F28" i="7"/>
  <c r="F27" i="7"/>
  <c r="K438" i="7"/>
  <c r="F18" i="7"/>
  <c r="F17" i="7"/>
  <c r="F16" i="7"/>
  <c r="F19" i="7" l="1"/>
  <c r="F12" i="7" s="1"/>
  <c r="F52" i="7"/>
  <c r="F45" i="7" s="1"/>
  <c r="F107" i="7"/>
  <c r="H38" i="6" s="1"/>
  <c r="F74" i="7"/>
  <c r="F67" i="7" s="1"/>
  <c r="F85" i="7"/>
  <c r="F78" i="7" s="1"/>
  <c r="F96" i="7"/>
  <c r="F89" i="7" s="1"/>
  <c r="F118" i="7"/>
  <c r="H33" i="6" s="1"/>
  <c r="F129" i="7"/>
  <c r="H28" i="6" s="1"/>
  <c r="F102" i="2"/>
  <c r="F30" i="7"/>
  <c r="F23" i="7" s="1"/>
  <c r="H184" i="6" s="1"/>
  <c r="J184" i="6" s="1"/>
  <c r="F56" i="7"/>
  <c r="H63" i="6"/>
  <c r="H23" i="6"/>
  <c r="H53" i="6"/>
  <c r="H58" i="6"/>
  <c r="F100" i="7"/>
  <c r="F133" i="7"/>
  <c r="C768" i="1" l="1"/>
  <c r="H43" i="6"/>
  <c r="G102" i="2"/>
  <c r="I102" i="2" s="1"/>
  <c r="F111" i="7"/>
  <c r="F122" i="7"/>
  <c r="H644" i="1" l="1"/>
  <c r="H675" i="1" s="1"/>
  <c r="H610" i="1"/>
  <c r="H642" i="1" s="1"/>
  <c r="A546" i="1"/>
  <c r="B546" i="1"/>
  <c r="C546" i="1"/>
  <c r="H474" i="1"/>
  <c r="E606" i="1" l="1"/>
  <c r="E607" i="1"/>
  <c r="H607" i="1" s="1"/>
  <c r="H519" i="1" l="1"/>
  <c r="H522" i="1"/>
  <c r="F80" i="2"/>
  <c r="H606" i="1"/>
  <c r="H608" i="1" s="1"/>
  <c r="F67" i="2"/>
  <c r="E338" i="1"/>
  <c r="H338" i="1" s="1"/>
  <c r="E339" i="1"/>
  <c r="H339" i="1" s="1"/>
  <c r="I67" i="2" l="1"/>
  <c r="E471" i="1"/>
  <c r="H471" i="1" s="1"/>
  <c r="H472" i="1" s="1"/>
  <c r="F69" i="2"/>
  <c r="H525" i="1"/>
  <c r="C772" i="1"/>
  <c r="C765" i="1"/>
  <c r="C762" i="1"/>
  <c r="C759" i="1"/>
  <c r="C756" i="1"/>
  <c r="C753" i="1"/>
  <c r="C750" i="1"/>
  <c r="C747" i="1"/>
  <c r="C744" i="1"/>
  <c r="C741" i="1"/>
  <c r="C738" i="1"/>
  <c r="C735" i="1"/>
  <c r="C732" i="1"/>
  <c r="C727" i="1"/>
  <c r="C699" i="1"/>
  <c r="C682" i="1"/>
  <c r="C676" i="1"/>
  <c r="C643" i="1"/>
  <c r="C609" i="1"/>
  <c r="C605" i="1"/>
  <c r="C559" i="1"/>
  <c r="C524" i="1"/>
  <c r="C521" i="1"/>
  <c r="C518" i="1"/>
  <c r="C473" i="1"/>
  <c r="C427" i="1"/>
  <c r="C421" i="1"/>
  <c r="C391" i="1"/>
  <c r="C385" i="1"/>
  <c r="C382" i="1"/>
  <c r="C353" i="1"/>
  <c r="C347" i="1"/>
  <c r="C344" i="1"/>
  <c r="C341" i="1"/>
  <c r="C317" i="1"/>
  <c r="C309" i="1"/>
  <c r="C305" i="1"/>
  <c r="C294" i="1"/>
  <c r="C227" i="1"/>
  <c r="C214" i="1"/>
  <c r="C203" i="1"/>
  <c r="C189" i="1"/>
  <c r="C178" i="1"/>
  <c r="C167" i="1"/>
  <c r="C147" i="1"/>
  <c r="C126" i="1"/>
  <c r="C116" i="1"/>
  <c r="C105" i="1"/>
  <c r="C72" i="1"/>
  <c r="C68" i="1"/>
  <c r="C61" i="1"/>
  <c r="C51" i="1"/>
  <c r="C47" i="1"/>
  <c r="C42" i="1"/>
  <c r="C35" i="1"/>
  <c r="C28" i="1"/>
  <c r="C21" i="1"/>
  <c r="C9" i="1"/>
  <c r="C8" i="1"/>
  <c r="C14" i="1"/>
  <c r="B775" i="1"/>
  <c r="A775" i="1"/>
  <c r="A559" i="1"/>
  <c r="B559" i="1"/>
  <c r="A524" i="1"/>
  <c r="G545" i="1" s="1"/>
  <c r="B547" i="1" s="1"/>
  <c r="B524" i="1"/>
  <c r="A521" i="1"/>
  <c r="B521" i="1"/>
  <c r="A518" i="1"/>
  <c r="B518" i="1"/>
  <c r="B473" i="1"/>
  <c r="A473" i="1"/>
  <c r="H773" i="1"/>
  <c r="H774" i="1" s="1"/>
  <c r="A772" i="1"/>
  <c r="G774" i="1" s="1"/>
  <c r="B772" i="1"/>
  <c r="A771" i="1"/>
  <c r="B771" i="1"/>
  <c r="H766" i="1"/>
  <c r="H767" i="1" s="1"/>
  <c r="H763" i="1"/>
  <c r="H764" i="1" s="1"/>
  <c r="H760" i="1"/>
  <c r="H761" i="1" s="1"/>
  <c r="H757" i="1"/>
  <c r="H758" i="1" s="1"/>
  <c r="H754" i="1"/>
  <c r="H755" i="1" s="1"/>
  <c r="H751" i="1"/>
  <c r="H752" i="1" s="1"/>
  <c r="H748" i="1"/>
  <c r="H749" i="1" s="1"/>
  <c r="H745" i="1"/>
  <c r="H746" i="1" s="1"/>
  <c r="H742" i="1"/>
  <c r="H743" i="1" s="1"/>
  <c r="H739" i="1"/>
  <c r="H740" i="1" s="1"/>
  <c r="H736" i="1"/>
  <c r="H737" i="1" s="1"/>
  <c r="H733" i="1"/>
  <c r="H734" i="1" s="1"/>
  <c r="H728" i="1"/>
  <c r="H731" i="1" s="1"/>
  <c r="J64" i="6"/>
  <c r="J63" i="6"/>
  <c r="J59" i="6"/>
  <c r="J58" i="6"/>
  <c r="J54" i="6"/>
  <c r="J53" i="6"/>
  <c r="J49" i="6"/>
  <c r="J48" i="6"/>
  <c r="J44" i="6"/>
  <c r="J43" i="6"/>
  <c r="J39" i="6"/>
  <c r="J38" i="6"/>
  <c r="J34" i="6"/>
  <c r="J33" i="6"/>
  <c r="J29" i="6"/>
  <c r="J28" i="6"/>
  <c r="J24" i="6"/>
  <c r="J23" i="6"/>
  <c r="H700" i="1"/>
  <c r="H717" i="1" s="1"/>
  <c r="H683" i="1"/>
  <c r="H688" i="1" s="1"/>
  <c r="H677" i="1"/>
  <c r="H681" i="1" s="1"/>
  <c r="F544" i="1"/>
  <c r="H544" i="1" s="1"/>
  <c r="F543" i="1"/>
  <c r="H543" i="1" s="1"/>
  <c r="H392" i="1"/>
  <c r="H386" i="1"/>
  <c r="H383" i="1"/>
  <c r="E337" i="1"/>
  <c r="H337" i="1" s="1"/>
  <c r="E336" i="1"/>
  <c r="H336" i="1" s="1"/>
  <c r="E335" i="1"/>
  <c r="H335" i="1" s="1"/>
  <c r="E334" i="1"/>
  <c r="H334" i="1" s="1"/>
  <c r="E333" i="1"/>
  <c r="H333" i="1" s="1"/>
  <c r="E332" i="1"/>
  <c r="H332" i="1" s="1"/>
  <c r="E331" i="1"/>
  <c r="H331" i="1" s="1"/>
  <c r="E330" i="1"/>
  <c r="H330" i="1" s="1"/>
  <c r="E329" i="1"/>
  <c r="H329" i="1" s="1"/>
  <c r="E328" i="1"/>
  <c r="H328" i="1" s="1"/>
  <c r="E327" i="1"/>
  <c r="H327" i="1" s="1"/>
  <c r="E326" i="1"/>
  <c r="H326" i="1" s="1"/>
  <c r="E325" i="1"/>
  <c r="H325" i="1" s="1"/>
  <c r="E324" i="1"/>
  <c r="H324" i="1" s="1"/>
  <c r="E323" i="1"/>
  <c r="H323" i="1" s="1"/>
  <c r="E322" i="1"/>
  <c r="H322" i="1" s="1"/>
  <c r="E321" i="1"/>
  <c r="H321" i="1" s="1"/>
  <c r="E320" i="1"/>
  <c r="H320" i="1" s="1"/>
  <c r="E319" i="1"/>
  <c r="H319" i="1" s="1"/>
  <c r="E318" i="1"/>
  <c r="H318" i="1" s="1"/>
  <c r="E315" i="1"/>
  <c r="H315" i="1" s="1"/>
  <c r="E314" i="1"/>
  <c r="H314" i="1" s="1"/>
  <c r="E313" i="1"/>
  <c r="H313" i="1" s="1"/>
  <c r="E312" i="1"/>
  <c r="H312" i="1" s="1"/>
  <c r="E311" i="1"/>
  <c r="H311" i="1" s="1"/>
  <c r="E310" i="1"/>
  <c r="H310" i="1" s="1"/>
  <c r="E307" i="1"/>
  <c r="H307" i="1" s="1"/>
  <c r="E306" i="1"/>
  <c r="H306" i="1" s="1"/>
  <c r="H422" i="1"/>
  <c r="H354" i="1"/>
  <c r="B382" i="1"/>
  <c r="H348" i="1"/>
  <c r="E303" i="1"/>
  <c r="H303" i="1" s="1"/>
  <c r="E302" i="1"/>
  <c r="H302" i="1" s="1"/>
  <c r="E301" i="1"/>
  <c r="H301" i="1" s="1"/>
  <c r="E300" i="1"/>
  <c r="H300" i="1" s="1"/>
  <c r="E296" i="1"/>
  <c r="E295" i="1"/>
  <c r="A427" i="1"/>
  <c r="G429" i="1" s="1"/>
  <c r="B427" i="1"/>
  <c r="A421" i="1"/>
  <c r="G426" i="1" s="1"/>
  <c r="B421" i="1"/>
  <c r="A391" i="1"/>
  <c r="G420" i="1" s="1"/>
  <c r="B391" i="1"/>
  <c r="A385" i="1"/>
  <c r="G390" i="1" s="1"/>
  <c r="B385" i="1"/>
  <c r="A382" i="1"/>
  <c r="G384" i="1" s="1"/>
  <c r="F49" i="2" l="1"/>
  <c r="F51" i="2"/>
  <c r="F70" i="2"/>
  <c r="F50" i="2"/>
  <c r="G97" i="2"/>
  <c r="G94" i="2"/>
  <c r="G99" i="2"/>
  <c r="G93" i="2"/>
  <c r="G101" i="2"/>
  <c r="F59" i="2"/>
  <c r="I69" i="2"/>
  <c r="F89" i="2"/>
  <c r="F54" i="2"/>
  <c r="F58" i="2"/>
  <c r="H696" i="1"/>
  <c r="H698" i="1" s="1"/>
  <c r="F55" i="2"/>
  <c r="F57" i="2"/>
  <c r="F66" i="2"/>
  <c r="I66" i="2" s="1"/>
  <c r="F68" i="2"/>
  <c r="G96" i="2"/>
  <c r="G100" i="2"/>
  <c r="G95" i="2"/>
  <c r="G98" i="2"/>
  <c r="F90" i="2"/>
  <c r="F92" i="2"/>
  <c r="F93" i="2"/>
  <c r="F94" i="2"/>
  <c r="F95" i="2"/>
  <c r="F96" i="2"/>
  <c r="F97" i="2"/>
  <c r="F98" i="2"/>
  <c r="F99" i="2"/>
  <c r="F56" i="2"/>
  <c r="F100" i="2"/>
  <c r="F104" i="2"/>
  <c r="F91" i="2"/>
  <c r="F101" i="2"/>
  <c r="F79" i="2"/>
  <c r="B428" i="1"/>
  <c r="B303" i="1"/>
  <c r="I49" i="2" l="1"/>
  <c r="I56" i="2"/>
  <c r="I70" i="2"/>
  <c r="I68" i="2"/>
  <c r="H547" i="1"/>
  <c r="F85" i="2"/>
  <c r="I104" i="2"/>
  <c r="F81" i="2"/>
  <c r="H693" i="1"/>
  <c r="H694" i="1" s="1"/>
  <c r="F86" i="2"/>
  <c r="H690" i="1"/>
  <c r="H691" i="1" s="1"/>
  <c r="F82" i="2"/>
  <c r="I57" i="2"/>
  <c r="D295" i="1"/>
  <c r="H295" i="1" s="1"/>
  <c r="H342" i="1"/>
  <c r="I59" i="2"/>
  <c r="D296" i="1"/>
  <c r="H296" i="1" s="1"/>
  <c r="H428" i="1"/>
  <c r="H345" i="1"/>
  <c r="H304" i="1" l="1"/>
  <c r="I85" i="2"/>
  <c r="F84" i="2"/>
  <c r="F71" i="2"/>
  <c r="F83" i="2"/>
  <c r="F60" i="2"/>
  <c r="I50" i="2"/>
  <c r="I51" i="2"/>
  <c r="I55" i="2"/>
  <c r="I54" i="2"/>
  <c r="I58" i="2"/>
  <c r="H560" i="1" l="1"/>
  <c r="I83" i="2"/>
  <c r="I60" i="2"/>
  <c r="I71" i="2"/>
  <c r="I84" i="2"/>
  <c r="F42" i="2"/>
  <c r="F39" i="2"/>
  <c r="H107" i="1"/>
  <c r="I101" i="2"/>
  <c r="I100" i="2"/>
  <c r="I99" i="2"/>
  <c r="I96" i="2"/>
  <c r="I95" i="2"/>
  <c r="I94" i="2"/>
  <c r="I93" i="2"/>
  <c r="I92" i="2"/>
  <c r="I91" i="2"/>
  <c r="I90" i="2"/>
  <c r="I80" i="2"/>
  <c r="F78" i="2"/>
  <c r="F53" i="2"/>
  <c r="A347" i="1"/>
  <c r="B347" i="1"/>
  <c r="A353" i="1"/>
  <c r="B353" i="1"/>
  <c r="F52" i="2"/>
  <c r="B732" i="1"/>
  <c r="B735" i="1"/>
  <c r="B738" i="1"/>
  <c r="B741" i="1"/>
  <c r="B744" i="1"/>
  <c r="B747" i="1"/>
  <c r="B750" i="1"/>
  <c r="B753" i="1"/>
  <c r="B756" i="1"/>
  <c r="B759" i="1"/>
  <c r="B762" i="1"/>
  <c r="B765" i="1"/>
  <c r="A732" i="1"/>
  <c r="G734" i="1" s="1"/>
  <c r="A735" i="1"/>
  <c r="G737" i="1" s="1"/>
  <c r="A738" i="1"/>
  <c r="G740" i="1" s="1"/>
  <c r="A741" i="1"/>
  <c r="G743" i="1" s="1"/>
  <c r="A744" i="1"/>
  <c r="G746" i="1" s="1"/>
  <c r="A747" i="1"/>
  <c r="G749" i="1" s="1"/>
  <c r="A750" i="1"/>
  <c r="G752" i="1" s="1"/>
  <c r="A753" i="1"/>
  <c r="G755" i="1" s="1"/>
  <c r="A756" i="1"/>
  <c r="G758" i="1" s="1"/>
  <c r="A759" i="1"/>
  <c r="G761" i="1" s="1"/>
  <c r="A762" i="1"/>
  <c r="G764" i="1" s="1"/>
  <c r="A765" i="1"/>
  <c r="G767" i="1" s="1"/>
  <c r="A727" i="1"/>
  <c r="G731" i="1" s="1"/>
  <c r="B727" i="1"/>
  <c r="B726" i="1"/>
  <c r="A726" i="1"/>
  <c r="A605" i="1"/>
  <c r="G608" i="1" s="1"/>
  <c r="A609" i="1"/>
  <c r="G642" i="1" s="1"/>
  <c r="B606" i="1" s="1"/>
  <c r="A643" i="1"/>
  <c r="G675" i="1" s="1"/>
  <c r="B607" i="1" s="1"/>
  <c r="A676" i="1"/>
  <c r="G681" i="1" s="1"/>
  <c r="A682" i="1"/>
  <c r="G688" i="1" s="1"/>
  <c r="A699" i="1"/>
  <c r="G717" i="1" s="1"/>
  <c r="B690" i="1" s="1"/>
  <c r="B605" i="1"/>
  <c r="B609" i="1"/>
  <c r="B643" i="1"/>
  <c r="B676" i="1"/>
  <c r="B682" i="1"/>
  <c r="B699" i="1"/>
  <c r="I89" i="2"/>
  <c r="I86" i="2"/>
  <c r="I82" i="2"/>
  <c r="I81" i="2"/>
  <c r="I79" i="2"/>
  <c r="F72" i="2" l="1"/>
  <c r="I72" i="2" s="1"/>
  <c r="B693" i="1"/>
  <c r="B696" i="1"/>
  <c r="F28" i="2"/>
  <c r="F48" i="2"/>
  <c r="I98" i="2"/>
  <c r="I97" i="2"/>
  <c r="I78" i="2"/>
  <c r="I53" i="2"/>
  <c r="I52" i="2"/>
  <c r="G381" i="1"/>
  <c r="B296" i="1"/>
  <c r="G352" i="1"/>
  <c r="B295" i="1"/>
  <c r="H128" i="1"/>
  <c r="H169" i="1"/>
  <c r="H149" i="1"/>
  <c r="I48" i="2" l="1"/>
  <c r="F31" i="2"/>
  <c r="F33" i="2"/>
  <c r="F32" i="2"/>
  <c r="F30" i="2"/>
  <c r="H117" i="1" l="1"/>
  <c r="B61" i="1"/>
  <c r="A61" i="1"/>
  <c r="A68" i="1"/>
  <c r="B68" i="1"/>
  <c r="G67" i="1" l="1"/>
  <c r="B69" i="1"/>
  <c r="F17" i="2"/>
  <c r="I17" i="2" l="1"/>
  <c r="H190" i="1"/>
  <c r="F29" i="2"/>
  <c r="F18" i="2"/>
  <c r="F20" i="2"/>
  <c r="B47" i="1"/>
  <c r="A47" i="1"/>
  <c r="G50" i="1" s="1"/>
  <c r="H69" i="1" l="1"/>
  <c r="I20" i="2"/>
  <c r="I18" i="2"/>
  <c r="F34" i="2"/>
  <c r="D76" i="1"/>
  <c r="H76" i="1" s="1"/>
  <c r="F22" i="2"/>
  <c r="F14" i="2"/>
  <c r="F16" i="2"/>
  <c r="F21" i="2" l="1"/>
  <c r="I21" i="2" s="1"/>
  <c r="I22" i="2"/>
  <c r="I16" i="2"/>
  <c r="I14" i="2"/>
  <c r="F23" i="2"/>
  <c r="F13" i="2"/>
  <c r="F12" i="2"/>
  <c r="I12" i="2" s="1"/>
  <c r="I42" i="2"/>
  <c r="B469" i="1"/>
  <c r="B604" i="1"/>
  <c r="A469" i="1"/>
  <c r="G517" i="1"/>
  <c r="B519" i="1" s="1"/>
  <c r="G520" i="1"/>
  <c r="G523" i="1"/>
  <c r="B525" i="1" s="1"/>
  <c r="G558" i="1"/>
  <c r="B560" i="1" s="1"/>
  <c r="G561" i="1"/>
  <c r="A604" i="1"/>
  <c r="B284" i="1"/>
  <c r="B294" i="1"/>
  <c r="B305" i="1"/>
  <c r="B309" i="1"/>
  <c r="B317" i="1"/>
  <c r="B341" i="1"/>
  <c r="B344" i="1"/>
  <c r="A284" i="1"/>
  <c r="A294" i="1"/>
  <c r="G304" i="1" s="1"/>
  <c r="A305" i="1"/>
  <c r="G308" i="1" s="1"/>
  <c r="A309" i="1"/>
  <c r="A317" i="1"/>
  <c r="A341" i="1"/>
  <c r="G343" i="1" s="1"/>
  <c r="A344" i="1"/>
  <c r="B203" i="1"/>
  <c r="B214" i="1"/>
  <c r="B227" i="1"/>
  <c r="A203" i="1"/>
  <c r="G213" i="1" s="1"/>
  <c r="A214" i="1"/>
  <c r="G222" i="1" s="1"/>
  <c r="A227" i="1"/>
  <c r="B116" i="1"/>
  <c r="B126" i="1"/>
  <c r="B147" i="1"/>
  <c r="B167" i="1"/>
  <c r="B178" i="1"/>
  <c r="B189" i="1"/>
  <c r="A116" i="1"/>
  <c r="G125" i="1" s="1"/>
  <c r="A126" i="1"/>
  <c r="G146" i="1" s="1"/>
  <c r="A147" i="1"/>
  <c r="G166" i="1" s="1"/>
  <c r="A167" i="1"/>
  <c r="G177" i="1" s="1"/>
  <c r="A178" i="1"/>
  <c r="G188" i="1" s="1"/>
  <c r="A189" i="1"/>
  <c r="G191" i="1" s="1"/>
  <c r="A202" i="1"/>
  <c r="A105" i="1"/>
  <c r="B105" i="1"/>
  <c r="B104" i="1"/>
  <c r="A104" i="1"/>
  <c r="B14" i="1"/>
  <c r="B21" i="1"/>
  <c r="B28" i="1"/>
  <c r="B35" i="1"/>
  <c r="B42" i="1"/>
  <c r="B51" i="1"/>
  <c r="B72" i="1"/>
  <c r="A14" i="1"/>
  <c r="G20" i="1" s="1"/>
  <c r="A21" i="1"/>
  <c r="G27" i="1" s="1"/>
  <c r="A28" i="1"/>
  <c r="G34" i="1" s="1"/>
  <c r="A35" i="1"/>
  <c r="G41" i="1" s="1"/>
  <c r="A42" i="1"/>
  <c r="G46" i="1" s="1"/>
  <c r="A51" i="1"/>
  <c r="G70" i="1"/>
  <c r="A72" i="1"/>
  <c r="G74" i="1" s="1"/>
  <c r="B13" i="1"/>
  <c r="A13" i="1"/>
  <c r="B9" i="1"/>
  <c r="A9" i="1"/>
  <c r="B8" i="1"/>
  <c r="A8" i="1"/>
  <c r="B7" i="1"/>
  <c r="I23" i="2" l="1"/>
  <c r="I13" i="2"/>
  <c r="B76" i="1"/>
  <c r="B73" i="1"/>
  <c r="G115" i="1"/>
  <c r="G57" i="1"/>
  <c r="G316" i="1"/>
  <c r="B342" i="1"/>
  <c r="G340" i="1"/>
  <c r="B345" i="1"/>
  <c r="G249" i="1"/>
  <c r="G346" i="1"/>
  <c r="I39" i="2"/>
  <c r="I31" i="2"/>
  <c r="I32" i="2"/>
  <c r="I33" i="2"/>
  <c r="I34" i="2"/>
  <c r="C9" i="2"/>
  <c r="J11" i="6"/>
  <c r="J10" i="6"/>
  <c r="G9" i="2" l="1"/>
  <c r="I30" i="2" l="1"/>
  <c r="I29" i="2"/>
  <c r="I9" i="2" l="1"/>
  <c r="D33" i="5" l="1"/>
  <c r="A7" i="1" l="1"/>
  <c r="I28" i="2" l="1"/>
  <c r="I8" i="2" l="1"/>
  <c r="J16" i="6" l="1"/>
  <c r="J17" i="6"/>
  <c r="J18" i="6"/>
  <c r="J19" i="6"/>
  <c r="A6" i="6" l="1"/>
  <c r="A5" i="6"/>
  <c r="D37" i="5" l="1"/>
  <c r="I3" i="2" s="1"/>
  <c r="H19" i="2" s="1"/>
  <c r="E31" i="5"/>
  <c r="H47" i="2" l="1"/>
  <c r="J47" i="2" s="1"/>
  <c r="H228" i="2"/>
  <c r="J228" i="2" s="1"/>
  <c r="H229" i="2"/>
  <c r="J229" i="2" s="1"/>
  <c r="H230" i="2"/>
  <c r="J230" i="2" s="1"/>
  <c r="H226" i="2"/>
  <c r="J226" i="2" s="1"/>
  <c r="H227" i="2"/>
  <c r="J227" i="2" s="1"/>
  <c r="H76" i="2"/>
  <c r="J76" i="2" s="1"/>
  <c r="H75" i="2"/>
  <c r="J75" i="2" s="1"/>
  <c r="H26" i="2"/>
  <c r="J26" i="2" s="1"/>
  <c r="H46" i="2"/>
  <c r="J46" i="2" s="1"/>
  <c r="H163" i="2"/>
  <c r="J163" i="2" s="1"/>
  <c r="H66" i="2"/>
  <c r="J66" i="2" s="1"/>
  <c r="H200" i="2"/>
  <c r="J200" i="2" s="1"/>
  <c r="H223" i="2"/>
  <c r="J223" i="2" s="1"/>
  <c r="H224" i="2"/>
  <c r="J224" i="2" s="1"/>
  <c r="H222" i="2"/>
  <c r="J222" i="2" s="1"/>
  <c r="H220" i="2"/>
  <c r="J220" i="2" s="1"/>
  <c r="H221" i="2"/>
  <c r="J221" i="2" s="1"/>
  <c r="H87" i="2"/>
  <c r="J87" i="2" s="1"/>
  <c r="H201" i="2"/>
  <c r="J201" i="2" s="1"/>
  <c r="H164" i="2"/>
  <c r="J164" i="2" s="1"/>
  <c r="H165" i="2"/>
  <c r="J165" i="2" s="1"/>
  <c r="H219" i="2"/>
  <c r="J219" i="2" s="1"/>
  <c r="H64" i="2"/>
  <c r="J64" i="2" s="1"/>
  <c r="H199" i="2"/>
  <c r="J199" i="2" s="1"/>
  <c r="H218" i="2"/>
  <c r="J218" i="2" s="1"/>
  <c r="H215" i="2"/>
  <c r="J215" i="2" s="1"/>
  <c r="H217" i="2"/>
  <c r="J217" i="2" s="1"/>
  <c r="H216" i="2"/>
  <c r="J216" i="2" s="1"/>
  <c r="H232" i="2"/>
  <c r="J232" i="2" s="1"/>
  <c r="H214" i="2"/>
  <c r="J214" i="2" s="1"/>
  <c r="H213" i="2"/>
  <c r="J213" i="2" s="1"/>
  <c r="H61" i="2"/>
  <c r="J61" i="2" s="1"/>
  <c r="H62" i="2"/>
  <c r="J62" i="2" s="1"/>
  <c r="H63" i="2"/>
  <c r="J63" i="2" s="1"/>
  <c r="H43" i="2"/>
  <c r="J43" i="2" s="1"/>
  <c r="H44" i="2"/>
  <c r="J44" i="2" s="1"/>
  <c r="H85" i="2"/>
  <c r="J85" i="2" s="1"/>
  <c r="J77" i="2" s="1"/>
  <c r="H74" i="2"/>
  <c r="J74" i="2" s="1"/>
  <c r="H73" i="2"/>
  <c r="J73" i="2" s="1"/>
  <c r="H83" i="2"/>
  <c r="J83" i="2" s="1"/>
  <c r="H84" i="2"/>
  <c r="J84" i="2" s="1"/>
  <c r="H10" i="2"/>
  <c r="J10" i="2" s="1"/>
  <c r="J7" i="2" s="1"/>
  <c r="H37" i="2"/>
  <c r="J37" i="2" s="1"/>
  <c r="H35" i="2"/>
  <c r="J35" i="2" s="1"/>
  <c r="H36" i="2"/>
  <c r="J36" i="2" s="1"/>
  <c r="H172" i="2"/>
  <c r="J172" i="2" s="1"/>
  <c r="H160" i="2"/>
  <c r="J160" i="2" s="1"/>
  <c r="H155" i="2"/>
  <c r="J155" i="2" s="1"/>
  <c r="H124" i="2"/>
  <c r="J124" i="2" s="1"/>
  <c r="H119" i="2"/>
  <c r="J119" i="2" s="1"/>
  <c r="H176" i="2"/>
  <c r="J176" i="2" s="1"/>
  <c r="H130" i="2"/>
  <c r="J130" i="2" s="1"/>
  <c r="H184" i="2"/>
  <c r="J184" i="2" s="1"/>
  <c r="H175" i="2"/>
  <c r="J175" i="2" s="1"/>
  <c r="H168" i="2"/>
  <c r="J168" i="2" s="1"/>
  <c r="H144" i="2"/>
  <c r="J144" i="2" s="1"/>
  <c r="H139" i="2"/>
  <c r="J139" i="2" s="1"/>
  <c r="H134" i="2"/>
  <c r="J134" i="2" s="1"/>
  <c r="H108" i="2"/>
  <c r="J108" i="2" s="1"/>
  <c r="H111" i="2"/>
  <c r="J111" i="2" s="1"/>
  <c r="H125" i="2"/>
  <c r="J125" i="2" s="1"/>
  <c r="H191" i="2"/>
  <c r="J191" i="2" s="1"/>
  <c r="H188" i="2"/>
  <c r="J188" i="2" s="1"/>
  <c r="H179" i="2"/>
  <c r="J179" i="2" s="1"/>
  <c r="H159" i="2"/>
  <c r="J159" i="2" s="1"/>
  <c r="H154" i="2"/>
  <c r="J154" i="2" s="1"/>
  <c r="H149" i="2"/>
  <c r="J149" i="2" s="1"/>
  <c r="H123" i="2"/>
  <c r="J123" i="2" s="1"/>
  <c r="H118" i="2"/>
  <c r="J118" i="2" s="1"/>
  <c r="H113" i="2"/>
  <c r="J113" i="2" s="1"/>
  <c r="H135" i="2"/>
  <c r="J135" i="2" s="1"/>
  <c r="H183" i="2"/>
  <c r="J183" i="2" s="1"/>
  <c r="H174" i="2"/>
  <c r="J174" i="2" s="1"/>
  <c r="H138" i="2"/>
  <c r="J138" i="2" s="1"/>
  <c r="H133" i="2"/>
  <c r="J133" i="2" s="1"/>
  <c r="H128" i="2"/>
  <c r="J128" i="2" s="1"/>
  <c r="H153" i="2"/>
  <c r="J153" i="2" s="1"/>
  <c r="H148" i="2"/>
  <c r="J148" i="2" s="1"/>
  <c r="H143" i="2"/>
  <c r="J143" i="2" s="1"/>
  <c r="H117" i="2"/>
  <c r="J117" i="2" s="1"/>
  <c r="H112" i="2"/>
  <c r="J112" i="2" s="1"/>
  <c r="H142" i="2"/>
  <c r="J142" i="2" s="1"/>
  <c r="H185" i="2"/>
  <c r="J185" i="2" s="1"/>
  <c r="H187" i="2"/>
  <c r="J187" i="2" s="1"/>
  <c r="H178" i="2"/>
  <c r="J178" i="2" s="1"/>
  <c r="H158" i="2"/>
  <c r="J158" i="2" s="1"/>
  <c r="H132" i="2"/>
  <c r="J132" i="2" s="1"/>
  <c r="H127" i="2"/>
  <c r="J127" i="2" s="1"/>
  <c r="H122" i="2"/>
  <c r="J122" i="2" s="1"/>
  <c r="H182" i="2"/>
  <c r="J182" i="2" s="1"/>
  <c r="H147" i="2"/>
  <c r="J147" i="2" s="1"/>
  <c r="H137" i="2"/>
  <c r="J137" i="2" s="1"/>
  <c r="H161" i="2"/>
  <c r="J161" i="2" s="1"/>
  <c r="H193" i="2"/>
  <c r="J193" i="2" s="1"/>
  <c r="H186" i="2"/>
  <c r="J186" i="2" s="1"/>
  <c r="H177" i="2"/>
  <c r="J177" i="2" s="1"/>
  <c r="H170" i="2"/>
  <c r="J170" i="2" s="1"/>
  <c r="H166" i="2"/>
  <c r="J166" i="2" s="1"/>
  <c r="H157" i="2"/>
  <c r="J157" i="2" s="1"/>
  <c r="H152" i="2"/>
  <c r="J152" i="2" s="1"/>
  <c r="H126" i="2"/>
  <c r="J126" i="2" s="1"/>
  <c r="H121" i="2"/>
  <c r="J121" i="2" s="1"/>
  <c r="H116" i="2"/>
  <c r="J116" i="2" s="1"/>
  <c r="H141" i="2"/>
  <c r="J141" i="2" s="1"/>
  <c r="H136" i="2"/>
  <c r="J136" i="2" s="1"/>
  <c r="H131" i="2"/>
  <c r="J131" i="2" s="1"/>
  <c r="H181" i="2"/>
  <c r="J181" i="2" s="1"/>
  <c r="H156" i="2"/>
  <c r="J156" i="2" s="1"/>
  <c r="H151" i="2"/>
  <c r="J151" i="2" s="1"/>
  <c r="H146" i="2"/>
  <c r="J146" i="2" s="1"/>
  <c r="H120" i="2"/>
  <c r="J120" i="2" s="1"/>
  <c r="H115" i="2"/>
  <c r="J115" i="2" s="1"/>
  <c r="H110" i="2"/>
  <c r="J110" i="2" s="1"/>
  <c r="H189" i="2"/>
  <c r="J189" i="2" s="1"/>
  <c r="H180" i="2"/>
  <c r="J180" i="2" s="1"/>
  <c r="H169" i="2"/>
  <c r="J169" i="2" s="1"/>
  <c r="H150" i="2"/>
  <c r="J150" i="2" s="1"/>
  <c r="H145" i="2"/>
  <c r="J145" i="2" s="1"/>
  <c r="H140" i="2"/>
  <c r="J140" i="2" s="1"/>
  <c r="H114" i="2"/>
  <c r="J114" i="2" s="1"/>
  <c r="H109" i="2"/>
  <c r="J109" i="2" s="1"/>
  <c r="H129" i="2"/>
  <c r="J129" i="2" s="1"/>
  <c r="H106" i="2"/>
  <c r="J106" i="2" s="1"/>
  <c r="H173" i="2"/>
  <c r="J173" i="2" s="1"/>
  <c r="H194" i="2"/>
  <c r="J194" i="2" s="1"/>
  <c r="H171" i="2"/>
  <c r="J171" i="2" s="1"/>
  <c r="H107" i="2"/>
  <c r="J107" i="2" s="1"/>
  <c r="H190" i="2"/>
  <c r="J190" i="2" s="1"/>
  <c r="H192" i="2"/>
  <c r="J192" i="2" s="1"/>
  <c r="H167" i="2"/>
  <c r="J167" i="2" s="1"/>
  <c r="H41" i="2"/>
  <c r="J41" i="2" s="1"/>
  <c r="H22" i="2"/>
  <c r="J22" i="2" s="1"/>
  <c r="H25" i="2"/>
  <c r="J25" i="2" s="1"/>
  <c r="H21" i="2"/>
  <c r="J21" i="2" s="1"/>
  <c r="H15" i="2"/>
  <c r="J15" i="2" s="1"/>
  <c r="H24" i="2"/>
  <c r="J24" i="2" s="1"/>
  <c r="H20" i="2"/>
  <c r="J20" i="2" s="1"/>
  <c r="H14" i="2"/>
  <c r="J14" i="2" s="1"/>
  <c r="H23" i="2"/>
  <c r="J23" i="2" s="1"/>
  <c r="H18" i="2"/>
  <c r="J18" i="2" s="1"/>
  <c r="H17" i="2"/>
  <c r="J17" i="2" s="1"/>
  <c r="H13" i="2"/>
  <c r="J13" i="2" s="1"/>
  <c r="H16" i="2"/>
  <c r="J16" i="2" s="1"/>
  <c r="H12" i="2"/>
  <c r="J12" i="2" s="1"/>
  <c r="H203" i="2"/>
  <c r="J203" i="2" s="1"/>
  <c r="H207" i="2"/>
  <c r="J207" i="2" s="1"/>
  <c r="H211" i="2"/>
  <c r="J211" i="2" s="1"/>
  <c r="H197" i="2"/>
  <c r="J197" i="2" s="1"/>
  <c r="H204" i="2"/>
  <c r="J204" i="2" s="1"/>
  <c r="H208" i="2"/>
  <c r="J208" i="2" s="1"/>
  <c r="H212" i="2"/>
  <c r="J212" i="2" s="1"/>
  <c r="H198" i="2"/>
  <c r="J198" i="2" s="1"/>
  <c r="H205" i="2"/>
  <c r="J205" i="2" s="1"/>
  <c r="H209" i="2"/>
  <c r="J209" i="2" s="1"/>
  <c r="H196" i="2"/>
  <c r="J196" i="2" s="1"/>
  <c r="H202" i="2"/>
  <c r="J202" i="2" s="1"/>
  <c r="H206" i="2"/>
  <c r="J206" i="2" s="1"/>
  <c r="H210" i="2"/>
  <c r="J210" i="2" s="1"/>
  <c r="H102" i="2"/>
  <c r="J102" i="2" s="1"/>
  <c r="H70" i="2"/>
  <c r="J70" i="2" s="1"/>
  <c r="H71" i="2"/>
  <c r="J71" i="2" s="1"/>
  <c r="H69" i="2"/>
  <c r="J69" i="2" s="1"/>
  <c r="H72" i="2"/>
  <c r="J72" i="2" s="1"/>
  <c r="H67" i="2"/>
  <c r="J67" i="2" s="1"/>
  <c r="H68" i="2"/>
  <c r="J68" i="2" s="1"/>
  <c r="H58" i="2"/>
  <c r="J58" i="2" s="1"/>
  <c r="H56" i="2"/>
  <c r="J56" i="2" s="1"/>
  <c r="H55" i="2"/>
  <c r="J55" i="2" s="1"/>
  <c r="H54" i="2"/>
  <c r="J54" i="2" s="1"/>
  <c r="H53" i="2"/>
  <c r="J53" i="2" s="1"/>
  <c r="H52" i="2"/>
  <c r="J52" i="2" s="1"/>
  <c r="H51" i="2"/>
  <c r="J51" i="2" s="1"/>
  <c r="H50" i="2"/>
  <c r="J50" i="2" s="1"/>
  <c r="H60" i="2"/>
  <c r="J60" i="2" s="1"/>
  <c r="H49" i="2"/>
  <c r="J49" i="2" s="1"/>
  <c r="H57" i="2"/>
  <c r="J57" i="2" s="1"/>
  <c r="H59" i="2"/>
  <c r="J59" i="2" s="1"/>
  <c r="H48" i="2"/>
  <c r="J48" i="2" s="1"/>
  <c r="H104" i="2"/>
  <c r="J104" i="2" s="1"/>
  <c r="H100" i="2"/>
  <c r="J100" i="2" s="1"/>
  <c r="H98" i="2"/>
  <c r="J98" i="2" s="1"/>
  <c r="H93" i="2"/>
  <c r="J93" i="2" s="1"/>
  <c r="H101" i="2"/>
  <c r="J101" i="2" s="1"/>
  <c r="H96" i="2"/>
  <c r="J96" i="2" s="1"/>
  <c r="H94" i="2"/>
  <c r="J94" i="2" s="1"/>
  <c r="H91" i="2"/>
  <c r="J91" i="2" s="1"/>
  <c r="H99" i="2"/>
  <c r="J99" i="2" s="1"/>
  <c r="H97" i="2"/>
  <c r="J97" i="2" s="1"/>
  <c r="H89" i="2"/>
  <c r="J89" i="2" s="1"/>
  <c r="H95" i="2"/>
  <c r="J95" i="2" s="1"/>
  <c r="H92" i="2"/>
  <c r="J92" i="2" s="1"/>
  <c r="H90" i="2"/>
  <c r="J90" i="2" s="1"/>
  <c r="H86" i="2"/>
  <c r="J86" i="2" s="1"/>
  <c r="H79" i="2"/>
  <c r="J79" i="2" s="1"/>
  <c r="H78" i="2"/>
  <c r="J78" i="2" s="1"/>
  <c r="H80" i="2"/>
  <c r="J80" i="2" s="1"/>
  <c r="H82" i="2"/>
  <c r="J82" i="2" s="1"/>
  <c r="H81" i="2"/>
  <c r="J81" i="2" s="1"/>
  <c r="H42" i="2"/>
  <c r="J42" i="2" s="1"/>
  <c r="H40" i="2"/>
  <c r="H39" i="2"/>
  <c r="J39" i="2" s="1"/>
  <c r="H31" i="2"/>
  <c r="J31" i="2" s="1"/>
  <c r="H33" i="2"/>
  <c r="J33" i="2" s="1"/>
  <c r="H32" i="2"/>
  <c r="J32" i="2" s="1"/>
  <c r="H29" i="2"/>
  <c r="J29" i="2" s="1"/>
  <c r="H30" i="2"/>
  <c r="J30" i="2" s="1"/>
  <c r="H9" i="2"/>
  <c r="J9" i="2" s="1"/>
  <c r="H34" i="2"/>
  <c r="J34" i="2" s="1"/>
  <c r="H28" i="2"/>
  <c r="H8" i="2"/>
  <c r="J8" i="2" s="1"/>
  <c r="J65" i="2" l="1"/>
  <c r="J45" i="2"/>
  <c r="J11" i="2"/>
  <c r="C13" i="9" s="1"/>
  <c r="C35" i="9"/>
  <c r="E35" i="9" s="1"/>
  <c r="C33" i="9"/>
  <c r="C31" i="9"/>
  <c r="C29" i="9"/>
  <c r="C23" i="9"/>
  <c r="C21" i="9"/>
  <c r="K10" i="2"/>
  <c r="J28" i="2"/>
  <c r="J27" i="2" s="1"/>
  <c r="K9" i="2" l="1"/>
  <c r="M10" i="2" s="1"/>
  <c r="M7" i="2" s="1"/>
  <c r="C33" i="8"/>
  <c r="C15" i="9"/>
  <c r="C25" i="9"/>
  <c r="O25" i="9" s="1"/>
  <c r="C27" i="9"/>
  <c r="N27" i="9" s="1"/>
  <c r="C19" i="9"/>
  <c r="L19" i="9" s="1"/>
  <c r="C21" i="8"/>
  <c r="I33" i="9"/>
  <c r="J33" i="9"/>
  <c r="K33" i="9"/>
  <c r="H33" i="9"/>
  <c r="O21" i="9"/>
  <c r="N21" i="9"/>
  <c r="K29" i="9"/>
  <c r="I29" i="9"/>
  <c r="J29" i="9"/>
  <c r="H29" i="9"/>
  <c r="H31" i="9"/>
  <c r="I31" i="9"/>
  <c r="J31" i="9"/>
  <c r="K31" i="9"/>
  <c r="J23" i="9"/>
  <c r="K23" i="9"/>
  <c r="L23" i="9"/>
  <c r="I23" i="9"/>
  <c r="C19" i="8"/>
  <c r="C17" i="8"/>
  <c r="C27" i="8"/>
  <c r="C23" i="8"/>
  <c r="C29" i="8"/>
  <c r="C31" i="8"/>
  <c r="C25" i="8"/>
  <c r="C11" i="8"/>
  <c r="C9" i="8" l="1"/>
  <c r="C10" i="9"/>
  <c r="M11" i="2"/>
  <c r="C13" i="8"/>
  <c r="M19" i="9"/>
  <c r="G13" i="9"/>
  <c r="H13" i="9"/>
  <c r="F13" i="9"/>
  <c r="E13" i="9"/>
  <c r="N10" i="9" l="1"/>
  <c r="O10" i="9"/>
  <c r="O39" i="9" s="1"/>
  <c r="D10" i="9"/>
  <c r="E10" i="9"/>
  <c r="F10" i="9"/>
  <c r="H10" i="9"/>
  <c r="G10" i="9"/>
  <c r="M10" i="9"/>
  <c r="I10" i="9"/>
  <c r="I39" i="9" s="1"/>
  <c r="J10" i="9"/>
  <c r="J39" i="9" s="1"/>
  <c r="K10" i="9"/>
  <c r="K39" i="9" s="1"/>
  <c r="L10" i="9"/>
  <c r="L39" i="9" s="1"/>
  <c r="D15" i="9"/>
  <c r="E15" i="9"/>
  <c r="D39" i="9" l="1"/>
  <c r="D42" i="9" s="1"/>
  <c r="D48" i="9" l="1"/>
  <c r="C37" i="9" l="1"/>
  <c r="N37" i="9" s="1"/>
  <c r="N39" i="9" s="1"/>
  <c r="C35" i="8"/>
  <c r="M37" i="9" l="1"/>
  <c r="M39" i="9" s="1"/>
  <c r="F40" i="2"/>
  <c r="J40" i="2" s="1"/>
  <c r="J38" i="2" s="1"/>
  <c r="H233" i="2" l="1"/>
  <c r="C17" i="9"/>
  <c r="C15" i="8"/>
  <c r="I40" i="2"/>
  <c r="C37" i="8" l="1"/>
  <c r="D15" i="8" s="1"/>
  <c r="E17" i="9"/>
  <c r="E39" i="9" s="1"/>
  <c r="G17" i="9"/>
  <c r="G39" i="9" s="1"/>
  <c r="C47" i="9"/>
  <c r="D49" i="9" s="1"/>
  <c r="F17" i="9"/>
  <c r="F39" i="9" s="1"/>
  <c r="H17" i="9"/>
  <c r="H39" i="9" s="1"/>
  <c r="F48" i="9" l="1"/>
  <c r="F49" i="9" s="1"/>
  <c r="G48" i="9"/>
  <c r="G49" i="9" s="1"/>
  <c r="D9" i="8"/>
  <c r="D17" i="8"/>
  <c r="D29" i="8"/>
  <c r="D37" i="8"/>
  <c r="D19" i="8"/>
  <c r="D33" i="8"/>
  <c r="D27" i="8"/>
  <c r="D21" i="8"/>
  <c r="D13" i="8"/>
  <c r="D11" i="8"/>
  <c r="D35" i="8"/>
  <c r="D31" i="8"/>
  <c r="D23" i="8"/>
  <c r="D25" i="8"/>
  <c r="E48" i="9"/>
  <c r="E49" i="9" s="1"/>
  <c r="E42" i="9"/>
  <c r="F42" i="9" s="1"/>
  <c r="G42" i="9" s="1"/>
  <c r="H42" i="9" s="1"/>
  <c r="I42" i="9" s="1"/>
  <c r="J42" i="9" s="1"/>
  <c r="K42" i="9" s="1"/>
  <c r="L42" i="9" s="1"/>
  <c r="M42" i="9" s="1"/>
  <c r="N42" i="9" s="1"/>
  <c r="O42" i="9" s="1"/>
  <c r="D45" i="9"/>
  <c r="K40" i="9" l="1"/>
  <c r="D40" i="9"/>
  <c r="D43" i="9" s="1"/>
  <c r="J40" i="9"/>
  <c r="L40" i="9"/>
  <c r="M40" i="9"/>
  <c r="O40" i="9"/>
  <c r="N40" i="9"/>
  <c r="C49" i="9"/>
  <c r="I40" i="9"/>
  <c r="G40" i="9"/>
  <c r="H40" i="9"/>
  <c r="E40" i="9"/>
  <c r="F40" i="9"/>
  <c r="E43" i="9" l="1"/>
  <c r="F43" i="9" s="1"/>
  <c r="G43" i="9" s="1"/>
  <c r="H43" i="9" s="1"/>
  <c r="I43" i="9" s="1"/>
  <c r="J43" i="9" s="1"/>
  <c r="K43" i="9" s="1"/>
  <c r="L43" i="9" s="1"/>
  <c r="M43" i="9" s="1"/>
  <c r="N43" i="9" s="1"/>
  <c r="O43" i="9" s="1"/>
</calcChain>
</file>

<file path=xl/sharedStrings.xml><?xml version="1.0" encoding="utf-8"?>
<sst xmlns="http://schemas.openxmlformats.org/spreadsheetml/2006/main" count="2813" uniqueCount="1155">
  <si>
    <t>ITEM</t>
  </si>
  <si>
    <t>ESPECIFICAÇÕES</t>
  </si>
  <si>
    <t>UND</t>
  </si>
  <si>
    <t>QUANT.</t>
  </si>
  <si>
    <t>1.1</t>
  </si>
  <si>
    <t>CÓDIGO</t>
  </si>
  <si>
    <t>DESCRIÇÃO</t>
  </si>
  <si>
    <t>UN.</t>
  </si>
  <si>
    <t>QUANTIDADE</t>
  </si>
  <si>
    <t>CUSTO UNITÁRIO</t>
  </si>
  <si>
    <t>CUSTO TOTAL</t>
  </si>
  <si>
    <t>10.0</t>
  </si>
  <si>
    <t>11.0</t>
  </si>
  <si>
    <t>12.0</t>
  </si>
  <si>
    <t>13.0</t>
  </si>
  <si>
    <t>AC</t>
  </si>
  <si>
    <t>R</t>
  </si>
  <si>
    <t>DF</t>
  </si>
  <si>
    <t>L</t>
  </si>
  <si>
    <t>ISS</t>
  </si>
  <si>
    <t>TOTAL COM BDI</t>
  </si>
  <si>
    <t>SECRETARIA DE INFRAESTRUTURA</t>
  </si>
  <si>
    <t>H</t>
  </si>
  <si>
    <t xml:space="preserve">BONIFICAÇÃO E DESPESAS INDIRETAS - SEM DESONERAÇÃO
</t>
  </si>
  <si>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</si>
  <si>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</si>
  <si>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</si>
  <si>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</si>
  <si>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</si>
  <si>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med</t>
  </si>
  <si>
    <t xml:space="preserve">Taxa de Despesas Financeiras </t>
  </si>
  <si>
    <t>Taxa de Risco</t>
  </si>
  <si>
    <t>Taxa de Seguro e Taxa de Garantia</t>
  </si>
  <si>
    <t>S + G</t>
  </si>
  <si>
    <t>*med=min</t>
  </si>
  <si>
    <t>COFINS</t>
  </si>
  <si>
    <t>ISS (**)</t>
  </si>
  <si>
    <t>PIS</t>
  </si>
  <si>
    <t xml:space="preserve">Taxa de Tributos (Soma dos itens COFINS, ISS, PIS e CPRB) </t>
  </si>
  <si>
    <t>I</t>
  </si>
  <si>
    <t>Taxa de Lucro</t>
  </si>
  <si>
    <t>min-med</t>
  </si>
  <si>
    <t>BDI Resultante</t>
  </si>
  <si>
    <t>(BDI padrão Edificações sem desoneração considerando M.O. de 40%)</t>
  </si>
  <si>
    <t xml:space="preserve">Ressalta-se que os parâmetros apresentados nas tabelas não contemplam a Contribuição
Previdenciária sobre a Receita Bruta (CPRB), instituída pela Lei 12.844/2013, aplicável às empresas que estão sujeitas à desoneração da folha de pagamento. </t>
  </si>
  <si>
    <t>Fórmula do BDI conforme Acórdão TCU 2622/2013-P:</t>
  </si>
  <si>
    <t xml:space="preserve">Obs.: </t>
  </si>
  <si>
    <t>(*) Todas as taxas adotadas estão na faixa admissível do Acórdão 2622/2013-P do TCU.</t>
  </si>
  <si>
    <t>Obs.:</t>
  </si>
  <si>
    <r>
      <rPr>
        <sz val="12"/>
        <color theme="1"/>
        <rFont val="Arial"/>
        <family val="2"/>
      </rPr>
      <t xml:space="preserve">    Os custos indiretos são decorrentes da estrutura da obra e da empresa e que não podem ser atribuídos diretamente à execução de um dado serviço.
    Os custos indiretos variam muito, principalmente, em função do local de execução dos serviços, do tipo da obra, impostos incidentes, e ainda com as exigências do edital ou contrato. Devem ser distribuídos pelos custos unitários diretos totais dos serviços na forma de percentual destes.
    Os custos indiretos que mais afetam a construção estão a seguir identificados, entretanto, o engenheiro de custos deve analisar em cada caso sua validade. </t>
    </r>
    <r>
      <rPr>
        <b/>
        <sz val="12"/>
        <color theme="1"/>
        <rFont val="Arial"/>
        <family val="2"/>
      </rPr>
      <t xml:space="preserve">
</t>
    </r>
  </si>
  <si>
    <t>Fórmula BDI conforme Acórdão TCU 325/2007:</t>
  </si>
  <si>
    <t xml:space="preserve">(**) A alíquota de ISS no Município de Limoeiro/PE é de 5% sobre os custos de mão de obra. 
</t>
  </si>
  <si>
    <t>CUSTO</t>
  </si>
  <si>
    <t>BDI:</t>
  </si>
  <si>
    <t>SEM BDI</t>
  </si>
  <si>
    <t>COM BDI</t>
  </si>
  <si>
    <t>LOCALIZAÇÃO: LIMOEIRO - PE</t>
  </si>
  <si>
    <t>LOCALIZAÇÃO: LIMOEIRO-PE</t>
  </si>
  <si>
    <t>COMPOSIÇÃO DE BDI PARA CONSTRUÇÃO DE RODOVIAS E FERROVIAS</t>
  </si>
  <si>
    <t>SERVENTE COM ENCARGOS COMPLEMENTARES</t>
  </si>
  <si>
    <t>M²</t>
  </si>
  <si>
    <t>COMPOSIÇÃO 1</t>
  </si>
  <si>
    <t>88316</t>
  </si>
  <si>
    <t>1.2</t>
  </si>
  <si>
    <t>TAXA</t>
  </si>
  <si>
    <r>
      <t xml:space="preserve">De </t>
    </r>
    <r>
      <rPr>
        <b/>
        <sz val="10"/>
        <color theme="1"/>
        <rFont val="Arial"/>
        <family val="2"/>
      </rPr>
      <t>3,00%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5,50%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4,00%</t>
    </r>
  </si>
  <si>
    <r>
      <t xml:space="preserve">De </t>
    </r>
    <r>
      <rPr>
        <b/>
        <sz val="10"/>
        <color theme="1"/>
        <rFont val="Arial"/>
        <family val="2"/>
      </rPr>
      <t>0,97%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1,27%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1,27%</t>
    </r>
  </si>
  <si>
    <r>
      <t xml:space="preserve">De </t>
    </r>
    <r>
      <rPr>
        <b/>
        <sz val="10"/>
        <color theme="1"/>
        <rFont val="Arial"/>
        <family val="2"/>
      </rPr>
      <t>0,80%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0,80%</t>
    </r>
  </si>
  <si>
    <r>
      <t>De</t>
    </r>
    <r>
      <rPr>
        <b/>
        <sz val="10"/>
        <color theme="1"/>
        <rFont val="Arial"/>
        <family val="2"/>
      </rPr>
      <t xml:space="preserve"> 0,59%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1,39%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1,23%</t>
    </r>
  </si>
  <si>
    <r>
      <t xml:space="preserve">De </t>
    </r>
    <r>
      <rPr>
        <b/>
        <sz val="10"/>
        <color theme="1"/>
        <rFont val="Arial"/>
        <family val="2"/>
      </rPr>
      <t>6,16%</t>
    </r>
    <r>
      <rPr>
        <sz val="10"/>
        <color theme="1"/>
        <rFont val="Arial"/>
        <family val="2"/>
      </rPr>
      <t xml:space="preserve"> até</t>
    </r>
    <r>
      <rPr>
        <b/>
        <sz val="10"/>
        <color theme="1"/>
        <rFont val="Arial"/>
        <family val="2"/>
      </rPr>
      <t xml:space="preserve"> 8,96%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7,40%</t>
    </r>
  </si>
  <si>
    <r>
      <t xml:space="preserve">De </t>
    </r>
    <r>
      <rPr>
        <b/>
        <sz val="10"/>
        <color theme="1"/>
        <rFont val="Arial"/>
        <family val="2"/>
      </rPr>
      <t>20,34%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25,00%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22,12%</t>
    </r>
  </si>
  <si>
    <t>LARG.</t>
  </si>
  <si>
    <t>COMPR.</t>
  </si>
  <si>
    <t>ALT.</t>
  </si>
  <si>
    <t>TOTAL</t>
  </si>
  <si>
    <t>2.0</t>
  </si>
  <si>
    <t>SERVIÇOS PRELIMINARES</t>
  </si>
  <si>
    <t>2.2</t>
  </si>
  <si>
    <t>2.3</t>
  </si>
  <si>
    <t>2.4</t>
  </si>
  <si>
    <t>2.5</t>
  </si>
  <si>
    <t>PLACA DE OBRA (PARA CONSTRUCAO CIVIL) EM CHAPA GALVANIZADA *N. 22*, ADESIVADADE *2,0 X 1,125* M</t>
  </si>
  <si>
    <t>TELHAMENTO COM TELHA CERÂMICA CAPA-CANAL, TIPO COLONIAL, COM MAIS DE 2 ÁGUAS, INCLUSO TRANSPORTE VERTICAL (COM REAPROVEITAMENTO DE TELHAS DA COVERTURA ANTIGA). REF SINAPI 94204</t>
  </si>
  <si>
    <t>88323</t>
  </si>
  <si>
    <t>TELHADISTA COM ENCARGOS COMPLEMENTARES</t>
  </si>
  <si>
    <t>93281</t>
  </si>
  <si>
    <t>GUINCHO ELÉTRICO DE COLUNA, CAPACIDADE 400 KG, COM MOTO FREIO, MOTOR TRIFÁSICO DE 1,25 CV - CHP DIURNO. AF_03/2016</t>
  </si>
  <si>
    <t>93282</t>
  </si>
  <si>
    <t>GUINCHO ELÉTRICO DE COLUNA, CAPACIDADE 400 KG, COM MOTO FREIO, MOTOR TRIFÁSICO DE 1,25 CV - CHI DIURNO. AF_03/2016</t>
  </si>
  <si>
    <t>CHP</t>
  </si>
  <si>
    <t>CHI</t>
  </si>
  <si>
    <t>2.6</t>
  </si>
  <si>
    <t>ESCAVAÇÃO MANUAL PARA BLOCO DE COROAMENTO OU SAPATA, COM PREVISÃO DE FÔRMA. AF_06/2017</t>
  </si>
  <si>
    <t>SINAPI</t>
  </si>
  <si>
    <t>EMLURB</t>
  </si>
  <si>
    <t>ESCAVAÇÃO MANUAL DE VALA PARA VIGA BALDRAME, COM PREVISÃO DE FÔRMA. AF_06/2017</t>
  </si>
  <si>
    <t>REATERRO MANUAL APILOADO COM SOQUETE. AF_10/2017</t>
  </si>
  <si>
    <t>1.0</t>
  </si>
  <si>
    <t>2.7</t>
  </si>
  <si>
    <t>06.03.134</t>
  </si>
  <si>
    <t>INFRAESTRUTURA</t>
  </si>
  <si>
    <t>3.0</t>
  </si>
  <si>
    <t>2.8</t>
  </si>
  <si>
    <t>3.1</t>
  </si>
  <si>
    <t>3.2</t>
  </si>
  <si>
    <t>3.3</t>
  </si>
  <si>
    <t>4.0</t>
  </si>
  <si>
    <t>5.0</t>
  </si>
  <si>
    <t>4.1</t>
  </si>
  <si>
    <t>4.2</t>
  </si>
  <si>
    <t>5.1</t>
  </si>
  <si>
    <t>6.0</t>
  </si>
  <si>
    <t>6.1</t>
  </si>
  <si>
    <t>6.2</t>
  </si>
  <si>
    <t>7.0</t>
  </si>
  <si>
    <t>8.0</t>
  </si>
  <si>
    <t>9.0</t>
  </si>
  <si>
    <t>4.3</t>
  </si>
  <si>
    <t>4.4</t>
  </si>
  <si>
    <t>2.9</t>
  </si>
  <si>
    <t>IMPERMEABILIZAÇÃO DE FLOREIRA OU VIGA BALDRAME COM ARGAMASSA DE CIMENTO E AREIA, COM ADITIVO IMPERMEABILIZANTE, E = 2 CM. AF_06/2018</t>
  </si>
  <si>
    <t>2.10</t>
  </si>
  <si>
    <t>VERGA PRÉ-MOLDADA PARA PORTAS COM ATÉ 1,5 M DE VÃO. AF_03/2016</t>
  </si>
  <si>
    <t>VERGA PRÉ-MOLDADA PARA JANELAS COM MAIS DE 1,5 M DE VÃO. AF_03/2016</t>
  </si>
  <si>
    <t>M</t>
  </si>
  <si>
    <t xml:space="preserve">VERGA PRÉ-MOLDADA PARA PORTAS COM MAIS DE 1,5 M DE VÃO. AF_03/2016 </t>
  </si>
  <si>
    <t>VERGA PRÉ-MOLDADA PARA JANELAS COM ATÉ 1,5 M DE VÃO. AF_03/2016</t>
  </si>
  <si>
    <t>CONTRAVERGA PRÉ-MOLDADA PARA VÃOS DE ATÉ 1,5 M DE COMPRIMENTO. AF_03/2016</t>
  </si>
  <si>
    <t>CONTRAVERGA PRÉ-MOLDADA PARA VÃOS DE MAIS DE 1,5 M DE COMPRIMENTO. AF_ 03/2016</t>
  </si>
  <si>
    <t>4.5</t>
  </si>
  <si>
    <t>APLICAÇÃO MANUAL DE PINTURA COM TINTA LÁTEX ACRÍLICA EM PAREDES, DUAS DEMÃOS. AF_06/2014</t>
  </si>
  <si>
    <t xml:space="preserve">COBERTA </t>
  </si>
  <si>
    <t>REMOÇÃO DE TELHAS, DE FIBROCIMENTO, METÁLICA E CERÂMICA, DE FORMA MANUAL, SEM REAPROVEITAMENTO. AF_12/2017</t>
  </si>
  <si>
    <t>REMOÇÃO DE TRAMA DE MADEIRA PARA COBERTURA, DE FORMA MANUAL, SEM REAPROVEITAMENTO. AF_12/2017</t>
  </si>
  <si>
    <t>REMOÇÃO DE TESOURAS DE MADEIRA, COM VÃO MAIOR OU IGUAL A 8M, DE FORMA MANUAL, SEM REAPROVEITAMENTO. AF_12/2017</t>
  </si>
  <si>
    <t>FABRICAÇÃO E INSTALAÇÃO DE TESOURA INTEIRA EM MADEIRA NÃO APARELHADA, VÃO DE 11 M, PARA TELHA CERÂMICA OU DE CONCRETO, INCLUSO IÇAMENTO. AF_07/2019</t>
  </si>
  <si>
    <t>TRAMA DE MADEIRA COMPOSTA POR RIPAS, CAIBROS E TERÇAS PARA TELHADOS DEMAIS QUE 2 ÁGUAS PARA TELHA CERÂMICA CAPA-CANAL, INCLUSO TRANSPORTE VERTICAL.AF_07/2019</t>
  </si>
  <si>
    <t>TELHAMENTO COM TELHA CERÂMICA CAPA-CANAL, TIPO COLONIAL, COM MAIS DE 2 ÁGUAS, INCLUSO TRANSPORTE VERTICAL. AF_07/2019</t>
  </si>
  <si>
    <t>CUMEEIRA PARA TELHA CERÂMICA EMBOÇADA COM ARGAMASSA TRAÇO 1:2:9 (CIMENTO, CAL E AREIA) PARA TELHADOS COM ATÉ 2 ÁGUAS, INCLUSO TRANSPORTE VERTICAL. AF_07/2019</t>
  </si>
  <si>
    <t xml:space="preserve">2.1 </t>
  </si>
  <si>
    <t xml:space="preserve">COMPOSIÇÃO </t>
  </si>
  <si>
    <t>COMPOSIÇÃO 2</t>
  </si>
  <si>
    <t>ADMINISTRAÇÃO LOCAL DE OBRA</t>
  </si>
  <si>
    <t>CONCRETO ARMADO PRONTO, FCK 30 MPA CONDICAO A
(NBR 12655), LANCADO EM FUNDACOES E ADENSADO,
INCLUSIVE FORMA, ESCORAMENTO E FERRAGEM</t>
  </si>
  <si>
    <t xml:space="preserve"> 06.03.104</t>
  </si>
  <si>
    <t>M3</t>
  </si>
  <si>
    <t>SEINFRA</t>
  </si>
  <si>
    <t>DEMOLIÇÃO DE FORRO DE LAMBRI</t>
  </si>
  <si>
    <t>C2993</t>
  </si>
  <si>
    <t>M2</t>
  </si>
  <si>
    <t>REBOCO C/ ARGAMASSA DE CIMENTO E AREIA S/ PENEIRAR, TRAÇO 1:3</t>
  </si>
  <si>
    <t>C3408</t>
  </si>
  <si>
    <t xml:space="preserve">SINAPI </t>
  </si>
  <si>
    <t>CONCRETO ARMADO PRONTO, FCK 30 MPA,CONDICAO A
(NBR 12655),LANCADO EM PILARES E ADENSADO,INCLUSIVE FORMA, ESCORAMENTO E FERRAGEM.</t>
  </si>
  <si>
    <t>KIT DE PORTA DE MADEIRA PARA PINTURA, SEMI-OCA (LEVE OU MÉDIA), PADRÃO POPULAR, 90X210CM, ESPESSURA DE 3,5CM, ITENS INCLUSOS: DOBRADIÇAS, MONTAGEM E INSTALAÇÃO DO BATENTE, FECHADURA COM EXECUÇÃO DO FURO - FORNECIMENTO E INSTALAÇÃO. AF_12/2019</t>
  </si>
  <si>
    <t xml:space="preserve"> PORTAS E ESQUADRIAS</t>
  </si>
  <si>
    <t xml:space="preserve">PINTURA </t>
  </si>
  <si>
    <t>DEMOLIÇÃO DE ARGAMASSAS, DE FORMA MANUAL, SEM REAPROVEITAMENTO. AF_12/2017</t>
  </si>
  <si>
    <t>CHAPISCO COM ARGAMASSA DE CIMENTO E AREIA NO
TRACO 1 3.</t>
  </si>
  <si>
    <t>APLICAÇÃO E LIXAMENTO DE MASSA LÁTEX EM PAREDES, UMA DEMÃO. AF_06/2014</t>
  </si>
  <si>
    <t>2.11</t>
  </si>
  <si>
    <t>3.4</t>
  </si>
  <si>
    <t>3.5</t>
  </si>
  <si>
    <t>3.6</t>
  </si>
  <si>
    <t>3.7</t>
  </si>
  <si>
    <t>5.2</t>
  </si>
  <si>
    <t>5.3</t>
  </si>
  <si>
    <t>5.4</t>
  </si>
  <si>
    <t>5.5</t>
  </si>
  <si>
    <t>5.6</t>
  </si>
  <si>
    <t>5.7</t>
  </si>
  <si>
    <t>5.8</t>
  </si>
  <si>
    <t>6.3</t>
  </si>
  <si>
    <t>6.4</t>
  </si>
  <si>
    <t>6.5</t>
  </si>
  <si>
    <t>6.6</t>
  </si>
  <si>
    <t>LAJE PRÉ-FABRICADA P/ FÔRRO - VÃO ACIMA DE 4,01 m</t>
  </si>
  <si>
    <t>C4420</t>
  </si>
  <si>
    <t>KIT DE PORTA DE MADEIRA PARA PINTURA, SEMI-OCA (LEVE OU MÉDIA), PADRÃO POPULAR, 80X210CM, ESPESSURA DE 3,5CM, ITENS INCLUSOS: DOBRADIÇAS, MONTAGEM E INSTALAÇÃO DO BATENTE, FECHADURA COM EXECUÇÃO DO FURO - FORNECIMENTO E INSTALAÇÃO. AF_12/2019</t>
  </si>
  <si>
    <t>5.9</t>
  </si>
  <si>
    <t>5.10</t>
  </si>
  <si>
    <t>PORTA DE CORRER DE ALUMÍNIO, COM DUAS FOLHAS PARA VIDRO, INCLUSO VIDRO LISO INCOLOR, FECHADURA E PUXADOR, SEM ALIZAR. AF_12/2019</t>
  </si>
  <si>
    <t>5.11</t>
  </si>
  <si>
    <t>PORTÃO DE ALUMÍNIO ANODIZADO NATURAL, FECHAMENTO TOTAL C/ LAMBRI BOLA E CORREDIÇO (FORNECIMENTO E MONTAGEM)</t>
  </si>
  <si>
    <t>C3733</t>
  </si>
  <si>
    <t>5.12</t>
  </si>
  <si>
    <t>TELHAMENTO COM TELHA ONDULADA DE FIBROCIMENTO E = 6 MM, COM RECOBRIMENTO LATERAL DE 1 1/4 DE ONDA PARA TELHADO COM INCLINAÇÃO MÁXIMA DE 10°, COM ATÉ 2 ÁGUAS, INCLUSO IÇAMENTO. AF_07/2019</t>
  </si>
  <si>
    <t>2.12</t>
  </si>
  <si>
    <t>REVESTIMENTOS</t>
  </si>
  <si>
    <t>EMBOÇO, PARA RECEBIMENTO DE CERÂMICA, EM ARGAMASSA TRAÇO 1:2:8, PREPARO MECÂNICO COM BETONEIRA 400L, APLICADO MANUALMENTE EM FACES INTERNASDE PAREDES, PARA AMBIENTE COM ÁREA MAIOR QUE 10M2, ESPESSURA DE 20MM,COM EXECUÇÃO DE TALISCAS. AF_06/2014</t>
  </si>
  <si>
    <t>11.06.052</t>
  </si>
  <si>
    <t>REVESTIMENTO EM PAREDE COM CERAMICA ESMALTADA 45X45CM, TIPO A, PEI5, ELIANE,PORTO RICO, SA_x0002_MARSA, ELIZABETH OU SIMILAR, ASSENTADO COM AR GAMASSA PRE FABRICADA E REJUNTE DA QUARTZOLIT OU SIMILAR (ESPESSURA DA JUNTA DE 6MM) SOBRE EMBOCO PRONTO.</t>
  </si>
  <si>
    <t>11.06.053</t>
  </si>
  <si>
    <t>REVESTIMENTO EM PAREDE COM CERAMICA ESMALTADA 10X10CM,TIPO A, BRANCA, ELIANE,PORTO RICO,SA_x0002_MARSA, ELIZABETH OU SIMILAR, ASSENTADO COM AR GAMASSA PRE FABRICADA E REJUNTE DA QUARTZOLIT OU SIMILAR (ESPESSURA DA JUNTA DE 6MM) SOBRE EMBOCO PRONTO.</t>
  </si>
  <si>
    <t>13.03.143</t>
  </si>
  <si>
    <t>PISO CERAMICO ESMALTADO 45X45CM, TIPO A, PEI5 
ELIANE, PORTO RICO, SAMARSA, ELIZABETH OU SIM 
ASSENTADO COM ARGAMASSA PRE FABRICADA E REJUN 
TE DA QUARTZOLIT OU SIM. (ESP. DA JUNTA=6MM).</t>
  </si>
  <si>
    <t>C4916</t>
  </si>
  <si>
    <t>PISO INTERTRAVADO TIPO TIJOLINHO (20X10X6)CM 35MPA, COLORIDO -
COMPACTAÇÃO MECANIZADA</t>
  </si>
  <si>
    <t>7.1</t>
  </si>
  <si>
    <t>7.2</t>
  </si>
  <si>
    <t>7.4</t>
  </si>
  <si>
    <t>7.5</t>
  </si>
  <si>
    <t>7.6</t>
  </si>
  <si>
    <t>7.7</t>
  </si>
  <si>
    <t>7.8</t>
  </si>
  <si>
    <t>7.9</t>
  </si>
  <si>
    <t>7.10</t>
  </si>
  <si>
    <t>PAISAGISMO</t>
  </si>
  <si>
    <t>C2204</t>
  </si>
  <si>
    <t>RETIRADA DE ÁRVORES</t>
  </si>
  <si>
    <t>UN</t>
  </si>
  <si>
    <t>C1430</t>
  </si>
  <si>
    <t>GRAMA EM PLACAS E=6 CM FORNECIMENTO E PLANTIO</t>
  </si>
  <si>
    <t xml:space="preserve">APLICAÇÃO DE ADUBO EM SOLO. AF_05/2018 </t>
  </si>
  <si>
    <t>PLANTIO DE PALMEIRA COM ALTURA DE MUDA MENOR OU IGUAL A 2,00 M. AF_05/2018</t>
  </si>
  <si>
    <t>COMPOSIÇÃO</t>
  </si>
  <si>
    <t>ÁRVORE PATA DE VACA (FORNECIMENTO E PLANTIO)</t>
  </si>
  <si>
    <t>ÁRVORE QUARESMEIRA (FORNECIMENTO E PLANTIO)</t>
  </si>
  <si>
    <t>ÁRVORE PAU-FERRO (FORNECIMENTO E PLANTIO)</t>
  </si>
  <si>
    <t>PALMEIRA AZUL (FORNECIMENTO E PLANTIO)</t>
  </si>
  <si>
    <t>VEGETAÇÃO MOREIA (FORNECIMENTO E PLANTIO)</t>
  </si>
  <si>
    <t>VEGETAÇÃO YUCCA (FORNECIMENTO E PLANTIO)</t>
  </si>
  <si>
    <t>VEGETAÇÃO GERÂNIO (FORNECIMENTO E PLANTIO)</t>
  </si>
  <si>
    <t>VEGETAÇÃO IRESINE (FORNECIMENTO E PLANTIO)</t>
  </si>
  <si>
    <t>VEGETAÇÃO IXÓRA (FORNECIMENTO E PLANTIO)</t>
  </si>
  <si>
    <t>PLAYGROUND</t>
  </si>
  <si>
    <t>COTAÇÃO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</si>
  <si>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</si>
  <si>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</si>
  <si>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</si>
  <si>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</si>
  <si>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</si>
  <si>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</si>
  <si>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</si>
  <si>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</si>
  <si>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</si>
  <si>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</si>
  <si>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</si>
  <si>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</si>
  <si>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</si>
  <si>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9.1</t>
  </si>
  <si>
    <t>Secretaria</t>
  </si>
  <si>
    <t xml:space="preserve">Biblioteca </t>
  </si>
  <si>
    <t>JANELA DE ALUMÍNIO DE CORRER COM 2 FOLHAS PARA VIDROS, COM VIDROS, BATENTE, ACABAMENTO COM ACETATO OU BRILHANTE E FERRAGENS. EXCLUSIVE ALIZAR E CONTRAMARCO. FORNECIMENTO E INSTALAÇÃO. AF_12/2019</t>
  </si>
  <si>
    <t>C4514</t>
  </si>
  <si>
    <t>C1426</t>
  </si>
  <si>
    <t>GRADE DE FERRO DE PROTEÇÃO</t>
  </si>
  <si>
    <t>5.13</t>
  </si>
  <si>
    <t>5.14</t>
  </si>
  <si>
    <t>PORTA EM ALUMÍNIO ANODIZADO NATURAL/FOSCO, DE CORRER, SEM BANDEIROLA E/OU PEITORIL, SEM VIDRO - FORNECIMENTO E MONTAGEM</t>
  </si>
  <si>
    <t>PORTÃO DOS FUNDOS</t>
  </si>
  <si>
    <t>PORTÃO DA GUARITA</t>
  </si>
  <si>
    <t>PORTÃO DE ACESSO</t>
  </si>
  <si>
    <t>DESPENSA</t>
  </si>
  <si>
    <t>BANHEIRO DOS PROFESSORES MASCULINO</t>
  </si>
  <si>
    <t>BANHEIRO DOS PROFESSORES FEMININO</t>
  </si>
  <si>
    <t>DML E JARDINAGEM</t>
  </si>
  <si>
    <t>DIREÇÃO</t>
  </si>
  <si>
    <t>SALA DOS PROFESSORES</t>
  </si>
  <si>
    <t>SECRETARIA</t>
  </si>
  <si>
    <t>COORDENAÇÃO</t>
  </si>
  <si>
    <t>ENTRADA DO BANHEIRO DOS PROFESSORES MASCULINO</t>
  </si>
  <si>
    <t>ENTRADA DO BANHEIRO DOS PROFESSORES FEMININO</t>
  </si>
  <si>
    <t>ENTRADA DO BANHEIRO ALUNOS MASCULINO</t>
  </si>
  <si>
    <t>ENTRADA DO BANHEIRO ALUNOS FEMININO</t>
  </si>
  <si>
    <t>ENTRADA DO BANHEIRO INFANTIL MASCULINO</t>
  </si>
  <si>
    <t>ENTRADA DO BANHEIRO INFANTIL FEMININO</t>
  </si>
  <si>
    <t>LABORATÓRIO DE INFORMÁTICA</t>
  </si>
  <si>
    <t>SALA DE MÚSICA</t>
  </si>
  <si>
    <t>SALA 01</t>
  </si>
  <si>
    <t>SALA 02</t>
  </si>
  <si>
    <t>SALA 03</t>
  </si>
  <si>
    <t>SALA 04</t>
  </si>
  <si>
    <t>SALA 06</t>
  </si>
  <si>
    <t>SALA 07</t>
  </si>
  <si>
    <t>SALA 08</t>
  </si>
  <si>
    <t>SALA 09</t>
  </si>
  <si>
    <t>SALA 10</t>
  </si>
  <si>
    <t>SALA 11</t>
  </si>
  <si>
    <t>SALA 12</t>
  </si>
  <si>
    <t>SALA 13</t>
  </si>
  <si>
    <t>COPA</t>
  </si>
  <si>
    <t>BWC ACESSÍVEL ALUNOS MASCULINO</t>
  </si>
  <si>
    <t>BWC ACESSÍVEL ALUNOS FEMININO</t>
  </si>
  <si>
    <t>BWC ACESSÍVEL INFANTIL MASCULINO</t>
  </si>
  <si>
    <t>BWC ACESSÍVEL INFANTIL FEMININO</t>
  </si>
  <si>
    <t>BIBLIOTECA</t>
  </si>
  <si>
    <t>PORTÃO DE ENTRADA</t>
  </si>
  <si>
    <t>BANHEIRO ALUNOS MASCULINO</t>
  </si>
  <si>
    <t>BANHEIRO ALUNOS FEMININO</t>
  </si>
  <si>
    <t>BANHEIRO INFANTIL MASCULINO</t>
  </si>
  <si>
    <t>BANHEIRO INFANTIL FEMININO</t>
  </si>
  <si>
    <t>BOXES BANHEIRO DOS PROFESSORES MASCULINO</t>
  </si>
  <si>
    <t>BOXES BANHEIRO DOS PROFESSORES FEMININO</t>
  </si>
  <si>
    <t>BOXES BANHEIRO ALUNOS MASCULINO</t>
  </si>
  <si>
    <t>BOXES BANHEIRO ALUNOS FEMININO</t>
  </si>
  <si>
    <t>BOXES BANHEIRO INFANTIL MASCULINO</t>
  </si>
  <si>
    <t>BOXES BANHEIRO INFANTIL FEMININO</t>
  </si>
  <si>
    <t>CANTEIRO DA HORTA</t>
  </si>
  <si>
    <t>BWC PROFESSORES</t>
  </si>
  <si>
    <t>BWC ALUNOS</t>
  </si>
  <si>
    <t>ÁREA DO BICICLETÁRIO</t>
  </si>
  <si>
    <t>ÁREA DE ENTRADA E CARGA E DESCARGA</t>
  </si>
  <si>
    <t>LATERAL DA ESCOLA</t>
  </si>
  <si>
    <t>ÁREA DE ESPORTES</t>
  </si>
  <si>
    <t>CIRCULAÇÃO ENTRE DIREÇÃO E SECRETARIA</t>
  </si>
  <si>
    <t>CIRCULAÇÃO</t>
  </si>
  <si>
    <t>ÁREA DOS ARMÁRIOS</t>
  </si>
  <si>
    <t>CIRCULAÇÃO ENTRE SALA DOS ARMÁRIOS E DML</t>
  </si>
  <si>
    <t>DML</t>
  </si>
  <si>
    <t>CIRCULAÇÃO ENTRE BANHEIRO DOS ALUNOS E CARGA E DESCARGA</t>
  </si>
  <si>
    <t>SALA DE AULA 10</t>
  </si>
  <si>
    <t>COMPOSIÇÃO 3</t>
  </si>
  <si>
    <t>ÁRVORE PATA DE VACA</t>
  </si>
  <si>
    <t>JARDINEIRO COM ENCARGOS COMPLEMENTARES</t>
  </si>
  <si>
    <t>COMPOSIÇÃO 4</t>
  </si>
  <si>
    <t>ÁRVORE QUARESMEIRA</t>
  </si>
  <si>
    <t>COMPOSIÇÃO 5</t>
  </si>
  <si>
    <t>ÁRVORE PAU-FERRO</t>
  </si>
  <si>
    <t>COMPOSIÇÃO 6</t>
  </si>
  <si>
    <t>PALMEIRA AZUL</t>
  </si>
  <si>
    <t>COMPOSIÇÃO 7</t>
  </si>
  <si>
    <t>VEGETAÇÃO MOREIA</t>
  </si>
  <si>
    <t>COMPOSIÇÃO 8</t>
  </si>
  <si>
    <t>VEGETAÇÃO YUCCA</t>
  </si>
  <si>
    <t>COMPOSIÇÃO 9</t>
  </si>
  <si>
    <t>VEGETAÇÃO GERÂNIO</t>
  </si>
  <si>
    <t>COMPOSIÇÃO 10</t>
  </si>
  <si>
    <t>VEGETAÇÃO IRESINE</t>
  </si>
  <si>
    <t>COMPOSIÇÃO 11</t>
  </si>
  <si>
    <t>VEGETAÇÃO IXÓRA</t>
  </si>
  <si>
    <t>COMPOSIÇÃO 12</t>
  </si>
  <si>
    <t>COMPOSIÇÃO 13</t>
  </si>
  <si>
    <t>COMPOSIÇÃO 14</t>
  </si>
  <si>
    <t>COMPOSIÇÃO 15</t>
  </si>
  <si>
    <t>BANHEIRO A SER CONSTRUÍDO</t>
  </si>
  <si>
    <t>ÁREA FRONTAL DA ESCOLA</t>
  </si>
  <si>
    <t>ÁREA LATERAL DA ESCOLA</t>
  </si>
  <si>
    <t>HORTA</t>
  </si>
  <si>
    <t>INSTALAÇÕES ELÉTRICAS</t>
  </si>
  <si>
    <t>10.1</t>
  </si>
  <si>
    <t>10.2</t>
  </si>
  <si>
    <t>10.3</t>
  </si>
  <si>
    <t>10.4</t>
  </si>
  <si>
    <t>TOMADA MÉDIA DE EMBUTIR (1 MÓDULO), 2P+T 10 A, INCLUINDO SUPORTE E PLACA - FORNECIMENTO E INSTALAÇÃO. AF_12/2015</t>
  </si>
  <si>
    <t>10.5</t>
  </si>
  <si>
    <t>10.6</t>
  </si>
  <si>
    <t>C0480</t>
  </si>
  <si>
    <t>BUCHA E ARRUELA DE AÇO GALV. D= 25mm (1")</t>
  </si>
  <si>
    <t>10.7</t>
  </si>
  <si>
    <t xml:space="preserve">C0479 </t>
  </si>
  <si>
    <t>BUCHA E ARRUELA DE AÇO GALV. D= 20mm (3/4")</t>
  </si>
  <si>
    <t>10.8</t>
  </si>
  <si>
    <t>C4762</t>
  </si>
  <si>
    <t>CAIXA DE LIGAÇÃO PVC 4" X 2"</t>
  </si>
  <si>
    <t>10.9</t>
  </si>
  <si>
    <t>C4761</t>
  </si>
  <si>
    <t>CAIXA DE LIGAÇÃO PVC 4" X 4"</t>
  </si>
  <si>
    <t>10.10</t>
  </si>
  <si>
    <t>CAIXA OCTOGONAL 3" X 3", PVC, INSTALADA EM LAJE - FORNECIMENTO E INSTALAÇÃO. AF_12/2015</t>
  </si>
  <si>
    <t>10.11</t>
  </si>
  <si>
    <t>C1542</t>
  </si>
  <si>
    <t>JOELHO OU CURVA PVC ROSC. D=1" (32mm)</t>
  </si>
  <si>
    <t>10.12</t>
  </si>
  <si>
    <t>C1719</t>
  </si>
  <si>
    <t>LUVA PVC BRANCO ROSC. D=1" (32mm)</t>
  </si>
  <si>
    <t>10.13</t>
  </si>
  <si>
    <t>C1717</t>
  </si>
  <si>
    <t>LUVA PVC BRANCO ROSC. D=1 1/2" (50mm)</t>
  </si>
  <si>
    <t>10.14</t>
  </si>
  <si>
    <t>C1718</t>
  </si>
  <si>
    <t>LUVA PVC BRANCO ROSC. D=1 1/4" (40mm)</t>
  </si>
  <si>
    <t>10.15</t>
  </si>
  <si>
    <t>C1721</t>
  </si>
  <si>
    <t>LUVA PVC BRANCO ROSC. D=2 1/2" (75mm)</t>
  </si>
  <si>
    <t>10.16</t>
  </si>
  <si>
    <t>C1724</t>
  </si>
  <si>
    <t>LUVA PVC BRANCO ROSC. D=3/4" (25mm)</t>
  </si>
  <si>
    <t>10.17</t>
  </si>
  <si>
    <t>C1725</t>
  </si>
  <si>
    <t>LUVA PVC BRANCO ROSC. D=4" (110mm)</t>
  </si>
  <si>
    <t>10.18</t>
  </si>
  <si>
    <t>C0627</t>
  </si>
  <si>
    <t>CAIXA DE PASSAGEM COM TAMPA PARAFUSADA 150X150X80mm</t>
  </si>
  <si>
    <t>10.19</t>
  </si>
  <si>
    <t>C0628</t>
  </si>
  <si>
    <t>CAIXA DE PASSAGEM COM TAMPA PARAFUSADA 200X200X100mm</t>
  </si>
  <si>
    <t>10.20</t>
  </si>
  <si>
    <t>C1494</t>
  </si>
  <si>
    <t>INTERRUPTOR UMA TECLA SIMPLES 10A 250V</t>
  </si>
  <si>
    <t>10.21</t>
  </si>
  <si>
    <t>C1479</t>
  </si>
  <si>
    <t>INTERRUPTOR DUAS TECLAS SIMPLES 10A 250V</t>
  </si>
  <si>
    <t>10.22</t>
  </si>
  <si>
    <t>C1489</t>
  </si>
  <si>
    <t>INTERRUPTOR TRES TECLAS SIMPLES 10A 250V</t>
  </si>
  <si>
    <t>10.23</t>
  </si>
  <si>
    <t>C0466</t>
  </si>
  <si>
    <t xml:space="preserve">BRAÇADEIRA TIPO "D", METÁLICA ATE 1" </t>
  </si>
  <si>
    <t>10.24</t>
  </si>
  <si>
    <t>C0467</t>
  </si>
  <si>
    <t>BRAÇADEIRA TIPO "D", METÁLICA ATE 2"</t>
  </si>
  <si>
    <t>10.25</t>
  </si>
  <si>
    <t>C0468</t>
  </si>
  <si>
    <t>BRAÇADEIRA TIPO "D", METÁLICA ATE 3"</t>
  </si>
  <si>
    <t>10.26</t>
  </si>
  <si>
    <t>C0469</t>
  </si>
  <si>
    <t>BRAÇADEIRA TIPO "D", METÁLICA ATE 4"</t>
  </si>
  <si>
    <t>10.27</t>
  </si>
  <si>
    <t>C1187</t>
  </si>
  <si>
    <t>ELETRODUTO PVC ROSC. D= 32mm (1")</t>
  </si>
  <si>
    <t>10.28</t>
  </si>
  <si>
    <t>C1189</t>
  </si>
  <si>
    <t>ELETRODUTO PVC ROSC. D= 50mm (1 1/2")</t>
  </si>
  <si>
    <t>10.29</t>
  </si>
  <si>
    <t>C1188</t>
  </si>
  <si>
    <t>ELETRODUTO PVC ROSC. D= 40mm (1 1/4")</t>
  </si>
  <si>
    <t>10.30</t>
  </si>
  <si>
    <t>C1190</t>
  </si>
  <si>
    <t>ELETRODUTO PVC ROSC. D= 60mm (2")</t>
  </si>
  <si>
    <t>10.31</t>
  </si>
  <si>
    <t>C1191</t>
  </si>
  <si>
    <t>ELETRODUTO PVC ROSC. D= 75mm (2 1/2")</t>
  </si>
  <si>
    <t>10.32</t>
  </si>
  <si>
    <t>C1186</t>
  </si>
  <si>
    <t>ELETRODUTO PVC ROSC. D= 25mm (3/4")</t>
  </si>
  <si>
    <t>10.33</t>
  </si>
  <si>
    <t>C1193</t>
  </si>
  <si>
    <t>ELETRODUTO PVC ROSC. D=110mm (4")</t>
  </si>
  <si>
    <t>10.34</t>
  </si>
  <si>
    <t>CABO DE COBRE FLEXÍVEL ISOLADO, 1,5 MM², ANTI-CHAMA 0,6/1,0 KV, PARA CIRCUITOS TERMINAIS - FORNECIMENTO E INSTALAÇÃO. AF_12/2015</t>
  </si>
  <si>
    <t>10.35</t>
  </si>
  <si>
    <t>CABO DE COBRE FLEXÍVEL ISOLADO, 10 MM², ANTI-CHAMA 0,6/1,0 KV, PARA CIRCUITOS TERMINAIS - FORNECIMENTO E INSTALAÇÃO. AF_12/2015</t>
  </si>
  <si>
    <t>10.36</t>
  </si>
  <si>
    <t>10.37</t>
  </si>
  <si>
    <t>CABO DE COBRE FLEXÍVEL ISOLADO, 2,5 MM², ANTI-CHAMA 0,6/1,0 KV, PARA CIRCUITOS TERMINAIS - FORNECIMENTO E INSTALAÇÃO. AF_12/2015</t>
  </si>
  <si>
    <t>10.38</t>
  </si>
  <si>
    <t>CABO DE COBRE FLEXÍVEL ISOLADO, 4 MM², ANTI-CHAMA 0,6/1,0 KV, PARA CIRCUITOS TERMINAIS - FORNECIMENTO E INSTALAÇÃO. AF_12/2015</t>
  </si>
  <si>
    <t>10.39</t>
  </si>
  <si>
    <t>DISJUNTOR MONOPOLAR TIPO DIN, CORRENTE NOMINAL DE 16A - FORNECIMENTO E INSTALAÇÃO. AF_10/2020</t>
  </si>
  <si>
    <t>10.40</t>
  </si>
  <si>
    <t>DISJUNTOR MONOPOLAR TIPO DIN, CORRENTE NOMINAL DE 20A - FORNECIMENTO E INSTALAÇÃO. AF_10/2020</t>
  </si>
  <si>
    <t>10.41</t>
  </si>
  <si>
    <t>DISJUNTOR MONOPOLAR TIPO DIN, CORRENTE NOMINAL DE 25A - FORNECIMENTO E INSTALAÇÃO. AF_10/2020</t>
  </si>
  <si>
    <t>10.42</t>
  </si>
  <si>
    <t>10.43</t>
  </si>
  <si>
    <t>10.44</t>
  </si>
  <si>
    <t>C4562</t>
  </si>
  <si>
    <t>DISPOSITIVO DE PROTEÇÃO CONTRA SURTOS DE TENSÃO - DPS's - 40 KA/440V</t>
  </si>
  <si>
    <t>10.45</t>
  </si>
  <si>
    <t>C4531</t>
  </si>
  <si>
    <t>DISJUNTOR DIFERENCIAL DR-80A, 30mA</t>
  </si>
  <si>
    <t>10.46</t>
  </si>
  <si>
    <t>POSTE DE FERRO P/ JARDIM H=2.80M, C/GLOBO E LÂMPADA VAPOR DE SÓDIO 70W</t>
  </si>
  <si>
    <t>10.47</t>
  </si>
  <si>
    <t>C4933</t>
  </si>
  <si>
    <t>HASTE DE ATERRAMENTO COPPERWELD 5/8"X 2.40M</t>
  </si>
  <si>
    <t>10.48</t>
  </si>
  <si>
    <t>10.49</t>
  </si>
  <si>
    <t>10.50</t>
  </si>
  <si>
    <t>10.51</t>
  </si>
  <si>
    <t>Corredor 1</t>
  </si>
  <si>
    <t>Quiosques 1 e 2</t>
  </si>
  <si>
    <t>Quiosques 3 e 4</t>
  </si>
  <si>
    <t>Cozinha e despensa</t>
  </si>
  <si>
    <t>Biblioteca 1ª parte</t>
  </si>
  <si>
    <t>Corredor 2</t>
  </si>
  <si>
    <t>WC alunos masculino e feminino</t>
  </si>
  <si>
    <t>WC professores</t>
  </si>
  <si>
    <t>Corredor em frente as salas 01 e 02</t>
  </si>
  <si>
    <t>Despensa</t>
  </si>
  <si>
    <t>Guarita e ponto externo</t>
  </si>
  <si>
    <t>Coordenação</t>
  </si>
  <si>
    <t>Direção</t>
  </si>
  <si>
    <t>Sala dos professores</t>
  </si>
  <si>
    <t>Biblioteca 2ª parte</t>
  </si>
  <si>
    <t>Cozinha</t>
  </si>
  <si>
    <t>Área do palco 1ªparte</t>
  </si>
  <si>
    <t>Área do palco 2ªparte</t>
  </si>
  <si>
    <t>Sala 15</t>
  </si>
  <si>
    <t>Sala 14</t>
  </si>
  <si>
    <t>Sala 13</t>
  </si>
  <si>
    <t>Sala 12</t>
  </si>
  <si>
    <t>Laboratório de informática</t>
  </si>
  <si>
    <t>Sala 10</t>
  </si>
  <si>
    <t>Sala 11</t>
  </si>
  <si>
    <t>Sala 09</t>
  </si>
  <si>
    <t>Sala 08</t>
  </si>
  <si>
    <t>Sala 07</t>
  </si>
  <si>
    <t>Sala 06</t>
  </si>
  <si>
    <t>Sala de música</t>
  </si>
  <si>
    <t>Sala 04</t>
  </si>
  <si>
    <t>Sala 03</t>
  </si>
  <si>
    <t>Armários</t>
  </si>
  <si>
    <t>Sala 02</t>
  </si>
  <si>
    <t>Sala 01</t>
  </si>
  <si>
    <t>Palco</t>
  </si>
  <si>
    <t>Guarita</t>
  </si>
  <si>
    <t>Tomadas 1400 W</t>
  </si>
  <si>
    <t>Ar condicionado secretaria</t>
  </si>
  <si>
    <t>Ar condicionado coordenação</t>
  </si>
  <si>
    <t>Ar condicionado direção</t>
  </si>
  <si>
    <t>Ar condicionado biblioteca</t>
  </si>
  <si>
    <t>Ar condicionado sala dos professores</t>
  </si>
  <si>
    <t>Sala de informática</t>
  </si>
  <si>
    <t>Tomadas 2600 W</t>
  </si>
  <si>
    <t>1"</t>
  </si>
  <si>
    <t>3/4"</t>
  </si>
  <si>
    <t>1.1/2"</t>
  </si>
  <si>
    <t>1.1/4"</t>
  </si>
  <si>
    <t>2"</t>
  </si>
  <si>
    <t>2.1/2"</t>
  </si>
  <si>
    <t>Azul claro</t>
  </si>
  <si>
    <t>Marrom</t>
  </si>
  <si>
    <t>Outro</t>
  </si>
  <si>
    <t>Preto</t>
  </si>
  <si>
    <t>Vermelho</t>
  </si>
  <si>
    <t>Verde-amarelado</t>
  </si>
  <si>
    <t>Para solicitação de 25A</t>
  </si>
  <si>
    <t>Para solicitação de 63A</t>
  </si>
  <si>
    <t>COMPOSIÇÃO 16</t>
  </si>
  <si>
    <t>ELETRICISTA COM ENCARGOS COMPLEMENTARES</t>
  </si>
  <si>
    <t>LUMINÁRIA TIPO CALHA PARA 2 LÂMPADAS LED TUBULARES 20W</t>
  </si>
  <si>
    <t xml:space="preserve">AUXILIAR DE ELETRICISTA COM ENCARGOS COMPLEMENTARES </t>
  </si>
  <si>
    <t>LUMINÁRIA TIPO CALHA PARA 1 LÂMPADA LED TUBULAR 20W</t>
  </si>
  <si>
    <t>COMPOSIÇÃO 17</t>
  </si>
  <si>
    <t>C2078</t>
  </si>
  <si>
    <t>QUADRO DE DISTRIBUIÇÃO EMBUTIR ATE 6 DIVISÕES, S/BARRAMENTO</t>
  </si>
  <si>
    <t>ELETRODUTO RÍGIDO ROSCÁVEL, PVC, DN 85 MM (3") - FORNECIMENTO E INSTALAÇÃO. AF_12/2015</t>
  </si>
  <si>
    <t>CAIXA DE PROTEÇÃO PARA MEDIDOR MONOFÁSICO DE EMBUTIR - FORNECIMENTO E INSTALAÇÃO. AF_10/2020</t>
  </si>
  <si>
    <t xml:space="preserve">APLICAÇÃO DE FUNDO SELADOR ACRÍLICO EM PAREDES, UMA DEMÃO. AF_06/2014 </t>
  </si>
  <si>
    <t>Sala de aula 01</t>
  </si>
  <si>
    <t>Sala de aula 02</t>
  </si>
  <si>
    <t>Sala de aula 03</t>
  </si>
  <si>
    <t>Sala de aula 04</t>
  </si>
  <si>
    <t>Sala de aula 06</t>
  </si>
  <si>
    <t>Sala de aula 07</t>
  </si>
  <si>
    <t>Sala de aula 08</t>
  </si>
  <si>
    <t>Sala de aula 09</t>
  </si>
  <si>
    <t>Sala de aula 10</t>
  </si>
  <si>
    <t>Sala de aula 11</t>
  </si>
  <si>
    <t>Sala de aula 12</t>
  </si>
  <si>
    <t>Sala de aula 13</t>
  </si>
  <si>
    <t>Sala de aula 14</t>
  </si>
  <si>
    <t>Sala de aula 15</t>
  </si>
  <si>
    <t>Sala de Música</t>
  </si>
  <si>
    <t>SALA 05 (SALA DE MÚSICA)</t>
  </si>
  <si>
    <t>SALA 14</t>
  </si>
  <si>
    <t>SALA 15 (SALA AEE)</t>
  </si>
  <si>
    <t>10.52</t>
  </si>
  <si>
    <t>10.53</t>
  </si>
  <si>
    <t>TOMADA ALTA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</si>
  <si>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</si>
  <si>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MÓDULOS), 2P+T 10 A, INCLUINDO SUPORTE E PLACA - FORNECIMENTO E INSTALAÇÃO. AF_12/2015</t>
  </si>
  <si>
    <t>Biblioteca</t>
  </si>
  <si>
    <t>WC Professores Feminino</t>
  </si>
  <si>
    <t>WC Professores Masculino</t>
  </si>
  <si>
    <t>Sala de aula 05 (Sala de música)</t>
  </si>
  <si>
    <t>Sala de aula 15 (Sala AEE)</t>
  </si>
  <si>
    <t>TOMADA ALTA DE EMBUTIR (1 MÓDULO), 2P+T 10 A, INCLUINDO SUPORTE E PLACA - FORNECIMENTO E INSTALAÇÃO. AF_12/2015</t>
  </si>
  <si>
    <t>Sala dos Professores</t>
  </si>
  <si>
    <t>Sala de Informática</t>
  </si>
  <si>
    <t>Sala de aula 05 (Sala de Música)</t>
  </si>
  <si>
    <t>FITA ISOLANTE ADESIVA ANTICHAMA, USO ATE 750 V, EM ROLO DE 19 MM X 20 M</t>
  </si>
  <si>
    <t>Sala de Aula 15 (AEE)</t>
  </si>
  <si>
    <t>Sala de Aula 01</t>
  </si>
  <si>
    <t>Sala de Aula 02</t>
  </si>
  <si>
    <t>Sala de Aula 03</t>
  </si>
  <si>
    <t>Sala de Aula 04</t>
  </si>
  <si>
    <t>Sala de Aula 06</t>
  </si>
  <si>
    <t>Sala de Aula 07</t>
  </si>
  <si>
    <t>Sala de Aula 08</t>
  </si>
  <si>
    <t>Sala de Aula 09</t>
  </si>
  <si>
    <t>Sala de Aula 10</t>
  </si>
  <si>
    <t>Sala de Aula 11</t>
  </si>
  <si>
    <t>Sala de Aula 12</t>
  </si>
  <si>
    <t>Sala de Aula 13</t>
  </si>
  <si>
    <t>Sala de Aula 14</t>
  </si>
  <si>
    <t>Sala de Aula 05 (Sala de música)</t>
  </si>
  <si>
    <t>Muro parte interna</t>
  </si>
  <si>
    <t>MURO PARTE EXTERNA(FACHADAS NORTE, LESTE E OESTE)</t>
  </si>
  <si>
    <t>MURO PARTE EXTERNA(FACHADA SUL(PRINCIPAL)</t>
  </si>
  <si>
    <t>Paredes externas traço rosa</t>
  </si>
  <si>
    <t>Paredes internas traço rosa</t>
  </si>
  <si>
    <t>Paredes externas traço amarelo</t>
  </si>
  <si>
    <t>Paredes internas traço amarelo</t>
  </si>
  <si>
    <t>Paredes externas traço vermelho</t>
  </si>
  <si>
    <t>Paredes internas traço vermelho</t>
  </si>
  <si>
    <t>Paredes externas traço verde</t>
  </si>
  <si>
    <t>Paredes internas traço verde</t>
  </si>
  <si>
    <t>Paredes traço azul</t>
  </si>
  <si>
    <t>Quadra</t>
  </si>
  <si>
    <t>30% da área total de pintura</t>
  </si>
  <si>
    <t>Pilares</t>
  </si>
  <si>
    <t>11.1</t>
  </si>
  <si>
    <t>11.9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</si>
  <si>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</si>
  <si>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</si>
  <si>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</si>
  <si>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</si>
  <si>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</si>
  <si>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</si>
  <si>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</si>
  <si>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</si>
  <si>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</si>
  <si>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</si>
  <si>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</si>
  <si>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</si>
  <si>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</si>
  <si>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</si>
  <si>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</si>
  <si>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Paredes traço rosa</t>
  </si>
  <si>
    <t>Paredes traço amarelo</t>
  </si>
  <si>
    <t>Paredes traço vermelho</t>
  </si>
  <si>
    <t>Paredes traço verde</t>
  </si>
  <si>
    <t>C0602</t>
  </si>
  <si>
    <t>CAIXA EM ALVENARIA (80X80X60cm) DE 1/2 TIJOLO COMUM, LASTRO DE
CONCRETO E TAMPA DE CONCRETO</t>
  </si>
  <si>
    <t>CAIXA DE GORDURA ESPECIAL (CAPACIDADE: 312 L - PARA ATÉ 146 PESSOAS SERVIDAS NO PICO), RETANGULAR, EM ALVENARIA COM BLOCOS DE CONCRETO, DIMENSÕES INTERNAS = 0,4X1,2 M, ALTURA INTERNA = 1 M. AF_12/2020</t>
  </si>
  <si>
    <t>REDUCAO EXCENTRICA PVC P/ ESG PREDIAL DN 100 X 50MM</t>
  </si>
  <si>
    <t>11.28</t>
  </si>
  <si>
    <t>CAIXA SIFONADA, PVC, DN 100 X 100 X 50 MM, JUNTA ELÁSTICA, FORNECIDA E INSTALADA EM RAMAL DE DESCARGA OU EM RAMAL DE ESGOTO SANITÁRIO. AF_12/2014</t>
  </si>
  <si>
    <t>SIFÃO DO TIPO GARRAFA EM METAL CROMADO 1 X 1.1/2 - FORNECIMENTO E INSTALAÇÃO. AF_01/2020</t>
  </si>
  <si>
    <t>CURVA CURTA 90 GRAUS, PVC, SERIE NORMAL, ESGOTO PREDIAL, DN 40 MM, JUNTA SOLDÁVEL,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</si>
  <si>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</si>
  <si>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</si>
  <si>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JOELHO 45 GRAUS, PVC, SERIE NORMAL, ESGOTO PREDIAL, DN 150 MM, JUNTA E LÁSTICA, FORNECIDO E INSTALADO EM SUBCOLETOR AÉREO DE ESGOTO SANITÁRIO. AF_12/2014</t>
  </si>
  <si>
    <t>LUVA SIMPLES, PVC, SERIE NORMAL, ESGOTO PREDIAL, DN 50 MM, JUNTA ELÁSTICA,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</si>
  <si>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</si>
  <si>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(COMPOSIÇÃO REPRESENTATIVA) DO SERVIÇO DE INSTALAÇÃO DE TUBO DE PVC, SÉRIE NORMAL, ESGOTO PREDIAL, DN 40 MM (INSTALADO EM RAMAL DE DESCARGA OU RAMAL DE ESGOTO SANITÁRIO), INCLUSIVE CONEXÕES, CORTES E FIXAÇÕES, PARA PRÉDIOS. AF_10/2015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</si>
  <si>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</si>
  <si>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>(COMPOSIÇÃO REPRESENTATIVA) DO SERVIÇO DE INST. TUBO PVC, SÉRIE N, ESGOTO PREDIAL, 100 MM (INST. RAMAL DESCARGA, RAMAL DE ESG. SANIT., PRUMA DA ESG. SANIT., VENTILAÇÃO OU SUB-COLETOR AÉREO), INCL. CONEXÕES E CORTES, FIXAÇÕES, P/ PRÉDIOS. AF_10/2015</t>
  </si>
  <si>
    <t>(COMPOSIÇÃO REPRESENTATIVA) DO SERVIÇO DE INSTALAÇÃO DE TUBO DE PVC, SÉRIE NORMAL, ESGOTO PREDIAL, DN 150 MM (INSTALADO EM SUB-COLETOR AÉREO), INCLUSIVE CONEXÕES, CORTES E FIXAÇÕES, PARA PRÉDIOS. AF_10/2015</t>
  </si>
  <si>
    <t>COMPOSIÇÃO 18</t>
  </si>
  <si>
    <t xml:space="preserve">ANEL BORRACHA PARA TUBO ESGOTO PREDIAL, DN 100 MM (NBR 5688) </t>
  </si>
  <si>
    <t>PASTA LUBRIFICANTE PARA TUBOS E CONEXOES COM JUNTA ELASTICA, EMBALAGEM DE *400* GR (USO EM PVC, ACO, POLIETILENO E OUTROS)</t>
  </si>
  <si>
    <t>AUXILIAR DE ENCANADOR OU BOMBEIRO HIDRÁULICO COM ENCARGOS COMPLEMENTARES</t>
  </si>
  <si>
    <t xml:space="preserve">ENCANADOR OU BOMBEIRO HIDRÁULICO COM ENCARGOS COMPLEMENTARES </t>
  </si>
  <si>
    <t>TE, PVC, SERIE NORMAL, ESGOTO PREDIAL, DN 40 X 40 MM, JUNTA SOLDÁVEL, FORNECIDO E INSTALADO EM RAMAL DE DESCARGA OU RAMAL DE ESGOTO SANITÁRIO. AF_12/2014</t>
  </si>
  <si>
    <t>COMPOSIÇÃO 19</t>
  </si>
  <si>
    <t>COMPOSIÇÃO 21</t>
  </si>
  <si>
    <t>C1576</t>
  </si>
  <si>
    <t>JUNÇÃO SIMPLES DE REDUÇÃO PVC P/ESGOTO 100X50mm (4"X2")-C/ANÉIS</t>
  </si>
  <si>
    <t>C1578</t>
  </si>
  <si>
    <t>JUNÇÃO SIMPLES DE REDUÇÃO PVC P/ESGOTO 150X100mm (6"X4")-C/ANÉIS</t>
  </si>
  <si>
    <t>C0677</t>
  </si>
  <si>
    <t>CAP (TAMPÃO) OU PLUG (BUJÃO) PVC P/ESGOTO D=100mm C/ANÉIS</t>
  </si>
  <si>
    <t>CAP (TAMPÃO) OU PLUG (BUJÃO) PVC P/ESGOTO D=150mm C/ANÉIS - UN</t>
  </si>
  <si>
    <t>I0073</t>
  </si>
  <si>
    <t>LUBRIFICANTE PARA TUBO DE PVC</t>
  </si>
  <si>
    <t>I1351</t>
  </si>
  <si>
    <t>I0043</t>
  </si>
  <si>
    <t>AJUDANTE DE ENCANADOR</t>
  </si>
  <si>
    <t>I2320</t>
  </si>
  <si>
    <t>ENCANADOR</t>
  </si>
  <si>
    <t>COMPOSIÇÃO 22</t>
  </si>
  <si>
    <t>I1434</t>
  </si>
  <si>
    <t xml:space="preserve">ANEL DE BORRACHA P/TUBO PVC 150MM </t>
  </si>
  <si>
    <t>LUVA DUPLA PVC ESGOTO 150MM</t>
  </si>
  <si>
    <t>LUVA DUPLA PVC P/ESGOTO D=150mm -C/ANÉIS - UN</t>
  </si>
  <si>
    <t>11.2</t>
  </si>
  <si>
    <t>11.3</t>
  </si>
  <si>
    <t>11.4</t>
  </si>
  <si>
    <t>11.5</t>
  </si>
  <si>
    <t>11.6</t>
  </si>
  <si>
    <t>11.7</t>
  </si>
  <si>
    <t>11.8</t>
  </si>
  <si>
    <t>11.10</t>
  </si>
  <si>
    <t>11.11</t>
  </si>
  <si>
    <t>11.12</t>
  </si>
  <si>
    <t>COMPOSIÇÃO 23</t>
  </si>
  <si>
    <t>PEDRA BRITADA N. 0, OU PEDRISCO (4,8 A 9,5 MM) POSTO PEDREIRA/FORNECEDOR, SEM FRETE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</si>
  <si>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</si>
  <si>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</si>
  <si>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TIJOLO CERAMICO MACICO COMUM *5 X 10 X 20* CM (L X A X C) </t>
  </si>
  <si>
    <t>ARGAMASSA TRAÇO 1:4 (EM VOLUME DE CIMENTO E AREIA GROSSA ÚMIDA) PARA CHAPISCO CONVENCIONAL, PREPARO MECÂNICO COM BETONEIRA 400 L. AF_08/2019</t>
  </si>
  <si>
    <t>PEDREIRO COM ENCARGOS COMPLEMENTARES</t>
  </si>
  <si>
    <t>GRAUTEAMENTO DE CINTA SUPERIOR OU DE VERGA EM ALVENARIA ESTRUTURAL. AF_01/2015</t>
  </si>
  <si>
    <t>ARMAÇÃO DE CINTA DE ALVENARIA ESTRUTURAL; DIÂMETRO DE 10,0 MM. AF_01/2015</t>
  </si>
  <si>
    <t>KG</t>
  </si>
  <si>
    <t xml:space="preserve"> ARMAÇÃO DE LAJE DE UMA ESTRUTURA CONVENCIONAL DE CONCRETO ARMADO EM UMA EDIFICAÇÃO TÉRREA OU SOBRADO UTILIZANDO AÇO CA-60 DE 4,2 MM - MONTAGEM. AF_12/2015</t>
  </si>
  <si>
    <t>CONCRETO FCK = 20MPA, TRAÇO 1:2,7:3 (CIMENTO/ AREIA MÉDIA/ BRITA 1) - PREPARO MECÂNICO COM BETONEIRA 600 L. AF_07/2016</t>
  </si>
  <si>
    <t>FABRICAÇÃO, MONTAGEM E DESMONTAGEM DE FÔRMA PARA VIGA BALDRAME, EM MADEIRA FABRICAÇÃO, MONTAGEM E DESMONTAGEM DE FÔRMA PARA VIGA BALDRAME, EM MADEIRA</t>
  </si>
  <si>
    <t>PEÇA RETANGULAR PRÉ-MOLDADA, VOLUME DE CONCRETO DE 30 A 100 LITROS, TAXA DE AÇO APROXIMADA DE 30KG/M³. AF_01/2018</t>
  </si>
  <si>
    <t>ARGAMASSA TRAÇO 1:3 (EM VOLUME DE CIMENTO E AREIA MÉDIA ÚMIDA) COM ADIÇÃO DE IMPERMEABILIZANTE, PREPARO MECÂNICO COM BETONEIRA 400 L. AF_08/2019</t>
  </si>
  <si>
    <t>PREPARO DE FUNDO DE VALA COM LARGURA MAIOR OU IGUAL A 1,5 M E MENOR QUE 2, PREPARO DE FUNDO DE VALA COM LARGURA MAIOR OU IGUAL A 1,5 M E MENOR QUE 2,</t>
  </si>
  <si>
    <t>FILTRO ANAERÓBIO RETANGULAR, EM ALVENARIA COM TIJOLOS CERÂMICOS, DIMENSÕES INTERNAS: 4,4 X 4,4 X 1,90 M</t>
  </si>
  <si>
    <t>COMPOSIÇÃO 24</t>
  </si>
  <si>
    <t>11.29</t>
  </si>
  <si>
    <t>Banheiro alunos masculino</t>
  </si>
  <si>
    <t>Banheiro alunos feminino</t>
  </si>
  <si>
    <t>Banheiro infantil alunos masculino</t>
  </si>
  <si>
    <t>Banheiro infantil alunos feminino</t>
  </si>
  <si>
    <t>Banheiro funcionários masculino</t>
  </si>
  <si>
    <t>Banheiro funcionários feminino</t>
  </si>
  <si>
    <t>11.30</t>
  </si>
  <si>
    <t>COMPOSIÇÕES DE CUSTO UNITÁRIOS COMPLEMENTARES</t>
  </si>
  <si>
    <t>COTAÇÃO 1</t>
  </si>
  <si>
    <t>Preço Unitário Custo</t>
  </si>
  <si>
    <t>CNPJ</t>
  </si>
  <si>
    <t xml:space="preserve">ESTABELECIMENTO </t>
  </si>
  <si>
    <t>Unidade</t>
  </si>
  <si>
    <t>Coeficiente</t>
  </si>
  <si>
    <t>Custo
Unitário</t>
  </si>
  <si>
    <t>Custo
Total</t>
  </si>
  <si>
    <t>00.776.574/0006-60</t>
  </si>
  <si>
    <t>Total</t>
  </si>
  <si>
    <t>OK</t>
  </si>
  <si>
    <t>COTAÇÃO 2</t>
  </si>
  <si>
    <t>COTAÇÃO 3</t>
  </si>
  <si>
    <t>COTAÇÃO 4</t>
  </si>
  <si>
    <t>COTAÇÃO 5</t>
  </si>
  <si>
    <t>03.007.331/0001-41</t>
  </si>
  <si>
    <t>29.201.825/0001-56</t>
  </si>
  <si>
    <t>Mercado Livre</t>
  </si>
  <si>
    <t>Viveiro Cultura Ecológica</t>
  </si>
  <si>
    <t>Bicicletário</t>
  </si>
  <si>
    <t>8.14</t>
  </si>
  <si>
    <t>COTAÇÃO 6</t>
  </si>
  <si>
    <t>COTAÇÃO 7</t>
  </si>
  <si>
    <t>COTAÇÃO 8</t>
  </si>
  <si>
    <t>COTAÇÃO 9</t>
  </si>
  <si>
    <t>COTAÇÃO 10</t>
  </si>
  <si>
    <t>COTAÇÃO 11</t>
  </si>
  <si>
    <t>COTAÇÃO 12</t>
  </si>
  <si>
    <t>COTAÇÃO 13</t>
  </si>
  <si>
    <t>Gerânio</t>
  </si>
  <si>
    <t>38.067.218/0001-36</t>
  </si>
  <si>
    <t>Jardim Exótico</t>
  </si>
  <si>
    <t>Lojas Americanas</t>
  </si>
  <si>
    <t>Submarino</t>
  </si>
  <si>
    <t>Iresine</t>
  </si>
  <si>
    <t>Ixorá</t>
  </si>
  <si>
    <t>Luminária tipo calha 1x20W</t>
  </si>
  <si>
    <t>Luminária tipo calha 2x20W</t>
  </si>
  <si>
    <t>Moreia</t>
  </si>
  <si>
    <t>Palmeira Azul</t>
  </si>
  <si>
    <t>47.960.950/1088-36</t>
  </si>
  <si>
    <t>Magazine Luiza</t>
  </si>
  <si>
    <t>Pau-ferro</t>
  </si>
  <si>
    <t>Quaresmeira</t>
  </si>
  <si>
    <t>Yucca</t>
  </si>
  <si>
    <t>40.103.496/0001-43</t>
  </si>
  <si>
    <t>Raiz viva</t>
  </si>
  <si>
    <t>LAMPADA LED TUBULAR BIVOLT 18/20 W, BASE G13</t>
  </si>
  <si>
    <t>C2010</t>
  </si>
  <si>
    <t>Quadro de entrada</t>
  </si>
  <si>
    <t>Conforme previsto no projeto elétrico</t>
  </si>
  <si>
    <t>4"</t>
  </si>
  <si>
    <t>ISOLADOR DE PORCELANA SUSPENSO, DISCO TIPO GARFO OLHAL, DIAMETRO DE 152 MM, PARA TENSAO DE *15* KV</t>
  </si>
  <si>
    <t>10.54</t>
  </si>
  <si>
    <t>10.55</t>
  </si>
  <si>
    <t>PARAFUSO NIQUELADO 3 1/2" COM ACABAMENTO CROMADO PARA FIXAR PECA SANITARIA, INCLUI PORCA CEGA, ARRUELA E BUCHA DE NYLON TAMANHO S-8</t>
  </si>
  <si>
    <t>C1117</t>
  </si>
  <si>
    <t>DISJUNTOR TRIPOLAR EM QUADRO DE DISTRIBUIÇÃO 100A</t>
  </si>
  <si>
    <t>10.56</t>
  </si>
  <si>
    <t>C1114</t>
  </si>
  <si>
    <t>DISJUNTOR TRIPOLAR C/ACIONAMENTO NA PORTA DO Q.D.ATE 63A</t>
  </si>
  <si>
    <t>QUADRO DE DISTRIBUIÇÃO DE ENERGIA EM CHAPA DE AÇO GALVANIZADO, DE EMBUTIR, COM BARRAMENTO TRIFÁSICO, PARA 24 DISJUNTORES DIN 100A - FORNECIMENTO E INSTALAÇÃO. AF_10/2020</t>
  </si>
  <si>
    <t>C2074</t>
  </si>
  <si>
    <t>QUADRO DE DISTRIBUIÇÃO DE LUZ.SOBREPOR ATE 64 DIVISÕES
650X440X205mm, C/BARRAMENTO</t>
  </si>
  <si>
    <t>LUMINÁRIA TIPO CALHA, DE SOBREPOR, COM 2 LÂMPADAS TUBULARES LED 18/20W - FORNECIMENTO E INSTALAÇÃO</t>
  </si>
  <si>
    <t>LUMINÁRIA TIPO CALHA, DE SOBREPOR, COM 1 LÂMPADA TUBULAR LED 18/20 W - FORNECIMENTO E INSTALAÇÃO</t>
  </si>
  <si>
    <t>85.014.793/0001-50</t>
  </si>
  <si>
    <t>Eletrorastro</t>
  </si>
  <si>
    <t>C3586</t>
  </si>
  <si>
    <t>CAIXA SIFONADA 150X150X50cm COM GRELHA - PADRÃO POPULAR</t>
  </si>
  <si>
    <t>VÁLVULA EM METAL CROMADO 1.1/2 X 1.1/2 PARA TANQUE OU LAVATÓRIO, COM OU SEM LADRÃO - FORNECIMENTO E INSTALAÇÃO. AF_01/2020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</si>
  <si>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</si>
  <si>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</si>
  <si>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</si>
  <si>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</si>
  <si>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</si>
  <si>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</si>
  <si>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</si>
  <si>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</si>
  <si>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</si>
  <si>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</si>
  <si>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06.03.010</t>
  </si>
  <si>
    <t>CONCRETO NAO ESTRUTURAL (1 4 8) PARA LASTROS 
DE PISOS E FUNDACOES, LANCADO E ADENSADO.</t>
  </si>
  <si>
    <t>12.11</t>
  </si>
  <si>
    <t xml:space="preserve">INSTALAÇÕES HIDRÁULICAS </t>
  </si>
  <si>
    <t>C0797</t>
  </si>
  <si>
    <t>CHUVEIRO PLÁSTICO (INSTALADO)</t>
  </si>
  <si>
    <t>VASO SANITÁRIO SIFONADO COM CAIXA ACOPLADA LOUÇA BRANCA, INCLUSO ENGATE FLEXÍVEL EM PLÁSTICO BRANCO, 1/2 X 40CM -FORNECIMENTO E INSTALAÇÃO. AF_01/2020</t>
  </si>
  <si>
    <t>C0492</t>
  </si>
  <si>
    <t>BUCHA REDUÇÃO PVC ROSC. D=1 1/2"X3/4" (50X25mm)</t>
  </si>
  <si>
    <t>C2616</t>
  </si>
  <si>
    <t>TUBO PVC SOLD. MARROM D= 25mm (3/4")</t>
  </si>
  <si>
    <t>C2619</t>
  </si>
  <si>
    <t>TUBO PVC SOLD. MARROM D= 50mm (1 1/2")</t>
  </si>
  <si>
    <t>C2408</t>
  </si>
  <si>
    <t>TE REDUCAO PVC SOLDAVEL DE 50X25MM PARA AGUA FRIA</t>
  </si>
  <si>
    <t>21,41</t>
  </si>
  <si>
    <t>C1562</t>
  </si>
  <si>
    <t>JOELHO REDUÇÃO PVC SOLD. AZUL D=25mmX1/2"</t>
  </si>
  <si>
    <t>C2392</t>
  </si>
  <si>
    <t>TÊ REDUÇÃO PVC SOLD./ROSCA AZUL D=25mmX25mmX1/2"</t>
  </si>
  <si>
    <t>C2389</t>
  </si>
  <si>
    <t>TE PVC SOLD./ROSCA D=20mmX20mmX1/2"</t>
  </si>
  <si>
    <t>13.5</t>
  </si>
  <si>
    <t xml:space="preserve">SERVIÇOS COMPLEMENTARES </t>
  </si>
  <si>
    <t>FABRICAÇÃO E INSTALAÇÃO DE TESOURA INTEIRA EM MADEIRA NÃO APARELHADA, VÃO DE 12 M, PARA TELHA CERÂMICA OU DE CONCRETO, INCLUSO IÇAMENTO. AF_07/2019</t>
  </si>
  <si>
    <t>TRAMA DE MADEIRA COMPOSTA POR TERÇAS PARA TELHADOS DE ATÉ 2 ÁGUAS PARA TELHA ONDULADA DE FIBROCIMENTO, METÁLICA, PLÁSTICA OU TERMOACÚSTICA, INCLUSO TRANSPORTE VERTICAL. AF_07/20</t>
  </si>
  <si>
    <t>2.13</t>
  </si>
  <si>
    <t>CALHA EM CHAPA DE AÇO GALVANIZADO NÚMERO 24, DESENVOLVIMENTO DE 33 CM, INCLUSO TRANSPORTE VERTICAL. AF_07/2019</t>
  </si>
  <si>
    <t>PARAFUSO FRANCES METRICO ZINCADO, DIAMETRO 12 MM, COMPRIMENTO 150 MM, COM PORCA SEXTAVADA E ARRUELA DE PRESSAO MEDIA</t>
  </si>
  <si>
    <t>CAIBRO NAO APARELHADO,  *6 X 8* CM,  EM MACARANDUBA, ANGELIM OU EQUIVALENTE DA REGIAO -  BRUTA</t>
  </si>
  <si>
    <t>SARRAFO NAO APARELHADO 2,5 X 5 CM, EM MACARANDUBA, ANGELIM OU EQUIVALENTE DA REGIAO -  BRUTA</t>
  </si>
  <si>
    <t>VIGA NAO APARELHADA  *6 X 12* CM, EM MACARANDUBA, ANGELIM OU EQUIVALENTE DA REGIAO - BRUTA</t>
  </si>
  <si>
    <t>4472</t>
  </si>
  <si>
    <t>VIGA NAO APARELHADA *6 X 16* CM, EM MACARANDUBA, ANGELIM OU EQUIVALENTE DA REGIAO -  BRUTA</t>
  </si>
  <si>
    <t>6193</t>
  </si>
  <si>
    <t>TABUA  NAO  APARELHADA  *2,5 X 20* CM, EM MACARANDUBA, ANGELIM OU EQUIVALENTE DA REGIAO - BRUTA</t>
  </si>
  <si>
    <t>21142</t>
  </si>
  <si>
    <t>ESTRIBO COM PARAFUSO EM CHAPA DE FERRO FUNDIDO DE 2" X 3/16" X 35 CM, SECAO "U", PARA MADEIRAMENTO DE TELHADO</t>
  </si>
  <si>
    <t>39027</t>
  </si>
  <si>
    <t>PREGO DE ACO POLIDO COM CABECA 19  X 36 (3 1/4  X  9)</t>
  </si>
  <si>
    <t>40623</t>
  </si>
  <si>
    <t>CHAPA PARA EMENDA DE VIGA, EM ACO GROSSO, QUALIDADE ESTRUTURAL, BITOLA 3/16 ", E= 4,75 MM, 4 FUROS, LARGURA 45 MM, COMPRIMENTO 500 MM</t>
  </si>
  <si>
    <t>PAR</t>
  </si>
  <si>
    <t>88239</t>
  </si>
  <si>
    <t>AJUDANTE DE CARPINTEIRO COM ENCARGOS COMPLEMENTARES</t>
  </si>
  <si>
    <t>88262</t>
  </si>
  <si>
    <t>CARPINTEIRO DE FORMAS COM ENCARGOS COMPLEMENTARES</t>
  </si>
  <si>
    <t>22,30</t>
  </si>
  <si>
    <t>92262</t>
  </si>
  <si>
    <t>INSTALAÇÃO DE TESOURA (INTEIRA OU MEIA), BIAPOIADA, EM MADEIRA NÃO APARELHADA, PARA VÃOS MAIORES OU IGUAIS A 10,0 M E MENORES QUE 12,0 M, INCLUSO IÇAMENTO. AF_07/2019</t>
  </si>
  <si>
    <t>FABRICAÇÃO E INSTALAÇÃO DE TESOURA INTEIRA EM MADEIRA NÃO APARELHADA, VÃO DE 17 M, PARA TELHA CERÂMICA OU DE CONCRETO, INCLUSO IÇAMENTO. AF_07/2019</t>
  </si>
  <si>
    <t xml:space="preserve">Volume escavado descontando-se as estruturas construídas </t>
  </si>
  <si>
    <t>CONSTRUÇÃO DE RAMPA COM CONCRETO FCK 25 MPA</t>
  </si>
  <si>
    <t xml:space="preserve">CONCRETO ARMADO PRONTO, FCK 25 MPA,CONDICAO A
(NBR 12655),LANCADO EM QUALQUER TIPO DE ESTRUTURA
E ADENSADO, INCLUSIVE FORMA, ESCORAMENTO
E FERRAGEM. </t>
  </si>
  <si>
    <t>06.03.143</t>
  </si>
  <si>
    <t>RAMPA 1</t>
  </si>
  <si>
    <t>RAMPA 2</t>
  </si>
  <si>
    <t>ENGENHEIRO CIVIL DE OBRA JUNIOR COM ENCARGOS COMPLEMENTARES</t>
  </si>
  <si>
    <t>MÊS</t>
  </si>
  <si>
    <t>ENCARREGADO GERAL COM ENCARGOS COMPLEMENTARES</t>
  </si>
  <si>
    <t>JOELHO 90 GRAUS, PVC, SERIE NORMAL, ESGOTO PREDIAL, DN 100 MM, JUNTA ELÁSTICA,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</si>
  <si>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</si>
  <si>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</si>
  <si>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INSTALAÇÕES SANITÁRIAS</t>
  </si>
  <si>
    <t>REDUÇÃO EXCÊNTRICA, PVC, P/ ESGOTO PREDIAL DN 100 X 50 MM, JUNTA ELÁSTICA, FORNECIDO E INSTALADO EM RAMAL DE ENCAMINHAMENTO. AF_12/2014</t>
  </si>
  <si>
    <t>I0074</t>
  </si>
  <si>
    <t>ANEL DE BORRACHA P/TUBO PVC 150MM (6'')</t>
  </si>
  <si>
    <t>I5791</t>
  </si>
  <si>
    <t>CAP PVC MACHO REFORÇADO DN 150</t>
  </si>
  <si>
    <t>COMPOSIÇÃO 20</t>
  </si>
  <si>
    <t>TE, PVC, SERIE NORMAL, ESGOTO PREDIAL, DN 150 X 100 MM, JUNTA ELÁSTICA, FORNECIDO E INSTALADO EM RAMAL DE DESCARGA OU RAMAL DE ESGOTO SANITÁRIO. AF_12/2014</t>
  </si>
  <si>
    <t>TE, PVC, SERIE R, 150 X 100 MM, PARA ESGOTO OU AGUAS PLUVIAIS PREDIAIS</t>
  </si>
  <si>
    <t>ANEL BORRACHA PARA TUBO ESGOTO PREDIAL, DN 100 MM (NBR 5688)</t>
  </si>
  <si>
    <t xml:space="preserve"> PEDREIRO COM ENCARGOS COMPLEMENTARES </t>
  </si>
  <si>
    <t>GRAUTEAMENTO DE CINTA SUPERIOR OU DE VERGA EM ALVENARIA ESTRUTURAL. AF_09/2021</t>
  </si>
  <si>
    <t>ARMAÇÃO DE CINTA DE ALVENARIA ESTRUTURAL; DIÂMETRO DE 10,0 MM. AF_09/2021</t>
  </si>
  <si>
    <t>ARMAÇÃO DE LAJE DE UMA ESTRUTURA CONVENCIONAL DE CONCRETO ARMADO EM UMA EDIFICAÇÃO TÉRREA OU SOBRADO UTILIZANDO AÇO CA-60 DE 4,2 MM - MONTAGEM. AF_12/2015</t>
  </si>
  <si>
    <t>CONCRETO FCK = 20MPA, TRAÇO 1:2,7:3 (EM MASSA SECA DE CIMENTO/ AREIA MÉDIA / BRITA 1) - PREPARO MECÂNICO COM BETONEIRA 600 L. AF_05/2021</t>
  </si>
  <si>
    <t>FABRICAÇÃO, MONTAGEM E DESMONTAGEM DE FÔRMA PARA VIGA BALDRAME, EM MADEIRA SERRADA, E=25 MM, 4 UTILIZAÇÕES. AF_06/2017</t>
  </si>
  <si>
    <t>PREPARO DE FUNDO DE VALA COM LARGURA MAIOR OU IGUAL A 1,5 M E MENOR QUE 2,5 M, COM CAMADA DE AREIA, LANÇAMENTO MECANIZADO. AF_08/2020</t>
  </si>
  <si>
    <t>Área externa</t>
  </si>
  <si>
    <t>1.3</t>
  </si>
  <si>
    <t>C2873</t>
  </si>
  <si>
    <t>LOCAÇÃO DA OBRA COM AUXÍLIO TOPOGRÁFICO (ÁREA ATÉ 5000 M2)</t>
  </si>
  <si>
    <t xml:space="preserve">CONCRETO ARMADO PRONTO, FCK 25 MPA,CONDICAO A (NBR 12655), LANCADO EM QUALQUER TIPO DE ESTRUTURA E ADENSADO, INCLUSIVE FORMA, ESCORAMENTO E FERRAGEM. 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</si>
  <si>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</si>
  <si>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>TIJOLO CERAMICO MACICO COMUM *5 X 10 X 20* CM (L X A X C)</t>
  </si>
  <si>
    <t>CONTRAPISO EM ARGAMASSA TRAÇO 1:4 (CIMENTO E AREIA), PREPARO MECÂNICO COM BETONEIRA 400 L, APLICADO EM ÁREAS SECAS SOBRE LAJE, ADERIDO, ACABAMENTO NÃO REFORÇADO, ESPESSURA 2CM. AF_07/2021</t>
  </si>
  <si>
    <t>CONTRAPISO EM ARGAMASSA TRAÇO 1:4 (CIMENTO E AREIA), PREPARO MECÂNICO COM BETONEIRA 400 L, APLICADO EM ÁREAS MOLHADAS SOBRE IMPERMEABILIZAÇÃO, ACABAMENTO NÃO REFORÇADO, ESPESSURA 3CM. AF_07/2021</t>
  </si>
  <si>
    <t>IMPERMEABILIZAÇÃO DE SUPERFÍCIE COM ARGAMASSA POLIMÉRICA / MEMBRANA ACRÍLICA, 3 DEMÃOS. AF_06/2018</t>
  </si>
  <si>
    <t>APLICAÇÃO E LIXAMENTO DE MASSA LÁTEX EM TETO, UMA DEMÃO. AF_06/2014</t>
  </si>
  <si>
    <t>APLICAÇÃO MANUAL DE PINTURA COM TINTA LÁTEX ACRÍLICA EM TETO, DUAS DEMÃOS. AF_06/2014</t>
  </si>
  <si>
    <t>Sala 12 e 13</t>
  </si>
  <si>
    <t>Salas 8 e 9</t>
  </si>
  <si>
    <t xml:space="preserve">Sala de música </t>
  </si>
  <si>
    <t xml:space="preserve">Direção,secretaria, sala dos professores </t>
  </si>
  <si>
    <t>Considerando perimetro da VB 20X40</t>
  </si>
  <si>
    <t>DEMOLIÇÃO DE ALVENARIA DE BLOCO FURADO, DE FORMA MANUAL, SEM REAPROVEITAMENTO. AF_12/20</t>
  </si>
  <si>
    <t>4.6</t>
  </si>
  <si>
    <t>DEMOLIÇÃO DE PILARES E VIGAS EM CONCRETO ARMADO, DE FORMA MANUAL, SEM REAPROVEITAMENTO. AF_12/201</t>
  </si>
  <si>
    <t xml:space="preserve">Vigas </t>
  </si>
  <si>
    <t>5.15</t>
  </si>
  <si>
    <t>5.16</t>
  </si>
  <si>
    <t>5.17</t>
  </si>
  <si>
    <t>C1366</t>
  </si>
  <si>
    <t>FERROLHO DE SOBREPOR OU EMBUTIR PEQUENO</t>
  </si>
  <si>
    <t>DIVISORIA SANITÁRIA, TIPO CABINE, EM GRANITO CINZA POLIDO, ESP = 3CM, ASSENTADO COM ARGAMASSA COLANTE AC III-E, EXCLUSIVE FERRAGENS. AF_01/2021</t>
  </si>
  <si>
    <t>BANHEIRO MASCULINO PROFESSORES</t>
  </si>
  <si>
    <t>BANHEIRO FEMININO PROFESSORES</t>
  </si>
  <si>
    <t>BANHEIRO MASCULINO ALUNOS</t>
  </si>
  <si>
    <t>BANHEIRO FEMININO ALUNOS</t>
  </si>
  <si>
    <t>BANHEIRO MASCULINO INFANTIL</t>
  </si>
  <si>
    <t>BANHEIRO FEMININO INFANTIL</t>
  </si>
  <si>
    <t>C0357</t>
  </si>
  <si>
    <t>BANCADA DE GRANITO (OUTRAS CORES) E= 3cm (COLOCADO)</t>
  </si>
  <si>
    <t>SABONETEIRA DE PAREDE EM METAL CROMADO, INCLUSO FIXAÇÃO. AF_01/2020</t>
  </si>
  <si>
    <t>SABONETEIRA PLASTICA TIPO DISPENSER PARA SABONETE LIQUIDO COM RESERVATORIO 800 A 1500 ML, INCLUSO FIXAÇÃO. AF_01/2020</t>
  </si>
  <si>
    <t>BARRA DE APOIO RETA, EM ACO INOX POLIDO, COMPRIMENTO 70 CM, FIXADA NA PAREDE - FORNECIMENTO E INSTALAÇÃO. AF_01/2020</t>
  </si>
  <si>
    <t>PUXADOR PARA PCD, FIXADO NA PORTA - FORNECIMENTO E INSTALAÇÃO. AF_01/2020</t>
  </si>
  <si>
    <t>C2172</t>
  </si>
  <si>
    <t>REGISTRO DE PRESSÃO C/CANOPLA CROMADA D= 20mm (3/4")</t>
  </si>
  <si>
    <t xml:space="preserve">C4670 </t>
  </si>
  <si>
    <t>PORTA PAPEL METÁLICO</t>
  </si>
  <si>
    <t>C4825</t>
  </si>
  <si>
    <t>PORTA PAPEL TOALHA (DISPENSER)EM ABS</t>
  </si>
  <si>
    <t>C4835</t>
  </si>
  <si>
    <t>ESPELHO CRISTAL, ESPESSURA 4MM, COM PARAFUSOS DE FIXAÇÃO, SEM MOLDURA</t>
  </si>
  <si>
    <t xml:space="preserve">C0925 </t>
  </si>
  <si>
    <t>CORRIMÃO EM TUBO GALVANIZADO DE 2" (FORNECIMENTO E MONTAGEM)</t>
  </si>
  <si>
    <t>RAMPA 3</t>
  </si>
  <si>
    <t>RAMPA 4</t>
  </si>
  <si>
    <t>FORRO EM PLACAS DE GESSO, PARA AMBIENTES COMERCIAIS.</t>
  </si>
  <si>
    <t>WC Acessível infantil masculino</t>
  </si>
  <si>
    <t>WC Acessível infantil feminino</t>
  </si>
  <si>
    <t>WC Acessível masculino</t>
  </si>
  <si>
    <t>WC Acessível feminino</t>
  </si>
  <si>
    <t xml:space="preserve">C2095 </t>
  </si>
  <si>
    <t>RASGO EM ALVENARIA P/TUBULAÇÕES D=15 A 25mm (1/2" A 1")</t>
  </si>
  <si>
    <t xml:space="preserve">C2097 </t>
  </si>
  <si>
    <t>RASGO EM ALVENARIA P/TUBULAÇÕES D=65 A 100mm (2 1/2" A 4")</t>
  </si>
  <si>
    <t>C3653</t>
  </si>
  <si>
    <t>ADAPTADOR PVC P/ REGISTRO 25mm (3/4")</t>
  </si>
  <si>
    <t>C3656</t>
  </si>
  <si>
    <t>ADAPTADOR PVC P/ REGISTRO 50mm (1 1/2")</t>
  </si>
  <si>
    <t>C1526</t>
  </si>
  <si>
    <t>JOELHO 90 PVC SOLD./ROSCA. D= 25mmX3/4"</t>
  </si>
  <si>
    <t>C2381</t>
  </si>
  <si>
    <t>TÊ PVC SOLD. MARROM D= 25mm (3/4")</t>
  </si>
  <si>
    <t>C1729</t>
  </si>
  <si>
    <t>LUVA PVC SOLD. MARROM D= 25mm (3/4")</t>
  </si>
  <si>
    <t>RESUMO DO ORÇAMENTO</t>
  </si>
  <si>
    <t>DESCRIÇÃO DOS SERVIÇOS</t>
  </si>
  <si>
    <t>VALOR TOTAL (R$)</t>
  </si>
  <si>
    <t>REPRESEN-
TATIVIDADE</t>
  </si>
  <si>
    <t>TOTAL GLOBAL</t>
  </si>
  <si>
    <t>4.2.3</t>
  </si>
  <si>
    <t xml:space="preserve">TRAMA DE MADEIRA COMPOSTA POR RIPAS, CAIBROS E TERÇAS PARA TELHADOS DE ATÉ 2 ÁGUAS PARA TELHA CERÂMICA CAPA-CANAL, INCLUSO TRANSPORTE VERTICAL. </t>
  </si>
  <si>
    <t>CRONOGRAMA FÍSICO FINANCEIRO</t>
  </si>
  <si>
    <t>ETAPA</t>
  </si>
  <si>
    <t>SERVIÇO</t>
  </si>
  <si>
    <t>TOTAL ETAPA (R$)</t>
  </si>
  <si>
    <t>MÊS/ DESEMBOLSO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</si>
  <si>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</si>
  <si>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</si>
  <si>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</si>
  <si>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</si>
  <si>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</si>
  <si>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</si>
  <si>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</si>
  <si>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</si>
  <si>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</si>
  <si>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</si>
  <si>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</si>
  <si>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</si>
  <si>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TOTAIS PARCIAIS</t>
  </si>
  <si>
    <t>TOTAIS ACUMULADOS</t>
  </si>
  <si>
    <t>TOTAL GERAL</t>
  </si>
  <si>
    <t>MEDIA MENSAL</t>
  </si>
  <si>
    <t>OBRA: REFORMA E AMPLIAÇÃO DA ESCOLA MUNICIPAL OTAVIANO BASÍLIO DO REGO</t>
  </si>
  <si>
    <t>DATA: MARÇO/2022</t>
  </si>
  <si>
    <t>TANQUE SÉPTICO RETANGULAR, EM ALVENARIA COM TIJOLOS CERÂMICOS MACIÇOS, DIMENSÕES INTERNAS: 2,8 X 5,30 X 2,8 M,  LAJE DE FUNDO COM 20CM E LAJE DE TAMPA COM 20CM.</t>
  </si>
  <si>
    <t>I2391</t>
  </si>
  <si>
    <t>PEDREIRO</t>
  </si>
  <si>
    <t>I2543</t>
  </si>
  <si>
    <t>SERVENTE</t>
  </si>
  <si>
    <t>I0184</t>
  </si>
  <si>
    <t>BANCADA DE GRANITO C/ L=0,60m E E=0,03m</t>
  </si>
  <si>
    <t>I0916</t>
  </si>
  <si>
    <t>CUBA DE LOUÇA BRANCA DE EMBUTIR</t>
  </si>
  <si>
    <t>I1513</t>
  </si>
  <si>
    <t>MASSA CORRIDA A BASE DE PVA</t>
  </si>
  <si>
    <t>I1861</t>
  </si>
  <si>
    <t xml:space="preserve">SIFÃO CROMADO 1 1/4"X1 1/2" </t>
  </si>
  <si>
    <t>I2271</t>
  </si>
  <si>
    <t>VÁLVULA DE METAL 1 1/4"</t>
  </si>
  <si>
    <t xml:space="preserve">C0170 </t>
  </si>
  <si>
    <t>ARGAMASSA DE CIMENTO E AREIA S/PEN. TRAÇO 1:3</t>
  </si>
  <si>
    <t>TORNEIRA CROMADA TUBO MÓVEL, DE MESA, 1/2 OU 3/4, PARA PIA DE COZINHA, PADRÃO ALTO - FORNECIMENTO E INSTALAÇÃO. AF_01/2020</t>
  </si>
  <si>
    <t>BANCADA EM GRANITO P/ LAVATÓRIO, INCL. 2 LOUÇAS BRANCAS E ACESSÓRIOS</t>
  </si>
  <si>
    <t>BANCADA EM GRANITO P/ LAVATÓRIO, INCL. 3 LOUÇAS BRANCAS E ACESSÓRIOS</t>
  </si>
  <si>
    <t>11.31</t>
  </si>
  <si>
    <t xml:space="preserve">15.02.100 </t>
  </si>
  <si>
    <t>SOLEIRA DE GRANITO NATURAL POLIDO CINZA ANDO RINHA, ASSENTADA COM ARGAMASSA MISTA DE CIMENTO, CAL HIDRATADA E AREIA TRACO 1:1:4, LARGU RA DE 15CM E ESPESSURA DE 2CM</t>
  </si>
  <si>
    <t xml:space="preserve">15.02.060 </t>
  </si>
  <si>
    <t>FORNECIMENTO DE BALCAO EM GRANITO NATURAL PO LIDO CINZA ANDORINHA, COM 2CM DE ESPESSURA, INCLUSIVE CORTE PARA DUAS CUBAS, TRANSPORTE, MONTAGEM E ASSENTAMENTO.</t>
  </si>
  <si>
    <t>CUBA DE EMBUTIR RETANGULAR DE AÇO INOXIDÁVEL, 56 X 33 X 12 CM - FORNECIMENTO E INSTALAÇÃO. AF_01/2020</t>
  </si>
  <si>
    <t>Bancadas da cozinha</t>
  </si>
  <si>
    <t>TORNEIRA CROMADA TUBO MÓVEL, DE PAREDE, 1/2 OU 3/4, PARA PIA DE COZINHA, PADRÃO MÉDIO - FORNECIMENTO E INSTALAÇÃO. AF_01/2020</t>
  </si>
  <si>
    <t>C2166</t>
  </si>
  <si>
    <t>REGISTRO DE GAVETA C/CANOPLA CROMADA D= 20mm (3/4")</t>
  </si>
  <si>
    <t>COZINHA</t>
  </si>
  <si>
    <t>BANHEIROS</t>
  </si>
  <si>
    <t>C2169</t>
  </si>
  <si>
    <t>REGISTRO DE GAVETA C/CANOPLA CROMADA D= 40mm (1 1/2")</t>
  </si>
  <si>
    <t>BANHEIROS PROFESSORES</t>
  </si>
  <si>
    <t>MEMORIAL DE CÁLCULO - REFORMA E AMPLIAÇÃO DA ESCOLA MUNICIPAL OTAVIANO BASÍLIO DO REGO</t>
  </si>
  <si>
    <t>COMPOSIÇÃO ANALÍTICA - REFORMA E AMPLIAÇÃO DA ESCOLA MUNICIPAL OTAVIANO BASÍLIO DO REGO</t>
  </si>
  <si>
    <t>C0074</t>
  </si>
  <si>
    <t xml:space="preserve">C0073 </t>
  </si>
  <si>
    <t xml:space="preserve">ALVENARIA DE TIJOLO CERÂMICO FURADO (9x19x19)cm C/ARGAMASSA MISTA DE CAL HIDRATADA ESP=20 cm </t>
  </si>
  <si>
    <t xml:space="preserve">ALVENARIA DE TIJOLO CERÂMICO FURADO (9x19x19)cm C/ARGAMASSA MISTA DE CAL HIDRATADA ESP.=10cm (1:2:8) </t>
  </si>
  <si>
    <t xml:space="preserve">Pilares </t>
  </si>
  <si>
    <t>13.03.070</t>
  </si>
  <si>
    <t>PISO EM LENCOL DE GRANITO ARTIFICIAL ( MAR MORITE ) COM JUNTAS DE VIDRO, FORMANDO QUA DROS DE 1,0 X 1,0 M, NA COR CINZA.</t>
  </si>
  <si>
    <t>C4913</t>
  </si>
  <si>
    <t>6.7</t>
  </si>
  <si>
    <t>REMOÇÃO DE PINTURA LÁTEX (RASPAGEM E/OU LIXAMENTO E/OU
ESCOVAÇÃO)</t>
  </si>
  <si>
    <t>C0776</t>
  </si>
  <si>
    <t>20% da área de pintura</t>
  </si>
  <si>
    <t>PORTA DE ALUMÍNIO DE ABRIR COM LAMBRI, COM GUARNIÇÃO, FIXAÇÃO COM PARAFUSOS - FORNECIMENTO E INSTALAÇÃO. AF_12/2019</t>
  </si>
  <si>
    <t>BICICLETÁRIO (FORNECIMENTO E INSTALAÇÃO)</t>
  </si>
  <si>
    <t>7.3</t>
  </si>
  <si>
    <t>SUPERESTRUTURA</t>
  </si>
  <si>
    <t>C2210</t>
  </si>
  <si>
    <t>RETIRADA DE PORTAS E JANELAS, INCLUSIVE BATENTES</t>
  </si>
  <si>
    <t>5.18</t>
  </si>
  <si>
    <t>Banheiros dos professores feminino e masculino</t>
  </si>
  <si>
    <t>Banheiros alunos</t>
  </si>
  <si>
    <t>11.32</t>
  </si>
  <si>
    <t xml:space="preserve">REMOÇÃO DE LOUÇAS, DE FORMA MANUAL, SEM REAPROVEITAMENTO. AF_12/2017 </t>
  </si>
  <si>
    <t>Banheiros</t>
  </si>
  <si>
    <t>2.14</t>
  </si>
  <si>
    <t>3.8</t>
  </si>
  <si>
    <t>3.9</t>
  </si>
  <si>
    <t>6.8</t>
  </si>
  <si>
    <t>6.9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</si>
  <si>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</si>
  <si>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</si>
  <si>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</si>
  <si>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</si>
  <si>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</si>
  <si>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</si>
  <si>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</si>
  <si>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</si>
  <si>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</si>
  <si>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</si>
  <si>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</si>
  <si>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</si>
  <si>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</si>
  <si>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</si>
  <si>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</si>
  <si>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</si>
  <si>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</si>
  <si>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</si>
  <si>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Reservatório inferior</t>
  </si>
  <si>
    <t>Laje de fundo do Reservatório inferior</t>
  </si>
  <si>
    <t>Acima da laje de fundo do Reservatório inferior</t>
  </si>
  <si>
    <t>Salas de aula</t>
  </si>
  <si>
    <t>PINTURA TINTA DE ACABAMENTO (PIGMENTADA) A ÓLEO EM MADEIRA, 2 DEMÃOS. AF_01/2021</t>
  </si>
  <si>
    <t>6.10</t>
  </si>
  <si>
    <t>6.11</t>
  </si>
  <si>
    <t>LIXAMENTO DE MADEIRA PARA APLICAÇÃO DE FUNDO OU PINTURA. AF_01/2021</t>
  </si>
  <si>
    <t>RECUPERAÇÃO ESTRUTURAL</t>
  </si>
  <si>
    <t>C0094</t>
  </si>
  <si>
    <t>APICOAMENTO EM CONCRETO/PREPARO DA SUPERFÍCIE</t>
  </si>
  <si>
    <t>m²</t>
  </si>
  <si>
    <t>C3095</t>
  </si>
  <si>
    <t>LIMPEZA DE SUPERFÍCIE C/ ESCOVA DE AÇO</t>
  </si>
  <si>
    <t>C2900</t>
  </si>
  <si>
    <t>PINTURA PROTEÇÃO C/INIBIDOR MIGRATÓRIO CORROSÃO, 3 DEMÃOS</t>
  </si>
  <si>
    <t>C4740</t>
  </si>
  <si>
    <t>RECUPERAÇÃO CONCRETO, S/REFORÇO RECONSTITUIÇÃO C/ ARGAMASSA M2 POLIMÉRICA ESP.=25MM</t>
  </si>
  <si>
    <t>C0005</t>
  </si>
  <si>
    <t>ACABAMENTO DE PEDREIRO</t>
  </si>
  <si>
    <t>13.1</t>
  </si>
  <si>
    <t>13.2</t>
  </si>
  <si>
    <t>13.3</t>
  </si>
  <si>
    <t>13.4</t>
  </si>
  <si>
    <t>Escorrego</t>
  </si>
  <si>
    <t>Casa de bombas</t>
  </si>
  <si>
    <t>Parte superior das portas de altura de 2,70m (para tornar as portas 2,10m)</t>
  </si>
  <si>
    <t>14.0</t>
  </si>
  <si>
    <t>14.1</t>
  </si>
  <si>
    <t>Banheiros (portas de entrada)</t>
  </si>
  <si>
    <t>Grade do corredor</t>
  </si>
  <si>
    <t>Grade da biblioteca</t>
  </si>
  <si>
    <t>C3040</t>
  </si>
  <si>
    <t>5.19</t>
  </si>
  <si>
    <t>RETIRADA DE GRADE DE FERRO</t>
  </si>
  <si>
    <t>3.10</t>
  </si>
  <si>
    <t>Mesas da área externa</t>
  </si>
  <si>
    <t>Bancos das mesas da área externa</t>
  </si>
  <si>
    <t>Sala 04 (fechamento de cobogós)</t>
  </si>
  <si>
    <t>Sala 03 (fechamento de cobogós)</t>
  </si>
  <si>
    <t>Sala 02 (fechamento de cobogós)</t>
  </si>
  <si>
    <t>Sala 01 (fechamento de cobogós)</t>
  </si>
  <si>
    <t>Sala 06 (fechamento de cobogós)</t>
  </si>
  <si>
    <t>Sala 07 (fechamento de cobogós)</t>
  </si>
  <si>
    <t>Sala 10 (fechamento de cobogós)</t>
  </si>
  <si>
    <t>Sala 11 (fechamento de cobogós)</t>
  </si>
  <si>
    <t>Sala 14 (fechamento de cobogós)</t>
  </si>
  <si>
    <t>Sala 15 (fechamento de cobogós)</t>
  </si>
  <si>
    <t>PLAYGROUND DE EUCALIPTO COMPLETO: CASINHA SUSPENSA, 1 BALANÇO DUPLO, 1 ESCORREGADOR, 2 GANGORRAS TRIPLAS, 4 MESAS PICNIC, 10 BANCOS, 8 LIXEIRAS</t>
  </si>
  <si>
    <t>04.386.891/0001-17</t>
  </si>
  <si>
    <t>Ana Madeiras Ltda</t>
  </si>
  <si>
    <t>Banheiro professores</t>
  </si>
  <si>
    <t>Banheiro alunos</t>
  </si>
  <si>
    <t>Banheiro professores + armários e despensa</t>
  </si>
  <si>
    <t>Viga baldrame (0,20*x0,3)- Viga baldrame e Cinta</t>
  </si>
  <si>
    <t>LAJE 1 (Biblioteca, Diretoria, Secretaria, Coordenação, Sala dos professores e a parte do corredor em frente a essas salas)</t>
  </si>
  <si>
    <t>LAJE 3 (salas 08 e 09)</t>
  </si>
  <si>
    <t>BLOCO 6 (Salas 5, 6 e 7)</t>
  </si>
  <si>
    <t>BLOCO 3 (Banheiro alunos)</t>
  </si>
  <si>
    <t>BLOCO 9 (Salas 1 e 2)</t>
  </si>
  <si>
    <t>Banheiros alunos infantis</t>
  </si>
  <si>
    <t>LAJE 4 (Banheiro professores)</t>
  </si>
  <si>
    <t>LAJE 2 (salas 12 e 13)</t>
  </si>
  <si>
    <t>BLOCO 3 (Salas 5, 6 e 7)</t>
  </si>
  <si>
    <t>BLOCO 4 (Biblioteca, Diretoria, Secretaria, Coordenação, Sala dos professores e a parte do corredor em frente a essas salas)</t>
  </si>
  <si>
    <t>BLOCO 5 (Área do palco)</t>
  </si>
  <si>
    <t>BLOCO 6 (Banheiro alunos)</t>
  </si>
  <si>
    <t>BLOCO 9 (salas 1 e 2)</t>
  </si>
  <si>
    <t>BLOCO 7 (Cozinha e despensa)</t>
  </si>
  <si>
    <t>BLOCO 1 (Salas 14 e 15)</t>
  </si>
  <si>
    <t>BLOCO 2 (Salas 10 e 11)</t>
  </si>
  <si>
    <t>BLOCO 8 (Salas 3 e 4)</t>
  </si>
  <si>
    <t>BLOCO 10 (salas 12 e 13)</t>
  </si>
  <si>
    <t>BLOCO 11 (salas 08 e 09)</t>
  </si>
  <si>
    <t>BLOCO 12 (Banheiro professores, armários e DML)</t>
  </si>
  <si>
    <t>A1 Toys Serviços Administrativos e Comércio</t>
  </si>
  <si>
    <t>09.585.656/0001-98</t>
  </si>
  <si>
    <t>69.890.267/0001-06</t>
  </si>
  <si>
    <t>Brinkelandia parques infantis</t>
  </si>
  <si>
    <t>COMPOSIÇÃO 25</t>
  </si>
  <si>
    <t>CIMENTO PORTLAND COMUM</t>
  </si>
  <si>
    <t>AREIA GROSSA</t>
  </si>
  <si>
    <t>BRITA 25MM</t>
  </si>
  <si>
    <t>ARAME RECOZIDO 18BWG</t>
  </si>
  <si>
    <t xml:space="preserve">PREGO 2 1/2" X 10" </t>
  </si>
  <si>
    <t>TABUA DE LOURO ROSA 1X12 POL.</t>
  </si>
  <si>
    <t>SARRAFO DE LOURO ROSA 1X4 POL</t>
  </si>
  <si>
    <t xml:space="preserve"> ESTRONCA (ALTURA MINIMA 3 M)</t>
  </si>
  <si>
    <t>PEDREIRO DIURNO COM ENCARGOS COMPLEMENTARES</t>
  </si>
  <si>
    <t>CARPINTEIRO DIURNO COM ENCARGOS COMPLEMENTA</t>
  </si>
  <si>
    <t xml:space="preserve"> FERREIRO DIURNO COM ENCARGOS COMPLEMENTARES</t>
  </si>
  <si>
    <t>SERVENTE DIURNO COM ENCARGOS COMPLEMENTARES</t>
  </si>
  <si>
    <t xml:space="preserve"> AJUDANTE DIURNO COM ENCARGOS COMPLEMENTARES</t>
  </si>
  <si>
    <t xml:space="preserve"> BETONEIRA COM CAPACIDADE DE 320 L.(COM M.O.)</t>
  </si>
  <si>
    <t>ACO CA-50, 12,5 MM OU 16,0 MM, VERGALHAO</t>
  </si>
  <si>
    <t xml:space="preserve">ACO CA-50, 8,0 MM, VERGALHAO </t>
  </si>
  <si>
    <t>SINAPI-I</t>
  </si>
  <si>
    <t>ACO CA-60, 4,2 MM, OU 5,0 MM, OU 6,0 MM, OU 7,0 MM, VERGALHAO</t>
  </si>
  <si>
    <t>CONCRETO ARMADO PRONTO, FCK 30 MPA,CONDICAO A
(NBR 12655), LANCADO EM VIGAS E ADENSADO, INCLUSIVE FORMA, ESCORAMENTO E FERRAGEM (AÇO CA-50 12.5MM)</t>
  </si>
  <si>
    <t>LASTRO DE CONCRETO MAGRO, APLICADO EM PISOS, LAJES SOBRE SOLO OU RADIERS. AF_08/2017</t>
  </si>
  <si>
    <t>Sapatas</t>
  </si>
  <si>
    <t>Alvenaria de embasamento</t>
  </si>
  <si>
    <t xml:space="preserve">Biblioteca (INTERNA) </t>
  </si>
  <si>
    <t>COMPOSIÇÃO 26</t>
  </si>
  <si>
    <t>Considerando Sapatas quadradas 0,6x0,6</t>
  </si>
  <si>
    <t>SAPATAS (volume de 0,245 m3 para sapatas 0,6x0,6 com h0 30 cm)</t>
  </si>
  <si>
    <t>DATA: MARÇO/2022 - SINAPI 02/2022; EMLURB JUL/2018; SEINFRA MAR/2021 - NÃO DESONERADO</t>
  </si>
  <si>
    <t>FONTES DE PREÇOS: EMLURB 2018 / SINAPI FEVEREIRO-2022 / SEINFRA 027 MARÇO-2021 - SEM DESONERAÇÃO (BDI = 20,84%)</t>
  </si>
  <si>
    <t>SINAPI 02/2022; EMLURB JUL/2018; SEINFRA MAR/2021 - NÃO DESONERADO</t>
  </si>
  <si>
    <t>Platibanda</t>
  </si>
  <si>
    <t>2.15</t>
  </si>
  <si>
    <t xml:space="preserve">08.04.035 </t>
  </si>
  <si>
    <t xml:space="preserve">IMPERMEABILIZACAO DE LAJES, SUB-SOLOS, JARDI NEIRAS, RESERVATORIOS E CANAIS DE IRRIGACAO COM MANTA ASFALTICA ESP.4 MM, APLICADA COM MACARICO, PINTADO COM PRIMER, INCLUINDO PROTECAO MECANICA, MATERIAL E MAO DE OBRA. </t>
  </si>
  <si>
    <t>UM MILHÃO, SETECENTOS E SESSENTA MIL, TREZENTOS E SETENTA E UM REAIS E NOVENTA E SEIS CENTAVOS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</si>
</sst>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&quot;\ #,##0.00"/>
    <numFmt numFmtId="167" formatCode="0.000"/>
    <numFmt numFmtId="168" formatCode="0000"/>
    <numFmt numFmtId="169" formatCode="_(* #,##0.00_);_(* \(#,##0.00\);_(* \-??_);_(@_)"/>
    <numFmt numFmtId="170" formatCode="_ &quot;R$&quot;\ * #,##0.00_ ;_ &quot;R$&quot;\ * \-#,##0.00_ ;_ &quot;R$&quot;\ * &quot;-&quot;??_ ;_ @_ "/>
    <numFmt numFmtId="171" formatCode="_ * #,##0.00_ ;_ * \-#,##0.00_ ;_ * &quot;-&quot;??_ ;_ @_ "/>
    <numFmt numFmtId="172" formatCode="#,##0.00_ ;[Red]\-#,##0.00\ "/>
    <numFmt numFmtId="173" formatCode="_(* #,##0.0000_);_(* \(#,##0.0000\);_(* &quot;-&quot;??_);_(@_)"/>
    <numFmt numFmtId="174" formatCode="0.0000"/>
    <numFmt numFmtId="175" formatCode="0.0%"/>
    <numFmt numFmtId="176" formatCode="0.000000"/>
    <numFmt numFmtId="177" formatCode="0.000000000%"/>
    <numFmt numFmtId="178" formatCode="0.000000000000%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4"/>
      <name val="Calibri"/>
      <family val="2"/>
    </font>
    <font>
      <sz val="9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0"/>
      <color rgb="FFFF0000"/>
      <name val="Arial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u/>
      <sz val="8"/>
      <color theme="1"/>
      <name val="Arial"/>
      <family val="2"/>
    </font>
    <font>
      <sz val="8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11"/>
      <name val="Times New Roman"/>
      <family val="1"/>
    </font>
    <font>
      <b/>
      <sz val="11"/>
      <name val="Times New Roman"/>
      <family val="1"/>
    </font>
    <font>
      <sz val="8"/>
      <color rgb="FF00000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15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8"/>
      <color rgb="FF000000"/>
      <name val="ArialMT"/>
    </font>
    <font>
      <sz val="10"/>
      <name val="Courier New"/>
      <family val="3"/>
    </font>
    <font>
      <sz val="14"/>
      <name val="Arial"/>
      <family val="2"/>
    </font>
    <font>
      <b/>
      <sz val="8"/>
      <color rgb="FFFF0000"/>
      <name val="Arial"/>
      <family val="2"/>
    </font>
    <font>
      <b/>
      <sz val="8"/>
      <name val="Calibri"/>
      <family val="2"/>
      <scheme val="minor"/>
    </font>
    <font>
      <i/>
      <sz val="9"/>
      <name val="Arial"/>
      <family val="2"/>
    </font>
    <font>
      <b/>
      <sz val="8"/>
      <color theme="1"/>
      <name val="Arial"/>
      <family val="2"/>
    </font>
    <font>
      <sz val="11"/>
      <color rgb="FF202124"/>
      <name val="Arial"/>
      <family val="2"/>
    </font>
    <font>
      <b/>
      <sz val="12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hair">
        <color indexed="64"/>
      </bottom>
      <diagonal/>
    </border>
  </borders>
  <cellStyleXfs count="106">
    <xf numFmtId="0" fontId="0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9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4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2" fillId="0" borderId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3" fillId="0" borderId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</cellStyleXfs>
  <cellXfs count="483">
    <xf numFmtId="0" fontId="0" fillId="0" borderId="0" xfId="0"/>
    <xf numFmtId="0" fontId="12" fillId="0" borderId="0" xfId="0" applyFont="1"/>
    <xf numFmtId="4" fontId="3" fillId="0" borderId="5" xfId="8" applyNumberFormat="1" applyFont="1" applyFill="1" applyBorder="1" applyAlignment="1">
      <alignment horizontal="center" vertical="center"/>
    </xf>
    <xf numFmtId="0" fontId="2" fillId="0" borderId="0" xfId="0" applyFont="1"/>
    <xf numFmtId="0" fontId="12" fillId="3" borderId="0" xfId="0" applyFont="1" applyFill="1"/>
    <xf numFmtId="0" fontId="0" fillId="3" borderId="0" xfId="0" applyFill="1"/>
    <xf numFmtId="0" fontId="9" fillId="3" borderId="5" xfId="4" applyFont="1" applyFill="1" applyBorder="1" applyAlignment="1">
      <alignment horizontal="center" vertical="center" wrapText="1"/>
    </xf>
    <xf numFmtId="4" fontId="12" fillId="0" borderId="0" xfId="0" applyNumberFormat="1" applyFont="1"/>
    <xf numFmtId="44" fontId="0" fillId="0" borderId="0" xfId="27" applyFont="1"/>
    <xf numFmtId="44" fontId="0" fillId="3" borderId="0" xfId="27" applyFont="1" applyFill="1"/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24" fillId="5" borderId="5" xfId="0" applyFont="1" applyFill="1" applyBorder="1"/>
    <xf numFmtId="0" fontId="24" fillId="5" borderId="5" xfId="0" applyFont="1" applyFill="1" applyBorder="1" applyAlignment="1">
      <alignment horizontal="center"/>
    </xf>
    <xf numFmtId="0" fontId="23" fillId="0" borderId="5" xfId="0" applyFont="1" applyBorder="1" applyAlignment="1">
      <alignment horizontal="left"/>
    </xf>
    <xf numFmtId="0" fontId="24" fillId="0" borderId="9" xfId="0" applyFont="1" applyBorder="1"/>
    <xf numFmtId="0" fontId="24" fillId="0" borderId="9" xfId="0" applyFont="1" applyBorder="1" applyAlignment="1">
      <alignment horizontal="center"/>
    </xf>
    <xf numFmtId="0" fontId="24" fillId="0" borderId="5" xfId="0" applyFont="1" applyBorder="1"/>
    <xf numFmtId="0" fontId="24" fillId="0" borderId="5" xfId="0" applyFont="1" applyBorder="1" applyAlignment="1">
      <alignment horizontal="center"/>
    </xf>
    <xf numFmtId="10" fontId="13" fillId="4" borderId="5" xfId="28" applyNumberFormat="1" applyFont="1" applyFill="1" applyBorder="1" applyAlignment="1">
      <alignment horizontal="center"/>
    </xf>
    <xf numFmtId="0" fontId="17" fillId="0" borderId="5" xfId="0" applyFont="1" applyBorder="1"/>
    <xf numFmtId="2" fontId="22" fillId="0" borderId="5" xfId="0" applyNumberFormat="1" applyFont="1" applyBorder="1" applyAlignment="1">
      <alignment horizontal="center"/>
    </xf>
    <xf numFmtId="10" fontId="22" fillId="0" borderId="5" xfId="28" applyNumberFormat="1" applyFont="1" applyBorder="1" applyAlignment="1">
      <alignment horizontal="center"/>
    </xf>
    <xf numFmtId="0" fontId="24" fillId="0" borderId="5" xfId="29" applyFont="1" applyBorder="1"/>
    <xf numFmtId="0" fontId="24" fillId="0" borderId="5" xfId="29" applyFont="1" applyBorder="1" applyAlignment="1">
      <alignment horizontal="center"/>
    </xf>
    <xf numFmtId="10" fontId="13" fillId="4" borderId="5" xfId="30" applyNumberFormat="1" applyFont="1" applyFill="1" applyBorder="1" applyAlignment="1">
      <alignment horizontal="center"/>
    </xf>
    <xf numFmtId="10" fontId="13" fillId="0" borderId="5" xfId="28" applyNumberFormat="1" applyFont="1" applyBorder="1" applyAlignment="1">
      <alignment horizontal="center"/>
    </xf>
    <xf numFmtId="167" fontId="25" fillId="0" borderId="0" xfId="0" applyNumberFormat="1" applyFont="1" applyAlignment="1">
      <alignment horizontal="left"/>
    </xf>
    <xf numFmtId="10" fontId="13" fillId="0" borderId="9" xfId="28" applyNumberFormat="1" applyFont="1" applyFill="1" applyBorder="1" applyAlignment="1">
      <alignment horizontal="center"/>
    </xf>
    <xf numFmtId="0" fontId="24" fillId="5" borderId="7" xfId="0" applyFont="1" applyFill="1" applyBorder="1"/>
    <xf numFmtId="0" fontId="26" fillId="5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/>
    <xf numFmtId="0" fontId="26" fillId="0" borderId="18" xfId="0" applyFont="1" applyBorder="1"/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0" xfId="0" applyFont="1"/>
    <xf numFmtId="0" fontId="26" fillId="0" borderId="21" xfId="0" applyFont="1" applyBorder="1"/>
    <xf numFmtId="0" fontId="26" fillId="0" borderId="0" xfId="0" applyFont="1" applyAlignment="1">
      <alignment horizontal="center"/>
    </xf>
    <xf numFmtId="0" fontId="26" fillId="0" borderId="22" xfId="0" applyFont="1" applyBorder="1" applyAlignment="1">
      <alignment horizontal="center"/>
    </xf>
    <xf numFmtId="0" fontId="26" fillId="0" borderId="23" xfId="0" applyFont="1" applyBorder="1"/>
    <xf numFmtId="0" fontId="26" fillId="0" borderId="24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24" fillId="0" borderId="0" xfId="0" applyFont="1"/>
    <xf numFmtId="0" fontId="26" fillId="0" borderId="0" xfId="31" applyFont="1"/>
    <xf numFmtId="49" fontId="0" fillId="0" borderId="0" xfId="27" applyNumberFormat="1" applyFont="1"/>
    <xf numFmtId="4" fontId="3" fillId="4" borderId="5" xfId="8" applyNumberFormat="1" applyFont="1" applyFill="1" applyBorder="1" applyAlignment="1">
      <alignment horizontal="center"/>
    </xf>
    <xf numFmtId="0" fontId="0" fillId="4" borderId="0" xfId="0" applyFill="1"/>
    <xf numFmtId="0" fontId="9" fillId="4" borderId="5" xfId="8" applyFont="1" applyFill="1" applyBorder="1" applyAlignment="1">
      <alignment horizontal="center" vertical="center"/>
    </xf>
    <xf numFmtId="0" fontId="9" fillId="4" borderId="5" xfId="8" applyFont="1" applyFill="1" applyBorder="1" applyAlignment="1">
      <alignment horizontal="center"/>
    </xf>
    <xf numFmtId="4" fontId="9" fillId="4" borderId="5" xfId="8" applyNumberFormat="1" applyFont="1" applyFill="1" applyBorder="1" applyAlignment="1">
      <alignment horizontal="center"/>
    </xf>
    <xf numFmtId="0" fontId="3" fillId="0" borderId="5" xfId="8" applyFont="1" applyFill="1" applyBorder="1" applyAlignment="1">
      <alignment horizontal="center" vertical="center"/>
    </xf>
    <xf numFmtId="0" fontId="33" fillId="0" borderId="5" xfId="0" applyFont="1" applyFill="1" applyBorder="1"/>
    <xf numFmtId="0" fontId="33" fillId="0" borderId="5" xfId="0" applyFont="1" applyFill="1" applyBorder="1" applyAlignment="1">
      <alignment horizontal="center" vertical="center"/>
    </xf>
    <xf numFmtId="0" fontId="9" fillId="4" borderId="5" xfId="8" applyFont="1" applyFill="1" applyBorder="1" applyAlignment="1">
      <alignment horizontal="left" vertical="center"/>
    </xf>
    <xf numFmtId="4" fontId="9" fillId="0" borderId="5" xfId="8" applyNumberFormat="1" applyFont="1" applyFill="1" applyBorder="1" applyAlignment="1">
      <alignment horizontal="center" wrapText="1"/>
    </xf>
    <xf numFmtId="4" fontId="9" fillId="0" borderId="5" xfId="8" applyNumberFormat="1" applyFont="1" applyFill="1" applyBorder="1" applyAlignment="1">
      <alignment horizontal="center" vertical="center"/>
    </xf>
    <xf numFmtId="0" fontId="34" fillId="4" borderId="0" xfId="0" applyFont="1" applyFill="1"/>
    <xf numFmtId="44" fontId="33" fillId="4" borderId="0" xfId="27" applyFont="1" applyFill="1"/>
    <xf numFmtId="0" fontId="33" fillId="4" borderId="0" xfId="0" applyFont="1" applyFill="1"/>
    <xf numFmtId="0" fontId="33" fillId="4" borderId="0" xfId="0" applyFont="1" applyFill="1" applyAlignment="1">
      <alignment horizontal="center" vertical="center"/>
    </xf>
    <xf numFmtId="0" fontId="36" fillId="0" borderId="5" xfId="0" applyFont="1" applyBorder="1" applyAlignment="1">
      <alignment horizontal="center" vertical="center" wrapText="1"/>
    </xf>
    <xf numFmtId="168" fontId="37" fillId="0" borderId="5" xfId="0" applyNumberFormat="1" applyFont="1" applyBorder="1" applyAlignment="1">
      <alignment horizontal="center" vertical="center" shrinkToFit="1"/>
    </xf>
    <xf numFmtId="0" fontId="38" fillId="0" borderId="5" xfId="0" applyFont="1" applyBorder="1" applyAlignment="1">
      <alignment horizontal="left" vertical="top" wrapText="1"/>
    </xf>
    <xf numFmtId="4" fontId="0" fillId="4" borderId="0" xfId="0" applyNumberFormat="1" applyFill="1"/>
    <xf numFmtId="4" fontId="3" fillId="2" borderId="5" xfId="8" applyNumberFormat="1" applyFont="1" applyFill="1" applyBorder="1" applyAlignment="1">
      <alignment horizontal="center" vertical="center"/>
    </xf>
    <xf numFmtId="0" fontId="34" fillId="0" borderId="0" xfId="0" applyFont="1" applyFill="1"/>
    <xf numFmtId="44" fontId="33" fillId="0" borderId="0" xfId="27" applyFont="1" applyFill="1"/>
    <xf numFmtId="0" fontId="33" fillId="0" borderId="0" xfId="0" applyFont="1" applyFill="1"/>
    <xf numFmtId="0" fontId="38" fillId="0" borderId="5" xfId="0" applyFont="1" applyBorder="1" applyAlignment="1">
      <alignment horizontal="left" vertical="center" wrapText="1"/>
    </xf>
    <xf numFmtId="0" fontId="39" fillId="0" borderId="5" xfId="0" applyFont="1" applyBorder="1" applyAlignment="1">
      <alignment horizontal="left"/>
    </xf>
    <xf numFmtId="0" fontId="39" fillId="0" borderId="5" xfId="0" applyFont="1" applyBorder="1" applyAlignment="1">
      <alignment horizontal="left" vertical="center"/>
    </xf>
    <xf numFmtId="0" fontId="39" fillId="0" borderId="5" xfId="0" applyFont="1" applyBorder="1" applyAlignment="1">
      <alignment horizontal="center" vertical="center"/>
    </xf>
    <xf numFmtId="0" fontId="39" fillId="0" borderId="5" xfId="0" applyNumberFormat="1" applyFont="1" applyBorder="1" applyAlignment="1">
      <alignment horizontal="left" vertical="center"/>
    </xf>
    <xf numFmtId="4" fontId="39" fillId="0" borderId="5" xfId="4" applyNumberFormat="1" applyFont="1" applyFill="1" applyBorder="1" applyAlignment="1">
      <alignment horizontal="center" vertical="center"/>
    </xf>
    <xf numFmtId="0" fontId="39" fillId="0" borderId="5" xfId="0" applyFont="1" applyBorder="1" applyAlignment="1">
      <alignment horizontal="right" vertical="center"/>
    </xf>
    <xf numFmtId="0" fontId="39" fillId="0" borderId="5" xfId="0" applyFont="1" applyBorder="1" applyAlignment="1">
      <alignment horizontal="left" vertical="center" wrapText="1"/>
    </xf>
    <xf numFmtId="0" fontId="39" fillId="0" borderId="5" xfId="4" applyFont="1" applyFill="1" applyBorder="1" applyAlignment="1">
      <alignment horizontal="center" vertical="center" wrapText="1"/>
    </xf>
    <xf numFmtId="0" fontId="40" fillId="0" borderId="5" xfId="4" applyFont="1" applyFill="1" applyBorder="1" applyAlignment="1">
      <alignment horizontal="center" vertical="center" wrapText="1"/>
    </xf>
    <xf numFmtId="0" fontId="40" fillId="0" borderId="5" xfId="4" applyFont="1" applyFill="1" applyBorder="1" applyAlignment="1">
      <alignment vertical="center" wrapText="1"/>
    </xf>
    <xf numFmtId="4" fontId="40" fillId="0" borderId="5" xfId="4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left" vertical="center" wrapText="1"/>
    </xf>
    <xf numFmtId="0" fontId="9" fillId="0" borderId="5" xfId="8" applyFont="1" applyFill="1" applyBorder="1" applyAlignment="1">
      <alignment horizontal="right" vertical="center"/>
    </xf>
    <xf numFmtId="4" fontId="9" fillId="0" borderId="5" xfId="8" applyNumberFormat="1" applyFont="1" applyFill="1" applyBorder="1" applyAlignment="1">
      <alignment horizontal="center" vertical="center"/>
    </xf>
    <xf numFmtId="4" fontId="9" fillId="0" borderId="5" xfId="8" applyNumberFormat="1" applyFont="1" applyFill="1" applyBorder="1" applyAlignment="1">
      <alignment horizontal="center" vertical="center"/>
    </xf>
    <xf numFmtId="4" fontId="3" fillId="2" borderId="5" xfId="8" applyNumberFormat="1" applyFont="1" applyFill="1" applyBorder="1" applyAlignment="1">
      <alignment horizontal="center"/>
    </xf>
    <xf numFmtId="0" fontId="38" fillId="2" borderId="5" xfId="0" applyFont="1" applyFill="1" applyBorder="1" applyAlignment="1">
      <alignment horizontal="left" vertical="center" wrapText="1"/>
    </xf>
    <xf numFmtId="0" fontId="3" fillId="2" borderId="5" xfId="8" applyFont="1" applyFill="1" applyBorder="1" applyAlignment="1">
      <alignment horizontal="center" vertical="center"/>
    </xf>
    <xf numFmtId="0" fontId="3" fillId="0" borderId="5" xfId="32" applyFont="1" applyFill="1" applyBorder="1" applyAlignment="1">
      <alignment horizontal="center" vertical="center"/>
    </xf>
    <xf numFmtId="0" fontId="3" fillId="0" borderId="5" xfId="32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wrapText="1"/>
    </xf>
    <xf numFmtId="0" fontId="3" fillId="0" borderId="5" xfId="32" applyFont="1" applyFill="1" applyBorder="1" applyAlignment="1">
      <alignment horizontal="left" vertical="center" wrapText="1"/>
    </xf>
    <xf numFmtId="0" fontId="9" fillId="0" borderId="5" xfId="8" applyFont="1" applyFill="1" applyBorder="1" applyAlignment="1">
      <alignment horizontal="left" vertical="center" wrapText="1"/>
    </xf>
    <xf numFmtId="0" fontId="9" fillId="0" borderId="5" xfId="8" applyFont="1" applyFill="1" applyBorder="1" applyAlignment="1">
      <alignment horizontal="left" vertical="center"/>
    </xf>
    <xf numFmtId="0" fontId="3" fillId="0" borderId="5" xfId="32" applyFont="1" applyFill="1" applyBorder="1" applyAlignment="1">
      <alignment horizontal="center" vertical="center"/>
    </xf>
    <xf numFmtId="0" fontId="3" fillId="0" borderId="5" xfId="32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wrapText="1"/>
    </xf>
    <xf numFmtId="0" fontId="3" fillId="0" borderId="5" xfId="32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 wrapText="1"/>
    </xf>
    <xf numFmtId="0" fontId="41" fillId="0" borderId="5" xfId="0" applyFont="1" applyFill="1" applyBorder="1" applyAlignment="1">
      <alignment vertical="center" wrapText="1"/>
    </xf>
    <xf numFmtId="4" fontId="3" fillId="0" borderId="5" xfId="32" applyNumberFormat="1" applyFont="1" applyFill="1" applyBorder="1" applyAlignment="1">
      <alignment horizontal="center" vertical="center"/>
    </xf>
    <xf numFmtId="0" fontId="3" fillId="0" borderId="5" xfId="32" applyFont="1" applyFill="1" applyBorder="1" applyAlignment="1">
      <alignment horizontal="center" vertical="center"/>
    </xf>
    <xf numFmtId="0" fontId="3" fillId="0" borderId="5" xfId="32" applyFont="1" applyFill="1" applyBorder="1" applyAlignment="1">
      <alignment horizontal="center" vertical="center" wrapText="1"/>
    </xf>
    <xf numFmtId="4" fontId="3" fillId="0" borderId="5" xfId="32" applyNumberFormat="1" applyFont="1" applyFill="1" applyBorder="1" applyAlignment="1">
      <alignment horizontal="center" vertical="center"/>
    </xf>
    <xf numFmtId="0" fontId="41" fillId="0" borderId="5" xfId="0" applyFont="1" applyBorder="1" applyAlignment="1">
      <alignment horizontal="center" vertical="center" wrapText="1"/>
    </xf>
    <xf numFmtId="0" fontId="3" fillId="0" borderId="5" xfId="32" applyFont="1" applyFill="1" applyBorder="1" applyAlignment="1">
      <alignment horizontal="left" vertical="center" wrapText="1"/>
    </xf>
    <xf numFmtId="0" fontId="41" fillId="0" borderId="5" xfId="0" applyFont="1" applyFill="1" applyBorder="1" applyAlignment="1">
      <alignment vertical="center" wrapText="1"/>
    </xf>
    <xf numFmtId="4" fontId="3" fillId="0" borderId="27" xfId="32" applyNumberFormat="1" applyFont="1" applyFill="1" applyBorder="1" applyAlignment="1">
      <alignment horizontal="right" vertical="center"/>
    </xf>
    <xf numFmtId="2" fontId="9" fillId="0" borderId="27" xfId="32" applyNumberFormat="1" applyFont="1" applyFill="1" applyBorder="1" applyAlignment="1">
      <alignment horizontal="right" vertical="center"/>
    </xf>
    <xf numFmtId="4" fontId="9" fillId="6" borderId="27" xfId="32" applyNumberFormat="1" applyFont="1" applyFill="1" applyBorder="1" applyAlignment="1">
      <alignment horizontal="right" vertical="center"/>
    </xf>
    <xf numFmtId="0" fontId="3" fillId="0" borderId="5" xfId="8" applyFont="1" applyFill="1" applyBorder="1" applyAlignment="1">
      <alignment horizontal="right" vertical="center" wrapText="1"/>
    </xf>
    <xf numFmtId="4" fontId="9" fillId="0" borderId="5" xfId="32" applyNumberFormat="1" applyFont="1" applyFill="1" applyBorder="1" applyAlignment="1">
      <alignment horizontal="center" vertical="center"/>
    </xf>
    <xf numFmtId="168" fontId="37" fillId="2" borderId="5" xfId="0" applyNumberFormat="1" applyFont="1" applyFill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wrapText="1"/>
    </xf>
    <xf numFmtId="0" fontId="3" fillId="0" borderId="5" xfId="32" applyFont="1" applyBorder="1" applyAlignment="1">
      <alignment horizontal="center" vertical="center" wrapText="1"/>
    </xf>
    <xf numFmtId="0" fontId="3" fillId="0" borderId="5" xfId="32" applyFont="1" applyFill="1" applyBorder="1" applyAlignment="1">
      <alignment horizontal="right" vertical="center" wrapText="1"/>
    </xf>
    <xf numFmtId="2" fontId="3" fillId="0" borderId="27" xfId="32" applyNumberFormat="1" applyFont="1" applyFill="1" applyBorder="1" applyAlignment="1">
      <alignment horizontal="right" vertical="center"/>
    </xf>
    <xf numFmtId="0" fontId="9" fillId="3" borderId="5" xfId="40" applyFont="1" applyFill="1" applyBorder="1" applyAlignment="1">
      <alignment horizontal="center" vertical="center" wrapText="1"/>
    </xf>
    <xf numFmtId="0" fontId="40" fillId="0" borderId="5" xfId="40" applyFont="1" applyFill="1" applyBorder="1" applyAlignment="1">
      <alignment horizontal="center" vertical="center" wrapText="1"/>
    </xf>
    <xf numFmtId="0" fontId="40" fillId="0" borderId="5" xfId="40" applyFont="1" applyFill="1" applyBorder="1" applyAlignment="1">
      <alignment vertical="center" wrapText="1"/>
    </xf>
    <xf numFmtId="4" fontId="39" fillId="0" borderId="5" xfId="40" applyNumberFormat="1" applyFont="1" applyFill="1" applyBorder="1" applyAlignment="1">
      <alignment horizontal="center" vertical="center"/>
    </xf>
    <xf numFmtId="4" fontId="40" fillId="0" borderId="5" xfId="4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vertical="distributed"/>
    </xf>
    <xf numFmtId="172" fontId="3" fillId="2" borderId="5" xfId="13" applyNumberFormat="1" applyFont="1" applyFill="1" applyBorder="1" applyAlignment="1">
      <alignment horizontal="right" vertical="center"/>
    </xf>
    <xf numFmtId="0" fontId="0" fillId="0" borderId="5" xfId="0" applyBorder="1"/>
    <xf numFmtId="0" fontId="39" fillId="0" borderId="5" xfId="0" applyNumberFormat="1" applyFont="1" applyBorder="1" applyAlignment="1">
      <alignment horizontal="center" vertical="center"/>
    </xf>
    <xf numFmtId="0" fontId="34" fillId="0" borderId="5" xfId="0" applyFont="1" applyFill="1" applyBorder="1"/>
    <xf numFmtId="44" fontId="33" fillId="0" borderId="5" xfId="27" applyFont="1" applyFill="1" applyBorder="1"/>
    <xf numFmtId="0" fontId="9" fillId="6" borderId="5" xfId="8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 vertical="center"/>
    </xf>
    <xf numFmtId="0" fontId="41" fillId="0" borderId="5" xfId="0" applyFont="1" applyBorder="1" applyAlignment="1">
      <alignment horizontal="left" vertical="center" wrapText="1"/>
    </xf>
    <xf numFmtId="0" fontId="38" fillId="0" borderId="5" xfId="0" applyFont="1" applyBorder="1" applyAlignment="1">
      <alignment horizontal="right" vertical="center" wrapText="1"/>
    </xf>
    <xf numFmtId="2" fontId="9" fillId="0" borderId="5" xfId="32" applyNumberFormat="1" applyFont="1" applyFill="1" applyBorder="1" applyAlignment="1">
      <alignment horizontal="right" vertical="center"/>
    </xf>
    <xf numFmtId="4" fontId="9" fillId="6" borderId="5" xfId="32" applyNumberFormat="1" applyFont="1" applyFill="1" applyBorder="1" applyAlignment="1">
      <alignment horizontal="right" vertical="center"/>
    </xf>
    <xf numFmtId="2" fontId="3" fillId="0" borderId="5" xfId="8" applyNumberFormat="1" applyFont="1" applyFill="1" applyBorder="1" applyAlignment="1">
      <alignment horizontal="right" vertical="center" wrapText="1"/>
    </xf>
    <xf numFmtId="0" fontId="39" fillId="0" borderId="5" xfId="0" applyFont="1" applyFill="1" applyBorder="1" applyAlignment="1">
      <alignment horizontal="left" vertical="center" wrapText="1"/>
    </xf>
    <xf numFmtId="0" fontId="39" fillId="0" borderId="5" xfId="0" applyFont="1" applyFill="1" applyBorder="1" applyAlignment="1">
      <alignment horizontal="left"/>
    </xf>
    <xf numFmtId="0" fontId="39" fillId="0" borderId="5" xfId="0" applyFont="1" applyFill="1" applyBorder="1" applyAlignment="1">
      <alignment horizontal="right" vertical="center"/>
    </xf>
    <xf numFmtId="0" fontId="39" fillId="0" borderId="5" xfId="0" applyNumberFormat="1" applyFont="1" applyFill="1" applyBorder="1" applyAlignment="1">
      <alignment horizontal="left" vertical="center"/>
    </xf>
    <xf numFmtId="0" fontId="44" fillId="0" borderId="0" xfId="0" applyFont="1"/>
    <xf numFmtId="0" fontId="46" fillId="0" borderId="0" xfId="0" applyFont="1"/>
    <xf numFmtId="0" fontId="3" fillId="0" borderId="0" xfId="0" applyFont="1"/>
    <xf numFmtId="165" fontId="9" fillId="2" borderId="34" xfId="104" applyFont="1" applyFill="1" applyBorder="1" applyAlignment="1">
      <alignment horizontal="center" vertical="distributed" wrapText="1"/>
    </xf>
    <xf numFmtId="168" fontId="3" fillId="2" borderId="34" xfId="104" applyNumberFormat="1" applyFont="1" applyFill="1" applyBorder="1" applyAlignment="1">
      <alignment horizontal="justify" vertical="distributed" wrapText="1"/>
    </xf>
    <xf numFmtId="165" fontId="9" fillId="2" borderId="34" xfId="104" applyFont="1" applyFill="1" applyBorder="1" applyAlignment="1">
      <alignment horizontal="justify" vertical="distributed" wrapText="1"/>
    </xf>
    <xf numFmtId="165" fontId="3" fillId="2" borderId="34" xfId="104" applyFont="1" applyFill="1" applyBorder="1" applyAlignment="1">
      <alignment horizontal="justify" vertical="distributed" wrapText="1"/>
    </xf>
    <xf numFmtId="168" fontId="9" fillId="6" borderId="34" xfId="104" applyNumberFormat="1" applyFont="1" applyFill="1" applyBorder="1" applyAlignment="1">
      <alignment horizontal="center" vertical="distributed" wrapText="1"/>
    </xf>
    <xf numFmtId="165" fontId="9" fillId="6" borderId="34" xfId="104" applyFont="1" applyFill="1" applyBorder="1" applyAlignment="1">
      <alignment horizontal="justify" vertical="distributed" wrapText="1"/>
    </xf>
    <xf numFmtId="165" fontId="9" fillId="6" borderId="34" xfId="104" applyFont="1" applyFill="1" applyBorder="1" applyAlignment="1">
      <alignment horizontal="center" vertical="distributed" wrapText="1"/>
    </xf>
    <xf numFmtId="168" fontId="3" fillId="2" borderId="34" xfId="73" applyNumberFormat="1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distributed"/>
    </xf>
    <xf numFmtId="173" fontId="3" fillId="0" borderId="34" xfId="73" applyNumberFormat="1" applyFont="1" applyFill="1" applyBorder="1" applyAlignment="1">
      <alignment horizontal="justify" vertical="distributed" wrapText="1"/>
    </xf>
    <xf numFmtId="172" fontId="3" fillId="0" borderId="34" xfId="0" applyNumberFormat="1" applyFont="1" applyBorder="1" applyAlignment="1">
      <alignment horizontal="right" vertical="center"/>
    </xf>
    <xf numFmtId="49" fontId="3" fillId="2" borderId="34" xfId="104" applyNumberFormat="1" applyFont="1" applyFill="1" applyBorder="1" applyAlignment="1">
      <alignment horizontal="center" vertical="center" wrapText="1"/>
    </xf>
    <xf numFmtId="172" fontId="3" fillId="2" borderId="34" xfId="73" applyNumberFormat="1" applyFont="1" applyFill="1" applyBorder="1" applyAlignment="1">
      <alignment horizontal="right" vertical="center"/>
    </xf>
    <xf numFmtId="0" fontId="3" fillId="0" borderId="34" xfId="0" applyFont="1" applyBorder="1"/>
    <xf numFmtId="165" fontId="9" fillId="6" borderId="34" xfId="104" applyFont="1" applyFill="1" applyBorder="1" applyAlignment="1">
      <alignment horizontal="right" vertical="distributed" wrapText="1"/>
    </xf>
    <xf numFmtId="165" fontId="9" fillId="10" borderId="34" xfId="104" applyFont="1" applyFill="1" applyBorder="1" applyAlignment="1">
      <alignment horizontal="justify" vertical="distributed" wrapText="1"/>
    </xf>
    <xf numFmtId="165" fontId="44" fillId="0" borderId="0" xfId="0" applyNumberFormat="1" applyFont="1"/>
    <xf numFmtId="0" fontId="9" fillId="4" borderId="5" xfId="32" applyFont="1" applyFill="1" applyBorder="1" applyAlignment="1">
      <alignment horizontal="center" vertical="center"/>
    </xf>
    <xf numFmtId="0" fontId="9" fillId="4" borderId="5" xfId="32" applyFont="1" applyFill="1" applyBorder="1" applyAlignment="1">
      <alignment horizontal="left" vertical="center"/>
    </xf>
    <xf numFmtId="0" fontId="9" fillId="4" borderId="5" xfId="32" applyFont="1" applyFill="1" applyBorder="1" applyAlignment="1">
      <alignment horizontal="center"/>
    </xf>
    <xf numFmtId="4" fontId="3" fillId="4" borderId="5" xfId="32" applyNumberFormat="1" applyFont="1" applyFill="1" applyBorder="1" applyAlignment="1">
      <alignment horizontal="center"/>
    </xf>
    <xf numFmtId="4" fontId="9" fillId="4" borderId="5" xfId="32" applyNumberFormat="1" applyFont="1" applyFill="1" applyBorder="1" applyAlignment="1">
      <alignment horizontal="center"/>
    </xf>
    <xf numFmtId="0" fontId="49" fillId="0" borderId="5" xfId="0" applyFont="1" applyBorder="1" applyAlignment="1">
      <alignment horizontal="center" vertical="center" wrapText="1"/>
    </xf>
    <xf numFmtId="0" fontId="9" fillId="2" borderId="5" xfId="8" applyFont="1" applyFill="1" applyBorder="1" applyAlignment="1">
      <alignment horizontal="left" vertical="center" wrapText="1"/>
    </xf>
    <xf numFmtId="0" fontId="3" fillId="2" borderId="5" xfId="8" applyFont="1" applyFill="1" applyBorder="1" applyAlignment="1">
      <alignment horizontal="right" vertical="center" wrapText="1"/>
    </xf>
    <xf numFmtId="0" fontId="3" fillId="2" borderId="5" xfId="32" applyFont="1" applyFill="1" applyBorder="1" applyAlignment="1">
      <alignment horizontal="center" vertical="center"/>
    </xf>
    <xf numFmtId="4" fontId="3" fillId="2" borderId="5" xfId="32" applyNumberFormat="1" applyFont="1" applyFill="1" applyBorder="1" applyAlignment="1">
      <alignment horizontal="center" vertical="center"/>
    </xf>
    <xf numFmtId="0" fontId="38" fillId="0" borderId="5" xfId="0" applyFont="1" applyBorder="1" applyAlignment="1">
      <alignment horizontal="justify" vertical="justify" wrapText="1"/>
    </xf>
    <xf numFmtId="0" fontId="50" fillId="0" borderId="5" xfId="0" applyFont="1" applyBorder="1" applyAlignment="1">
      <alignment horizontal="left"/>
    </xf>
    <xf numFmtId="0" fontId="50" fillId="0" borderId="5" xfId="0" applyFont="1" applyBorder="1" applyAlignment="1">
      <alignment horizontal="right"/>
    </xf>
    <xf numFmtId="0" fontId="3" fillId="0" borderId="5" xfId="32" applyFont="1" applyBorder="1" applyAlignment="1">
      <alignment horizontal="right" vertical="center" wrapText="1"/>
    </xf>
    <xf numFmtId="0" fontId="38" fillId="2" borderId="5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center" vertical="center"/>
    </xf>
    <xf numFmtId="4" fontId="9" fillId="2" borderId="5" xfId="32" applyNumberFormat="1" applyFont="1" applyFill="1" applyBorder="1" applyAlignment="1">
      <alignment horizontal="right" vertical="center"/>
    </xf>
    <xf numFmtId="4" fontId="39" fillId="0" borderId="5" xfId="0" applyNumberFormat="1" applyFont="1" applyBorder="1" applyAlignment="1">
      <alignment horizontal="right" vertical="center"/>
    </xf>
    <xf numFmtId="166" fontId="0" fillId="4" borderId="0" xfId="0" applyNumberFormat="1" applyFill="1"/>
    <xf numFmtId="168" fontId="37" fillId="0" borderId="5" xfId="0" applyNumberFormat="1" applyFont="1" applyFill="1" applyBorder="1" applyAlignment="1">
      <alignment horizontal="center" vertical="center" shrinkToFit="1"/>
    </xf>
    <xf numFmtId="2" fontId="3" fillId="0" borderId="5" xfId="32" applyNumberFormat="1" applyFont="1" applyFill="1" applyBorder="1" applyAlignment="1">
      <alignment horizontal="center" vertical="center"/>
    </xf>
    <xf numFmtId="2" fontId="35" fillId="2" borderId="5" xfId="0" applyNumberFormat="1" applyFont="1" applyFill="1" applyBorder="1" applyAlignment="1">
      <alignment horizontal="center" vertical="center"/>
    </xf>
    <xf numFmtId="174" fontId="39" fillId="0" borderId="5" xfId="0" applyNumberFormat="1" applyFont="1" applyBorder="1" applyAlignment="1">
      <alignment horizontal="left" vertical="center"/>
    </xf>
    <xf numFmtId="2" fontId="3" fillId="0" borderId="5" xfId="32" applyNumberFormat="1" applyFont="1" applyFill="1" applyBorder="1" applyAlignment="1">
      <alignment horizontal="right" vertical="center" wrapText="1"/>
    </xf>
    <xf numFmtId="2" fontId="3" fillId="2" borderId="5" xfId="8" applyNumberFormat="1" applyFont="1" applyFill="1" applyBorder="1" applyAlignment="1">
      <alignment horizontal="right" vertical="center" wrapText="1"/>
    </xf>
    <xf numFmtId="0" fontId="3" fillId="0" borderId="5" xfId="32" applyFont="1" applyFill="1" applyBorder="1" applyAlignment="1">
      <alignment horizontal="right" vertical="center"/>
    </xf>
    <xf numFmtId="0" fontId="3" fillId="2" borderId="5" xfId="32" applyFont="1" applyFill="1" applyBorder="1" applyAlignment="1">
      <alignment horizontal="right" vertical="center" wrapText="1"/>
    </xf>
    <xf numFmtId="0" fontId="9" fillId="2" borderId="5" xfId="32" applyFont="1" applyFill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4" fontId="3" fillId="0" borderId="5" xfId="32" applyNumberFormat="1" applyFont="1" applyBorder="1" applyAlignment="1">
      <alignment horizontal="center" vertical="center"/>
    </xf>
    <xf numFmtId="0" fontId="9" fillId="0" borderId="26" xfId="8" applyFont="1" applyFill="1" applyBorder="1" applyAlignment="1">
      <alignment horizontal="left" vertical="center" wrapText="1"/>
    </xf>
    <xf numFmtId="2" fontId="9" fillId="0" borderId="44" xfId="32" applyNumberFormat="1" applyFont="1" applyFill="1" applyBorder="1" applyAlignment="1">
      <alignment horizontal="right" vertical="center"/>
    </xf>
    <xf numFmtId="4" fontId="9" fillId="6" borderId="44" xfId="32" applyNumberFormat="1" applyFont="1" applyFill="1" applyBorder="1" applyAlignment="1">
      <alignment horizontal="right" vertical="center"/>
    </xf>
    <xf numFmtId="2" fontId="3" fillId="0" borderId="5" xfId="32" applyNumberFormat="1" applyFont="1" applyFill="1" applyBorder="1" applyAlignment="1">
      <alignment horizontal="right" vertical="center"/>
    </xf>
    <xf numFmtId="0" fontId="51" fillId="0" borderId="0" xfId="0" applyFont="1" applyAlignment="1">
      <alignment horizontal="center" vertical="center"/>
    </xf>
    <xf numFmtId="9" fontId="44" fillId="0" borderId="0" xfId="28" applyFont="1" applyFill="1" applyBorder="1" applyAlignment="1">
      <alignment horizontal="left"/>
    </xf>
    <xf numFmtId="0" fontId="9" fillId="0" borderId="0" xfId="32" applyFont="1" applyAlignment="1">
      <alignment horizontal="center" vertical="center"/>
    </xf>
    <xf numFmtId="0" fontId="7" fillId="0" borderId="0" xfId="32" applyFont="1" applyAlignment="1">
      <alignment horizontal="left" vertical="center"/>
    </xf>
    <xf numFmtId="9" fontId="16" fillId="0" borderId="0" xfId="28" applyFont="1" applyFill="1" applyBorder="1" applyAlignment="1">
      <alignment horizontal="left"/>
    </xf>
    <xf numFmtId="0" fontId="9" fillId="0" borderId="48" xfId="32" applyFont="1" applyBorder="1" applyAlignment="1">
      <alignment horizontal="center" vertical="center"/>
    </xf>
    <xf numFmtId="0" fontId="9" fillId="0" borderId="48" xfId="32" applyFont="1" applyBorder="1" applyAlignment="1">
      <alignment horizontal="center" vertical="top" wrapText="1"/>
    </xf>
    <xf numFmtId="4" fontId="3" fillId="0" borderId="48" xfId="32" applyNumberFormat="1" applyFont="1" applyBorder="1" applyAlignment="1">
      <alignment horizontal="center" vertical="center"/>
    </xf>
    <xf numFmtId="0" fontId="9" fillId="6" borderId="27" xfId="32" applyFont="1" applyFill="1" applyBorder="1" applyAlignment="1">
      <alignment horizontal="center" vertical="center"/>
    </xf>
    <xf numFmtId="4" fontId="9" fillId="6" borderId="49" xfId="32" applyNumberFormat="1" applyFont="1" applyFill="1" applyBorder="1" applyAlignment="1">
      <alignment horizontal="center" vertical="center" wrapText="1"/>
    </xf>
    <xf numFmtId="9" fontId="9" fillId="6" borderId="49" xfId="28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/>
    </xf>
    <xf numFmtId="0" fontId="9" fillId="4" borderId="27" xfId="0" applyFont="1" applyFill="1" applyBorder="1" applyAlignment="1">
      <alignment horizontal="center"/>
    </xf>
    <xf numFmtId="0" fontId="3" fillId="0" borderId="27" xfId="32" applyFont="1" applyBorder="1" applyAlignment="1">
      <alignment horizontal="center" vertical="center"/>
    </xf>
    <xf numFmtId="0" fontId="3" fillId="0" borderId="27" xfId="32" applyFont="1" applyBorder="1" applyAlignment="1">
      <alignment horizontal="justify" vertical="justify" wrapText="1"/>
    </xf>
    <xf numFmtId="4" fontId="3" fillId="0" borderId="49" xfId="32" applyNumberFormat="1" applyFont="1" applyBorder="1" applyAlignment="1">
      <alignment horizontal="center" vertical="center"/>
    </xf>
    <xf numFmtId="175" fontId="3" fillId="0" borderId="49" xfId="28" applyNumberFormat="1" applyFont="1" applyFill="1" applyBorder="1" applyAlignment="1">
      <alignment horizontal="center" vertical="center"/>
    </xf>
    <xf numFmtId="0" fontId="3" fillId="0" borderId="27" xfId="0" applyFont="1" applyBorder="1"/>
    <xf numFmtId="0" fontId="2" fillId="11" borderId="0" xfId="0" applyFont="1" applyFill="1"/>
    <xf numFmtId="0" fontId="2" fillId="11" borderId="27" xfId="0" applyFont="1" applyFill="1" applyBorder="1"/>
    <xf numFmtId="43" fontId="13" fillId="6" borderId="5" xfId="105" applyFont="1" applyFill="1" applyBorder="1" applyAlignment="1">
      <alignment horizontal="center" vertical="center"/>
    </xf>
    <xf numFmtId="9" fontId="13" fillId="6" borderId="5" xfId="28" applyFont="1" applyFill="1" applyBorder="1" applyAlignment="1">
      <alignment horizontal="center" vertical="center"/>
    </xf>
    <xf numFmtId="0" fontId="28" fillId="6" borderId="0" xfId="0" applyFont="1" applyFill="1"/>
    <xf numFmtId="0" fontId="28" fillId="6" borderId="27" xfId="0" applyFont="1" applyFill="1" applyBorder="1"/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justify" vertical="justify"/>
    </xf>
    <xf numFmtId="43" fontId="3" fillId="0" borderId="0" xfId="105" applyFont="1" applyFill="1" applyBorder="1" applyAlignment="1">
      <alignment horizontal="center" vertical="center"/>
    </xf>
    <xf numFmtId="0" fontId="52" fillId="6" borderId="27" xfId="32" applyFont="1" applyFill="1" applyBorder="1" applyAlignment="1">
      <alignment horizontal="center" vertical="center"/>
    </xf>
    <xf numFmtId="0" fontId="52" fillId="12" borderId="27" xfId="32" applyFont="1" applyFill="1" applyBorder="1" applyAlignment="1">
      <alignment horizontal="justify" vertical="justify"/>
    </xf>
    <xf numFmtId="4" fontId="52" fillId="6" borderId="49" xfId="32" applyNumberFormat="1" applyFont="1" applyFill="1" applyBorder="1" applyAlignment="1">
      <alignment horizontal="center" vertical="center"/>
    </xf>
    <xf numFmtId="9" fontId="52" fillId="6" borderId="0" xfId="28" applyFont="1" applyFill="1" applyBorder="1" applyAlignment="1">
      <alignment horizontal="left"/>
    </xf>
    <xf numFmtId="0" fontId="52" fillId="6" borderId="0" xfId="0" applyFont="1" applyFill="1"/>
    <xf numFmtId="0" fontId="52" fillId="6" borderId="27" xfId="0" applyFont="1" applyFill="1" applyBorder="1"/>
    <xf numFmtId="0" fontId="15" fillId="6" borderId="0" xfId="0" applyFont="1" applyFill="1"/>
    <xf numFmtId="0" fontId="9" fillId="0" borderId="0" xfId="32" applyFont="1" applyAlignment="1">
      <alignment horizontal="center"/>
    </xf>
    <xf numFmtId="43" fontId="15" fillId="0" borderId="0" xfId="105" applyFont="1" applyFill="1" applyBorder="1"/>
    <xf numFmtId="0" fontId="15" fillId="0" borderId="0" xfId="0" applyFont="1"/>
    <xf numFmtId="0" fontId="8" fillId="0" borderId="0" xfId="32" applyFont="1" applyAlignment="1">
      <alignment horizontal="left"/>
    </xf>
    <xf numFmtId="0" fontId="7" fillId="0" borderId="0" xfId="32" applyFont="1" applyAlignment="1">
      <alignment horizontal="left"/>
    </xf>
    <xf numFmtId="0" fontId="7" fillId="0" borderId="0" xfId="32" applyFont="1" applyAlignment="1">
      <alignment horizontal="center"/>
    </xf>
    <xf numFmtId="0" fontId="7" fillId="0" borderId="0" xfId="32" applyFont="1"/>
    <xf numFmtId="0" fontId="9" fillId="0" borderId="0" xfId="32" applyFont="1" applyAlignment="1">
      <alignment horizontal="center" vertical="top"/>
    </xf>
    <xf numFmtId="0" fontId="3" fillId="0" borderId="0" xfId="32" applyFont="1" applyAlignment="1">
      <alignment horizontal="center"/>
    </xf>
    <xf numFmtId="4" fontId="3" fillId="0" borderId="0" xfId="32" applyNumberFormat="1" applyFont="1" applyAlignment="1">
      <alignment horizontal="center"/>
    </xf>
    <xf numFmtId="0" fontId="53" fillId="13" borderId="0" xfId="0" applyFont="1" applyFill="1" applyAlignment="1">
      <alignment horizontal="center"/>
    </xf>
    <xf numFmtId="4" fontId="9" fillId="13" borderId="53" xfId="32" applyNumberFormat="1" applyFont="1" applyFill="1" applyBorder="1" applyAlignment="1">
      <alignment horizontal="center"/>
    </xf>
    <xf numFmtId="0" fontId="9" fillId="0" borderId="27" xfId="32" applyFont="1" applyBorder="1" applyAlignment="1">
      <alignment horizontal="center" vertical="top"/>
    </xf>
    <xf numFmtId="0" fontId="9" fillId="0" borderId="27" xfId="32" applyFont="1" applyBorder="1" applyAlignment="1">
      <alignment horizontal="center"/>
    </xf>
    <xf numFmtId="4" fontId="9" fillId="0" borderId="27" xfId="32" applyNumberFormat="1" applyFont="1" applyBorder="1" applyAlignment="1">
      <alignment horizontal="center"/>
    </xf>
    <xf numFmtId="43" fontId="53" fillId="0" borderId="27" xfId="105" applyFont="1" applyFill="1" applyBorder="1" applyAlignment="1">
      <alignment horizontal="center"/>
    </xf>
    <xf numFmtId="0" fontId="53" fillId="0" borderId="27" xfId="0" applyFont="1" applyBorder="1" applyAlignment="1">
      <alignment horizontal="center"/>
    </xf>
    <xf numFmtId="0" fontId="53" fillId="0" borderId="0" xfId="0" applyFont="1" applyAlignment="1">
      <alignment horizontal="center"/>
    </xf>
    <xf numFmtId="0" fontId="8" fillId="6" borderId="27" xfId="32" applyFont="1" applyFill="1" applyBorder="1" applyAlignment="1">
      <alignment horizontal="center" vertical="top"/>
    </xf>
    <xf numFmtId="0" fontId="8" fillId="6" borderId="27" xfId="32" applyFont="1" applyFill="1" applyBorder="1" applyAlignment="1">
      <alignment horizontal="left" vertical="top"/>
    </xf>
    <xf numFmtId="4" fontId="8" fillId="6" borderId="27" xfId="32" applyNumberFormat="1" applyFont="1" applyFill="1" applyBorder="1" applyAlignment="1">
      <alignment horizontal="center"/>
    </xf>
    <xf numFmtId="43" fontId="15" fillId="6" borderId="27" xfId="105" applyFont="1" applyFill="1" applyBorder="1"/>
    <xf numFmtId="0" fontId="15" fillId="6" borderId="27" xfId="0" applyFont="1" applyFill="1" applyBorder="1"/>
    <xf numFmtId="0" fontId="8" fillId="0" borderId="27" xfId="32" applyFont="1" applyBorder="1" applyAlignment="1">
      <alignment horizontal="center" vertical="top"/>
    </xf>
    <xf numFmtId="0" fontId="8" fillId="0" borderId="27" xfId="32" applyFont="1" applyBorder="1" applyAlignment="1">
      <alignment horizontal="left" vertical="top"/>
    </xf>
    <xf numFmtId="4" fontId="8" fillId="0" borderId="27" xfId="32" applyNumberFormat="1" applyFont="1" applyBorder="1" applyAlignment="1">
      <alignment horizontal="center"/>
    </xf>
    <xf numFmtId="10" fontId="54" fillId="6" borderId="27" xfId="28" applyNumberFormat="1" applyFont="1" applyFill="1" applyBorder="1" applyAlignment="1">
      <alignment horizontal="center"/>
    </xf>
    <xf numFmtId="43" fontId="15" fillId="0" borderId="27" xfId="105" applyFont="1" applyFill="1" applyBorder="1"/>
    <xf numFmtId="0" fontId="15" fillId="0" borderId="27" xfId="0" applyFont="1" applyBorder="1"/>
    <xf numFmtId="0" fontId="8" fillId="0" borderId="27" xfId="32" applyFont="1" applyBorder="1" applyAlignment="1">
      <alignment horizontal="center"/>
    </xf>
    <xf numFmtId="10" fontId="54" fillId="0" borderId="27" xfId="28" applyNumberFormat="1" applyFont="1" applyFill="1" applyBorder="1" applyAlignment="1">
      <alignment horizontal="center"/>
    </xf>
    <xf numFmtId="0" fontId="8" fillId="6" borderId="27" xfId="32" applyFont="1" applyFill="1" applyBorder="1" applyAlignment="1">
      <alignment horizontal="center" vertical="top"/>
    </xf>
    <xf numFmtId="0" fontId="53" fillId="6" borderId="0" xfId="0" applyFont="1" applyFill="1"/>
    <xf numFmtId="0" fontId="53" fillId="0" borderId="0" xfId="0" applyFont="1"/>
    <xf numFmtId="43" fontId="53" fillId="0" borderId="27" xfId="105" applyFont="1" applyFill="1" applyBorder="1"/>
    <xf numFmtId="0" fontId="53" fillId="0" borderId="27" xfId="0" applyFont="1" applyBorder="1"/>
    <xf numFmtId="0" fontId="9" fillId="0" borderId="54" xfId="32" applyFont="1" applyBorder="1" applyAlignment="1">
      <alignment horizontal="center" vertical="top"/>
    </xf>
    <xf numFmtId="0" fontId="9" fillId="0" borderId="55" xfId="32" applyFont="1" applyBorder="1" applyAlignment="1">
      <alignment horizontal="center" vertical="top"/>
    </xf>
    <xf numFmtId="4" fontId="9" fillId="0" borderId="55" xfId="32" applyNumberFormat="1" applyFont="1" applyBorder="1" applyAlignment="1">
      <alignment horizontal="center"/>
    </xf>
    <xf numFmtId="4" fontId="9" fillId="0" borderId="56" xfId="32" applyNumberFormat="1" applyFont="1" applyBorder="1" applyAlignment="1">
      <alignment horizontal="center"/>
    </xf>
    <xf numFmtId="43" fontId="53" fillId="0" borderId="55" xfId="105" applyFont="1" applyFill="1" applyBorder="1"/>
    <xf numFmtId="0" fontId="53" fillId="0" borderId="55" xfId="0" applyFont="1" applyBorder="1"/>
    <xf numFmtId="0" fontId="53" fillId="13" borderId="0" xfId="0" applyFont="1" applyFill="1"/>
    <xf numFmtId="43" fontId="15" fillId="0" borderId="13" xfId="105" applyFont="1" applyFill="1" applyBorder="1"/>
    <xf numFmtId="43" fontId="15" fillId="0" borderId="5" xfId="105" applyFont="1" applyFill="1" applyBorder="1" applyAlignment="1">
      <alignment horizontal="right"/>
    </xf>
    <xf numFmtId="43" fontId="15" fillId="0" borderId="26" xfId="105" applyFont="1" applyFill="1" applyBorder="1" applyAlignment="1">
      <alignment horizontal="center"/>
    </xf>
    <xf numFmtId="43" fontId="15" fillId="0" borderId="5" xfId="105" applyFont="1" applyFill="1" applyBorder="1"/>
    <xf numFmtId="175" fontId="15" fillId="0" borderId="5" xfId="28" applyNumberFormat="1" applyFont="1" applyFill="1" applyBorder="1"/>
    <xf numFmtId="176" fontId="39" fillId="0" borderId="5" xfId="0" applyNumberFormat="1" applyFont="1" applyBorder="1" applyAlignment="1">
      <alignment horizontal="left" vertical="center"/>
    </xf>
    <xf numFmtId="167" fontId="39" fillId="0" borderId="5" xfId="0" applyNumberFormat="1" applyFont="1" applyBorder="1" applyAlignment="1">
      <alignment horizontal="left" vertical="center"/>
    </xf>
    <xf numFmtId="4" fontId="0" fillId="0" borderId="0" xfId="0" applyNumberFormat="1"/>
    <xf numFmtId="0" fontId="39" fillId="0" borderId="5" xfId="0" applyFont="1" applyFill="1" applyBorder="1" applyAlignment="1">
      <alignment horizontal="center" vertical="center"/>
    </xf>
    <xf numFmtId="167" fontId="0" fillId="0" borderId="5" xfId="0" applyNumberFormat="1" applyBorder="1"/>
    <xf numFmtId="2" fontId="0" fillId="0" borderId="5" xfId="0" applyNumberFormat="1" applyBorder="1"/>
    <xf numFmtId="4" fontId="49" fillId="0" borderId="5" xfId="0" applyNumberFormat="1" applyFont="1" applyBorder="1" applyAlignment="1">
      <alignment horizontal="center" vertical="center" wrapText="1"/>
    </xf>
    <xf numFmtId="4" fontId="8" fillId="6" borderId="27" xfId="32" applyNumberFormat="1" applyFont="1" applyFill="1" applyBorder="1" applyAlignment="1">
      <alignment horizontal="left" vertical="top"/>
    </xf>
    <xf numFmtId="9" fontId="0" fillId="4" borderId="0" xfId="28" applyFont="1" applyFill="1"/>
    <xf numFmtId="177" fontId="0" fillId="4" borderId="0" xfId="28" applyNumberFormat="1" applyFont="1" applyFill="1"/>
    <xf numFmtId="4" fontId="9" fillId="0" borderId="5" xfId="8" applyNumberFormat="1" applyFont="1" applyFill="1" applyBorder="1" applyAlignment="1">
      <alignment horizontal="center" vertical="center"/>
    </xf>
    <xf numFmtId="4" fontId="9" fillId="0" borderId="5" xfId="8" applyNumberFormat="1" applyFont="1" applyFill="1" applyBorder="1" applyAlignment="1">
      <alignment horizontal="center" vertical="center"/>
    </xf>
    <xf numFmtId="165" fontId="9" fillId="2" borderId="34" xfId="104" applyFont="1" applyFill="1" applyBorder="1" applyAlignment="1">
      <alignment horizontal="justify" vertical="distributed" wrapText="1"/>
    </xf>
    <xf numFmtId="0" fontId="3" fillId="0" borderId="0" xfId="32" applyFont="1" applyBorder="1" applyAlignment="1">
      <alignment horizontal="center" vertical="center" wrapText="1"/>
    </xf>
    <xf numFmtId="4" fontId="9" fillId="0" borderId="5" xfId="8" applyNumberFormat="1" applyFont="1" applyFill="1" applyBorder="1" applyAlignment="1">
      <alignment horizontal="center" vertical="center"/>
    </xf>
    <xf numFmtId="0" fontId="3" fillId="0" borderId="0" xfId="32" applyFont="1" applyFill="1" applyBorder="1" applyAlignment="1">
      <alignment horizontal="left" vertical="center" wrapText="1"/>
    </xf>
    <xf numFmtId="0" fontId="3" fillId="0" borderId="0" xfId="32" applyFont="1" applyFill="1" applyBorder="1" applyAlignment="1">
      <alignment horizontal="left" vertical="center"/>
    </xf>
    <xf numFmtId="0" fontId="8" fillId="2" borderId="5" xfId="40" applyFont="1" applyFill="1" applyBorder="1" applyAlignment="1">
      <alignment horizontal="center" vertical="center" wrapText="1"/>
    </xf>
    <xf numFmtId="0" fontId="8" fillId="6" borderId="27" xfId="32" applyFont="1" applyFill="1" applyBorder="1" applyAlignment="1">
      <alignment horizontal="center" vertical="top"/>
    </xf>
    <xf numFmtId="0" fontId="9" fillId="4" borderId="5" xfId="4" applyFont="1" applyFill="1" applyBorder="1" applyAlignment="1">
      <alignment horizontal="center" vertical="center" wrapText="1"/>
    </xf>
    <xf numFmtId="0" fontId="9" fillId="4" borderId="5" xfId="4" applyFont="1" applyFill="1" applyBorder="1" applyAlignment="1">
      <alignment horizontal="center" wrapText="1"/>
    </xf>
    <xf numFmtId="0" fontId="9" fillId="4" borderId="5" xfId="4" applyFont="1" applyFill="1" applyBorder="1" applyAlignment="1">
      <alignment horizontal="left" vertical="center" wrapText="1"/>
    </xf>
    <xf numFmtId="0" fontId="9" fillId="2" borderId="5" xfId="4" applyFont="1" applyFill="1" applyBorder="1" applyAlignment="1">
      <alignment horizontal="center" vertical="center" wrapText="1"/>
    </xf>
    <xf numFmtId="0" fontId="9" fillId="2" borderId="5" xfId="4" applyFont="1" applyFill="1" applyBorder="1" applyAlignment="1">
      <alignment horizontal="left" vertical="center" wrapText="1"/>
    </xf>
    <xf numFmtId="0" fontId="55" fillId="2" borderId="5" xfId="0" applyFont="1" applyFill="1" applyBorder="1" applyAlignment="1">
      <alignment horizontal="center"/>
    </xf>
    <xf numFmtId="0" fontId="3" fillId="2" borderId="5" xfId="4" applyFont="1" applyFill="1" applyBorder="1" applyAlignment="1">
      <alignment horizontal="center" vertical="center" wrapText="1"/>
    </xf>
    <xf numFmtId="2" fontId="3" fillId="2" borderId="5" xfId="4" applyNumberFormat="1" applyFont="1" applyFill="1" applyBorder="1" applyAlignment="1">
      <alignment horizontal="center" vertical="center" wrapText="1"/>
    </xf>
    <xf numFmtId="0" fontId="55" fillId="2" borderId="5" xfId="0" applyFont="1" applyFill="1" applyBorder="1"/>
    <xf numFmtId="0" fontId="55" fillId="2" borderId="5" xfId="0" applyFont="1" applyFill="1" applyBorder="1" applyAlignment="1">
      <alignment horizontal="center" vertical="center"/>
    </xf>
    <xf numFmtId="0" fontId="55" fillId="6" borderId="5" xfId="0" applyFont="1" applyFill="1" applyBorder="1" applyAlignment="1">
      <alignment horizontal="center"/>
    </xf>
    <xf numFmtId="9" fontId="19" fillId="6" borderId="5" xfId="28" applyFont="1" applyFill="1" applyBorder="1" applyAlignment="1">
      <alignment horizontal="center"/>
    </xf>
    <xf numFmtId="2" fontId="19" fillId="6" borderId="5" xfId="0" applyNumberFormat="1" applyFont="1" applyFill="1" applyBorder="1" applyAlignment="1">
      <alignment horizontal="center"/>
    </xf>
    <xf numFmtId="0" fontId="19" fillId="6" borderId="5" xfId="0" applyFont="1" applyFill="1" applyBorder="1" applyAlignment="1">
      <alignment horizontal="center" vertical="center"/>
    </xf>
    <xf numFmtId="0" fontId="19" fillId="6" borderId="5" xfId="0" applyFont="1" applyFill="1" applyBorder="1"/>
    <xf numFmtId="4" fontId="3" fillId="6" borderId="5" xfId="8" applyNumberFormat="1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4" fontId="3" fillId="0" borderId="5" xfId="8" applyNumberFormat="1" applyFont="1" applyFill="1" applyBorder="1" applyAlignment="1">
      <alignment horizontal="right" wrapText="1"/>
    </xf>
    <xf numFmtId="2" fontId="19" fillId="0" borderId="5" xfId="0" applyNumberFormat="1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 vertical="center"/>
    </xf>
    <xf numFmtId="4" fontId="3" fillId="0" borderId="5" xfId="8" applyNumberFormat="1" applyFont="1" applyFill="1" applyBorder="1" applyAlignment="1">
      <alignment horizontal="right"/>
    </xf>
    <xf numFmtId="0" fontId="19" fillId="0" borderId="5" xfId="0" applyFont="1" applyFill="1" applyBorder="1"/>
    <xf numFmtId="2" fontId="19" fillId="0" borderId="5" xfId="0" applyNumberFormat="1" applyFont="1" applyFill="1" applyBorder="1" applyAlignment="1">
      <alignment horizontal="center" vertical="center"/>
    </xf>
    <xf numFmtId="4" fontId="3" fillId="0" borderId="5" xfId="32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right" wrapText="1"/>
    </xf>
    <xf numFmtId="9" fontId="19" fillId="0" borderId="5" xfId="28" applyFont="1" applyFill="1" applyBorder="1" applyAlignment="1">
      <alignment horizontal="center"/>
    </xf>
    <xf numFmtId="4" fontId="3" fillId="0" borderId="5" xfId="8" applyNumberFormat="1" applyFont="1" applyFill="1" applyBorder="1" applyAlignment="1">
      <alignment horizontal="center"/>
    </xf>
    <xf numFmtId="2" fontId="19" fillId="0" borderId="0" xfId="0" applyNumberFormat="1" applyFont="1" applyFill="1" applyBorder="1" applyAlignment="1">
      <alignment horizontal="center" vertical="center"/>
    </xf>
    <xf numFmtId="9" fontId="19" fillId="2" borderId="5" xfId="28" applyFont="1" applyFill="1" applyBorder="1" applyAlignment="1">
      <alignment horizontal="center"/>
    </xf>
    <xf numFmtId="2" fontId="19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9" fillId="0" borderId="5" xfId="28" applyNumberFormat="1" applyFont="1" applyFill="1" applyBorder="1" applyAlignment="1">
      <alignment horizontal="center"/>
    </xf>
    <xf numFmtId="0" fontId="55" fillId="0" borderId="5" xfId="0" applyFont="1" applyFill="1" applyBorder="1"/>
    <xf numFmtId="2" fontId="19" fillId="0" borderId="5" xfId="0" applyNumberFormat="1" applyFont="1" applyBorder="1" applyAlignment="1">
      <alignment horizontal="center" vertical="center"/>
    </xf>
    <xf numFmtId="4" fontId="3" fillId="0" borderId="5" xfId="32" applyNumberFormat="1" applyFont="1" applyFill="1" applyBorder="1" applyAlignment="1">
      <alignment horizontal="right" vertical="center"/>
    </xf>
    <xf numFmtId="0" fontId="19" fillId="0" borderId="5" xfId="0" applyFont="1" applyBorder="1" applyAlignment="1">
      <alignment horizontal="center"/>
    </xf>
    <xf numFmtId="2" fontId="19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/>
    </xf>
    <xf numFmtId="2" fontId="19" fillId="0" borderId="0" xfId="0" applyNumberFormat="1" applyFont="1" applyBorder="1" applyAlignment="1">
      <alignment horizontal="center" vertical="center"/>
    </xf>
    <xf numFmtId="0" fontId="55" fillId="0" borderId="5" xfId="0" applyFont="1" applyFill="1" applyBorder="1" applyAlignment="1">
      <alignment horizontal="center"/>
    </xf>
    <xf numFmtId="0" fontId="19" fillId="2" borderId="5" xfId="28" applyNumberFormat="1" applyFont="1" applyFill="1" applyBorder="1" applyAlignment="1">
      <alignment horizontal="center"/>
    </xf>
    <xf numFmtId="4" fontId="3" fillId="6" borderId="5" xfId="32" applyNumberFormat="1" applyFont="1" applyFill="1" applyBorder="1" applyAlignment="1">
      <alignment horizontal="center"/>
    </xf>
    <xf numFmtId="4" fontId="3" fillId="0" borderId="5" xfId="32" applyNumberFormat="1" applyFont="1" applyBorder="1" applyAlignment="1">
      <alignment horizontal="right"/>
    </xf>
    <xf numFmtId="167" fontId="19" fillId="0" borderId="5" xfId="0" applyNumberFormat="1" applyFont="1" applyBorder="1" applyAlignment="1">
      <alignment horizontal="center" vertical="center"/>
    </xf>
    <xf numFmtId="4" fontId="3" fillId="2" borderId="5" xfId="32" applyNumberFormat="1" applyFont="1" applyFill="1" applyBorder="1" applyAlignment="1">
      <alignment horizontal="right"/>
    </xf>
    <xf numFmtId="0" fontId="55" fillId="0" borderId="26" xfId="0" applyFont="1" applyFill="1" applyBorder="1"/>
    <xf numFmtId="0" fontId="19" fillId="0" borderId="26" xfId="0" applyFont="1" applyFill="1" applyBorder="1" applyAlignment="1">
      <alignment horizontal="center"/>
    </xf>
    <xf numFmtId="9" fontId="19" fillId="0" borderId="26" xfId="28" applyFont="1" applyFill="1" applyBorder="1" applyAlignment="1">
      <alignment horizontal="center"/>
    </xf>
    <xf numFmtId="2" fontId="19" fillId="0" borderId="26" xfId="0" applyNumberFormat="1" applyFont="1" applyFill="1" applyBorder="1" applyAlignment="1">
      <alignment horizontal="center"/>
    </xf>
    <xf numFmtId="0" fontId="19" fillId="0" borderId="26" xfId="0" applyFont="1" applyFill="1" applyBorder="1" applyAlignment="1">
      <alignment horizontal="center" vertical="center"/>
    </xf>
    <xf numFmtId="0" fontId="19" fillId="0" borderId="5" xfId="0" quotePrefix="1" applyFont="1" applyFill="1" applyBorder="1" applyAlignment="1">
      <alignment horizontal="center"/>
    </xf>
    <xf numFmtId="4" fontId="19" fillId="0" borderId="5" xfId="0" applyNumberFormat="1" applyFont="1" applyFill="1" applyBorder="1" applyAlignment="1">
      <alignment horizontal="center"/>
    </xf>
    <xf numFmtId="4" fontId="55" fillId="6" borderId="5" xfId="0" applyNumberFormat="1" applyFont="1" applyFill="1" applyBorder="1" applyAlignment="1">
      <alignment horizontal="center"/>
    </xf>
    <xf numFmtId="4" fontId="9" fillId="0" borderId="5" xfId="8" applyNumberFormat="1" applyFont="1" applyFill="1" applyBorder="1" applyAlignment="1">
      <alignment horizontal="right"/>
    </xf>
    <xf numFmtId="0" fontId="19" fillId="0" borderId="7" xfId="0" applyFont="1" applyFill="1" applyBorder="1" applyAlignment="1">
      <alignment horizontal="center"/>
    </xf>
    <xf numFmtId="4" fontId="3" fillId="0" borderId="7" xfId="8" applyNumberFormat="1" applyFont="1" applyFill="1" applyBorder="1" applyAlignment="1">
      <alignment horizontal="center"/>
    </xf>
    <xf numFmtId="2" fontId="19" fillId="0" borderId="5" xfId="28" applyNumberFormat="1" applyFont="1" applyFill="1" applyBorder="1" applyAlignment="1">
      <alignment horizontal="center"/>
    </xf>
    <xf numFmtId="0" fontId="19" fillId="0" borderId="0" xfId="0" applyFont="1" applyFill="1" applyBorder="1"/>
    <xf numFmtId="4" fontId="3" fillId="0" borderId="9" xfId="8" applyNumberFormat="1" applyFont="1" applyFill="1" applyBorder="1" applyAlignment="1"/>
    <xf numFmtId="4" fontId="3" fillId="0" borderId="10" xfId="8" applyNumberFormat="1" applyFont="1" applyFill="1" applyBorder="1" applyAlignment="1"/>
    <xf numFmtId="0" fontId="19" fillId="0" borderId="10" xfId="0" applyFont="1" applyFill="1" applyBorder="1" applyAlignment="1">
      <alignment vertical="center"/>
    </xf>
    <xf numFmtId="4" fontId="3" fillId="0" borderId="5" xfId="8" applyNumberFormat="1" applyFont="1" applyFill="1" applyBorder="1" applyAlignment="1"/>
    <xf numFmtId="0" fontId="19" fillId="0" borderId="9" xfId="0" applyFont="1" applyFill="1" applyBorder="1" applyAlignment="1"/>
    <xf numFmtId="0" fontId="19" fillId="0" borderId="5" xfId="0" applyFont="1" applyFill="1" applyBorder="1" applyAlignment="1">
      <alignment horizontal="right" vertical="center"/>
    </xf>
    <xf numFmtId="0" fontId="55" fillId="6" borderId="5" xfId="0" applyFont="1" applyFill="1" applyBorder="1" applyAlignment="1">
      <alignment horizontal="center" wrapText="1"/>
    </xf>
    <xf numFmtId="0" fontId="56" fillId="0" borderId="0" xfId="0" applyFont="1"/>
    <xf numFmtId="0" fontId="8" fillId="2" borderId="5" xfId="4" applyFont="1" applyFill="1" applyBorder="1" applyAlignment="1">
      <alignment horizontal="center" vertical="center" wrapText="1"/>
    </xf>
    <xf numFmtId="178" fontId="0" fillId="4" borderId="0" xfId="28" applyNumberFormat="1" applyFont="1" applyFill="1"/>
    <xf numFmtId="178" fontId="0" fillId="4" borderId="0" xfId="0" applyNumberFormat="1" applyFill="1"/>
    <xf numFmtId="10" fontId="15" fillId="0" borderId="0" xfId="0" applyNumberFormat="1" applyFont="1"/>
    <xf numFmtId="0" fontId="9" fillId="2" borderId="5" xfId="32" applyFont="1" applyFill="1" applyBorder="1" applyAlignment="1">
      <alignment horizontal="right" vertical="center" wrapText="1"/>
    </xf>
    <xf numFmtId="0" fontId="9" fillId="0" borderId="5" xfId="32" applyFont="1" applyFill="1" applyBorder="1" applyAlignment="1">
      <alignment horizontal="right" vertical="center" wrapText="1"/>
    </xf>
    <xf numFmtId="2" fontId="19" fillId="0" borderId="5" xfId="0" applyNumberFormat="1" applyFont="1" applyBorder="1"/>
    <xf numFmtId="0" fontId="7" fillId="14" borderId="27" xfId="32" applyFont="1" applyFill="1" applyBorder="1" applyAlignment="1">
      <alignment horizontal="center" vertical="center"/>
    </xf>
    <xf numFmtId="0" fontId="7" fillId="14" borderId="27" xfId="32" applyFont="1" applyFill="1" applyBorder="1" applyAlignment="1">
      <alignment horizontal="left" vertical="justify"/>
    </xf>
    <xf numFmtId="4" fontId="7" fillId="14" borderId="49" xfId="32" applyNumberFormat="1" applyFont="1" applyFill="1" applyBorder="1" applyAlignment="1">
      <alignment horizontal="center" vertical="center"/>
    </xf>
    <xf numFmtId="175" fontId="7" fillId="14" borderId="49" xfId="28" applyNumberFormat="1" applyFont="1" applyFill="1" applyBorder="1" applyAlignment="1">
      <alignment horizontal="center" vertical="center"/>
    </xf>
    <xf numFmtId="0" fontId="7" fillId="0" borderId="5" xfId="8" applyFont="1" applyFill="1" applyBorder="1" applyAlignment="1">
      <alignment horizontal="left" vertical="center" wrapText="1"/>
    </xf>
    <xf numFmtId="166" fontId="32" fillId="4" borderId="5" xfId="6" applyNumberFormat="1" applyFont="1" applyFill="1" applyBorder="1" applyAlignment="1" applyProtection="1">
      <alignment horizontal="center" vertical="center"/>
      <protection locked="0"/>
    </xf>
    <xf numFmtId="10" fontId="7" fillId="0" borderId="5" xfId="8" applyNumberFormat="1" applyFont="1" applyFill="1" applyBorder="1" applyAlignment="1">
      <alignment horizontal="center" vertical="center"/>
    </xf>
    <xf numFmtId="0" fontId="10" fillId="4" borderId="5" xfId="6" applyFont="1" applyFill="1" applyBorder="1" applyAlignment="1" applyProtection="1">
      <alignment horizontal="center" vertical="center"/>
      <protection locked="0"/>
    </xf>
    <xf numFmtId="4" fontId="9" fillId="0" borderId="5" xfId="8" applyNumberFormat="1" applyFont="1" applyFill="1" applyBorder="1" applyAlignment="1">
      <alignment horizontal="center" wrapText="1"/>
    </xf>
    <xf numFmtId="4" fontId="9" fillId="0" borderId="5" xfId="8" applyNumberFormat="1" applyFont="1" applyFill="1" applyBorder="1" applyAlignment="1">
      <alignment horizontal="center" vertical="center"/>
    </xf>
    <xf numFmtId="0" fontId="9" fillId="0" borderId="5" xfId="8" applyFont="1" applyFill="1" applyBorder="1" applyAlignment="1">
      <alignment horizontal="center" vertical="center"/>
    </xf>
    <xf numFmtId="0" fontId="7" fillId="0" borderId="7" xfId="8" applyFont="1" applyFill="1" applyBorder="1" applyAlignment="1">
      <alignment horizontal="left" vertical="center"/>
    </xf>
    <xf numFmtId="0" fontId="7" fillId="0" borderId="9" xfId="8" applyFont="1" applyFill="1" applyBorder="1" applyAlignment="1">
      <alignment horizontal="left" vertical="center"/>
    </xf>
    <xf numFmtId="0" fontId="7" fillId="0" borderId="10" xfId="8" applyFont="1" applyFill="1" applyBorder="1" applyAlignment="1">
      <alignment horizontal="left" vertical="center"/>
    </xf>
    <xf numFmtId="0" fontId="9" fillId="0" borderId="7" xfId="8" applyFont="1" applyFill="1" applyBorder="1" applyAlignment="1">
      <alignment horizontal="center" vertical="center"/>
    </xf>
    <xf numFmtId="0" fontId="9" fillId="0" borderId="9" xfId="8" applyFont="1" applyFill="1" applyBorder="1" applyAlignment="1">
      <alignment horizontal="center" vertical="center"/>
    </xf>
    <xf numFmtId="0" fontId="9" fillId="0" borderId="10" xfId="8" applyFont="1" applyFill="1" applyBorder="1" applyAlignment="1">
      <alignment horizontal="center" vertical="center"/>
    </xf>
    <xf numFmtId="0" fontId="7" fillId="0" borderId="5" xfId="8" applyFont="1" applyFill="1" applyBorder="1" applyAlignment="1">
      <alignment horizontal="center" vertical="center"/>
    </xf>
    <xf numFmtId="0" fontId="9" fillId="0" borderId="8" xfId="8" applyFont="1" applyFill="1" applyBorder="1" applyAlignment="1">
      <alignment horizontal="center" vertical="center"/>
    </xf>
    <xf numFmtId="0" fontId="9" fillId="0" borderId="26" xfId="8" applyFont="1" applyFill="1" applyBorder="1" applyAlignment="1">
      <alignment horizontal="center" vertical="center"/>
    </xf>
    <xf numFmtId="166" fontId="57" fillId="4" borderId="5" xfId="6" applyNumberFormat="1" applyFont="1" applyFill="1" applyBorder="1" applyAlignment="1" applyProtection="1">
      <alignment horizontal="center" vertical="center" wrapText="1"/>
      <protection locked="0"/>
    </xf>
    <xf numFmtId="0" fontId="57" fillId="4" borderId="5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5" xfId="8" applyFont="1" applyFill="1" applyBorder="1" applyAlignment="1">
      <alignment horizontal="center"/>
    </xf>
    <xf numFmtId="0" fontId="13" fillId="0" borderId="5" xfId="8" applyFont="1" applyFill="1" applyBorder="1" applyAlignment="1">
      <alignment horizontal="left"/>
    </xf>
    <xf numFmtId="0" fontId="13" fillId="0" borderId="5" xfId="8" applyFont="1" applyFill="1" applyBorder="1" applyAlignment="1">
      <alignment horizontal="left" wrapText="1"/>
    </xf>
    <xf numFmtId="0" fontId="8" fillId="2" borderId="5" xfId="40" applyFont="1" applyFill="1" applyBorder="1" applyAlignment="1">
      <alignment horizontal="center" vertical="center" wrapText="1"/>
    </xf>
    <xf numFmtId="0" fontId="8" fillId="2" borderId="5" xfId="4" applyFont="1" applyFill="1" applyBorder="1" applyAlignment="1">
      <alignment horizontal="center" vertical="center" wrapText="1"/>
    </xf>
    <xf numFmtId="0" fontId="13" fillId="0" borderId="4" xfId="4" applyFont="1" applyBorder="1" applyAlignment="1">
      <alignment horizontal="left" wrapText="1"/>
    </xf>
    <xf numFmtId="0" fontId="11" fillId="0" borderId="5" xfId="4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1" fillId="0" borderId="0" xfId="0" applyFont="1" applyAlignment="1">
      <alignment horizontal="center"/>
    </xf>
    <xf numFmtId="0" fontId="6" fillId="0" borderId="1" xfId="8" applyFont="1" applyFill="1" applyBorder="1" applyAlignment="1">
      <alignment horizontal="center"/>
    </xf>
    <xf numFmtId="0" fontId="6" fillId="0" borderId="6" xfId="8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2" xfId="8" applyFont="1" applyFill="1" applyBorder="1" applyAlignment="1">
      <alignment horizontal="left"/>
    </xf>
    <xf numFmtId="0" fontId="7" fillId="0" borderId="0" xfId="8" applyFont="1" applyFill="1" applyBorder="1" applyAlignment="1">
      <alignment horizontal="left"/>
    </xf>
    <xf numFmtId="0" fontId="7" fillId="0" borderId="2" xfId="8" applyFont="1" applyFill="1" applyBorder="1" applyAlignment="1">
      <alignment horizontal="left" wrapText="1"/>
    </xf>
    <xf numFmtId="0" fontId="7" fillId="0" borderId="0" xfId="8" applyFont="1" applyFill="1" applyBorder="1" applyAlignment="1">
      <alignment horizontal="left" wrapText="1"/>
    </xf>
    <xf numFmtId="0" fontId="48" fillId="7" borderId="34" xfId="0" applyFont="1" applyFill="1" applyBorder="1" applyAlignment="1">
      <alignment horizontal="center"/>
    </xf>
    <xf numFmtId="168" fontId="9" fillId="2" borderId="35" xfId="104" applyNumberFormat="1" applyFont="1" applyFill="1" applyBorder="1" applyAlignment="1">
      <alignment horizontal="center" vertical="distributed" wrapText="1"/>
    </xf>
    <xf numFmtId="168" fontId="9" fillId="2" borderId="36" xfId="104" applyNumberFormat="1" applyFont="1" applyFill="1" applyBorder="1" applyAlignment="1">
      <alignment horizontal="center" vertical="distributed" wrapText="1"/>
    </xf>
    <xf numFmtId="168" fontId="9" fillId="2" borderId="2" xfId="104" applyNumberFormat="1" applyFont="1" applyFill="1" applyBorder="1" applyAlignment="1">
      <alignment horizontal="center" vertical="distributed" wrapText="1"/>
    </xf>
    <xf numFmtId="168" fontId="9" fillId="2" borderId="3" xfId="104" applyNumberFormat="1" applyFont="1" applyFill="1" applyBorder="1" applyAlignment="1">
      <alignment horizontal="center" vertical="distributed" wrapText="1"/>
    </xf>
    <xf numFmtId="168" fontId="9" fillId="2" borderId="41" xfId="104" applyNumberFormat="1" applyFont="1" applyFill="1" applyBorder="1" applyAlignment="1">
      <alignment horizontal="center" vertical="distributed" wrapText="1"/>
    </xf>
    <xf numFmtId="168" fontId="9" fillId="2" borderId="42" xfId="104" applyNumberFormat="1" applyFont="1" applyFill="1" applyBorder="1" applyAlignment="1">
      <alignment horizontal="center" vertical="distributed" wrapText="1"/>
    </xf>
    <xf numFmtId="165" fontId="9" fillId="2" borderId="37" xfId="104" applyFont="1" applyFill="1" applyBorder="1" applyAlignment="1">
      <alignment horizontal="left" vertical="distributed" wrapText="1"/>
    </xf>
    <xf numFmtId="165" fontId="9" fillId="2" borderId="38" xfId="104" applyFont="1" applyFill="1" applyBorder="1" applyAlignment="1">
      <alignment horizontal="left" vertical="distributed" wrapText="1"/>
    </xf>
    <xf numFmtId="165" fontId="9" fillId="2" borderId="39" xfId="104" applyFont="1" applyFill="1" applyBorder="1" applyAlignment="1">
      <alignment horizontal="left" vertical="distributed" wrapText="1"/>
    </xf>
    <xf numFmtId="0" fontId="9" fillId="8" borderId="34" xfId="104" applyNumberFormat="1" applyFont="1" applyFill="1" applyBorder="1" applyAlignment="1">
      <alignment horizontal="justify" vertical="distributed" wrapText="1"/>
    </xf>
    <xf numFmtId="165" fontId="9" fillId="2" borderId="35" xfId="104" applyFont="1" applyFill="1" applyBorder="1" applyAlignment="1">
      <alignment horizontal="center" vertical="distributed" wrapText="1"/>
    </xf>
    <xf numFmtId="165" fontId="9" fillId="2" borderId="36" xfId="104" applyFont="1" applyFill="1" applyBorder="1" applyAlignment="1">
      <alignment horizontal="center" vertical="distributed" wrapText="1"/>
    </xf>
    <xf numFmtId="165" fontId="9" fillId="2" borderId="41" xfId="104" applyFont="1" applyFill="1" applyBorder="1" applyAlignment="1">
      <alignment horizontal="center" vertical="distributed" wrapText="1"/>
    </xf>
    <xf numFmtId="165" fontId="9" fillId="2" borderId="42" xfId="104" applyFont="1" applyFill="1" applyBorder="1" applyAlignment="1">
      <alignment horizontal="center" vertical="distributed" wrapText="1"/>
    </xf>
    <xf numFmtId="165" fontId="9" fillId="9" borderId="40" xfId="104" applyFont="1" applyFill="1" applyBorder="1" applyAlignment="1">
      <alignment horizontal="center" vertical="distributed" wrapText="1"/>
    </xf>
    <xf numFmtId="165" fontId="9" fillId="9" borderId="43" xfId="104" applyFont="1" applyFill="1" applyBorder="1" applyAlignment="1">
      <alignment horizontal="center" vertical="distributed" wrapText="1"/>
    </xf>
    <xf numFmtId="165" fontId="9" fillId="2" borderId="34" xfId="104" applyFont="1" applyFill="1" applyBorder="1" applyAlignment="1">
      <alignment horizontal="justify" vertical="distributed" wrapText="1"/>
    </xf>
    <xf numFmtId="0" fontId="45" fillId="6" borderId="15" xfId="0" applyFont="1" applyFill="1" applyBorder="1" applyAlignment="1">
      <alignment horizontal="center"/>
    </xf>
    <xf numFmtId="0" fontId="45" fillId="6" borderId="16" xfId="0" applyFont="1" applyFill="1" applyBorder="1" applyAlignment="1">
      <alignment horizontal="center"/>
    </xf>
    <xf numFmtId="0" fontId="45" fillId="6" borderId="28" xfId="0" applyFont="1" applyFill="1" applyBorder="1" applyAlignment="1">
      <alignment horizontal="center"/>
    </xf>
    <xf numFmtId="4" fontId="47" fillId="0" borderId="29" xfId="0" applyNumberFormat="1" applyFont="1" applyBorder="1" applyAlignment="1">
      <alignment horizontal="left" vertical="top" wrapText="1"/>
    </xf>
    <xf numFmtId="4" fontId="47" fillId="0" borderId="14" xfId="0" applyNumberFormat="1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30" xfId="0" applyFont="1" applyBorder="1" applyAlignment="1">
      <alignment horizontal="left" vertical="top" wrapText="1"/>
    </xf>
    <xf numFmtId="4" fontId="47" fillId="0" borderId="31" xfId="0" applyNumberFormat="1" applyFont="1" applyBorder="1" applyAlignment="1">
      <alignment horizontal="left" vertical="top" wrapText="1"/>
    </xf>
    <xf numFmtId="4" fontId="47" fillId="0" borderId="0" xfId="0" applyNumberFormat="1" applyFont="1" applyAlignment="1">
      <alignment horizontal="left" vertical="top" wrapText="1"/>
    </xf>
    <xf numFmtId="4" fontId="47" fillId="0" borderId="32" xfId="0" applyNumberFormat="1" applyFont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33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165" fontId="9" fillId="0" borderId="35" xfId="104" applyFont="1" applyFill="1" applyBorder="1" applyAlignment="1">
      <alignment horizontal="center" vertical="distributed" wrapText="1"/>
    </xf>
    <xf numFmtId="165" fontId="9" fillId="0" borderId="36" xfId="104" applyFont="1" applyFill="1" applyBorder="1" applyAlignment="1">
      <alignment horizontal="center" vertical="distributed" wrapText="1"/>
    </xf>
    <xf numFmtId="165" fontId="9" fillId="0" borderId="41" xfId="104" applyFont="1" applyFill="1" applyBorder="1" applyAlignment="1">
      <alignment horizontal="center" vertical="distributed" wrapText="1"/>
    </xf>
    <xf numFmtId="165" fontId="9" fillId="0" borderId="42" xfId="104" applyFont="1" applyFill="1" applyBorder="1" applyAlignment="1">
      <alignment horizontal="center" vertical="distributed" wrapText="1"/>
    </xf>
    <xf numFmtId="0" fontId="32" fillId="0" borderId="45" xfId="32" applyFont="1" applyBorder="1" applyAlignment="1">
      <alignment horizontal="center"/>
    </xf>
    <xf numFmtId="0" fontId="32" fillId="0" borderId="46" xfId="32" applyFont="1" applyBorder="1" applyAlignment="1">
      <alignment horizontal="center"/>
    </xf>
    <xf numFmtId="0" fontId="32" fillId="0" borderId="47" xfId="32" applyFont="1" applyBorder="1" applyAlignment="1">
      <alignment horizontal="center"/>
    </xf>
    <xf numFmtId="0" fontId="32" fillId="0" borderId="0" xfId="32" applyFont="1" applyAlignment="1">
      <alignment horizontal="center"/>
    </xf>
    <xf numFmtId="0" fontId="7" fillId="0" borderId="0" xfId="32" applyFont="1" applyAlignment="1">
      <alignment horizontal="left" vertical="center" wrapText="1"/>
    </xf>
    <xf numFmtId="0" fontId="13" fillId="6" borderId="5" xfId="0" applyFont="1" applyFill="1" applyBorder="1" applyAlignment="1">
      <alignment horizontal="center" vertical="center"/>
    </xf>
    <xf numFmtId="0" fontId="8" fillId="6" borderId="27" xfId="32" applyFont="1" applyFill="1" applyBorder="1" applyAlignment="1">
      <alignment horizontal="center" vertical="top"/>
    </xf>
    <xf numFmtId="0" fontId="13" fillId="13" borderId="57" xfId="32" applyFont="1" applyFill="1" applyBorder="1" applyAlignment="1">
      <alignment horizontal="center" vertical="center"/>
    </xf>
    <xf numFmtId="166" fontId="13" fillId="13" borderId="58" xfId="27" applyNumberFormat="1" applyFont="1" applyFill="1" applyBorder="1" applyAlignment="1">
      <alignment horizontal="center" vertical="center"/>
    </xf>
    <xf numFmtId="166" fontId="13" fillId="13" borderId="59" xfId="27" applyNumberFormat="1" applyFont="1" applyFill="1" applyBorder="1" applyAlignment="1">
      <alignment horizontal="center" vertical="center"/>
    </xf>
    <xf numFmtId="0" fontId="6" fillId="6" borderId="50" xfId="32" applyFont="1" applyFill="1" applyBorder="1" applyAlignment="1">
      <alignment horizontal="center"/>
    </xf>
    <xf numFmtId="0" fontId="6" fillId="6" borderId="51" xfId="32" applyFont="1" applyFill="1" applyBorder="1" applyAlignment="1">
      <alignment horizontal="center"/>
    </xf>
    <xf numFmtId="0" fontId="8" fillId="0" borderId="0" xfId="32" applyFont="1" applyAlignment="1">
      <alignment horizontal="left" wrapText="1"/>
    </xf>
    <xf numFmtId="0" fontId="9" fillId="13" borderId="52" xfId="32" applyFont="1" applyFill="1" applyBorder="1" applyAlignment="1">
      <alignment horizontal="center" vertical="center"/>
    </xf>
    <xf numFmtId="0" fontId="9" fillId="13" borderId="53" xfId="32" applyFont="1" applyFill="1" applyBorder="1" applyAlignment="1">
      <alignment horizontal="center" vertical="center"/>
    </xf>
    <xf numFmtId="0" fontId="9" fillId="13" borderId="60" xfId="32" applyFont="1" applyFill="1" applyBorder="1" applyAlignment="1">
      <alignment horizontal="center" vertical="center"/>
    </xf>
    <xf numFmtId="0" fontId="9" fillId="13" borderId="53" xfId="32" applyFont="1" applyFill="1" applyBorder="1" applyAlignment="1">
      <alignment horizontal="center" vertical="center" wrapText="1"/>
    </xf>
    <xf numFmtId="0" fontId="9" fillId="13" borderId="60" xfId="32" applyFont="1" applyFill="1" applyBorder="1" applyAlignment="1">
      <alignment horizontal="center" vertical="center" wrapText="1"/>
    </xf>
    <xf numFmtId="4" fontId="9" fillId="13" borderId="50" xfId="32" applyNumberFormat="1" applyFont="1" applyFill="1" applyBorder="1" applyAlignment="1">
      <alignment horizontal="center"/>
    </xf>
    <xf numFmtId="4" fontId="9" fillId="13" borderId="51" xfId="32" applyNumberFormat="1" applyFont="1" applyFill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26" fillId="0" borderId="0" xfId="31" applyFont="1" applyAlignment="1">
      <alignment horizontal="justify" wrapText="1"/>
    </xf>
    <xf numFmtId="0" fontId="28" fillId="0" borderId="0" xfId="31" applyFont="1" applyAlignment="1">
      <alignment horizontal="justify" wrapText="1"/>
    </xf>
    <xf numFmtId="0" fontId="29" fillId="0" borderId="7" xfId="0" applyFont="1" applyBorder="1" applyAlignment="1">
      <alignment horizontal="left" vertical="justify" wrapText="1"/>
    </xf>
    <xf numFmtId="0" fontId="29" fillId="0" borderId="9" xfId="0" applyFont="1" applyBorder="1" applyAlignment="1">
      <alignment horizontal="left" vertical="justify" wrapText="1"/>
    </xf>
    <xf numFmtId="0" fontId="29" fillId="0" borderId="10" xfId="0" applyFont="1" applyBorder="1" applyAlignment="1">
      <alignment horizontal="left" vertical="justify" wrapText="1"/>
    </xf>
    <xf numFmtId="0" fontId="3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17" fontId="13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7" fillId="0" borderId="8" xfId="0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</cellXfs>
  <cellStyles count="106">
    <cellStyle name="0,0_x000d__x000a_NA_x000d__x000a_" xfId="2"/>
    <cellStyle name="0,0_x000d__x000a_NA_x000d__x000a_ 2" xfId="15"/>
    <cellStyle name="0,0_x000d__x000a_NA_x000d__x000a__QUADRA 3 ALTA" xfId="14"/>
    <cellStyle name="Moeda" xfId="27" builtinId="4"/>
    <cellStyle name="Moeda 2" xfId="3"/>
    <cellStyle name="Moeda 2 2" xfId="16"/>
    <cellStyle name="Moeda 2 3" xfId="37"/>
    <cellStyle name="Moeda 3" xfId="41"/>
    <cellStyle name="Moeda 3 2" xfId="81"/>
    <cellStyle name="Moeda 3 3" xfId="92"/>
    <cellStyle name="Moeda 4" xfId="42"/>
    <cellStyle name="Moeda 5" xfId="43"/>
    <cellStyle name="Moeda 6" xfId="90"/>
    <cellStyle name="Moeda 7" xfId="101"/>
    <cellStyle name="Moeda 8" xfId="72"/>
    <cellStyle name="Normal" xfId="0" builtinId="0"/>
    <cellStyle name="Normal 19" xfId="75"/>
    <cellStyle name="Normal 2" xfId="4"/>
    <cellStyle name="Normal 2 2" xfId="5"/>
    <cellStyle name="Normal 2 3" xfId="17"/>
    <cellStyle name="Normal 2 3 2" xfId="40"/>
    <cellStyle name="Normal 2 3 3" xfId="44"/>
    <cellStyle name="Normal 2 4" xfId="45"/>
    <cellStyle name="Normal 2 5" xfId="74"/>
    <cellStyle name="Normal 3" xfId="6"/>
    <cellStyle name="Normal 3 2" xfId="29"/>
    <cellStyle name="Normal 3 2 2" xfId="46"/>
    <cellStyle name="Normal 3 2 3" xfId="47"/>
    <cellStyle name="Normal 3 3" xfId="31"/>
    <cellStyle name="Normal 4" xfId="7"/>
    <cellStyle name="Normal 4 2" xfId="18"/>
    <cellStyle name="Normal 4 2 2" xfId="49"/>
    <cellStyle name="Normal 4 2 3" xfId="48"/>
    <cellStyle name="Normal 4 3" xfId="50"/>
    <cellStyle name="Normal 4 4" xfId="38"/>
    <cellStyle name="Normal 5" xfId="1"/>
    <cellStyle name="Normal 5 2" xfId="19"/>
    <cellStyle name="Normal 5 2 2" xfId="52"/>
    <cellStyle name="Normal 5 3" xfId="53"/>
    <cellStyle name="Normal 5 4" xfId="51"/>
    <cellStyle name="Normal 6" xfId="26"/>
    <cellStyle name="Normal 6 2" xfId="54"/>
    <cellStyle name="Normal 7" xfId="55"/>
    <cellStyle name="Normal 7 2" xfId="56"/>
    <cellStyle name="Normal 7 3" xfId="79"/>
    <cellStyle name="Normal 7 4" xfId="103"/>
    <cellStyle name="Normal 8" xfId="57"/>
    <cellStyle name="Normal_cronograma 6 meses 2" xfId="8"/>
    <cellStyle name="Normal_cronograma 6 meses 2 2" xfId="32"/>
    <cellStyle name="Porcentagem" xfId="28" builtinId="5"/>
    <cellStyle name="Porcentagem 2" xfId="9"/>
    <cellStyle name="Porcentagem 2 2" xfId="20"/>
    <cellStyle name="Porcentagem 2 2 2" xfId="59"/>
    <cellStyle name="Porcentagem 2 2 3" xfId="58"/>
    <cellStyle name="Porcentagem 2 3" xfId="34"/>
    <cellStyle name="Porcentagem 3" xfId="30"/>
    <cellStyle name="Porcentagem 7" xfId="76"/>
    <cellStyle name="Separador de milhares 2" xfId="10"/>
    <cellStyle name="Separador de milhares 2 2" xfId="11"/>
    <cellStyle name="Separador de milhares 2 2 2" xfId="21"/>
    <cellStyle name="Separador de milhares 2 2 2 2" xfId="62"/>
    <cellStyle name="Separador de milhares 2 2 2 2 2" xfId="82"/>
    <cellStyle name="Separador de milhares 2 2 2 2 3" xfId="93"/>
    <cellStyle name="Separador de milhares 2 2 2 3" xfId="61"/>
    <cellStyle name="Separador de milhares 2 2 3" xfId="60"/>
    <cellStyle name="Separador de milhares 2 3" xfId="22"/>
    <cellStyle name="Separador de milhares 2 4" xfId="35"/>
    <cellStyle name="Separador de milhares 3" xfId="12"/>
    <cellStyle name="Separador de milhares 3 2" xfId="23"/>
    <cellStyle name="Separador de milhares 3 2 2" xfId="63"/>
    <cellStyle name="Separador de milhares 3 3" xfId="64"/>
    <cellStyle name="Separador de milhares 3 3 2" xfId="83"/>
    <cellStyle name="Separador de milhares 3 3 3" xfId="94"/>
    <cellStyle name="Separador de milhares 3 4" xfId="33"/>
    <cellStyle name="Separador de milhares 4" xfId="65"/>
    <cellStyle name="Separador de milhares 4 2" xfId="66"/>
    <cellStyle name="Separador de milhares 4 2 2" xfId="85"/>
    <cellStyle name="Separador de milhares 4 2 3" xfId="96"/>
    <cellStyle name="Separador de milhares 4 3" xfId="67"/>
    <cellStyle name="Separador de milhares 4 4" xfId="77"/>
    <cellStyle name="Separador de milhares 4 5" xfId="84"/>
    <cellStyle name="Separador de milhares 4 6" xfId="95"/>
    <cellStyle name="Separador de milhares 5" xfId="68"/>
    <cellStyle name="Separador de milhares 5 2" xfId="86"/>
    <cellStyle name="Separador de milhares 5 3" xfId="97"/>
    <cellStyle name="Vírgula" xfId="105" builtinId="3"/>
    <cellStyle name="Vírgula 2" xfId="13"/>
    <cellStyle name="Vírgula 2 2" xfId="25"/>
    <cellStyle name="Vírgula 2 2 2" xfId="73"/>
    <cellStyle name="Vírgula 2 2 3" xfId="39"/>
    <cellStyle name="Vírgula 2 3" xfId="69"/>
    <cellStyle name="Vírgula 2 3 2" xfId="87"/>
    <cellStyle name="Vírgula 2 3 3" xfId="98"/>
    <cellStyle name="Vírgula 2 4" xfId="36"/>
    <cellStyle name="Vírgula 2 5" xfId="104"/>
    <cellStyle name="Vírgula 3" xfId="24"/>
    <cellStyle name="Vírgula 3 2" xfId="88"/>
    <cellStyle name="Vírgula 3 3" xfId="99"/>
    <cellStyle name="Vírgula 3 4" xfId="70"/>
    <cellStyle name="Vírgula 4" xfId="71"/>
    <cellStyle name="Vírgula 4 2" xfId="80"/>
    <cellStyle name="Vírgula 4 3" xfId="89"/>
    <cellStyle name="Vírgula 4 4" xfId="100"/>
    <cellStyle name="Vírgula 5" xfId="91"/>
    <cellStyle name="Vírgula 6" xfId="102"/>
    <cellStyle name="Vírgula 7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69</xdr:row>
      <xdr:rowOff>11301</xdr:rowOff>
    </xdr:from>
    <xdr:to>
      <xdr:col>1</xdr:col>
      <xdr:colOff>4000501</xdr:colOff>
      <xdr:row>72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133351" y="12401421"/>
          <a:ext cx="3943350" cy="6668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1</xdr:col>
      <xdr:colOff>581025</xdr:colOff>
      <xdr:row>69</xdr:row>
      <xdr:rowOff>19050</xdr:rowOff>
    </xdr:from>
    <xdr:to>
      <xdr:col>1</xdr:col>
      <xdr:colOff>3190875</xdr:colOff>
      <xdr:row>72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/>
      </xdr:nvSpPr>
      <xdr:spPr>
        <a:xfrm>
          <a:off x="657225" y="12409170"/>
          <a:ext cx="2609850" cy="60198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457200</xdr:colOff>
      <xdr:row>69</xdr:row>
      <xdr:rowOff>0</xdr:rowOff>
    </xdr:from>
    <xdr:to>
      <xdr:col>1</xdr:col>
      <xdr:colOff>3415393</xdr:colOff>
      <xdr:row>72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/>
      </xdr:nvSpPr>
      <xdr:spPr>
        <a:xfrm>
          <a:off x="533400" y="12390120"/>
          <a:ext cx="2958193" cy="66865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1876425</xdr:colOff>
      <xdr:row>70</xdr:row>
      <xdr:rowOff>95250</xdr:rowOff>
    </xdr:from>
    <xdr:to>
      <xdr:col>1</xdr:col>
      <xdr:colOff>2333625</xdr:colOff>
      <xdr:row>72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/>
      </xdr:nvSpPr>
      <xdr:spPr>
        <a:xfrm>
          <a:off x="1952625" y="12660630"/>
          <a:ext cx="457200" cy="31241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1571624</xdr:colOff>
      <xdr:row>70</xdr:row>
      <xdr:rowOff>57150</xdr:rowOff>
    </xdr:from>
    <xdr:to>
      <xdr:col>1</xdr:col>
      <xdr:colOff>2419349</xdr:colOff>
      <xdr:row>72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SpPr/>
      </xdr:nvSpPr>
      <xdr:spPr>
        <a:xfrm>
          <a:off x="1647824" y="12622530"/>
          <a:ext cx="847725" cy="43624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42</xdr:row>
          <xdr:rowOff>0</xdr:rowOff>
        </xdr:from>
        <xdr:to>
          <xdr:col>1</xdr:col>
          <xdr:colOff>4667250</xdr:colOff>
          <xdr:row>46</xdr:row>
          <xdr:rowOff>9525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NANDO/Downloads/Sec.%20Direitos%20Humanos/Ger&#234;ncia%20de%20Projetos/UFRPE/44.003%20-%20Pr&#233;dio%20de%206%20pavimentos/CD%20-%20VERS&#195;O%20FINAL25-09-07/PR&#201;DIO%20DE%206%20PAVIMENTOS/OR&#199;AMENTOS/orca-elet-refinaria%20por%20blo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&#225;rio/Desktop/PML/OBRAS/ESCOLAS/ESCOLA%20OTAVIANO%20BAS&#205;LIO/PROJETO%20B&#193;SICO%20REFORMA%20-%20OTAVIANO%20BAS&#205;LIO%20R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efeitura%20de%20Limoeiro\REFORMAS%20NAS%20ESCOLAS%20MUNICIPAIS\PROJETO%20B&#193;SICO%20-%20REFORMA%20ESCOLAS_REV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&#225;rio/Desktop/PML/OBRAS/RODOVI&#193;RIA/LICITA&#199;&#195;O/RODOVI&#193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"/>
      <sheetName val="Memória de cálculo"/>
      <sheetName val="Composição"/>
      <sheetName val="CRONOGRAMA"/>
      <sheetName val="COMP_BDI_EDIFICACOES_23,38%_SEM"/>
      <sheetName val="COTAÇÕES"/>
    </sheetNames>
    <sheetDataSet>
      <sheetData sheetId="0" refreshError="1"/>
      <sheetData sheetId="1" refreshError="1"/>
      <sheetData sheetId="2" refreshError="1">
        <row r="130">
          <cell r="D130" t="str">
            <v>M3</v>
          </cell>
        </row>
      </sheetData>
      <sheetData sheetId="3" refreshError="1"/>
      <sheetData sheetId="4" refreshError="1"/>
      <sheetData sheetId="5" refreshError="1">
        <row r="116">
          <cell r="F116">
            <v>49.02</v>
          </cell>
        </row>
        <row r="127">
          <cell r="F127">
            <v>51.84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"/>
      <sheetName val="Memória de cálculo"/>
      <sheetName val="Composição"/>
      <sheetName val="CRONOGRAMA"/>
      <sheetName val="COMP_BDI_EDIFICACOES_23,38%_SEM"/>
    </sheetNames>
    <sheetDataSet>
      <sheetData sheetId="0">
        <row r="7">
          <cell r="A7" t="str">
            <v>1.0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_BDI_EDIFICACOES_26,53%_COM"/>
      <sheetName val="(PLANILHA GERAL COM DESON)"/>
      <sheetName val="ORÇAMENTO COM DESON"/>
      <sheetName val="COMPOSICOES - SINAPI COM DESON"/>
      <sheetName val="CRONOGRAMA"/>
      <sheetName val="ORÇAMENTO SEM DESON"/>
      <sheetName val="MEMORIA DE CALCULO"/>
      <sheetName val="COMPOSICOES - SINAPI SEM DESON"/>
      <sheetName val="RESUMO SEM DESON"/>
      <sheetName val="COMP_BDI_EDIFICACOES_20,50%_S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8"/>
  <sheetViews>
    <sheetView view="pageBreakPreview" zoomScaleNormal="100" zoomScaleSheetLayoutView="100" workbookViewId="0">
      <selection activeCell="D139" sqref="D139"/>
    </sheetView>
  </sheetViews>
  <sheetFormatPr defaultColWidth="9.140625" defaultRowHeight="15"/>
  <cols>
    <col min="1" max="1" width="9.140625" style="52"/>
    <col min="2" max="2" width="11.28515625" style="52" customWidth="1"/>
    <col min="3" max="3" width="19.42578125" style="52" customWidth="1"/>
    <col min="4" max="4" width="55.5703125" style="52" customWidth="1"/>
    <col min="5" max="5" width="7.42578125" style="52" customWidth="1"/>
    <col min="6" max="6" width="10.5703125" style="52" customWidth="1"/>
    <col min="7" max="9" width="9.140625" style="52"/>
    <col min="10" max="10" width="9" style="52" customWidth="1"/>
    <col min="11" max="11" width="20.85546875" style="52" customWidth="1"/>
    <col min="12" max="12" width="9.140625" style="52" hidden="1" customWidth="1"/>
    <col min="13" max="13" width="17" style="52" bestFit="1" customWidth="1"/>
    <col min="14" max="16384" width="9.140625" style="52"/>
  </cols>
  <sheetData>
    <row r="1" spans="1:13" ht="30" customHeight="1">
      <c r="A1" s="379" t="s">
        <v>955</v>
      </c>
      <c r="B1" s="379"/>
      <c r="C1" s="379"/>
      <c r="D1" s="379"/>
      <c r="E1" s="379"/>
      <c r="F1" s="379"/>
      <c r="G1" s="379"/>
      <c r="H1" s="379"/>
      <c r="I1" s="379"/>
      <c r="J1" s="379"/>
    </row>
    <row r="2" spans="1:13" ht="18" customHeight="1">
      <c r="A2" s="379" t="s">
        <v>56</v>
      </c>
      <c r="B2" s="379"/>
      <c r="C2" s="379"/>
      <c r="D2" s="379"/>
      <c r="E2" s="379"/>
      <c r="F2" s="379"/>
      <c r="G2" s="379"/>
      <c r="H2" s="379"/>
      <c r="I2" s="379"/>
      <c r="J2" s="379"/>
    </row>
    <row r="3" spans="1:13" ht="19.149999999999999" customHeight="1">
      <c r="A3" s="386" t="s">
        <v>1147</v>
      </c>
      <c r="B3" s="387"/>
      <c r="C3" s="387"/>
      <c r="D3" s="387"/>
      <c r="E3" s="387"/>
      <c r="F3" s="388"/>
      <c r="G3" s="392" t="s">
        <v>53</v>
      </c>
      <c r="H3" s="392"/>
      <c r="I3" s="381">
        <f>'COMP_BDI_EDIFICACOES_23,38%_SEM'!D37</f>
        <v>0.2036</v>
      </c>
      <c r="J3" s="381"/>
    </row>
    <row r="4" spans="1:13">
      <c r="A4" s="389"/>
      <c r="B4" s="390"/>
      <c r="C4" s="390"/>
      <c r="D4" s="390"/>
      <c r="E4" s="390"/>
      <c r="F4" s="391"/>
      <c r="G4" s="392"/>
      <c r="H4" s="392"/>
      <c r="I4" s="381"/>
      <c r="J4" s="381"/>
    </row>
    <row r="5" spans="1:13" ht="17.45" customHeight="1">
      <c r="A5" s="385" t="s">
        <v>0</v>
      </c>
      <c r="B5" s="393"/>
      <c r="C5" s="385" t="s">
        <v>5</v>
      </c>
      <c r="D5" s="385" t="s">
        <v>6</v>
      </c>
      <c r="E5" s="385" t="s">
        <v>7</v>
      </c>
      <c r="F5" s="384" t="s">
        <v>8</v>
      </c>
      <c r="G5" s="383" t="s">
        <v>9</v>
      </c>
      <c r="H5" s="383"/>
      <c r="I5" s="384" t="s">
        <v>10</v>
      </c>
      <c r="J5" s="384"/>
    </row>
    <row r="6" spans="1:13" ht="17.45" customHeight="1">
      <c r="A6" s="385"/>
      <c r="B6" s="394"/>
      <c r="C6" s="385"/>
      <c r="D6" s="385"/>
      <c r="E6" s="385"/>
      <c r="F6" s="384"/>
      <c r="G6" s="60" t="s">
        <v>54</v>
      </c>
      <c r="H6" s="60" t="s">
        <v>55</v>
      </c>
      <c r="I6" s="60" t="s">
        <v>54</v>
      </c>
      <c r="J6" s="60" t="s">
        <v>55</v>
      </c>
    </row>
    <row r="7" spans="1:13">
      <c r="A7" s="53" t="s">
        <v>97</v>
      </c>
      <c r="B7" s="53"/>
      <c r="C7" s="53"/>
      <c r="D7" s="59" t="s">
        <v>76</v>
      </c>
      <c r="E7" s="54"/>
      <c r="F7" s="51"/>
      <c r="G7" s="55"/>
      <c r="H7" s="55"/>
      <c r="I7" s="55"/>
      <c r="J7" s="55">
        <f>SUM(J8:J10)</f>
        <v>44965.730510399997</v>
      </c>
      <c r="M7" s="370">
        <f>100%-M10</f>
        <v>1.8443675861291364E-2</v>
      </c>
    </row>
    <row r="8" spans="1:13" ht="22.5">
      <c r="A8" s="56" t="s">
        <v>4</v>
      </c>
      <c r="B8" s="56" t="s">
        <v>93</v>
      </c>
      <c r="C8" s="67">
        <v>4813</v>
      </c>
      <c r="D8" s="74" t="s">
        <v>81</v>
      </c>
      <c r="E8" s="66" t="s">
        <v>149</v>
      </c>
      <c r="F8" s="70">
        <f>'Memória de cálculo'!H8</f>
        <v>1</v>
      </c>
      <c r="G8" s="2">
        <v>225</v>
      </c>
      <c r="H8" s="2">
        <f>G8*(1+$I$3)</f>
        <v>270.81</v>
      </c>
      <c r="I8" s="2">
        <f t="shared" ref="I8:I34" si="0">ROUND(F8*G8,2)</f>
        <v>225</v>
      </c>
      <c r="J8" s="61">
        <f>H8*F8</f>
        <v>270.81</v>
      </c>
      <c r="K8" s="69"/>
    </row>
    <row r="9" spans="1:13">
      <c r="A9" s="56" t="s">
        <v>63</v>
      </c>
      <c r="B9" s="56" t="s">
        <v>140</v>
      </c>
      <c r="C9" s="67">
        <f>COMPOSIÇÕES!A9</f>
        <v>1</v>
      </c>
      <c r="D9" s="91" t="str">
        <f>COMPOSIÇÕES!D9</f>
        <v>ADMINISTRAÇÃO LOCAL DE OBRA</v>
      </c>
      <c r="E9" s="66" t="str">
        <f>COMPOSIÇÕES!E9</f>
        <v>MÊS</v>
      </c>
      <c r="F9" s="70">
        <f>'Memória de cálculo'!H9</f>
        <v>12</v>
      </c>
      <c r="G9" s="70">
        <f>COMPOSIÇÕES!J9</f>
        <v>3055.8599999999997</v>
      </c>
      <c r="H9" s="2">
        <f>G9*(1+$I$3)</f>
        <v>3678.0330959999997</v>
      </c>
      <c r="I9" s="2">
        <f t="shared" ref="I9" si="1">ROUND(F9*G9,2)</f>
        <v>36670.32</v>
      </c>
      <c r="J9" s="296">
        <f>H9*F9</f>
        <v>44136.397151999998</v>
      </c>
      <c r="K9" s="69">
        <f>J7</f>
        <v>44965.730510399997</v>
      </c>
      <c r="M9" s="290">
        <v>1</v>
      </c>
    </row>
    <row r="10" spans="1:13">
      <c r="A10" s="56" t="s">
        <v>858</v>
      </c>
      <c r="B10" s="106" t="s">
        <v>146</v>
      </c>
      <c r="C10" s="67" t="s">
        <v>859</v>
      </c>
      <c r="D10" s="91" t="s">
        <v>860</v>
      </c>
      <c r="E10" s="66" t="s">
        <v>149</v>
      </c>
      <c r="F10" s="70">
        <f>'Memória de cálculo'!H12</f>
        <v>1657.3</v>
      </c>
      <c r="G10" s="70">
        <v>0.28000000000000003</v>
      </c>
      <c r="H10" s="2">
        <f>G10*(1+$I$3)</f>
        <v>0.33700800000000003</v>
      </c>
      <c r="I10" s="2">
        <f t="shared" ref="I10" si="2">ROUND(F10*G10,2)</f>
        <v>464.04</v>
      </c>
      <c r="J10" s="296">
        <f>H10*F10</f>
        <v>558.52335840000001</v>
      </c>
      <c r="K10" s="69">
        <f>J9</f>
        <v>44136.397151999998</v>
      </c>
      <c r="M10" s="369">
        <f>(K10*M9)/K9</f>
        <v>0.98155632413870864</v>
      </c>
    </row>
    <row r="11" spans="1:13">
      <c r="A11" s="53" t="s">
        <v>75</v>
      </c>
      <c r="B11" s="53"/>
      <c r="C11" s="53"/>
      <c r="D11" s="59" t="s">
        <v>131</v>
      </c>
      <c r="E11" s="54"/>
      <c r="F11" s="51"/>
      <c r="G11" s="55"/>
      <c r="H11" s="55"/>
      <c r="I11" s="55"/>
      <c r="J11" s="55">
        <f>SUM(J12:J26)</f>
        <v>253855.85642016001</v>
      </c>
      <c r="K11" s="69"/>
      <c r="M11" s="291">
        <f>M10/12</f>
        <v>8.1796360344892391E-2</v>
      </c>
    </row>
    <row r="12" spans="1:13" ht="22.5">
      <c r="A12" s="174" t="s">
        <v>139</v>
      </c>
      <c r="B12" s="106" t="s">
        <v>93</v>
      </c>
      <c r="C12" s="67">
        <v>97647</v>
      </c>
      <c r="D12" s="68" t="s">
        <v>132</v>
      </c>
      <c r="E12" s="66" t="s">
        <v>149</v>
      </c>
      <c r="F12" s="175">
        <f>'Memória de cálculo'!H20</f>
        <v>521.30999999999995</v>
      </c>
      <c r="G12" s="108">
        <v>2.85</v>
      </c>
      <c r="H12" s="108">
        <f>G12*(1+$I$3)</f>
        <v>3.4302600000000001</v>
      </c>
      <c r="I12" s="108">
        <f t="shared" ref="I12:I25" si="3">ROUND(F12*G12,2)</f>
        <v>1485.73</v>
      </c>
      <c r="J12" s="116">
        <f>H12*F12</f>
        <v>1788.2288405999998</v>
      </c>
      <c r="K12" s="69"/>
      <c r="M12" s="290"/>
    </row>
    <row r="13" spans="1:13" ht="22.5">
      <c r="A13" s="174" t="s">
        <v>77</v>
      </c>
      <c r="B13" s="106" t="s">
        <v>93</v>
      </c>
      <c r="C13" s="67">
        <v>97650</v>
      </c>
      <c r="D13" s="68" t="s">
        <v>133</v>
      </c>
      <c r="E13" s="66" t="s">
        <v>149</v>
      </c>
      <c r="F13" s="175">
        <f>'Memória de cálculo'!H27</f>
        <v>521.30999999999995</v>
      </c>
      <c r="G13" s="108">
        <v>6.13</v>
      </c>
      <c r="H13" s="108">
        <f t="shared" ref="H13:H25" si="4">G13*(1+$I$3)</f>
        <v>7.3780679999999998</v>
      </c>
      <c r="I13" s="108">
        <f t="shared" si="3"/>
        <v>3195.63</v>
      </c>
      <c r="J13" s="116">
        <f t="shared" ref="J13:J26" si="5">H13*F13</f>
        <v>3846.2606290799995</v>
      </c>
      <c r="K13" s="69"/>
    </row>
    <row r="14" spans="1:13" ht="22.5">
      <c r="A14" s="174" t="s">
        <v>78</v>
      </c>
      <c r="B14" s="106" t="s">
        <v>93</v>
      </c>
      <c r="C14" s="67">
        <v>97652</v>
      </c>
      <c r="D14" s="68" t="s">
        <v>134</v>
      </c>
      <c r="E14" s="136" t="s">
        <v>210</v>
      </c>
      <c r="F14" s="175">
        <f>'Memória de cálculo'!H34</f>
        <v>5</v>
      </c>
      <c r="G14" s="108">
        <v>153.93</v>
      </c>
      <c r="H14" s="108">
        <f t="shared" si="4"/>
        <v>185.27014800000001</v>
      </c>
      <c r="I14" s="108">
        <f t="shared" si="3"/>
        <v>769.65</v>
      </c>
      <c r="J14" s="116">
        <f t="shared" si="5"/>
        <v>926.35074000000009</v>
      </c>
      <c r="K14" s="69"/>
    </row>
    <row r="15" spans="1:13">
      <c r="A15" s="174" t="s">
        <v>79</v>
      </c>
      <c r="B15" s="106" t="s">
        <v>146</v>
      </c>
      <c r="C15" s="67" t="s">
        <v>148</v>
      </c>
      <c r="D15" s="68" t="s">
        <v>147</v>
      </c>
      <c r="E15" s="66" t="s">
        <v>149</v>
      </c>
      <c r="F15" s="175">
        <f>'Memória de cálculo'!H41</f>
        <v>452.15999999999997</v>
      </c>
      <c r="G15" s="175">
        <v>6.28</v>
      </c>
      <c r="H15" s="108">
        <f t="shared" si="4"/>
        <v>7.5586080000000004</v>
      </c>
      <c r="I15" s="108">
        <f t="shared" si="3"/>
        <v>2839.56</v>
      </c>
      <c r="J15" s="116">
        <f t="shared" si="5"/>
        <v>3417.7001932799999</v>
      </c>
      <c r="K15" s="69"/>
    </row>
    <row r="16" spans="1:13" ht="33.75">
      <c r="A16" s="174" t="s">
        <v>80</v>
      </c>
      <c r="B16" s="106" t="s">
        <v>93</v>
      </c>
      <c r="C16" s="67">
        <v>92553</v>
      </c>
      <c r="D16" s="68" t="s">
        <v>135</v>
      </c>
      <c r="E16" s="136" t="s">
        <v>210</v>
      </c>
      <c r="F16" s="175">
        <f>'Memória de cálculo'!H46</f>
        <v>3</v>
      </c>
      <c r="G16" s="108">
        <v>2588.89</v>
      </c>
      <c r="H16" s="108">
        <f t="shared" si="4"/>
        <v>3115.9880039999998</v>
      </c>
      <c r="I16" s="108">
        <f t="shared" si="3"/>
        <v>7766.67</v>
      </c>
      <c r="J16" s="116">
        <f t="shared" si="5"/>
        <v>9347.9640120000004</v>
      </c>
      <c r="K16" s="69"/>
    </row>
    <row r="17" spans="1:15" ht="33.75">
      <c r="A17" s="174" t="s">
        <v>91</v>
      </c>
      <c r="B17" s="174" t="s">
        <v>93</v>
      </c>
      <c r="C17" s="117">
        <v>92554</v>
      </c>
      <c r="D17" s="180" t="s">
        <v>801</v>
      </c>
      <c r="E17" s="181" t="s">
        <v>210</v>
      </c>
      <c r="F17" s="175">
        <f>'Memória de cálculo'!H50</f>
        <v>2</v>
      </c>
      <c r="G17" s="175">
        <v>2681.75</v>
      </c>
      <c r="H17" s="175">
        <f t="shared" si="4"/>
        <v>3227.7543000000001</v>
      </c>
      <c r="I17" s="175">
        <f t="shared" si="3"/>
        <v>5363.5</v>
      </c>
      <c r="J17" s="116">
        <f t="shared" si="5"/>
        <v>6455.5086000000001</v>
      </c>
      <c r="O17" s="52">
        <f>79.57+206.71</f>
        <v>286.27999999999997</v>
      </c>
    </row>
    <row r="18" spans="1:15">
      <c r="A18" s="174" t="s">
        <v>98</v>
      </c>
      <c r="B18" s="106" t="s">
        <v>146</v>
      </c>
      <c r="C18" s="67" t="s">
        <v>177</v>
      </c>
      <c r="D18" s="74" t="s">
        <v>176</v>
      </c>
      <c r="E18" s="66" t="s">
        <v>149</v>
      </c>
      <c r="F18" s="108">
        <f>'Memória de cálculo'!H57</f>
        <v>378.75000000000006</v>
      </c>
      <c r="G18" s="108">
        <v>111.26</v>
      </c>
      <c r="H18" s="108">
        <f>G18*(1+$I$3)</f>
        <v>133.91253600000002</v>
      </c>
      <c r="I18" s="108">
        <f>ROUND(F18*G18,2)</f>
        <v>42139.73</v>
      </c>
      <c r="J18" s="116">
        <f>H18*F18</f>
        <v>50719.373010000018</v>
      </c>
      <c r="K18" s="69"/>
    </row>
    <row r="19" spans="1:15" ht="45">
      <c r="A19" s="174" t="s">
        <v>102</v>
      </c>
      <c r="B19" s="106" t="s">
        <v>94</v>
      </c>
      <c r="C19" s="67" t="s">
        <v>1152</v>
      </c>
      <c r="D19" s="74" t="s">
        <v>1153</v>
      </c>
      <c r="E19" s="66" t="s">
        <v>149</v>
      </c>
      <c r="F19" s="108">
        <f>'Memória de cálculo'!H60</f>
        <v>5.98</v>
      </c>
      <c r="G19" s="108">
        <v>87.38</v>
      </c>
      <c r="H19" s="108">
        <f>G19*(1+$I$3)</f>
        <v>105.17056799999999</v>
      </c>
      <c r="I19" s="108">
        <f>ROUND(F19*G19,2)</f>
        <v>522.53</v>
      </c>
      <c r="J19" s="116">
        <f>H19*F19</f>
        <v>628.91999664000002</v>
      </c>
      <c r="K19" s="69"/>
    </row>
    <row r="20" spans="1:15" ht="33.75">
      <c r="A20" s="174" t="s">
        <v>119</v>
      </c>
      <c r="B20" s="106" t="s">
        <v>93</v>
      </c>
      <c r="C20" s="67">
        <v>92542</v>
      </c>
      <c r="D20" s="68" t="s">
        <v>136</v>
      </c>
      <c r="E20" s="66" t="s">
        <v>149</v>
      </c>
      <c r="F20" s="175">
        <f>'Memória de cálculo'!H67</f>
        <v>448.71</v>
      </c>
      <c r="G20" s="108">
        <v>87.39</v>
      </c>
      <c r="H20" s="108">
        <f t="shared" si="4"/>
        <v>105.182604</v>
      </c>
      <c r="I20" s="108">
        <f t="shared" si="3"/>
        <v>39212.769999999997</v>
      </c>
      <c r="J20" s="116">
        <f t="shared" si="5"/>
        <v>47196.48624084</v>
      </c>
      <c r="K20" s="69"/>
    </row>
    <row r="21" spans="1:15" ht="22.5">
      <c r="A21" s="174" t="s">
        <v>121</v>
      </c>
      <c r="B21" s="106" t="s">
        <v>93</v>
      </c>
      <c r="C21" s="67">
        <v>94204</v>
      </c>
      <c r="D21" s="68" t="s">
        <v>137</v>
      </c>
      <c r="E21" s="66" t="s">
        <v>149</v>
      </c>
      <c r="F21" s="175">
        <f>'Memória de cálculo'!H70</f>
        <v>448.71</v>
      </c>
      <c r="G21" s="108">
        <v>54.02</v>
      </c>
      <c r="H21" s="108">
        <f t="shared" si="4"/>
        <v>65.018472000000003</v>
      </c>
      <c r="I21" s="108">
        <f t="shared" si="3"/>
        <v>24239.31</v>
      </c>
      <c r="J21" s="116">
        <f t="shared" si="5"/>
        <v>29174.438571120001</v>
      </c>
      <c r="K21" s="69"/>
    </row>
    <row r="22" spans="1:15" ht="45">
      <c r="A22" s="174" t="s">
        <v>160</v>
      </c>
      <c r="B22" s="106" t="s">
        <v>93</v>
      </c>
      <c r="C22" s="67">
        <v>92541</v>
      </c>
      <c r="D22" s="68" t="s">
        <v>802</v>
      </c>
      <c r="E22" s="66" t="s">
        <v>149</v>
      </c>
      <c r="F22" s="175">
        <f>'Memória de cálculo'!H74</f>
        <v>378.75</v>
      </c>
      <c r="G22" s="108">
        <v>72.39</v>
      </c>
      <c r="H22" s="108">
        <f t="shared" si="4"/>
        <v>87.128603999999996</v>
      </c>
      <c r="I22" s="108">
        <f t="shared" si="3"/>
        <v>27417.71</v>
      </c>
      <c r="J22" s="116">
        <f t="shared" si="5"/>
        <v>32999.958764999996</v>
      </c>
      <c r="K22" s="69"/>
    </row>
    <row r="23" spans="1:15" ht="45">
      <c r="A23" s="174" t="s">
        <v>187</v>
      </c>
      <c r="B23" s="106" t="s">
        <v>93</v>
      </c>
      <c r="C23" s="67">
        <v>94210</v>
      </c>
      <c r="D23" s="68" t="s">
        <v>186</v>
      </c>
      <c r="E23" s="66" t="s">
        <v>149</v>
      </c>
      <c r="F23" s="175">
        <f>'Memória de cálculo'!H77</f>
        <v>378.75</v>
      </c>
      <c r="G23" s="175">
        <v>58.88</v>
      </c>
      <c r="H23" s="108">
        <f t="shared" si="4"/>
        <v>70.867968000000005</v>
      </c>
      <c r="I23" s="108">
        <f t="shared" si="3"/>
        <v>22300.799999999999</v>
      </c>
      <c r="J23" s="116">
        <f t="shared" si="5"/>
        <v>26841.242880000002</v>
      </c>
      <c r="K23" s="69"/>
    </row>
    <row r="24" spans="1:15" ht="33.75">
      <c r="A24" s="174" t="s">
        <v>803</v>
      </c>
      <c r="B24" s="106" t="s">
        <v>93</v>
      </c>
      <c r="C24" s="67">
        <v>94221</v>
      </c>
      <c r="D24" s="68" t="s">
        <v>138</v>
      </c>
      <c r="E24" s="136" t="s">
        <v>124</v>
      </c>
      <c r="F24" s="175">
        <f>'Memória de cálculo'!H84</f>
        <v>123.48</v>
      </c>
      <c r="G24" s="108">
        <v>24.56</v>
      </c>
      <c r="H24" s="108">
        <f t="shared" si="4"/>
        <v>29.560416</v>
      </c>
      <c r="I24" s="108">
        <f t="shared" si="3"/>
        <v>3032.67</v>
      </c>
      <c r="J24" s="116">
        <f t="shared" si="5"/>
        <v>3650.1201676800001</v>
      </c>
      <c r="K24" s="69"/>
    </row>
    <row r="25" spans="1:15" ht="33.75">
      <c r="A25" s="174" t="s">
        <v>1018</v>
      </c>
      <c r="B25" s="174" t="s">
        <v>152</v>
      </c>
      <c r="C25" s="117">
        <v>94227</v>
      </c>
      <c r="D25" s="180" t="s">
        <v>804</v>
      </c>
      <c r="E25" s="181" t="s">
        <v>124</v>
      </c>
      <c r="F25" s="175">
        <f>'Memória de cálculo'!H90</f>
        <v>43</v>
      </c>
      <c r="G25" s="175">
        <v>69.3</v>
      </c>
      <c r="H25" s="175">
        <f t="shared" si="4"/>
        <v>83.409480000000002</v>
      </c>
      <c r="I25" s="175">
        <f t="shared" si="3"/>
        <v>2979.9</v>
      </c>
      <c r="J25" s="116">
        <f t="shared" si="5"/>
        <v>3586.6076400000002</v>
      </c>
      <c r="K25" s="69"/>
    </row>
    <row r="26" spans="1:15">
      <c r="A26" s="174" t="s">
        <v>1151</v>
      </c>
      <c r="B26" s="106" t="s">
        <v>152</v>
      </c>
      <c r="C26" s="67">
        <v>96113</v>
      </c>
      <c r="D26" s="74" t="s">
        <v>908</v>
      </c>
      <c r="E26" s="136" t="s">
        <v>149</v>
      </c>
      <c r="F26" s="108">
        <f>'Memória de cálculo'!H103</f>
        <v>865.06999999999994</v>
      </c>
      <c r="G26" s="108">
        <v>31.96</v>
      </c>
      <c r="H26" s="108">
        <f>G26*(1+$I$3)</f>
        <v>38.467055999999999</v>
      </c>
      <c r="I26" s="108">
        <f>ROUND(F26*G26,2)</f>
        <v>27647.64</v>
      </c>
      <c r="J26" s="116">
        <f t="shared" si="5"/>
        <v>33276.696133919999</v>
      </c>
    </row>
    <row r="27" spans="1:15">
      <c r="A27" s="53" t="s">
        <v>101</v>
      </c>
      <c r="B27" s="53"/>
      <c r="C27" s="53"/>
      <c r="D27" s="59" t="s">
        <v>100</v>
      </c>
      <c r="E27" s="54"/>
      <c r="F27" s="51"/>
      <c r="G27" s="55"/>
      <c r="H27" s="55"/>
      <c r="I27" s="55"/>
      <c r="J27" s="55">
        <f>SUM(J28:J37)</f>
        <v>177121.14266567997</v>
      </c>
    </row>
    <row r="28" spans="1:15" ht="22.5">
      <c r="A28" s="56" t="s">
        <v>103</v>
      </c>
      <c r="B28" s="56" t="s">
        <v>93</v>
      </c>
      <c r="C28" s="67">
        <v>96523</v>
      </c>
      <c r="D28" s="91" t="s">
        <v>92</v>
      </c>
      <c r="E28" s="66" t="s">
        <v>145</v>
      </c>
      <c r="F28" s="70">
        <f>'Memória de cálculo'!H115</f>
        <v>17.279999999999998</v>
      </c>
      <c r="G28" s="2">
        <v>82.34</v>
      </c>
      <c r="H28" s="2">
        <f t="shared" ref="H28:H33" si="6">G28*(1+$I$3)</f>
        <v>99.104424000000009</v>
      </c>
      <c r="I28" s="2">
        <f t="shared" si="0"/>
        <v>1422.84</v>
      </c>
      <c r="J28" s="61">
        <f t="shared" ref="J28:J37" si="7">H28*F28</f>
        <v>1712.52444672</v>
      </c>
    </row>
    <row r="29" spans="1:15" ht="22.5">
      <c r="A29" s="56" t="s">
        <v>104</v>
      </c>
      <c r="B29" s="56" t="s">
        <v>93</v>
      </c>
      <c r="C29" s="67">
        <v>96527</v>
      </c>
      <c r="D29" s="91" t="s">
        <v>95</v>
      </c>
      <c r="E29" s="66" t="s">
        <v>145</v>
      </c>
      <c r="F29" s="70">
        <f>'Memória de cálculo'!H125</f>
        <v>39.79</v>
      </c>
      <c r="G29" s="2">
        <v>108.17</v>
      </c>
      <c r="H29" s="2">
        <f t="shared" si="6"/>
        <v>130.193412</v>
      </c>
      <c r="I29" s="2">
        <f t="shared" si="0"/>
        <v>4304.08</v>
      </c>
      <c r="J29" s="296">
        <f t="shared" si="7"/>
        <v>5180.3958634800001</v>
      </c>
    </row>
    <row r="30" spans="1:15" ht="22.5">
      <c r="A30" s="56" t="s">
        <v>105</v>
      </c>
      <c r="B30" s="56" t="s">
        <v>93</v>
      </c>
      <c r="C30" s="67">
        <v>96620</v>
      </c>
      <c r="D30" s="91" t="s">
        <v>1140</v>
      </c>
      <c r="E30" s="66" t="s">
        <v>145</v>
      </c>
      <c r="F30" s="70">
        <f>'Memória de cálculo'!H146</f>
        <v>5.23</v>
      </c>
      <c r="G30" s="2">
        <v>525.13</v>
      </c>
      <c r="H30" s="2">
        <f t="shared" si="6"/>
        <v>632.046468</v>
      </c>
      <c r="I30" s="2">
        <f t="shared" si="0"/>
        <v>2746.43</v>
      </c>
      <c r="J30" s="296">
        <f t="shared" si="7"/>
        <v>3305.6030276400002</v>
      </c>
    </row>
    <row r="31" spans="1:15" ht="33.75">
      <c r="A31" s="56" t="s">
        <v>161</v>
      </c>
      <c r="B31" s="106" t="s">
        <v>94</v>
      </c>
      <c r="C31" s="67" t="s">
        <v>144</v>
      </c>
      <c r="D31" s="86" t="s">
        <v>143</v>
      </c>
      <c r="E31" s="66" t="s">
        <v>145</v>
      </c>
      <c r="F31" s="70">
        <f>'Memória de cálculo'!H166</f>
        <v>41.079999999999991</v>
      </c>
      <c r="G31" s="2">
        <v>1747.99</v>
      </c>
      <c r="H31" s="2">
        <f t="shared" si="6"/>
        <v>2103.880764</v>
      </c>
      <c r="I31" s="2">
        <f t="shared" si="0"/>
        <v>71807.429999999993</v>
      </c>
      <c r="J31" s="296">
        <f t="shared" si="7"/>
        <v>86427.421785119979</v>
      </c>
    </row>
    <row r="32" spans="1:15" ht="33.75">
      <c r="A32" s="56" t="s">
        <v>162</v>
      </c>
      <c r="B32" s="56" t="s">
        <v>93</v>
      </c>
      <c r="C32" s="67">
        <v>98562</v>
      </c>
      <c r="D32" s="74" t="s">
        <v>120</v>
      </c>
      <c r="E32" s="66" t="s">
        <v>149</v>
      </c>
      <c r="F32" s="70">
        <f>'Memória de cálculo'!H177</f>
        <v>420.68</v>
      </c>
      <c r="G32" s="2">
        <v>38.64</v>
      </c>
      <c r="H32" s="2">
        <f t="shared" si="6"/>
        <v>46.507103999999998</v>
      </c>
      <c r="I32" s="2">
        <f t="shared" si="0"/>
        <v>16255.08</v>
      </c>
      <c r="J32" s="296">
        <f t="shared" si="7"/>
        <v>19564.608510719998</v>
      </c>
    </row>
    <row r="33" spans="1:10" ht="22.5">
      <c r="A33" s="56" t="s">
        <v>163</v>
      </c>
      <c r="B33" s="56" t="s">
        <v>146</v>
      </c>
      <c r="C33" s="67" t="s">
        <v>994</v>
      </c>
      <c r="D33" s="74" t="s">
        <v>996</v>
      </c>
      <c r="E33" s="66" t="s">
        <v>149</v>
      </c>
      <c r="F33" s="70">
        <f>'Memória de cálculo'!H188</f>
        <v>271.59999999999997</v>
      </c>
      <c r="G33" s="2">
        <v>111.32</v>
      </c>
      <c r="H33" s="2">
        <f t="shared" si="6"/>
        <v>133.98475199999999</v>
      </c>
      <c r="I33" s="2">
        <f t="shared" si="0"/>
        <v>30234.51</v>
      </c>
      <c r="J33" s="296">
        <f t="shared" si="7"/>
        <v>36390.258643199995</v>
      </c>
    </row>
    <row r="34" spans="1:10">
      <c r="A34" s="56" t="s">
        <v>164</v>
      </c>
      <c r="B34" s="56" t="s">
        <v>93</v>
      </c>
      <c r="C34" s="67">
        <v>96995</v>
      </c>
      <c r="D34" s="74" t="s">
        <v>96</v>
      </c>
      <c r="E34" s="66" t="s">
        <v>145</v>
      </c>
      <c r="F34" s="2">
        <f>'Memória de cálculo'!H191</f>
        <v>255.60999999999996</v>
      </c>
      <c r="G34" s="2">
        <v>43.63</v>
      </c>
      <c r="H34" s="2">
        <f t="shared" ref="H34" si="8">G34*(1+$I$3)</f>
        <v>52.513068000000004</v>
      </c>
      <c r="I34" s="2">
        <f t="shared" si="0"/>
        <v>11152.26</v>
      </c>
      <c r="J34" s="296">
        <f t="shared" si="7"/>
        <v>13422.865311479998</v>
      </c>
    </row>
    <row r="35" spans="1:10" ht="45">
      <c r="A35" s="56" t="s">
        <v>1019</v>
      </c>
      <c r="B35" s="106" t="s">
        <v>152</v>
      </c>
      <c r="C35" s="67">
        <v>90084</v>
      </c>
      <c r="D35" s="176" t="s">
        <v>862</v>
      </c>
      <c r="E35" s="136" t="s">
        <v>145</v>
      </c>
      <c r="F35" s="108">
        <f>'Memória de cálculo'!H194</f>
        <v>33.08</v>
      </c>
      <c r="G35" s="108">
        <v>10.63</v>
      </c>
      <c r="H35" s="108">
        <f t="shared" ref="H35:H37" si="9">G35*(1+$I$3)</f>
        <v>12.794268000000001</v>
      </c>
      <c r="I35" s="108">
        <f t="shared" ref="I35:I37" si="10">ROUND(F35*G35,2)</f>
        <v>351.64</v>
      </c>
      <c r="J35" s="296">
        <f t="shared" si="7"/>
        <v>423.23438543999998</v>
      </c>
    </row>
    <row r="36" spans="1:10" ht="22.5">
      <c r="A36" s="56" t="s">
        <v>1020</v>
      </c>
      <c r="B36" s="106" t="s">
        <v>94</v>
      </c>
      <c r="C36" s="185" t="s">
        <v>777</v>
      </c>
      <c r="D36" s="74" t="s">
        <v>778</v>
      </c>
      <c r="E36" s="136" t="s">
        <v>145</v>
      </c>
      <c r="F36" s="108">
        <f>'Memória de cálculo'!H197</f>
        <v>0.86</v>
      </c>
      <c r="G36" s="108">
        <v>441.93</v>
      </c>
      <c r="H36" s="108">
        <f t="shared" si="9"/>
        <v>531.90694800000006</v>
      </c>
      <c r="I36" s="108">
        <f t="shared" si="10"/>
        <v>380.06</v>
      </c>
      <c r="J36" s="296">
        <f t="shared" si="7"/>
        <v>457.43997528000006</v>
      </c>
    </row>
    <row r="37" spans="1:10" ht="33.75">
      <c r="A37" s="56" t="s">
        <v>1076</v>
      </c>
      <c r="B37" s="106" t="s">
        <v>94</v>
      </c>
      <c r="C37" s="67" t="s">
        <v>831</v>
      </c>
      <c r="D37" s="176" t="s">
        <v>861</v>
      </c>
      <c r="E37" s="136" t="s">
        <v>145</v>
      </c>
      <c r="F37" s="108">
        <f>'Memória de cálculo'!H201</f>
        <v>3.29</v>
      </c>
      <c r="G37" s="108">
        <v>2585.15</v>
      </c>
      <c r="H37" s="108">
        <f t="shared" si="9"/>
        <v>3111.4865400000003</v>
      </c>
      <c r="I37" s="108">
        <f t="shared" si="10"/>
        <v>8505.14</v>
      </c>
      <c r="J37" s="296">
        <f t="shared" si="7"/>
        <v>10236.7907166</v>
      </c>
    </row>
    <row r="38" spans="1:10">
      <c r="A38" s="53" t="s">
        <v>106</v>
      </c>
      <c r="B38" s="53"/>
      <c r="C38" s="53"/>
      <c r="D38" s="59" t="s">
        <v>1009</v>
      </c>
      <c r="E38" s="54"/>
      <c r="F38" s="51"/>
      <c r="G38" s="55"/>
      <c r="H38" s="55"/>
      <c r="I38" s="55"/>
      <c r="J38" s="55">
        <f>SUM(J39:J44)</f>
        <v>169802.54152834701</v>
      </c>
    </row>
    <row r="39" spans="1:10" ht="33.75">
      <c r="A39" s="56" t="s">
        <v>108</v>
      </c>
      <c r="B39" s="56" t="s">
        <v>215</v>
      </c>
      <c r="C39" s="67">
        <f>COMPOSIÇÕES!A192</f>
        <v>26</v>
      </c>
      <c r="D39" s="74" t="str">
        <f>COMPOSIÇÕES!D192</f>
        <v>CONCRETO ARMADO PRONTO, FCK 30 MPA,CONDICAO A
(NBR 12655), LANCADO EM VIGAS E ADENSADO, INCLUSIVE FORMA, ESCORAMENTO E FERRAGEM (AÇO CA-50 12.5MM)</v>
      </c>
      <c r="E39" s="66" t="s">
        <v>145</v>
      </c>
      <c r="F39" s="2">
        <f>'Memória de cálculo'!H213</f>
        <v>12.87</v>
      </c>
      <c r="G39" s="2">
        <f>COMPOSIÇÕES!J192</f>
        <v>2950.9997200000003</v>
      </c>
      <c r="H39" s="2">
        <f t="shared" ref="H39:H44" si="11">G39*(1+$I$3)</f>
        <v>3551.8232629920003</v>
      </c>
      <c r="I39" s="2">
        <f t="shared" ref="I39:I44" si="12">ROUND(F39*G39,2)</f>
        <v>37979.370000000003</v>
      </c>
      <c r="J39" s="88">
        <f t="shared" ref="J39:J44" si="13">H39*F39</f>
        <v>45711.96539470704</v>
      </c>
    </row>
    <row r="40" spans="1:10" ht="33.75">
      <c r="A40" s="56" t="s">
        <v>109</v>
      </c>
      <c r="B40" s="106" t="s">
        <v>94</v>
      </c>
      <c r="C40" s="67" t="s">
        <v>99</v>
      </c>
      <c r="D40" s="74" t="s">
        <v>153</v>
      </c>
      <c r="E40" s="66" t="s">
        <v>145</v>
      </c>
      <c r="F40" s="2">
        <f>'Memória de cálculo'!H222</f>
        <v>10.919999999999998</v>
      </c>
      <c r="G40" s="2">
        <v>3023.45</v>
      </c>
      <c r="H40" s="2">
        <f t="shared" si="11"/>
        <v>3639.0244199999997</v>
      </c>
      <c r="I40" s="2">
        <f t="shared" si="12"/>
        <v>33016.07</v>
      </c>
      <c r="J40" s="296">
        <f t="shared" si="13"/>
        <v>39738.146666399989</v>
      </c>
    </row>
    <row r="41" spans="1:10">
      <c r="A41" s="56" t="s">
        <v>117</v>
      </c>
      <c r="B41" s="106" t="s">
        <v>215</v>
      </c>
      <c r="C41" s="67">
        <v>28</v>
      </c>
      <c r="D41" s="74" t="s">
        <v>829</v>
      </c>
      <c r="E41" s="136" t="s">
        <v>145</v>
      </c>
      <c r="F41" s="108">
        <f>'Memória de cálculo'!H226</f>
        <v>1</v>
      </c>
      <c r="G41" s="108">
        <f>COMPOSIÇÕES!J155</f>
        <v>2585.15</v>
      </c>
      <c r="H41" s="108">
        <f>G41*(1+$I$3)</f>
        <v>3111.4865400000003</v>
      </c>
      <c r="I41" s="108">
        <f>ROUND(F41*G41,2)</f>
        <v>2585.15</v>
      </c>
      <c r="J41" s="296">
        <f t="shared" si="13"/>
        <v>3111.4865400000003</v>
      </c>
    </row>
    <row r="42" spans="1:10" ht="22.5">
      <c r="A42" s="56" t="s">
        <v>118</v>
      </c>
      <c r="B42" s="56" t="s">
        <v>146</v>
      </c>
      <c r="C42" s="67" t="s">
        <v>995</v>
      </c>
      <c r="D42" s="137" t="s">
        <v>997</v>
      </c>
      <c r="E42" s="66" t="s">
        <v>149</v>
      </c>
      <c r="F42" s="2">
        <f>'Memória de cálculo'!H249</f>
        <v>899.80000000000007</v>
      </c>
      <c r="G42" s="2">
        <v>64</v>
      </c>
      <c r="H42" s="2">
        <f t="shared" si="11"/>
        <v>77.0304</v>
      </c>
      <c r="I42" s="2">
        <f t="shared" si="12"/>
        <v>57587.199999999997</v>
      </c>
      <c r="J42" s="296">
        <f t="shared" si="13"/>
        <v>69311.95392</v>
      </c>
    </row>
    <row r="43" spans="1:10" ht="22.5">
      <c r="A43" s="56" t="s">
        <v>129</v>
      </c>
      <c r="B43" s="56" t="s">
        <v>152</v>
      </c>
      <c r="C43" s="67">
        <v>97622</v>
      </c>
      <c r="D43" s="86" t="s">
        <v>874</v>
      </c>
      <c r="E43" s="66" t="s">
        <v>145</v>
      </c>
      <c r="F43" s="2">
        <f>'Memória de cálculo'!H265</f>
        <v>45.73</v>
      </c>
      <c r="G43" s="2">
        <v>47.35</v>
      </c>
      <c r="H43" s="2">
        <f t="shared" si="11"/>
        <v>56.990459999999999</v>
      </c>
      <c r="I43" s="2">
        <f t="shared" si="12"/>
        <v>2165.3200000000002</v>
      </c>
      <c r="J43" s="296">
        <f t="shared" si="13"/>
        <v>2606.1737357999996</v>
      </c>
    </row>
    <row r="44" spans="1:10" ht="22.5">
      <c r="A44" s="56" t="s">
        <v>875</v>
      </c>
      <c r="B44" s="56" t="s">
        <v>93</v>
      </c>
      <c r="C44" s="67">
        <v>97626</v>
      </c>
      <c r="D44" s="86" t="s">
        <v>876</v>
      </c>
      <c r="E44" s="66" t="s">
        <v>145</v>
      </c>
      <c r="F44" s="2">
        <f>'Memória de cálculo'!H283</f>
        <v>15.14</v>
      </c>
      <c r="G44" s="2">
        <v>511.61</v>
      </c>
      <c r="H44" s="2">
        <f t="shared" si="11"/>
        <v>615.77379600000006</v>
      </c>
      <c r="I44" s="2">
        <f t="shared" si="12"/>
        <v>7745.78</v>
      </c>
      <c r="J44" s="296">
        <f t="shared" si="13"/>
        <v>9322.8152714400021</v>
      </c>
    </row>
    <row r="45" spans="1:10">
      <c r="A45" s="53" t="s">
        <v>107</v>
      </c>
      <c r="B45" s="53"/>
      <c r="C45" s="53"/>
      <c r="D45" s="59" t="s">
        <v>155</v>
      </c>
      <c r="E45" s="54"/>
      <c r="F45" s="51"/>
      <c r="G45" s="55"/>
      <c r="H45" s="55"/>
      <c r="I45" s="55"/>
      <c r="J45" s="55">
        <f>SUM(J46:J64)</f>
        <v>167835.73492116001</v>
      </c>
    </row>
    <row r="46" spans="1:10">
      <c r="A46" s="56" t="s">
        <v>110</v>
      </c>
      <c r="B46" s="106" t="s">
        <v>146</v>
      </c>
      <c r="C46" s="67" t="s">
        <v>1010</v>
      </c>
      <c r="D46" s="74" t="s">
        <v>1011</v>
      </c>
      <c r="E46" s="136" t="s">
        <v>149</v>
      </c>
      <c r="F46" s="108">
        <f>'Memória de cálculo'!H289</f>
        <v>26.46</v>
      </c>
      <c r="G46" s="108">
        <v>15.57</v>
      </c>
      <c r="H46" s="108">
        <f t="shared" ref="H46:H47" si="14">G46*(1+$I$3)</f>
        <v>18.740052000000002</v>
      </c>
      <c r="I46" s="108">
        <f t="shared" ref="I46:I47" si="15">ROUND(F46*G46,2)</f>
        <v>411.98</v>
      </c>
      <c r="J46" s="116">
        <f t="shared" ref="J46:J64" si="16">H46*F46</f>
        <v>495.86177592000007</v>
      </c>
    </row>
    <row r="47" spans="1:10">
      <c r="A47" s="56" t="s">
        <v>165</v>
      </c>
      <c r="B47" s="106" t="s">
        <v>146</v>
      </c>
      <c r="C47" s="67" t="s">
        <v>1073</v>
      </c>
      <c r="D47" s="74" t="s">
        <v>1075</v>
      </c>
      <c r="E47" s="136" t="s">
        <v>149</v>
      </c>
      <c r="F47" s="108">
        <f>'Memória de cálculo'!H293</f>
        <v>5.28</v>
      </c>
      <c r="G47" s="108">
        <v>8.06</v>
      </c>
      <c r="H47" s="108">
        <f t="shared" si="14"/>
        <v>9.701016000000001</v>
      </c>
      <c r="I47" s="108">
        <f t="shared" si="15"/>
        <v>42.56</v>
      </c>
      <c r="J47" s="116">
        <f t="shared" si="16"/>
        <v>51.221364480000005</v>
      </c>
    </row>
    <row r="48" spans="1:10" ht="22.5">
      <c r="A48" s="56" t="s">
        <v>166</v>
      </c>
      <c r="B48" s="106" t="s">
        <v>93</v>
      </c>
      <c r="C48" s="67">
        <v>93184</v>
      </c>
      <c r="D48" s="74" t="s">
        <v>122</v>
      </c>
      <c r="E48" s="136" t="s">
        <v>124</v>
      </c>
      <c r="F48" s="108">
        <f>'Memória de cálculo'!H304</f>
        <v>74.300000000000011</v>
      </c>
      <c r="G48" s="108">
        <v>33.67</v>
      </c>
      <c r="H48" s="108">
        <f t="shared" ref="H48:H60" si="17">G48*(1+$I$3)</f>
        <v>40.525212000000003</v>
      </c>
      <c r="I48" s="108">
        <f t="shared" ref="I48:I60" si="18">ROUND(F48*G48,2)</f>
        <v>2501.6799999999998</v>
      </c>
      <c r="J48" s="116">
        <f t="shared" si="16"/>
        <v>3011.0232516000005</v>
      </c>
    </row>
    <row r="49" spans="1:10" ht="22.5">
      <c r="A49" s="56" t="s">
        <v>167</v>
      </c>
      <c r="B49" s="106" t="s">
        <v>93</v>
      </c>
      <c r="C49" s="67">
        <v>93185</v>
      </c>
      <c r="D49" s="74" t="s">
        <v>125</v>
      </c>
      <c r="E49" s="136" t="s">
        <v>124</v>
      </c>
      <c r="F49" s="108">
        <f>'Memória de cálculo'!H308</f>
        <v>12.809999999999999</v>
      </c>
      <c r="G49" s="108">
        <v>57.97</v>
      </c>
      <c r="H49" s="108">
        <f t="shared" si="17"/>
        <v>69.772691999999992</v>
      </c>
      <c r="I49" s="108">
        <f t="shared" si="18"/>
        <v>742.6</v>
      </c>
      <c r="J49" s="116">
        <f t="shared" si="16"/>
        <v>893.78818451999985</v>
      </c>
    </row>
    <row r="50" spans="1:10" ht="22.5">
      <c r="A50" s="56" t="s">
        <v>168</v>
      </c>
      <c r="B50" s="106" t="s">
        <v>93</v>
      </c>
      <c r="C50" s="67">
        <v>93182</v>
      </c>
      <c r="D50" s="74" t="s">
        <v>126</v>
      </c>
      <c r="E50" s="136" t="s">
        <v>124</v>
      </c>
      <c r="F50" s="108">
        <f>'Memória de cálculo'!H316</f>
        <v>15.799999999999999</v>
      </c>
      <c r="G50" s="108">
        <v>45.65</v>
      </c>
      <c r="H50" s="108">
        <f t="shared" si="17"/>
        <v>54.944339999999997</v>
      </c>
      <c r="I50" s="108">
        <f t="shared" si="18"/>
        <v>721.27</v>
      </c>
      <c r="J50" s="116">
        <f t="shared" si="16"/>
        <v>868.12057199999992</v>
      </c>
    </row>
    <row r="51" spans="1:10" ht="22.5">
      <c r="A51" s="56" t="s">
        <v>169</v>
      </c>
      <c r="B51" s="106" t="s">
        <v>93</v>
      </c>
      <c r="C51" s="67">
        <v>93183</v>
      </c>
      <c r="D51" s="74" t="s">
        <v>123</v>
      </c>
      <c r="E51" s="136" t="s">
        <v>124</v>
      </c>
      <c r="F51" s="108">
        <f>'Memória de cálculo'!H340</f>
        <v>105.80000000000003</v>
      </c>
      <c r="G51" s="108">
        <v>58.8</v>
      </c>
      <c r="H51" s="108">
        <f t="shared" si="17"/>
        <v>70.771680000000003</v>
      </c>
      <c r="I51" s="108">
        <f t="shared" si="18"/>
        <v>6221.04</v>
      </c>
      <c r="J51" s="116">
        <f t="shared" si="16"/>
        <v>7487.6437440000018</v>
      </c>
    </row>
    <row r="52" spans="1:10" ht="22.5">
      <c r="A52" s="56" t="s">
        <v>170</v>
      </c>
      <c r="B52" s="106" t="s">
        <v>93</v>
      </c>
      <c r="C52" s="67">
        <v>93194</v>
      </c>
      <c r="D52" s="74" t="s">
        <v>127</v>
      </c>
      <c r="E52" s="136" t="s">
        <v>124</v>
      </c>
      <c r="F52" s="108">
        <f>'Memória de cálculo'!H343</f>
        <v>15.799999999999999</v>
      </c>
      <c r="G52" s="108">
        <v>44.74</v>
      </c>
      <c r="H52" s="108">
        <f t="shared" si="17"/>
        <v>53.849064000000006</v>
      </c>
      <c r="I52" s="108">
        <f t="shared" si="18"/>
        <v>706.89</v>
      </c>
      <c r="J52" s="116">
        <f t="shared" si="16"/>
        <v>850.81521120000002</v>
      </c>
    </row>
    <row r="53" spans="1:10" ht="22.5">
      <c r="A53" s="56" t="s">
        <v>171</v>
      </c>
      <c r="B53" s="106" t="s">
        <v>93</v>
      </c>
      <c r="C53" s="67">
        <v>93195</v>
      </c>
      <c r="D53" s="74" t="s">
        <v>128</v>
      </c>
      <c r="E53" s="136" t="s">
        <v>124</v>
      </c>
      <c r="F53" s="108">
        <f>'Memória de cálculo'!H346</f>
        <v>105.80000000000003</v>
      </c>
      <c r="G53" s="108">
        <v>53.95</v>
      </c>
      <c r="H53" s="108">
        <f t="shared" si="17"/>
        <v>64.93422000000001</v>
      </c>
      <c r="I53" s="108">
        <f t="shared" si="18"/>
        <v>5707.91</v>
      </c>
      <c r="J53" s="116">
        <f t="shared" si="16"/>
        <v>6870.0404760000029</v>
      </c>
    </row>
    <row r="54" spans="1:10" ht="45">
      <c r="A54" s="56" t="s">
        <v>179</v>
      </c>
      <c r="B54" s="106" t="s">
        <v>152</v>
      </c>
      <c r="C54" s="67">
        <v>91314</v>
      </c>
      <c r="D54" s="74" t="s">
        <v>178</v>
      </c>
      <c r="E54" s="136" t="s">
        <v>210</v>
      </c>
      <c r="F54" s="108">
        <f>'Memória de cálculo'!H352</f>
        <v>4</v>
      </c>
      <c r="G54" s="108">
        <v>755.69</v>
      </c>
      <c r="H54" s="108">
        <f t="shared" si="17"/>
        <v>909.54848400000003</v>
      </c>
      <c r="I54" s="108">
        <f t="shared" si="18"/>
        <v>3022.76</v>
      </c>
      <c r="J54" s="116">
        <f t="shared" si="16"/>
        <v>3638.1939360000001</v>
      </c>
    </row>
    <row r="55" spans="1:10" ht="45">
      <c r="A55" s="56" t="s">
        <v>180</v>
      </c>
      <c r="B55" s="106" t="s">
        <v>152</v>
      </c>
      <c r="C55" s="67">
        <v>91315</v>
      </c>
      <c r="D55" s="74" t="s">
        <v>154</v>
      </c>
      <c r="E55" s="136" t="s">
        <v>210</v>
      </c>
      <c r="F55" s="108">
        <f>'Memória de cálculo'!H381</f>
        <v>27</v>
      </c>
      <c r="G55" s="108">
        <v>820.11</v>
      </c>
      <c r="H55" s="108">
        <f t="shared" si="17"/>
        <v>987.08439599999997</v>
      </c>
      <c r="I55" s="108">
        <f t="shared" si="18"/>
        <v>22142.97</v>
      </c>
      <c r="J55" s="116">
        <f t="shared" si="16"/>
        <v>26651.278692</v>
      </c>
    </row>
    <row r="56" spans="1:10" ht="33.75">
      <c r="A56" s="56" t="s">
        <v>182</v>
      </c>
      <c r="B56" s="106" t="s">
        <v>152</v>
      </c>
      <c r="C56" s="67">
        <v>100702</v>
      </c>
      <c r="D56" s="74" t="s">
        <v>181</v>
      </c>
      <c r="E56" s="66" t="s">
        <v>149</v>
      </c>
      <c r="F56" s="108">
        <f>'Memória de cálculo'!H384</f>
        <v>3.99</v>
      </c>
      <c r="G56" s="108">
        <v>373.64</v>
      </c>
      <c r="H56" s="108">
        <f t="shared" si="17"/>
        <v>449.71310399999999</v>
      </c>
      <c r="I56" s="108">
        <f t="shared" si="18"/>
        <v>1490.82</v>
      </c>
      <c r="J56" s="116">
        <f t="shared" si="16"/>
        <v>1794.3552849600001</v>
      </c>
    </row>
    <row r="57" spans="1:10" ht="22.5">
      <c r="A57" s="56" t="s">
        <v>185</v>
      </c>
      <c r="B57" s="106" t="s">
        <v>146</v>
      </c>
      <c r="C57" s="67" t="s">
        <v>184</v>
      </c>
      <c r="D57" s="74" t="s">
        <v>183</v>
      </c>
      <c r="E57" s="66" t="s">
        <v>149</v>
      </c>
      <c r="F57" s="108">
        <f>'Memória de cálculo'!H390</f>
        <v>13.44</v>
      </c>
      <c r="G57" s="108">
        <v>380.2</v>
      </c>
      <c r="H57" s="108">
        <f t="shared" si="17"/>
        <v>457.60872000000001</v>
      </c>
      <c r="I57" s="108">
        <f t="shared" si="18"/>
        <v>5109.8900000000003</v>
      </c>
      <c r="J57" s="116">
        <f t="shared" si="16"/>
        <v>6150.2611968000001</v>
      </c>
    </row>
    <row r="58" spans="1:10" ht="45">
      <c r="A58" s="56" t="s">
        <v>247</v>
      </c>
      <c r="B58" s="106" t="s">
        <v>93</v>
      </c>
      <c r="C58" s="119">
        <v>94570</v>
      </c>
      <c r="D58" s="110" t="s">
        <v>243</v>
      </c>
      <c r="E58" s="66" t="s">
        <v>149</v>
      </c>
      <c r="F58" s="108">
        <f>'Memória de cálculo'!H420</f>
        <v>78.010000000000005</v>
      </c>
      <c r="G58" s="108">
        <v>291.20999999999998</v>
      </c>
      <c r="H58" s="108">
        <f t="shared" si="17"/>
        <v>350.50035599999995</v>
      </c>
      <c r="I58" s="108">
        <f t="shared" si="18"/>
        <v>22717.29</v>
      </c>
      <c r="J58" s="116">
        <f t="shared" si="16"/>
        <v>27342.53277156</v>
      </c>
    </row>
    <row r="59" spans="1:10" ht="22.5">
      <c r="A59" s="56" t="s">
        <v>248</v>
      </c>
      <c r="B59" s="106" t="s">
        <v>146</v>
      </c>
      <c r="C59" s="119" t="s">
        <v>244</v>
      </c>
      <c r="D59" s="110" t="s">
        <v>249</v>
      </c>
      <c r="E59" s="66" t="s">
        <v>149</v>
      </c>
      <c r="F59" s="108">
        <f>'Memória de cálculo'!H426</f>
        <v>7.56</v>
      </c>
      <c r="G59" s="108">
        <v>316.97000000000003</v>
      </c>
      <c r="H59" s="108">
        <f t="shared" si="17"/>
        <v>381.50509200000005</v>
      </c>
      <c r="I59" s="108">
        <f t="shared" si="18"/>
        <v>2396.29</v>
      </c>
      <c r="J59" s="116">
        <f t="shared" si="16"/>
        <v>2884.1784955200001</v>
      </c>
    </row>
    <row r="60" spans="1:10">
      <c r="A60" s="56" t="s">
        <v>878</v>
      </c>
      <c r="B60" s="106" t="s">
        <v>146</v>
      </c>
      <c r="C60" s="119" t="s">
        <v>245</v>
      </c>
      <c r="D60" s="110" t="s">
        <v>246</v>
      </c>
      <c r="E60" s="66" t="s">
        <v>149</v>
      </c>
      <c r="F60" s="108">
        <f>'Memória de cálculo'!H429</f>
        <v>78.010000000000005</v>
      </c>
      <c r="G60" s="108">
        <v>222.31</v>
      </c>
      <c r="H60" s="108">
        <f t="shared" si="17"/>
        <v>267.572316</v>
      </c>
      <c r="I60" s="108">
        <f t="shared" si="18"/>
        <v>17342.400000000001</v>
      </c>
      <c r="J60" s="116">
        <f t="shared" si="16"/>
        <v>20873.316371160003</v>
      </c>
    </row>
    <row r="61" spans="1:10" ht="22.5">
      <c r="A61" s="56" t="s">
        <v>879</v>
      </c>
      <c r="B61" s="102" t="s">
        <v>93</v>
      </c>
      <c r="C61" s="67">
        <v>91338</v>
      </c>
      <c r="D61" s="194" t="s">
        <v>1006</v>
      </c>
      <c r="E61" s="66" t="s">
        <v>149</v>
      </c>
      <c r="F61" s="108">
        <f>'Memória de cálculo'!H437</f>
        <v>21.419999999999998</v>
      </c>
      <c r="G61" s="195">
        <v>686.97</v>
      </c>
      <c r="H61" s="108">
        <f t="shared" ref="H61:H63" si="19">G61*(1+$I$3)</f>
        <v>826.83709199999998</v>
      </c>
      <c r="I61" s="108">
        <f t="shared" ref="I61:I63" si="20">ROUND(F61*G61,2)</f>
        <v>14714.9</v>
      </c>
      <c r="J61" s="116">
        <f t="shared" si="16"/>
        <v>17710.850510639997</v>
      </c>
    </row>
    <row r="62" spans="1:10">
      <c r="A62" s="56" t="s">
        <v>880</v>
      </c>
      <c r="B62" s="102" t="s">
        <v>146</v>
      </c>
      <c r="C62" s="67" t="s">
        <v>881</v>
      </c>
      <c r="D62" s="194" t="s">
        <v>882</v>
      </c>
      <c r="E62" s="66" t="s">
        <v>210</v>
      </c>
      <c r="F62" s="108">
        <f>'Memória de cálculo'!H449</f>
        <v>18</v>
      </c>
      <c r="G62" s="108">
        <v>11.36</v>
      </c>
      <c r="H62" s="108">
        <f t="shared" si="19"/>
        <v>13.672896</v>
      </c>
      <c r="I62" s="108">
        <f t="shared" si="20"/>
        <v>204.48</v>
      </c>
      <c r="J62" s="116">
        <f t="shared" si="16"/>
        <v>246.11212799999998</v>
      </c>
    </row>
    <row r="63" spans="1:10" ht="33.75">
      <c r="A63" s="56" t="s">
        <v>1012</v>
      </c>
      <c r="B63" s="106" t="s">
        <v>93</v>
      </c>
      <c r="C63" s="119">
        <v>102253</v>
      </c>
      <c r="D63" s="110" t="s">
        <v>883</v>
      </c>
      <c r="E63" s="66" t="s">
        <v>149</v>
      </c>
      <c r="F63" s="108">
        <f>'Memória de cálculo'!H461</f>
        <v>35.28</v>
      </c>
      <c r="G63" s="108">
        <v>781.1</v>
      </c>
      <c r="H63" s="108">
        <f t="shared" si="19"/>
        <v>940.13196000000005</v>
      </c>
      <c r="I63" s="108">
        <f t="shared" si="20"/>
        <v>27557.21</v>
      </c>
      <c r="J63" s="116">
        <f t="shared" si="16"/>
        <v>33167.855548800006</v>
      </c>
    </row>
    <row r="64" spans="1:10" ht="22.5">
      <c r="A64" s="56" t="s">
        <v>1074</v>
      </c>
      <c r="B64" s="106" t="s">
        <v>146</v>
      </c>
      <c r="C64" s="67" t="s">
        <v>904</v>
      </c>
      <c r="D64" s="176" t="s">
        <v>905</v>
      </c>
      <c r="E64" s="66" t="s">
        <v>124</v>
      </c>
      <c r="F64" s="108">
        <f>'Memória de cálculo'!H468</f>
        <v>50.5</v>
      </c>
      <c r="G64" s="108">
        <v>112.67</v>
      </c>
      <c r="H64" s="108">
        <f>G64*(1+$I$3)</f>
        <v>135.609612</v>
      </c>
      <c r="I64" s="108">
        <f t="shared" ref="I64" si="21">ROUND(F64*G64,2)</f>
        <v>5689.84</v>
      </c>
      <c r="J64" s="116">
        <f t="shared" si="16"/>
        <v>6848.285406</v>
      </c>
    </row>
    <row r="65" spans="1:17">
      <c r="A65" s="53" t="s">
        <v>111</v>
      </c>
      <c r="B65" s="53"/>
      <c r="C65" s="53"/>
      <c r="D65" s="59" t="s">
        <v>156</v>
      </c>
      <c r="E65" s="54"/>
      <c r="F65" s="51"/>
      <c r="G65" s="55"/>
      <c r="H65" s="55"/>
      <c r="I65" s="55"/>
      <c r="J65" s="55">
        <f>SUM(J66:J76)</f>
        <v>239498.64767030397</v>
      </c>
    </row>
    <row r="66" spans="1:17" ht="23.25">
      <c r="A66" s="92" t="s">
        <v>112</v>
      </c>
      <c r="B66" s="102" t="s">
        <v>146</v>
      </c>
      <c r="C66" s="107" t="s">
        <v>1001</v>
      </c>
      <c r="D66" s="101" t="s">
        <v>1003</v>
      </c>
      <c r="E66" s="66" t="s">
        <v>149</v>
      </c>
      <c r="F66" s="2">
        <f>'Memória de cálculo'!H472</f>
        <v>712.69</v>
      </c>
      <c r="G66" s="2">
        <v>6.86</v>
      </c>
      <c r="H66" s="108">
        <f t="shared" ref="H66" si="22">G66*(1+$I$3)</f>
        <v>8.2566959999999998</v>
      </c>
      <c r="I66" s="108">
        <f t="shared" ref="I66" si="23">ROUND(F66*G66,2)</f>
        <v>4889.05</v>
      </c>
      <c r="J66" s="292">
        <f>H66*F66</f>
        <v>5884.4646722400003</v>
      </c>
    </row>
    <row r="67" spans="1:17" ht="23.25">
      <c r="A67" s="92" t="s">
        <v>113</v>
      </c>
      <c r="B67" s="93" t="s">
        <v>93</v>
      </c>
      <c r="C67" s="94">
        <v>88485</v>
      </c>
      <c r="D67" s="95" t="s">
        <v>530</v>
      </c>
      <c r="E67" s="66" t="s">
        <v>149</v>
      </c>
      <c r="F67" s="2">
        <f>'Memória de cálculo'!H517</f>
        <v>3563.44</v>
      </c>
      <c r="G67" s="2">
        <v>2.67</v>
      </c>
      <c r="H67" s="108">
        <f t="shared" ref="H67" si="24">G67*(1+$I$3)</f>
        <v>3.2136119999999999</v>
      </c>
      <c r="I67" s="108">
        <f t="shared" ref="I67" si="25">ROUND(F67*G67,2)</f>
        <v>9514.3799999999992</v>
      </c>
      <c r="J67" s="296">
        <f t="shared" ref="J67:J76" si="26">H67*F67</f>
        <v>11451.51354528</v>
      </c>
    </row>
    <row r="68" spans="1:17" ht="22.5">
      <c r="A68" s="92" t="s">
        <v>172</v>
      </c>
      <c r="B68" s="93" t="s">
        <v>93</v>
      </c>
      <c r="C68" s="94">
        <v>88489</v>
      </c>
      <c r="D68" s="96" t="s">
        <v>130</v>
      </c>
      <c r="E68" s="66" t="s">
        <v>149</v>
      </c>
      <c r="F68" s="2">
        <f>'Memória de cálculo'!H520</f>
        <v>3563.44</v>
      </c>
      <c r="G68" s="2">
        <v>15.47</v>
      </c>
      <c r="H68" s="108">
        <f t="shared" ref="H68:H72" si="27">G68*(1+$I$3)</f>
        <v>18.619692000000001</v>
      </c>
      <c r="I68" s="108">
        <f t="shared" ref="I68:I72" si="28">ROUND(F68*G68,2)</f>
        <v>55126.42</v>
      </c>
      <c r="J68" s="296">
        <f t="shared" si="26"/>
        <v>66350.155260480009</v>
      </c>
    </row>
    <row r="69" spans="1:17" ht="23.25">
      <c r="A69" s="92" t="s">
        <v>173</v>
      </c>
      <c r="B69" s="99" t="s">
        <v>93</v>
      </c>
      <c r="C69" s="100">
        <v>97631</v>
      </c>
      <c r="D69" s="101" t="s">
        <v>157</v>
      </c>
      <c r="E69" s="66" t="s">
        <v>149</v>
      </c>
      <c r="F69" s="90">
        <f>'Memória de cálculo'!H523</f>
        <v>1069.0319999999999</v>
      </c>
      <c r="G69" s="70">
        <v>2.75</v>
      </c>
      <c r="H69" s="108">
        <f t="shared" si="27"/>
        <v>3.3098999999999998</v>
      </c>
      <c r="I69" s="108">
        <f t="shared" si="28"/>
        <v>2939.84</v>
      </c>
      <c r="J69" s="296">
        <f t="shared" si="26"/>
        <v>3538.3890167999998</v>
      </c>
    </row>
    <row r="70" spans="1:17" ht="22.5">
      <c r="A70" s="92" t="s">
        <v>174</v>
      </c>
      <c r="B70" s="102" t="s">
        <v>146</v>
      </c>
      <c r="C70" s="103" t="s">
        <v>1004</v>
      </c>
      <c r="D70" s="104" t="s">
        <v>158</v>
      </c>
      <c r="E70" s="66" t="s">
        <v>149</v>
      </c>
      <c r="F70" s="90">
        <f>'Memória de cálculo'!H545</f>
        <v>1622.502</v>
      </c>
      <c r="G70" s="70">
        <v>6.66</v>
      </c>
      <c r="H70" s="108">
        <f t="shared" si="27"/>
        <v>8.0159760000000002</v>
      </c>
      <c r="I70" s="108">
        <f t="shared" si="28"/>
        <v>10805.86</v>
      </c>
      <c r="J70" s="296">
        <f t="shared" si="26"/>
        <v>13005.937091952001</v>
      </c>
    </row>
    <row r="71" spans="1:17">
      <c r="A71" s="92" t="s">
        <v>175</v>
      </c>
      <c r="B71" s="56" t="s">
        <v>146</v>
      </c>
      <c r="C71" s="67" t="s">
        <v>151</v>
      </c>
      <c r="D71" s="86" t="s">
        <v>150</v>
      </c>
      <c r="E71" s="66" t="s">
        <v>149</v>
      </c>
      <c r="F71" s="105">
        <f>'Memória de cálculo'!H558</f>
        <v>1746.5719999999994</v>
      </c>
      <c r="G71" s="70">
        <v>37.33</v>
      </c>
      <c r="H71" s="108">
        <f t="shared" si="27"/>
        <v>44.930388000000001</v>
      </c>
      <c r="I71" s="108">
        <f t="shared" si="28"/>
        <v>65199.53</v>
      </c>
      <c r="J71" s="296">
        <f t="shared" si="26"/>
        <v>78474.157629935973</v>
      </c>
      <c r="K71" s="95"/>
      <c r="L71" s="66"/>
      <c r="M71" s="2"/>
      <c r="N71" s="2"/>
      <c r="O71" s="2"/>
      <c r="P71" s="2"/>
      <c r="Q71" s="89"/>
    </row>
    <row r="72" spans="1:17" ht="22.5">
      <c r="A72" s="92" t="s">
        <v>1002</v>
      </c>
      <c r="B72" s="106" t="s">
        <v>93</v>
      </c>
      <c r="C72" s="109">
        <v>88495</v>
      </c>
      <c r="D72" s="111" t="s">
        <v>159</v>
      </c>
      <c r="E72" s="66" t="s">
        <v>149</v>
      </c>
      <c r="F72" s="108">
        <f>'Memória de cálculo'!H561</f>
        <v>1746.5719999999994</v>
      </c>
      <c r="G72" s="70">
        <v>9.8800000000000008</v>
      </c>
      <c r="H72" s="108">
        <f t="shared" si="27"/>
        <v>11.891568000000001</v>
      </c>
      <c r="I72" s="108">
        <f t="shared" si="28"/>
        <v>17256.13</v>
      </c>
      <c r="J72" s="296">
        <f t="shared" si="26"/>
        <v>20769.479704895995</v>
      </c>
    </row>
    <row r="73" spans="1:17" ht="22.5">
      <c r="A73" s="92" t="s">
        <v>1021</v>
      </c>
      <c r="B73" s="106" t="s">
        <v>152</v>
      </c>
      <c r="C73" s="67">
        <v>88494</v>
      </c>
      <c r="D73" s="74" t="s">
        <v>867</v>
      </c>
      <c r="E73" s="136" t="s">
        <v>149</v>
      </c>
      <c r="F73" s="108">
        <f>'Memória de cálculo'!H564</f>
        <v>865.06999999999994</v>
      </c>
      <c r="G73" s="108">
        <v>18.059999999999999</v>
      </c>
      <c r="H73" s="108">
        <f>G73*(1+$I$3)</f>
        <v>21.737015999999997</v>
      </c>
      <c r="I73" s="108">
        <f>ROUND(F73*G73,2)</f>
        <v>15623.16</v>
      </c>
      <c r="J73" s="296">
        <f t="shared" si="26"/>
        <v>18804.040431119996</v>
      </c>
    </row>
    <row r="74" spans="1:17" ht="22.5">
      <c r="A74" s="92" t="s">
        <v>1022</v>
      </c>
      <c r="B74" s="106" t="s">
        <v>152</v>
      </c>
      <c r="C74" s="67">
        <v>88488</v>
      </c>
      <c r="D74" s="74" t="s">
        <v>868</v>
      </c>
      <c r="E74" s="136" t="s">
        <v>149</v>
      </c>
      <c r="F74" s="108">
        <f>'Memória de cálculo'!H567</f>
        <v>865.06999999999994</v>
      </c>
      <c r="G74" s="108">
        <v>17.18</v>
      </c>
      <c r="H74" s="108">
        <f t="shared" ref="H74:H76" si="29">G74*(1+$I$3)</f>
        <v>20.677848000000001</v>
      </c>
      <c r="I74" s="108">
        <f t="shared" ref="I74" si="30">ROUND(F74*G74,2)</f>
        <v>14861.9</v>
      </c>
      <c r="J74" s="296">
        <f t="shared" si="26"/>
        <v>17887.78596936</v>
      </c>
      <c r="K74" s="119"/>
    </row>
    <row r="75" spans="1:17" ht="22.5">
      <c r="A75" s="92" t="s">
        <v>1046</v>
      </c>
      <c r="B75" s="106" t="s">
        <v>152</v>
      </c>
      <c r="C75" s="119">
        <v>102217</v>
      </c>
      <c r="D75" s="74" t="s">
        <v>1045</v>
      </c>
      <c r="E75" s="136" t="s">
        <v>149</v>
      </c>
      <c r="F75" s="108">
        <f>'Memória de cálculo'!H600</f>
        <v>175.13999999999993</v>
      </c>
      <c r="G75" s="108">
        <v>14.19</v>
      </c>
      <c r="H75" s="108">
        <f t="shared" si="29"/>
        <v>17.079083999999998</v>
      </c>
      <c r="I75" s="108">
        <f t="shared" ref="I75:I76" si="31">ROUND(F75*G75,2)</f>
        <v>2485.2399999999998</v>
      </c>
      <c r="J75" s="296">
        <f t="shared" si="26"/>
        <v>2991.2307717599983</v>
      </c>
      <c r="K75" s="295"/>
    </row>
    <row r="76" spans="1:17" ht="22.5">
      <c r="A76" s="92" t="s">
        <v>1047</v>
      </c>
      <c r="B76" s="106" t="s">
        <v>152</v>
      </c>
      <c r="C76" s="67">
        <v>102193</v>
      </c>
      <c r="D76" s="74" t="s">
        <v>1048</v>
      </c>
      <c r="E76" s="136" t="s">
        <v>149</v>
      </c>
      <c r="F76" s="108">
        <f>'Memória de cálculo'!H603</f>
        <v>175.13999999999993</v>
      </c>
      <c r="G76" s="108">
        <v>1.62</v>
      </c>
      <c r="H76" s="108">
        <f t="shared" si="29"/>
        <v>1.9498320000000002</v>
      </c>
      <c r="I76" s="108">
        <f t="shared" si="31"/>
        <v>283.73</v>
      </c>
      <c r="J76" s="296">
        <f t="shared" si="26"/>
        <v>341.49357647999989</v>
      </c>
      <c r="K76" s="295"/>
    </row>
    <row r="77" spans="1:17">
      <c r="A77" s="53" t="s">
        <v>114</v>
      </c>
      <c r="B77" s="53"/>
      <c r="C77" s="53"/>
      <c r="D77" s="59" t="s">
        <v>188</v>
      </c>
      <c r="E77" s="54"/>
      <c r="F77" s="51"/>
      <c r="G77" s="55"/>
      <c r="H77" s="55"/>
      <c r="I77" s="55"/>
      <c r="J77" s="55">
        <f>SUM(J78:J87)</f>
        <v>287663.28707532003</v>
      </c>
    </row>
    <row r="78" spans="1:17" ht="45.6" customHeight="1">
      <c r="A78" s="56" t="s">
        <v>198</v>
      </c>
      <c r="B78" s="106" t="s">
        <v>93</v>
      </c>
      <c r="C78" s="67">
        <v>87535</v>
      </c>
      <c r="D78" s="74" t="s">
        <v>189</v>
      </c>
      <c r="E78" s="66" t="s">
        <v>149</v>
      </c>
      <c r="F78" s="108">
        <f>'Memória de cálculo'!H608</f>
        <v>1510.03</v>
      </c>
      <c r="G78" s="108">
        <v>30.9</v>
      </c>
      <c r="H78" s="108">
        <f t="shared" ref="H78:H87" si="32">G78*(1+$I$3)</f>
        <v>37.191240000000001</v>
      </c>
      <c r="I78" s="108">
        <f t="shared" ref="I78:I86" si="33">ROUND(F78*G78,2)</f>
        <v>46659.93</v>
      </c>
      <c r="J78" s="116">
        <f t="shared" ref="J78:J87" si="34">H78*F78</f>
        <v>56159.888137200003</v>
      </c>
    </row>
    <row r="79" spans="1:17" ht="56.25">
      <c r="A79" s="56" t="s">
        <v>199</v>
      </c>
      <c r="B79" s="106" t="s">
        <v>94</v>
      </c>
      <c r="C79" s="117" t="s">
        <v>190</v>
      </c>
      <c r="D79" s="86" t="s">
        <v>191</v>
      </c>
      <c r="E79" s="66" t="s">
        <v>149</v>
      </c>
      <c r="F79" s="108">
        <f>'Memória de cálculo'!H642</f>
        <v>1350.8</v>
      </c>
      <c r="G79" s="108">
        <v>38.49</v>
      </c>
      <c r="H79" s="108">
        <f t="shared" si="32"/>
        <v>46.326564000000005</v>
      </c>
      <c r="I79" s="108">
        <f t="shared" si="33"/>
        <v>51992.29</v>
      </c>
      <c r="J79" s="116">
        <f t="shared" si="34"/>
        <v>62577.922651200002</v>
      </c>
    </row>
    <row r="80" spans="1:17" ht="56.25">
      <c r="A80" s="56" t="s">
        <v>1008</v>
      </c>
      <c r="B80" s="106" t="s">
        <v>94</v>
      </c>
      <c r="C80" s="117" t="s">
        <v>192</v>
      </c>
      <c r="D80" s="91" t="s">
        <v>193</v>
      </c>
      <c r="E80" s="66" t="s">
        <v>149</v>
      </c>
      <c r="F80" s="108">
        <f>'Memória de cálculo'!H675</f>
        <v>159.23000000000002</v>
      </c>
      <c r="G80" s="108">
        <v>51.69</v>
      </c>
      <c r="H80" s="108">
        <f t="shared" si="32"/>
        <v>62.214084</v>
      </c>
      <c r="I80" s="108">
        <f t="shared" si="33"/>
        <v>8230.6</v>
      </c>
      <c r="J80" s="116">
        <f t="shared" si="34"/>
        <v>9906.3485953200016</v>
      </c>
    </row>
    <row r="81" spans="1:10" ht="45">
      <c r="A81" s="56" t="s">
        <v>200</v>
      </c>
      <c r="B81" s="106" t="s">
        <v>94</v>
      </c>
      <c r="C81" s="117" t="s">
        <v>194</v>
      </c>
      <c r="D81" s="91" t="s">
        <v>195</v>
      </c>
      <c r="E81" s="66" t="s">
        <v>149</v>
      </c>
      <c r="F81" s="108">
        <f>'Memória de cálculo'!H681</f>
        <v>141.19</v>
      </c>
      <c r="G81" s="108">
        <v>43.34</v>
      </c>
      <c r="H81" s="108">
        <f t="shared" si="32"/>
        <v>52.164024000000005</v>
      </c>
      <c r="I81" s="108">
        <f t="shared" si="33"/>
        <v>6119.17</v>
      </c>
      <c r="J81" s="116">
        <f t="shared" si="34"/>
        <v>7365.0385485600009</v>
      </c>
    </row>
    <row r="82" spans="1:10" ht="22.5">
      <c r="A82" s="56" t="s">
        <v>201</v>
      </c>
      <c r="B82" s="106" t="s">
        <v>146</v>
      </c>
      <c r="C82" s="118" t="s">
        <v>196</v>
      </c>
      <c r="D82" s="86" t="s">
        <v>197</v>
      </c>
      <c r="E82" s="66" t="s">
        <v>149</v>
      </c>
      <c r="F82" s="108">
        <f>'Memória de cálculo'!H688</f>
        <v>1204.23</v>
      </c>
      <c r="G82" s="108">
        <v>53.25</v>
      </c>
      <c r="H82" s="108">
        <f t="shared" si="32"/>
        <v>64.091700000000003</v>
      </c>
      <c r="I82" s="108">
        <f t="shared" si="33"/>
        <v>64125.25</v>
      </c>
      <c r="J82" s="116">
        <f t="shared" si="34"/>
        <v>77181.147891000001</v>
      </c>
    </row>
    <row r="83" spans="1:10" ht="45">
      <c r="A83" s="56" t="s">
        <v>202</v>
      </c>
      <c r="B83" s="106" t="s">
        <v>93</v>
      </c>
      <c r="C83" s="118">
        <v>87620</v>
      </c>
      <c r="D83" s="86" t="s">
        <v>864</v>
      </c>
      <c r="E83" s="66" t="s">
        <v>149</v>
      </c>
      <c r="F83" s="108">
        <f>'Memória de cálculo'!H691</f>
        <v>397.21999999999997</v>
      </c>
      <c r="G83" s="108">
        <v>27.21</v>
      </c>
      <c r="H83" s="108">
        <f t="shared" si="32"/>
        <v>32.749956000000005</v>
      </c>
      <c r="I83" s="108">
        <f t="shared" ref="I83" si="35">ROUND(F83*G83,2)</f>
        <v>10808.36</v>
      </c>
      <c r="J83" s="116">
        <f t="shared" si="34"/>
        <v>13008.93752232</v>
      </c>
    </row>
    <row r="84" spans="1:10" ht="45">
      <c r="A84" s="56" t="s">
        <v>203</v>
      </c>
      <c r="B84" s="106" t="s">
        <v>93</v>
      </c>
      <c r="C84" s="118">
        <v>87755</v>
      </c>
      <c r="D84" s="86" t="s">
        <v>865</v>
      </c>
      <c r="E84" s="66" t="s">
        <v>149</v>
      </c>
      <c r="F84" s="108">
        <f>'Memória de cálculo'!H694</f>
        <v>141.19</v>
      </c>
      <c r="G84" s="108">
        <v>42.35</v>
      </c>
      <c r="H84" s="108">
        <f t="shared" si="32"/>
        <v>50.972460000000005</v>
      </c>
      <c r="I84" s="108">
        <f t="shared" ref="I84" si="36">ROUND(F84*G84,2)</f>
        <v>5979.4</v>
      </c>
      <c r="J84" s="116">
        <f t="shared" si="34"/>
        <v>7196.8016274000011</v>
      </c>
    </row>
    <row r="85" spans="1:10" ht="22.5">
      <c r="A85" s="56" t="s">
        <v>204</v>
      </c>
      <c r="B85" s="106" t="s">
        <v>93</v>
      </c>
      <c r="C85" s="118">
        <v>98555</v>
      </c>
      <c r="D85" s="86" t="s">
        <v>866</v>
      </c>
      <c r="E85" s="66" t="s">
        <v>149</v>
      </c>
      <c r="F85" s="108">
        <f>'Memória de cálculo'!H698</f>
        <v>184.19</v>
      </c>
      <c r="G85" s="108">
        <v>26.9</v>
      </c>
      <c r="H85" s="108">
        <f t="shared" si="32"/>
        <v>32.376840000000001</v>
      </c>
      <c r="I85" s="108">
        <f t="shared" ref="I85" si="37">ROUND(F85*G85,2)</f>
        <v>4954.71</v>
      </c>
      <c r="J85" s="116">
        <f t="shared" si="34"/>
        <v>5963.4901596</v>
      </c>
    </row>
    <row r="86" spans="1:10" ht="22.5">
      <c r="A86" s="56" t="s">
        <v>205</v>
      </c>
      <c r="B86" s="106" t="s">
        <v>94</v>
      </c>
      <c r="C86" s="118" t="s">
        <v>999</v>
      </c>
      <c r="D86" s="86" t="s">
        <v>1000</v>
      </c>
      <c r="E86" s="66" t="s">
        <v>149</v>
      </c>
      <c r="F86" s="108">
        <f>'Memória de cálculo'!H717</f>
        <v>397.21999999999997</v>
      </c>
      <c r="G86" s="108">
        <v>100.36</v>
      </c>
      <c r="H86" s="108">
        <f t="shared" si="32"/>
        <v>120.793296</v>
      </c>
      <c r="I86" s="108">
        <f t="shared" si="33"/>
        <v>39865</v>
      </c>
      <c r="J86" s="116">
        <f t="shared" si="34"/>
        <v>47981.513037119992</v>
      </c>
    </row>
    <row r="87" spans="1:10" ht="33.75">
      <c r="A87" s="56" t="s">
        <v>206</v>
      </c>
      <c r="B87" s="106" t="s">
        <v>94</v>
      </c>
      <c r="C87" s="118" t="s">
        <v>978</v>
      </c>
      <c r="D87" s="86" t="s">
        <v>979</v>
      </c>
      <c r="E87" s="66" t="s">
        <v>124</v>
      </c>
      <c r="F87" s="108">
        <f>'Memória de cálculo'!H725</f>
        <v>5.2</v>
      </c>
      <c r="G87" s="108">
        <v>51.48</v>
      </c>
      <c r="H87" s="108">
        <f t="shared" si="32"/>
        <v>61.961327999999995</v>
      </c>
      <c r="I87" s="108">
        <f t="shared" ref="I87" si="38">ROUND(F87*G87,2)</f>
        <v>267.7</v>
      </c>
      <c r="J87" s="116">
        <f t="shared" si="34"/>
        <v>322.19890559999999</v>
      </c>
    </row>
    <row r="88" spans="1:10">
      <c r="A88" s="53" t="s">
        <v>115</v>
      </c>
      <c r="B88" s="53"/>
      <c r="C88" s="53"/>
      <c r="D88" s="59" t="s">
        <v>207</v>
      </c>
      <c r="E88" s="54"/>
      <c r="F88" s="51"/>
      <c r="G88" s="55"/>
      <c r="H88" s="55"/>
      <c r="I88" s="55"/>
      <c r="J88" s="55">
        <f>SUM(J89:J102)</f>
        <v>24267.588825040799</v>
      </c>
    </row>
    <row r="89" spans="1:10">
      <c r="A89" s="92" t="s">
        <v>227</v>
      </c>
      <c r="B89" s="106" t="s">
        <v>146</v>
      </c>
      <c r="C89" s="67" t="s">
        <v>208</v>
      </c>
      <c r="D89" s="74" t="s">
        <v>209</v>
      </c>
      <c r="E89" s="136" t="s">
        <v>210</v>
      </c>
      <c r="F89" s="108">
        <f>'Memória de cálculo'!H731</f>
        <v>5</v>
      </c>
      <c r="G89" s="108">
        <v>411.36</v>
      </c>
      <c r="H89" s="108">
        <f t="shared" ref="H89:H101" si="39">G89*(1+$I$3)</f>
        <v>495.11289600000003</v>
      </c>
      <c r="I89" s="108">
        <f t="shared" ref="I89:I101" si="40">ROUND(F89*G89,2)</f>
        <v>2056.8000000000002</v>
      </c>
      <c r="J89" s="116">
        <f t="shared" ref="J89:J102" si="41">H89*F89</f>
        <v>2475.56448</v>
      </c>
    </row>
    <row r="90" spans="1:10">
      <c r="A90" s="92" t="s">
        <v>228</v>
      </c>
      <c r="B90" s="106" t="s">
        <v>146</v>
      </c>
      <c r="C90" s="67" t="s">
        <v>211</v>
      </c>
      <c r="D90" s="74" t="s">
        <v>212</v>
      </c>
      <c r="E90" s="66" t="s">
        <v>149</v>
      </c>
      <c r="F90" s="108">
        <f>'Memória de cálculo'!H734</f>
        <v>60</v>
      </c>
      <c r="G90" s="108">
        <v>17.68</v>
      </c>
      <c r="H90" s="108">
        <f t="shared" si="39"/>
        <v>21.279647999999998</v>
      </c>
      <c r="I90" s="108">
        <f t="shared" si="40"/>
        <v>1060.8</v>
      </c>
      <c r="J90" s="116">
        <f t="shared" si="41"/>
        <v>1276.7788799999998</v>
      </c>
    </row>
    <row r="91" spans="1:10">
      <c r="A91" s="92" t="s">
        <v>229</v>
      </c>
      <c r="B91" s="106" t="s">
        <v>93</v>
      </c>
      <c r="C91" s="67">
        <v>98520</v>
      </c>
      <c r="D91" s="74" t="s">
        <v>213</v>
      </c>
      <c r="E91" s="66" t="s">
        <v>149</v>
      </c>
      <c r="F91" s="108">
        <f>'Memória de cálculo'!H737</f>
        <v>87.47</v>
      </c>
      <c r="G91" s="108">
        <v>3.75</v>
      </c>
      <c r="H91" s="108">
        <f t="shared" si="39"/>
        <v>4.5134999999999996</v>
      </c>
      <c r="I91" s="108">
        <f t="shared" si="40"/>
        <v>328.01</v>
      </c>
      <c r="J91" s="116">
        <f t="shared" si="41"/>
        <v>394.79584499999999</v>
      </c>
    </row>
    <row r="92" spans="1:10" ht="22.5">
      <c r="A92" s="92" t="s">
        <v>230</v>
      </c>
      <c r="B92" s="106" t="s">
        <v>93</v>
      </c>
      <c r="C92" s="67">
        <v>98516</v>
      </c>
      <c r="D92" s="74" t="s">
        <v>214</v>
      </c>
      <c r="E92" s="136" t="s">
        <v>210</v>
      </c>
      <c r="F92" s="108">
        <f>'Memória de cálculo'!H740</f>
        <v>20</v>
      </c>
      <c r="G92" s="108">
        <v>386.21</v>
      </c>
      <c r="H92" s="108">
        <f t="shared" si="39"/>
        <v>464.842356</v>
      </c>
      <c r="I92" s="108">
        <f t="shared" si="40"/>
        <v>7724.2</v>
      </c>
      <c r="J92" s="116">
        <f t="shared" si="41"/>
        <v>9296.8471200000004</v>
      </c>
    </row>
    <row r="93" spans="1:10">
      <c r="A93" s="92" t="s">
        <v>231</v>
      </c>
      <c r="B93" s="106" t="s">
        <v>215</v>
      </c>
      <c r="C93" s="67">
        <v>3</v>
      </c>
      <c r="D93" s="74" t="s">
        <v>216</v>
      </c>
      <c r="E93" s="136" t="s">
        <v>210</v>
      </c>
      <c r="F93" s="108">
        <f>'Memória de cálculo'!H743</f>
        <v>3</v>
      </c>
      <c r="G93" s="108">
        <f>COMPOSIÇÕES!J22</f>
        <v>155.80380600000001</v>
      </c>
      <c r="H93" s="108">
        <f t="shared" si="39"/>
        <v>187.52546090160001</v>
      </c>
      <c r="I93" s="108">
        <f t="shared" si="40"/>
        <v>467.41</v>
      </c>
      <c r="J93" s="116">
        <f t="shared" si="41"/>
        <v>562.57638270480004</v>
      </c>
    </row>
    <row r="94" spans="1:10">
      <c r="A94" s="92" t="s">
        <v>232</v>
      </c>
      <c r="B94" s="106" t="s">
        <v>215</v>
      </c>
      <c r="C94" s="67">
        <v>4</v>
      </c>
      <c r="D94" s="74" t="s">
        <v>217</v>
      </c>
      <c r="E94" s="136" t="s">
        <v>210</v>
      </c>
      <c r="F94" s="108">
        <f>'Memória de cálculo'!H746</f>
        <v>2</v>
      </c>
      <c r="G94" s="108">
        <f>COMPOSIÇÕES!J27</f>
        <v>101.23834000000001</v>
      </c>
      <c r="H94" s="108">
        <f t="shared" si="39"/>
        <v>121.85046602400001</v>
      </c>
      <c r="I94" s="108">
        <f t="shared" si="40"/>
        <v>202.48</v>
      </c>
      <c r="J94" s="116">
        <f t="shared" si="41"/>
        <v>243.70093204800003</v>
      </c>
    </row>
    <row r="95" spans="1:10">
      <c r="A95" s="92" t="s">
        <v>233</v>
      </c>
      <c r="B95" s="106" t="s">
        <v>215</v>
      </c>
      <c r="C95" s="67">
        <v>5</v>
      </c>
      <c r="D95" s="74" t="s">
        <v>218</v>
      </c>
      <c r="E95" s="136" t="s">
        <v>210</v>
      </c>
      <c r="F95" s="108">
        <f>'Memória de cálculo'!H749</f>
        <v>2</v>
      </c>
      <c r="G95" s="108">
        <f>COMPOSIÇÕES!J32</f>
        <v>161.81834000000001</v>
      </c>
      <c r="H95" s="108">
        <f t="shared" si="39"/>
        <v>194.76455402400001</v>
      </c>
      <c r="I95" s="108">
        <f t="shared" si="40"/>
        <v>323.64</v>
      </c>
      <c r="J95" s="116">
        <f t="shared" si="41"/>
        <v>389.52910804800001</v>
      </c>
    </row>
    <row r="96" spans="1:10">
      <c r="A96" s="92" t="s">
        <v>234</v>
      </c>
      <c r="B96" s="106" t="s">
        <v>215</v>
      </c>
      <c r="C96" s="67">
        <v>6</v>
      </c>
      <c r="D96" s="74" t="s">
        <v>219</v>
      </c>
      <c r="E96" s="136" t="s">
        <v>210</v>
      </c>
      <c r="F96" s="108">
        <f>'Memória de cálculo'!H752</f>
        <v>4</v>
      </c>
      <c r="G96" s="108">
        <f>COMPOSIÇÕES!J37</f>
        <v>196.11834000000002</v>
      </c>
      <c r="H96" s="108">
        <f t="shared" si="39"/>
        <v>236.04803402400003</v>
      </c>
      <c r="I96" s="108">
        <f t="shared" si="40"/>
        <v>784.47</v>
      </c>
      <c r="J96" s="116">
        <f t="shared" si="41"/>
        <v>944.19213609600013</v>
      </c>
    </row>
    <row r="97" spans="1:10">
      <c r="A97" s="92" t="s">
        <v>235</v>
      </c>
      <c r="B97" s="106" t="s">
        <v>215</v>
      </c>
      <c r="C97" s="67">
        <v>7</v>
      </c>
      <c r="D97" s="74" t="s">
        <v>220</v>
      </c>
      <c r="E97" s="136" t="s">
        <v>210</v>
      </c>
      <c r="F97" s="108">
        <f>'Memória de cálculo'!H755</f>
        <v>30</v>
      </c>
      <c r="G97" s="108">
        <f>COMPOSIÇÕES!J42</f>
        <v>36.748339999999999</v>
      </c>
      <c r="H97" s="108">
        <f t="shared" si="39"/>
        <v>44.230302023999997</v>
      </c>
      <c r="I97" s="108">
        <f t="shared" si="40"/>
        <v>1102.45</v>
      </c>
      <c r="J97" s="116">
        <f t="shared" si="41"/>
        <v>1326.9090607199998</v>
      </c>
    </row>
    <row r="98" spans="1:10">
      <c r="A98" s="92" t="s">
        <v>236</v>
      </c>
      <c r="B98" s="106" t="s">
        <v>215</v>
      </c>
      <c r="C98" s="67">
        <v>8</v>
      </c>
      <c r="D98" s="74" t="s">
        <v>221</v>
      </c>
      <c r="E98" s="136" t="s">
        <v>210</v>
      </c>
      <c r="F98" s="108">
        <f>'Memória de cálculo'!H758</f>
        <v>29</v>
      </c>
      <c r="G98" s="108">
        <f>COMPOSIÇÕES!J47</f>
        <v>64.168340000000001</v>
      </c>
      <c r="H98" s="108">
        <f t="shared" si="39"/>
        <v>77.233014023999999</v>
      </c>
      <c r="I98" s="108">
        <f t="shared" si="40"/>
        <v>1860.88</v>
      </c>
      <c r="J98" s="116">
        <f t="shared" si="41"/>
        <v>2239.7574066960001</v>
      </c>
    </row>
    <row r="99" spans="1:10">
      <c r="A99" s="92" t="s">
        <v>237</v>
      </c>
      <c r="B99" s="106" t="s">
        <v>215</v>
      </c>
      <c r="C99" s="67">
        <v>9</v>
      </c>
      <c r="D99" s="74" t="s">
        <v>222</v>
      </c>
      <c r="E99" s="136" t="s">
        <v>210</v>
      </c>
      <c r="F99" s="108">
        <f>'Memória de cálculo'!H761</f>
        <v>40</v>
      </c>
      <c r="G99" s="108">
        <f>COMPOSIÇÕES!J52</f>
        <v>44.768339999999995</v>
      </c>
      <c r="H99" s="108">
        <f t="shared" si="39"/>
        <v>53.883174023999992</v>
      </c>
      <c r="I99" s="108">
        <f t="shared" si="40"/>
        <v>1790.73</v>
      </c>
      <c r="J99" s="116">
        <f t="shared" si="41"/>
        <v>2155.3269609599997</v>
      </c>
    </row>
    <row r="100" spans="1:10">
      <c r="A100" s="92" t="s">
        <v>238</v>
      </c>
      <c r="B100" s="106" t="s">
        <v>215</v>
      </c>
      <c r="C100" s="67">
        <v>10</v>
      </c>
      <c r="D100" s="74" t="s">
        <v>223</v>
      </c>
      <c r="E100" s="136" t="s">
        <v>210</v>
      </c>
      <c r="F100" s="108">
        <f>'Memória de cálculo'!H764</f>
        <v>25</v>
      </c>
      <c r="G100" s="108">
        <f>COMPOSIÇÕES!J57</f>
        <v>7.5883400000000005</v>
      </c>
      <c r="H100" s="108">
        <f t="shared" si="39"/>
        <v>9.1333260240000005</v>
      </c>
      <c r="I100" s="108">
        <f t="shared" si="40"/>
        <v>189.71</v>
      </c>
      <c r="J100" s="116">
        <f t="shared" si="41"/>
        <v>228.33315060000001</v>
      </c>
    </row>
    <row r="101" spans="1:10">
      <c r="A101" s="92" t="s">
        <v>239</v>
      </c>
      <c r="B101" s="106" t="s">
        <v>215</v>
      </c>
      <c r="C101" s="67">
        <v>11</v>
      </c>
      <c r="D101" s="74" t="s">
        <v>224</v>
      </c>
      <c r="E101" s="136" t="s">
        <v>210</v>
      </c>
      <c r="F101" s="108">
        <f>'Memória de cálculo'!H767</f>
        <v>25</v>
      </c>
      <c r="G101" s="108">
        <f>COMPOSIÇÕES!J62</f>
        <v>8.8383400000000023</v>
      </c>
      <c r="H101" s="108">
        <f t="shared" si="39"/>
        <v>10.637826024000002</v>
      </c>
      <c r="I101" s="108">
        <f t="shared" si="40"/>
        <v>220.96</v>
      </c>
      <c r="J101" s="116">
        <f t="shared" si="41"/>
        <v>265.94565060000008</v>
      </c>
    </row>
    <row r="102" spans="1:10">
      <c r="A102" s="92" t="s">
        <v>716</v>
      </c>
      <c r="B102" s="106" t="s">
        <v>215</v>
      </c>
      <c r="C102" s="67">
        <f>COMPOSIÇÕES!A183</f>
        <v>24</v>
      </c>
      <c r="D102" s="74" t="str">
        <f>COMPOSIÇÕES!D183</f>
        <v>BICICLETÁRIO (FORNECIMENTO E INSTALAÇÃO)</v>
      </c>
      <c r="E102" s="136" t="s">
        <v>210</v>
      </c>
      <c r="F102" s="108">
        <f>'Memória de cálculo'!H770</f>
        <v>2</v>
      </c>
      <c r="G102" s="108">
        <f>COMPOSIÇÕES!J183</f>
        <v>1024.9799399999999</v>
      </c>
      <c r="H102" s="108">
        <f t="shared" ref="H102" si="42">G102*(1+$I$3)</f>
        <v>1233.6658557839999</v>
      </c>
      <c r="I102" s="108">
        <f t="shared" ref="I102" si="43">ROUND(F102*G102,2)</f>
        <v>2049.96</v>
      </c>
      <c r="J102" s="116">
        <f t="shared" si="41"/>
        <v>2467.3317115679997</v>
      </c>
    </row>
    <row r="103" spans="1:10">
      <c r="A103" s="53" t="s">
        <v>116</v>
      </c>
      <c r="B103" s="53"/>
      <c r="C103" s="53"/>
      <c r="D103" s="59" t="s">
        <v>225</v>
      </c>
      <c r="E103" s="54"/>
      <c r="F103" s="51"/>
      <c r="G103" s="55"/>
      <c r="H103" s="55"/>
      <c r="I103" s="55"/>
      <c r="J103" s="55">
        <f>SUM(J104:J104)</f>
        <v>51314.82402</v>
      </c>
    </row>
    <row r="104" spans="1:10" ht="33.75">
      <c r="A104" s="92" t="s">
        <v>240</v>
      </c>
      <c r="B104" s="106" t="s">
        <v>215</v>
      </c>
      <c r="C104" s="185">
        <f>COMPOSIÇÕES!A188</f>
        <v>25</v>
      </c>
      <c r="D104" s="74" t="s">
        <v>1089</v>
      </c>
      <c r="E104" s="136" t="s">
        <v>210</v>
      </c>
      <c r="F104" s="108">
        <f>'Memória de cálculo'!H774</f>
        <v>1</v>
      </c>
      <c r="G104" s="108">
        <f>COMPOSIÇÕES!J188</f>
        <v>42634.45</v>
      </c>
      <c r="H104" s="108">
        <f t="shared" ref="H104" si="44">G104*(1+$I$3)</f>
        <v>51314.82402</v>
      </c>
      <c r="I104" s="108">
        <f t="shared" ref="I104" si="45">ROUND(F104*G104,2)</f>
        <v>42634.45</v>
      </c>
      <c r="J104" s="116">
        <f t="shared" ref="J104" si="46">H104*F104</f>
        <v>51314.82402</v>
      </c>
    </row>
    <row r="105" spans="1:10">
      <c r="A105" s="53" t="s">
        <v>11</v>
      </c>
      <c r="B105" s="53"/>
      <c r="C105" s="53"/>
      <c r="D105" s="59" t="s">
        <v>339</v>
      </c>
      <c r="E105" s="54"/>
      <c r="F105" s="51"/>
      <c r="G105" s="55"/>
      <c r="H105" s="55"/>
      <c r="I105" s="55"/>
      <c r="J105" s="55">
        <f>SUM(J106:J161)</f>
        <v>172386.20191483328</v>
      </c>
    </row>
    <row r="106" spans="1:10" ht="22.5">
      <c r="A106" s="92" t="s">
        <v>340</v>
      </c>
      <c r="B106" s="107" t="s">
        <v>215</v>
      </c>
      <c r="C106" s="185">
        <f>COMPOSIÇÕES!A73</f>
        <v>13</v>
      </c>
      <c r="D106" s="86" t="str">
        <f>COMPOSIÇÕES!D73</f>
        <v>LUMINÁRIA TIPO CALHA, DE SOBREPOR, COM 1 LÂMPADA TUBULAR LED 18/20 W - FORNECIMENTO E INSTALAÇÃO</v>
      </c>
      <c r="E106" s="136" t="s">
        <v>210</v>
      </c>
      <c r="F106" s="108">
        <f>'Memória de cálculo'!H789</f>
        <v>54</v>
      </c>
      <c r="G106" s="108">
        <f>COMPOSIÇÕES!J73</f>
        <v>77.259509000000008</v>
      </c>
      <c r="H106" s="108">
        <f t="shared" ref="H106:H161" si="47">G106*(1+$I$3)</f>
        <v>92.989545032400017</v>
      </c>
      <c r="I106" s="108">
        <f t="shared" ref="I106:I161" si="48">ROUND(F106*G106,2)</f>
        <v>4172.01</v>
      </c>
      <c r="J106" s="116">
        <f t="shared" ref="J106:J161" si="49">H106*F106</f>
        <v>5021.4354317496009</v>
      </c>
    </row>
    <row r="107" spans="1:10" ht="22.5">
      <c r="A107" s="92" t="s">
        <v>341</v>
      </c>
      <c r="B107" s="107" t="s">
        <v>215</v>
      </c>
      <c r="C107" s="185">
        <f>COMPOSIÇÕES!A67</f>
        <v>12</v>
      </c>
      <c r="D107" s="86" t="str">
        <f>COMPOSIÇÕES!D67</f>
        <v>LUMINÁRIA TIPO CALHA, DE SOBREPOR, COM 2 LÂMPADAS TUBULARES LED 18/20W - FORNECIMENTO E INSTALAÇÃO</v>
      </c>
      <c r="E107" s="136" t="s">
        <v>210</v>
      </c>
      <c r="F107" s="108">
        <f>'Memória de cálculo'!H818</f>
        <v>89</v>
      </c>
      <c r="G107" s="108">
        <f>COMPOSIÇÕES!J67</f>
        <v>97.329509000000002</v>
      </c>
      <c r="H107" s="108">
        <f t="shared" si="47"/>
        <v>117.1457970324</v>
      </c>
      <c r="I107" s="108">
        <f t="shared" si="48"/>
        <v>8662.33</v>
      </c>
      <c r="J107" s="116">
        <f t="shared" si="49"/>
        <v>10425.9759358836</v>
      </c>
    </row>
    <row r="108" spans="1:10" ht="22.5">
      <c r="A108" s="92" t="s">
        <v>342</v>
      </c>
      <c r="B108" s="106" t="s">
        <v>93</v>
      </c>
      <c r="C108" s="67">
        <v>92000</v>
      </c>
      <c r="D108" s="74" t="s">
        <v>552</v>
      </c>
      <c r="E108" s="136" t="s">
        <v>210</v>
      </c>
      <c r="F108" s="108">
        <f>'Memória de cálculo'!H824</f>
        <v>8</v>
      </c>
      <c r="G108" s="108">
        <v>25.51</v>
      </c>
      <c r="H108" s="108">
        <f t="shared" si="47"/>
        <v>30.703836000000003</v>
      </c>
      <c r="I108" s="108">
        <f t="shared" si="48"/>
        <v>204.08</v>
      </c>
      <c r="J108" s="116">
        <f t="shared" si="49"/>
        <v>245.63068800000002</v>
      </c>
    </row>
    <row r="109" spans="1:10" ht="22.5">
      <c r="A109" s="92" t="s">
        <v>343</v>
      </c>
      <c r="B109" s="106" t="s">
        <v>93</v>
      </c>
      <c r="C109" s="67">
        <v>91996</v>
      </c>
      <c r="D109" s="86" t="s">
        <v>344</v>
      </c>
      <c r="E109" s="136" t="s">
        <v>210</v>
      </c>
      <c r="F109" s="108">
        <f>'Memória de cálculo'!H829</f>
        <v>7</v>
      </c>
      <c r="G109" s="108">
        <v>28.45</v>
      </c>
      <c r="H109" s="108">
        <f t="shared" si="47"/>
        <v>34.242420000000003</v>
      </c>
      <c r="I109" s="108">
        <f t="shared" si="48"/>
        <v>199.15</v>
      </c>
      <c r="J109" s="116">
        <f t="shared" si="49"/>
        <v>239.69694000000001</v>
      </c>
    </row>
    <row r="110" spans="1:10" ht="22.5">
      <c r="A110" s="92" t="s">
        <v>345</v>
      </c>
      <c r="B110" s="106" t="s">
        <v>93</v>
      </c>
      <c r="C110" s="67">
        <v>91992</v>
      </c>
      <c r="D110" s="86" t="s">
        <v>559</v>
      </c>
      <c r="E110" s="136" t="s">
        <v>210</v>
      </c>
      <c r="F110" s="108">
        <f>'Memória de cálculo'!H853</f>
        <v>76</v>
      </c>
      <c r="G110" s="108">
        <v>36.06</v>
      </c>
      <c r="H110" s="108">
        <f t="shared" si="47"/>
        <v>43.401816000000004</v>
      </c>
      <c r="I110" s="108">
        <f t="shared" si="48"/>
        <v>2740.56</v>
      </c>
      <c r="J110" s="116">
        <f t="shared" si="49"/>
        <v>3298.5380160000004</v>
      </c>
    </row>
    <row r="111" spans="1:10" ht="22.5">
      <c r="A111" s="92" t="s">
        <v>346</v>
      </c>
      <c r="B111" s="106" t="s">
        <v>93</v>
      </c>
      <c r="C111" s="67">
        <v>91993</v>
      </c>
      <c r="D111" s="74" t="s">
        <v>551</v>
      </c>
      <c r="E111" s="136" t="s">
        <v>210</v>
      </c>
      <c r="F111" s="108">
        <f>'Memória de cálculo'!H878</f>
        <v>25</v>
      </c>
      <c r="G111" s="108">
        <v>38.42</v>
      </c>
      <c r="H111" s="108">
        <f t="shared" si="47"/>
        <v>46.242312000000005</v>
      </c>
      <c r="I111" s="108">
        <f t="shared" si="48"/>
        <v>960.5</v>
      </c>
      <c r="J111" s="116">
        <f t="shared" si="49"/>
        <v>1156.0578</v>
      </c>
    </row>
    <row r="112" spans="1:10" ht="22.5">
      <c r="A112" s="92" t="s">
        <v>349</v>
      </c>
      <c r="B112" s="106" t="s">
        <v>93</v>
      </c>
      <c r="C112" s="67">
        <v>92008</v>
      </c>
      <c r="D112" s="74" t="s">
        <v>553</v>
      </c>
      <c r="E112" s="136" t="s">
        <v>210</v>
      </c>
      <c r="F112" s="108">
        <f>'Memória de cálculo'!H901</f>
        <v>41</v>
      </c>
      <c r="G112" s="108">
        <v>40.97</v>
      </c>
      <c r="H112" s="108">
        <f t="shared" si="47"/>
        <v>49.311492000000001</v>
      </c>
      <c r="I112" s="108">
        <f t="shared" si="48"/>
        <v>1679.77</v>
      </c>
      <c r="J112" s="116">
        <f t="shared" si="49"/>
        <v>2021.771172</v>
      </c>
    </row>
    <row r="113" spans="1:10">
      <c r="A113" s="92" t="s">
        <v>352</v>
      </c>
      <c r="B113" s="106" t="s">
        <v>146</v>
      </c>
      <c r="C113" s="67" t="s">
        <v>347</v>
      </c>
      <c r="D113" s="74" t="s">
        <v>348</v>
      </c>
      <c r="E113" s="136" t="s">
        <v>210</v>
      </c>
      <c r="F113" s="108">
        <f>'Memória de cálculo'!H904</f>
        <v>2</v>
      </c>
      <c r="G113" s="108">
        <v>1.65</v>
      </c>
      <c r="H113" s="108">
        <f t="shared" si="47"/>
        <v>1.9859399999999998</v>
      </c>
      <c r="I113" s="108">
        <f t="shared" si="48"/>
        <v>3.3</v>
      </c>
      <c r="J113" s="116">
        <f t="shared" si="49"/>
        <v>3.9718799999999996</v>
      </c>
    </row>
    <row r="114" spans="1:10">
      <c r="A114" s="92" t="s">
        <v>355</v>
      </c>
      <c r="B114" s="106" t="s">
        <v>146</v>
      </c>
      <c r="C114" s="67" t="s">
        <v>350</v>
      </c>
      <c r="D114" s="74" t="s">
        <v>351</v>
      </c>
      <c r="E114" s="136" t="s">
        <v>210</v>
      </c>
      <c r="F114" s="108">
        <f>'Memória de cálculo'!H907</f>
        <v>1</v>
      </c>
      <c r="G114" s="108">
        <v>1.43</v>
      </c>
      <c r="H114" s="108">
        <f t="shared" si="47"/>
        <v>1.7211479999999999</v>
      </c>
      <c r="I114" s="108">
        <f t="shared" si="48"/>
        <v>1.43</v>
      </c>
      <c r="J114" s="116">
        <f t="shared" si="49"/>
        <v>1.7211479999999999</v>
      </c>
    </row>
    <row r="115" spans="1:10">
      <c r="A115" s="92" t="s">
        <v>358</v>
      </c>
      <c r="B115" s="106" t="s">
        <v>146</v>
      </c>
      <c r="C115" s="67" t="s">
        <v>353</v>
      </c>
      <c r="D115" s="74" t="s">
        <v>354</v>
      </c>
      <c r="E115" s="136" t="s">
        <v>210</v>
      </c>
      <c r="F115" s="108">
        <f>'Memória de cálculo'!H910</f>
        <v>163</v>
      </c>
      <c r="G115" s="108">
        <v>8.02</v>
      </c>
      <c r="H115" s="108">
        <f t="shared" si="47"/>
        <v>9.6528720000000003</v>
      </c>
      <c r="I115" s="108">
        <f t="shared" si="48"/>
        <v>1307.26</v>
      </c>
      <c r="J115" s="116">
        <f t="shared" si="49"/>
        <v>1573.418136</v>
      </c>
    </row>
    <row r="116" spans="1:10">
      <c r="A116" s="92" t="s">
        <v>360</v>
      </c>
      <c r="B116" s="106" t="s">
        <v>146</v>
      </c>
      <c r="C116" s="67" t="s">
        <v>356</v>
      </c>
      <c r="D116" s="74" t="s">
        <v>357</v>
      </c>
      <c r="E116" s="136" t="s">
        <v>210</v>
      </c>
      <c r="F116" s="108">
        <f>'Memória de cálculo'!H913</f>
        <v>41</v>
      </c>
      <c r="G116" s="108">
        <v>9.74</v>
      </c>
      <c r="H116" s="108">
        <f t="shared" si="47"/>
        <v>11.723064000000001</v>
      </c>
      <c r="I116" s="108">
        <f t="shared" si="48"/>
        <v>399.34</v>
      </c>
      <c r="J116" s="116">
        <f t="shared" si="49"/>
        <v>480.64562400000005</v>
      </c>
    </row>
    <row r="117" spans="1:10" ht="22.5">
      <c r="A117" s="92" t="s">
        <v>363</v>
      </c>
      <c r="B117" s="106" t="s">
        <v>93</v>
      </c>
      <c r="C117" s="67">
        <v>91937</v>
      </c>
      <c r="D117" s="74" t="s">
        <v>359</v>
      </c>
      <c r="E117" s="136" t="s">
        <v>210</v>
      </c>
      <c r="F117" s="108">
        <f>'Memória de cálculo'!H916</f>
        <v>127</v>
      </c>
      <c r="G117" s="108">
        <v>10.93</v>
      </c>
      <c r="H117" s="108">
        <f t="shared" si="47"/>
        <v>13.155348</v>
      </c>
      <c r="I117" s="108">
        <f t="shared" si="48"/>
        <v>1388.11</v>
      </c>
      <c r="J117" s="116">
        <f t="shared" si="49"/>
        <v>1670.729196</v>
      </c>
    </row>
    <row r="118" spans="1:10">
      <c r="A118" s="92" t="s">
        <v>366</v>
      </c>
      <c r="B118" s="106" t="s">
        <v>146</v>
      </c>
      <c r="C118" s="67" t="s">
        <v>361</v>
      </c>
      <c r="D118" s="74" t="s">
        <v>362</v>
      </c>
      <c r="E118" s="136" t="s">
        <v>210</v>
      </c>
      <c r="F118" s="108">
        <f>'Memória de cálculo'!H919</f>
        <v>3</v>
      </c>
      <c r="G118" s="108">
        <v>14.36</v>
      </c>
      <c r="H118" s="108">
        <f t="shared" si="47"/>
        <v>17.283695999999999</v>
      </c>
      <c r="I118" s="108">
        <f t="shared" si="48"/>
        <v>43.08</v>
      </c>
      <c r="J118" s="116">
        <f t="shared" si="49"/>
        <v>51.851087999999997</v>
      </c>
    </row>
    <row r="119" spans="1:10">
      <c r="A119" s="92" t="s">
        <v>369</v>
      </c>
      <c r="B119" s="106" t="s">
        <v>146</v>
      </c>
      <c r="C119" s="67" t="s">
        <v>364</v>
      </c>
      <c r="D119" s="74" t="s">
        <v>365</v>
      </c>
      <c r="E119" s="136" t="s">
        <v>210</v>
      </c>
      <c r="F119" s="108">
        <f>'Memória de cálculo'!H922</f>
        <v>61</v>
      </c>
      <c r="G119" s="108">
        <v>7.93</v>
      </c>
      <c r="H119" s="108">
        <f t="shared" si="47"/>
        <v>9.5445479999999989</v>
      </c>
      <c r="I119" s="108">
        <f t="shared" si="48"/>
        <v>483.73</v>
      </c>
      <c r="J119" s="116">
        <f t="shared" si="49"/>
        <v>582.21742799999993</v>
      </c>
    </row>
    <row r="120" spans="1:10">
      <c r="A120" s="92" t="s">
        <v>372</v>
      </c>
      <c r="B120" s="106" t="s">
        <v>146</v>
      </c>
      <c r="C120" s="67" t="s">
        <v>367</v>
      </c>
      <c r="D120" s="74" t="s">
        <v>368</v>
      </c>
      <c r="E120" s="136" t="s">
        <v>210</v>
      </c>
      <c r="F120" s="108">
        <f>'Memória de cálculo'!H925</f>
        <v>11</v>
      </c>
      <c r="G120" s="108">
        <v>13.37</v>
      </c>
      <c r="H120" s="108">
        <f t="shared" si="47"/>
        <v>16.092131999999999</v>
      </c>
      <c r="I120" s="108">
        <f t="shared" si="48"/>
        <v>147.07</v>
      </c>
      <c r="J120" s="116">
        <f t="shared" si="49"/>
        <v>177.013452</v>
      </c>
    </row>
    <row r="121" spans="1:10">
      <c r="A121" s="92" t="s">
        <v>375</v>
      </c>
      <c r="B121" s="106" t="s">
        <v>146</v>
      </c>
      <c r="C121" s="67" t="s">
        <v>370</v>
      </c>
      <c r="D121" s="74" t="s">
        <v>371</v>
      </c>
      <c r="E121" s="136" t="s">
        <v>210</v>
      </c>
      <c r="F121" s="108">
        <f>'Memória de cálculo'!H928</f>
        <v>25</v>
      </c>
      <c r="G121" s="108">
        <v>12.77</v>
      </c>
      <c r="H121" s="108">
        <f t="shared" si="47"/>
        <v>15.369971999999999</v>
      </c>
      <c r="I121" s="108">
        <f t="shared" si="48"/>
        <v>319.25</v>
      </c>
      <c r="J121" s="116">
        <f t="shared" si="49"/>
        <v>384.24929999999995</v>
      </c>
    </row>
    <row r="122" spans="1:10">
      <c r="A122" s="92" t="s">
        <v>378</v>
      </c>
      <c r="B122" s="106" t="s">
        <v>146</v>
      </c>
      <c r="C122" s="67" t="s">
        <v>373</v>
      </c>
      <c r="D122" s="74" t="s">
        <v>374</v>
      </c>
      <c r="E122" s="136" t="s">
        <v>210</v>
      </c>
      <c r="F122" s="108">
        <f>'Memória de cálculo'!H931</f>
        <v>1</v>
      </c>
      <c r="G122" s="108">
        <v>28.43</v>
      </c>
      <c r="H122" s="108">
        <f t="shared" si="47"/>
        <v>34.218347999999999</v>
      </c>
      <c r="I122" s="108">
        <f t="shared" si="48"/>
        <v>28.43</v>
      </c>
      <c r="J122" s="116">
        <f t="shared" si="49"/>
        <v>34.218347999999999</v>
      </c>
    </row>
    <row r="123" spans="1:10">
      <c r="A123" s="92" t="s">
        <v>381</v>
      </c>
      <c r="B123" s="106" t="s">
        <v>146</v>
      </c>
      <c r="C123" s="67" t="s">
        <v>376</v>
      </c>
      <c r="D123" s="74" t="s">
        <v>377</v>
      </c>
      <c r="E123" s="136" t="s">
        <v>210</v>
      </c>
      <c r="F123" s="108">
        <f>'Memória de cálculo'!H934</f>
        <v>139</v>
      </c>
      <c r="G123" s="108">
        <v>6.63</v>
      </c>
      <c r="H123" s="108">
        <f t="shared" si="47"/>
        <v>7.9798679999999997</v>
      </c>
      <c r="I123" s="108">
        <f t="shared" si="48"/>
        <v>921.57</v>
      </c>
      <c r="J123" s="116">
        <f t="shared" si="49"/>
        <v>1109.201652</v>
      </c>
    </row>
    <row r="124" spans="1:10">
      <c r="A124" s="92" t="s">
        <v>384</v>
      </c>
      <c r="B124" s="106" t="s">
        <v>146</v>
      </c>
      <c r="C124" s="67" t="s">
        <v>379</v>
      </c>
      <c r="D124" s="74" t="s">
        <v>380</v>
      </c>
      <c r="E124" s="136" t="s">
        <v>210</v>
      </c>
      <c r="F124" s="108">
        <f>'Memória de cálculo'!H937</f>
        <v>45</v>
      </c>
      <c r="G124" s="108">
        <v>50.37</v>
      </c>
      <c r="H124" s="108">
        <f t="shared" si="47"/>
        <v>60.625332</v>
      </c>
      <c r="I124" s="108">
        <f t="shared" si="48"/>
        <v>2266.65</v>
      </c>
      <c r="J124" s="116">
        <f t="shared" si="49"/>
        <v>2728.13994</v>
      </c>
    </row>
    <row r="125" spans="1:10">
      <c r="A125" s="92" t="s">
        <v>387</v>
      </c>
      <c r="B125" s="106" t="s">
        <v>146</v>
      </c>
      <c r="C125" s="67" t="s">
        <v>382</v>
      </c>
      <c r="D125" s="74" t="s">
        <v>383</v>
      </c>
      <c r="E125" s="136" t="s">
        <v>210</v>
      </c>
      <c r="F125" s="108">
        <f>'Memória de cálculo'!H940</f>
        <v>5</v>
      </c>
      <c r="G125" s="108">
        <v>47.69</v>
      </c>
      <c r="H125" s="108">
        <f t="shared" si="47"/>
        <v>57.399684000000001</v>
      </c>
      <c r="I125" s="108">
        <f t="shared" si="48"/>
        <v>238.45</v>
      </c>
      <c r="J125" s="116">
        <f t="shared" si="49"/>
        <v>286.99842000000001</v>
      </c>
    </row>
    <row r="126" spans="1:10">
      <c r="A126" s="92" t="s">
        <v>390</v>
      </c>
      <c r="B126" s="106" t="s">
        <v>146</v>
      </c>
      <c r="C126" s="67" t="s">
        <v>385</v>
      </c>
      <c r="D126" s="74" t="s">
        <v>386</v>
      </c>
      <c r="E126" s="136" t="s">
        <v>210</v>
      </c>
      <c r="F126" s="108">
        <f>'Memória de cálculo'!H943</f>
        <v>4</v>
      </c>
      <c r="G126" s="108">
        <v>78.540000000000006</v>
      </c>
      <c r="H126" s="108">
        <f t="shared" si="47"/>
        <v>94.530744000000013</v>
      </c>
      <c r="I126" s="108">
        <f t="shared" si="48"/>
        <v>314.16000000000003</v>
      </c>
      <c r="J126" s="116">
        <f t="shared" si="49"/>
        <v>378.12297600000005</v>
      </c>
    </row>
    <row r="127" spans="1:10">
      <c r="A127" s="92" t="s">
        <v>393</v>
      </c>
      <c r="B127" s="106" t="s">
        <v>146</v>
      </c>
      <c r="C127" s="67" t="s">
        <v>388</v>
      </c>
      <c r="D127" s="74" t="s">
        <v>389</v>
      </c>
      <c r="E127" s="136" t="s">
        <v>210</v>
      </c>
      <c r="F127" s="108">
        <f>'Memória de cálculo'!H946</f>
        <v>14</v>
      </c>
      <c r="G127" s="108">
        <v>16.38</v>
      </c>
      <c r="H127" s="108">
        <f t="shared" si="47"/>
        <v>19.714967999999999</v>
      </c>
      <c r="I127" s="108">
        <f t="shared" si="48"/>
        <v>229.32</v>
      </c>
      <c r="J127" s="116">
        <f t="shared" si="49"/>
        <v>276.00955199999999</v>
      </c>
    </row>
    <row r="128" spans="1:10">
      <c r="A128" s="92" t="s">
        <v>396</v>
      </c>
      <c r="B128" s="106" t="s">
        <v>146</v>
      </c>
      <c r="C128" s="67" t="s">
        <v>391</v>
      </c>
      <c r="D128" s="74" t="s">
        <v>392</v>
      </c>
      <c r="E128" s="136" t="s">
        <v>210</v>
      </c>
      <c r="F128" s="108">
        <f>'Memória de cálculo'!H949</f>
        <v>15</v>
      </c>
      <c r="G128" s="108">
        <v>28.89</v>
      </c>
      <c r="H128" s="108">
        <f t="shared" si="47"/>
        <v>34.772004000000003</v>
      </c>
      <c r="I128" s="108">
        <f t="shared" si="48"/>
        <v>433.35</v>
      </c>
      <c r="J128" s="116">
        <f t="shared" si="49"/>
        <v>521.58006</v>
      </c>
    </row>
    <row r="129" spans="1:10">
      <c r="A129" s="92" t="s">
        <v>399</v>
      </c>
      <c r="B129" s="106" t="s">
        <v>146</v>
      </c>
      <c r="C129" s="67" t="s">
        <v>394</v>
      </c>
      <c r="D129" s="74" t="s">
        <v>395</v>
      </c>
      <c r="E129" s="136" t="s">
        <v>210</v>
      </c>
      <c r="F129" s="108">
        <f>'Memória de cálculo'!H952</f>
        <v>18</v>
      </c>
      <c r="G129" s="108">
        <v>40.799999999999997</v>
      </c>
      <c r="H129" s="108">
        <f t="shared" si="47"/>
        <v>49.106879999999997</v>
      </c>
      <c r="I129" s="108">
        <f t="shared" si="48"/>
        <v>734.4</v>
      </c>
      <c r="J129" s="116">
        <f t="shared" si="49"/>
        <v>883.92383999999993</v>
      </c>
    </row>
    <row r="130" spans="1:10">
      <c r="A130" s="92" t="s">
        <v>402</v>
      </c>
      <c r="B130" s="106" t="s">
        <v>146</v>
      </c>
      <c r="C130" s="67" t="s">
        <v>397</v>
      </c>
      <c r="D130" s="74" t="s">
        <v>398</v>
      </c>
      <c r="E130" s="136" t="s">
        <v>210</v>
      </c>
      <c r="F130" s="108">
        <f>'Memória de cálculo'!H956</f>
        <v>991</v>
      </c>
      <c r="G130" s="108">
        <v>6.67</v>
      </c>
      <c r="H130" s="108">
        <f t="shared" si="47"/>
        <v>8.0280120000000004</v>
      </c>
      <c r="I130" s="108">
        <f t="shared" si="48"/>
        <v>6609.97</v>
      </c>
      <c r="J130" s="116">
        <f t="shared" si="49"/>
        <v>7955.759892</v>
      </c>
    </row>
    <row r="131" spans="1:10">
      <c r="A131" s="92" t="s">
        <v>405</v>
      </c>
      <c r="B131" s="106" t="s">
        <v>146</v>
      </c>
      <c r="C131" s="67" t="s">
        <v>400</v>
      </c>
      <c r="D131" s="74" t="s">
        <v>401</v>
      </c>
      <c r="E131" s="136" t="s">
        <v>210</v>
      </c>
      <c r="F131" s="108">
        <f>'Memória de cálculo'!H961</f>
        <v>182</v>
      </c>
      <c r="G131" s="108">
        <v>7.6</v>
      </c>
      <c r="H131" s="108">
        <f t="shared" si="47"/>
        <v>9.147359999999999</v>
      </c>
      <c r="I131" s="108">
        <f t="shared" si="48"/>
        <v>1383.2</v>
      </c>
      <c r="J131" s="116">
        <f t="shared" si="49"/>
        <v>1664.8195199999998</v>
      </c>
    </row>
    <row r="132" spans="1:10">
      <c r="A132" s="92" t="s">
        <v>408</v>
      </c>
      <c r="B132" s="106" t="s">
        <v>146</v>
      </c>
      <c r="C132" s="67" t="s">
        <v>403</v>
      </c>
      <c r="D132" s="74" t="s">
        <v>404</v>
      </c>
      <c r="E132" s="136" t="s">
        <v>210</v>
      </c>
      <c r="F132" s="108">
        <f>'Memória de cálculo'!H964</f>
        <v>6</v>
      </c>
      <c r="G132" s="108">
        <v>8.9499999999999993</v>
      </c>
      <c r="H132" s="108">
        <f t="shared" si="47"/>
        <v>10.772219999999999</v>
      </c>
      <c r="I132" s="108">
        <f t="shared" si="48"/>
        <v>53.7</v>
      </c>
      <c r="J132" s="116">
        <f t="shared" si="49"/>
        <v>64.633319999999998</v>
      </c>
    </row>
    <row r="133" spans="1:10">
      <c r="A133" s="92" t="s">
        <v>411</v>
      </c>
      <c r="B133" s="106" t="s">
        <v>146</v>
      </c>
      <c r="C133" s="67" t="s">
        <v>406</v>
      </c>
      <c r="D133" s="74" t="s">
        <v>407</v>
      </c>
      <c r="E133" s="136" t="s">
        <v>210</v>
      </c>
      <c r="F133" s="108">
        <f>'Memória de cálculo'!H967</f>
        <v>45</v>
      </c>
      <c r="G133" s="108">
        <v>10.130000000000001</v>
      </c>
      <c r="H133" s="108">
        <f t="shared" si="47"/>
        <v>12.192468000000002</v>
      </c>
      <c r="I133" s="108">
        <f t="shared" si="48"/>
        <v>455.85</v>
      </c>
      <c r="J133" s="116">
        <f t="shared" si="49"/>
        <v>548.66106000000002</v>
      </c>
    </row>
    <row r="134" spans="1:10">
      <c r="A134" s="92" t="s">
        <v>414</v>
      </c>
      <c r="B134" s="106" t="s">
        <v>146</v>
      </c>
      <c r="C134" s="67" t="s">
        <v>409</v>
      </c>
      <c r="D134" s="74" t="s">
        <v>410</v>
      </c>
      <c r="E134" s="136" t="s">
        <v>124</v>
      </c>
      <c r="F134" s="108">
        <f>'Memória de cálculo'!H970</f>
        <v>306</v>
      </c>
      <c r="G134" s="108">
        <v>13.82</v>
      </c>
      <c r="H134" s="108">
        <f t="shared" si="47"/>
        <v>16.633752000000001</v>
      </c>
      <c r="I134" s="108">
        <f t="shared" si="48"/>
        <v>4228.92</v>
      </c>
      <c r="J134" s="116">
        <f t="shared" si="49"/>
        <v>5089.9281120000005</v>
      </c>
    </row>
    <row r="135" spans="1:10">
      <c r="A135" s="92" t="s">
        <v>417</v>
      </c>
      <c r="B135" s="106" t="s">
        <v>146</v>
      </c>
      <c r="C135" s="67" t="s">
        <v>412</v>
      </c>
      <c r="D135" s="74" t="s">
        <v>413</v>
      </c>
      <c r="E135" s="136" t="s">
        <v>124</v>
      </c>
      <c r="F135" s="108">
        <f>'Memória de cálculo'!H973</f>
        <v>45</v>
      </c>
      <c r="G135" s="108">
        <v>23.47</v>
      </c>
      <c r="H135" s="108">
        <f t="shared" si="47"/>
        <v>28.248491999999999</v>
      </c>
      <c r="I135" s="108">
        <f t="shared" si="48"/>
        <v>1056.1500000000001</v>
      </c>
      <c r="J135" s="116">
        <f t="shared" si="49"/>
        <v>1271.1821399999999</v>
      </c>
    </row>
    <row r="136" spans="1:10">
      <c r="A136" s="92" t="s">
        <v>420</v>
      </c>
      <c r="B136" s="106" t="s">
        <v>146</v>
      </c>
      <c r="C136" s="67" t="s">
        <v>415</v>
      </c>
      <c r="D136" s="74" t="s">
        <v>416</v>
      </c>
      <c r="E136" s="136" t="s">
        <v>124</v>
      </c>
      <c r="F136" s="108">
        <f>'Memória de cálculo'!H976</f>
        <v>117</v>
      </c>
      <c r="G136" s="108">
        <v>19.82</v>
      </c>
      <c r="H136" s="108">
        <f t="shared" si="47"/>
        <v>23.855352</v>
      </c>
      <c r="I136" s="108">
        <f t="shared" si="48"/>
        <v>2318.94</v>
      </c>
      <c r="J136" s="116">
        <f t="shared" si="49"/>
        <v>2791.076184</v>
      </c>
    </row>
    <row r="137" spans="1:10">
      <c r="A137" s="92" t="s">
        <v>423</v>
      </c>
      <c r="B137" s="106" t="s">
        <v>146</v>
      </c>
      <c r="C137" s="67" t="s">
        <v>418</v>
      </c>
      <c r="D137" s="74" t="s">
        <v>419</v>
      </c>
      <c r="E137" s="136" t="s">
        <v>124</v>
      </c>
      <c r="F137" s="108">
        <f>'Memória de cálculo'!H979</f>
        <v>45</v>
      </c>
      <c r="G137" s="108">
        <v>33.97</v>
      </c>
      <c r="H137" s="108">
        <f t="shared" si="47"/>
        <v>40.886291999999997</v>
      </c>
      <c r="I137" s="108">
        <f t="shared" si="48"/>
        <v>1528.65</v>
      </c>
      <c r="J137" s="116">
        <f t="shared" si="49"/>
        <v>1839.8831399999999</v>
      </c>
    </row>
    <row r="138" spans="1:10">
      <c r="A138" s="92" t="s">
        <v>426</v>
      </c>
      <c r="B138" s="106" t="s">
        <v>146</v>
      </c>
      <c r="C138" s="67" t="s">
        <v>421</v>
      </c>
      <c r="D138" s="74" t="s">
        <v>422</v>
      </c>
      <c r="E138" s="136" t="s">
        <v>124</v>
      </c>
      <c r="F138" s="108">
        <f>'Memória de cálculo'!H982</f>
        <v>9</v>
      </c>
      <c r="G138" s="108">
        <v>47.08</v>
      </c>
      <c r="H138" s="108">
        <f t="shared" si="47"/>
        <v>56.665487999999996</v>
      </c>
      <c r="I138" s="108">
        <f t="shared" si="48"/>
        <v>423.72</v>
      </c>
      <c r="J138" s="116">
        <f t="shared" si="49"/>
        <v>509.98939199999995</v>
      </c>
    </row>
    <row r="139" spans="1:10">
      <c r="A139" s="92" t="s">
        <v>429</v>
      </c>
      <c r="B139" s="106" t="s">
        <v>146</v>
      </c>
      <c r="C139" s="67" t="s">
        <v>424</v>
      </c>
      <c r="D139" s="74" t="s">
        <v>425</v>
      </c>
      <c r="E139" s="136" t="s">
        <v>124</v>
      </c>
      <c r="F139" s="108">
        <f>'Memória de cálculo'!H985</f>
        <v>885</v>
      </c>
      <c r="G139" s="108">
        <v>10.61</v>
      </c>
      <c r="H139" s="108">
        <f t="shared" si="47"/>
        <v>12.770195999999999</v>
      </c>
      <c r="I139" s="108">
        <f t="shared" si="48"/>
        <v>9389.85</v>
      </c>
      <c r="J139" s="116">
        <f t="shared" si="49"/>
        <v>11301.623459999999</v>
      </c>
    </row>
    <row r="140" spans="1:10">
      <c r="A140" s="92" t="s">
        <v>431</v>
      </c>
      <c r="B140" s="106" t="s">
        <v>146</v>
      </c>
      <c r="C140" s="67" t="s">
        <v>427</v>
      </c>
      <c r="D140" s="74" t="s">
        <v>428</v>
      </c>
      <c r="E140" s="136" t="s">
        <v>124</v>
      </c>
      <c r="F140" s="108">
        <f>'Memória de cálculo'!H988</f>
        <v>48</v>
      </c>
      <c r="G140" s="108">
        <v>79.489999999999995</v>
      </c>
      <c r="H140" s="108">
        <f t="shared" si="47"/>
        <v>95.67416399999999</v>
      </c>
      <c r="I140" s="108">
        <f t="shared" si="48"/>
        <v>3815.52</v>
      </c>
      <c r="J140" s="116">
        <f t="shared" si="49"/>
        <v>4592.3598719999991</v>
      </c>
    </row>
    <row r="141" spans="1:10" ht="33.75">
      <c r="A141" s="92" t="s">
        <v>433</v>
      </c>
      <c r="B141" s="106" t="s">
        <v>93</v>
      </c>
      <c r="C141" s="67">
        <v>91925</v>
      </c>
      <c r="D141" s="74" t="s">
        <v>430</v>
      </c>
      <c r="E141" s="136" t="s">
        <v>124</v>
      </c>
      <c r="F141" s="108">
        <f>'Memória de cálculo'!H995</f>
        <v>2421</v>
      </c>
      <c r="G141" s="108">
        <v>4.21</v>
      </c>
      <c r="H141" s="108">
        <f t="shared" si="47"/>
        <v>5.0671559999999998</v>
      </c>
      <c r="I141" s="108">
        <f t="shared" si="48"/>
        <v>10192.41</v>
      </c>
      <c r="J141" s="116">
        <f t="shared" si="49"/>
        <v>12267.584675999999</v>
      </c>
    </row>
    <row r="142" spans="1:10" ht="33.75">
      <c r="A142" s="92" t="s">
        <v>434</v>
      </c>
      <c r="B142" s="106" t="s">
        <v>93</v>
      </c>
      <c r="C142" s="67">
        <v>91933</v>
      </c>
      <c r="D142" s="74" t="s">
        <v>432</v>
      </c>
      <c r="E142" s="136" t="s">
        <v>124</v>
      </c>
      <c r="F142" s="108">
        <f>'Memória de cálculo'!H1002</f>
        <v>628</v>
      </c>
      <c r="G142" s="108">
        <v>17.100000000000001</v>
      </c>
      <c r="H142" s="108">
        <f t="shared" si="47"/>
        <v>20.581560000000003</v>
      </c>
      <c r="I142" s="108">
        <f t="shared" si="48"/>
        <v>10738.8</v>
      </c>
      <c r="J142" s="116">
        <f t="shared" si="49"/>
        <v>12925.219680000002</v>
      </c>
    </row>
    <row r="143" spans="1:10" ht="33.75">
      <c r="A143" s="92" t="s">
        <v>436</v>
      </c>
      <c r="B143" s="106" t="s">
        <v>93</v>
      </c>
      <c r="C143" s="67">
        <v>91927</v>
      </c>
      <c r="D143" s="74" t="s">
        <v>435</v>
      </c>
      <c r="E143" s="136" t="s">
        <v>124</v>
      </c>
      <c r="F143" s="108">
        <f>'Memória de cálculo'!H1009</f>
        <v>2685.3</v>
      </c>
      <c r="G143" s="108">
        <v>5.7</v>
      </c>
      <c r="H143" s="108">
        <f t="shared" si="47"/>
        <v>6.8605200000000002</v>
      </c>
      <c r="I143" s="108">
        <f t="shared" si="48"/>
        <v>15306.21</v>
      </c>
      <c r="J143" s="116">
        <f t="shared" si="49"/>
        <v>18422.554356000001</v>
      </c>
    </row>
    <row r="144" spans="1:10" ht="33.75">
      <c r="A144" s="92" t="s">
        <v>438</v>
      </c>
      <c r="B144" s="106" t="s">
        <v>93</v>
      </c>
      <c r="C144" s="67">
        <v>91929</v>
      </c>
      <c r="D144" s="74" t="s">
        <v>437</v>
      </c>
      <c r="E144" s="136" t="s">
        <v>124</v>
      </c>
      <c r="F144" s="108">
        <f>'Memória de cálculo'!H1016</f>
        <v>1475.4</v>
      </c>
      <c r="G144" s="108">
        <v>8.0299999999999994</v>
      </c>
      <c r="H144" s="108">
        <f t="shared" si="47"/>
        <v>9.6649079999999987</v>
      </c>
      <c r="I144" s="108">
        <f t="shared" si="48"/>
        <v>11847.46</v>
      </c>
      <c r="J144" s="116">
        <f t="shared" si="49"/>
        <v>14259.605263199999</v>
      </c>
    </row>
    <row r="145" spans="1:10" ht="22.5">
      <c r="A145" s="92" t="s">
        <v>440</v>
      </c>
      <c r="B145" s="106" t="s">
        <v>93</v>
      </c>
      <c r="C145" s="67">
        <v>93654</v>
      </c>
      <c r="D145" s="74" t="s">
        <v>439</v>
      </c>
      <c r="E145" s="136" t="s">
        <v>210</v>
      </c>
      <c r="F145" s="108">
        <f>'Memória de cálculo'!H1019</f>
        <v>31</v>
      </c>
      <c r="G145" s="108">
        <v>13.97</v>
      </c>
      <c r="H145" s="108">
        <f t="shared" si="47"/>
        <v>16.814292000000002</v>
      </c>
      <c r="I145" s="108">
        <f t="shared" si="48"/>
        <v>433.07</v>
      </c>
      <c r="J145" s="116">
        <f t="shared" si="49"/>
        <v>521.24305200000003</v>
      </c>
    </row>
    <row r="146" spans="1:10" ht="22.5">
      <c r="A146" s="92" t="s">
        <v>442</v>
      </c>
      <c r="B146" s="106" t="s">
        <v>93</v>
      </c>
      <c r="C146" s="67">
        <v>93655</v>
      </c>
      <c r="D146" s="74" t="s">
        <v>441</v>
      </c>
      <c r="E146" s="136" t="s">
        <v>210</v>
      </c>
      <c r="F146" s="108">
        <f>'Memória de cálculo'!H1022</f>
        <v>61</v>
      </c>
      <c r="G146" s="108">
        <v>15.01</v>
      </c>
      <c r="H146" s="108">
        <f t="shared" si="47"/>
        <v>18.066036</v>
      </c>
      <c r="I146" s="108">
        <f t="shared" si="48"/>
        <v>915.61</v>
      </c>
      <c r="J146" s="116">
        <f t="shared" si="49"/>
        <v>1102.028196</v>
      </c>
    </row>
    <row r="147" spans="1:10" ht="22.5">
      <c r="A147" s="92" t="s">
        <v>444</v>
      </c>
      <c r="B147" s="106" t="s">
        <v>93</v>
      </c>
      <c r="C147" s="67">
        <v>93656</v>
      </c>
      <c r="D147" s="74" t="s">
        <v>443</v>
      </c>
      <c r="E147" s="136" t="s">
        <v>210</v>
      </c>
      <c r="F147" s="108">
        <f>'Memória de cálculo'!H1025</f>
        <v>3</v>
      </c>
      <c r="G147" s="108">
        <v>15.01</v>
      </c>
      <c r="H147" s="108">
        <f t="shared" si="47"/>
        <v>18.066036</v>
      </c>
      <c r="I147" s="108">
        <f t="shared" si="48"/>
        <v>45.03</v>
      </c>
      <c r="J147" s="116">
        <f t="shared" si="49"/>
        <v>54.198108000000005</v>
      </c>
    </row>
    <row r="148" spans="1:10">
      <c r="A148" s="92" t="s">
        <v>445</v>
      </c>
      <c r="B148" s="106" t="s">
        <v>146</v>
      </c>
      <c r="C148" s="67" t="s">
        <v>526</v>
      </c>
      <c r="D148" s="74" t="s">
        <v>527</v>
      </c>
      <c r="E148" s="136" t="s">
        <v>210</v>
      </c>
      <c r="F148" s="108">
        <f>'Memória de cálculo'!H1028</f>
        <v>1</v>
      </c>
      <c r="G148" s="108">
        <v>87.03</v>
      </c>
      <c r="H148" s="108">
        <f t="shared" si="47"/>
        <v>104.749308</v>
      </c>
      <c r="I148" s="108">
        <f t="shared" si="48"/>
        <v>87.03</v>
      </c>
      <c r="J148" s="116">
        <f t="shared" si="49"/>
        <v>104.749308</v>
      </c>
    </row>
    <row r="149" spans="1:10" ht="22.5">
      <c r="A149" s="92" t="s">
        <v>446</v>
      </c>
      <c r="B149" s="106" t="s">
        <v>146</v>
      </c>
      <c r="C149" s="67" t="s">
        <v>758</v>
      </c>
      <c r="D149" s="74" t="s">
        <v>759</v>
      </c>
      <c r="E149" s="136" t="s">
        <v>210</v>
      </c>
      <c r="F149" s="108">
        <f>'Memória de cálculo'!H1031</f>
        <v>2</v>
      </c>
      <c r="G149" s="108">
        <v>641.08000000000004</v>
      </c>
      <c r="H149" s="108">
        <f t="shared" si="47"/>
        <v>771.6038880000001</v>
      </c>
      <c r="I149" s="108">
        <f t="shared" si="48"/>
        <v>1282.1600000000001</v>
      </c>
      <c r="J149" s="116">
        <f t="shared" si="49"/>
        <v>1543.2077760000002</v>
      </c>
    </row>
    <row r="150" spans="1:10" ht="22.5">
      <c r="A150" s="92" t="s">
        <v>449</v>
      </c>
      <c r="B150" s="106" t="s">
        <v>93</v>
      </c>
      <c r="C150" s="67">
        <v>93011</v>
      </c>
      <c r="D150" s="74" t="s">
        <v>528</v>
      </c>
      <c r="E150" s="136" t="s">
        <v>210</v>
      </c>
      <c r="F150" s="108">
        <f>'Memória de cálculo'!H1034</f>
        <v>1</v>
      </c>
      <c r="G150" s="108">
        <v>45.29</v>
      </c>
      <c r="H150" s="108">
        <f t="shared" si="47"/>
        <v>54.511043999999998</v>
      </c>
      <c r="I150" s="108">
        <f t="shared" si="48"/>
        <v>45.29</v>
      </c>
      <c r="J150" s="116">
        <f t="shared" si="49"/>
        <v>54.511043999999998</v>
      </c>
    </row>
    <row r="151" spans="1:10" ht="22.5">
      <c r="A151" s="92" t="s">
        <v>452</v>
      </c>
      <c r="B151" s="106" t="s">
        <v>146</v>
      </c>
      <c r="C151" s="67" t="s">
        <v>447</v>
      </c>
      <c r="D151" s="74" t="s">
        <v>448</v>
      </c>
      <c r="E151" s="136" t="s">
        <v>210</v>
      </c>
      <c r="F151" s="108">
        <f>'Memória de cálculo'!H1037</f>
        <v>18</v>
      </c>
      <c r="G151" s="108">
        <v>119.1</v>
      </c>
      <c r="H151" s="108">
        <f t="shared" si="47"/>
        <v>143.34876</v>
      </c>
      <c r="I151" s="108">
        <f t="shared" si="48"/>
        <v>2143.8000000000002</v>
      </c>
      <c r="J151" s="116">
        <f t="shared" si="49"/>
        <v>2580.2776800000001</v>
      </c>
    </row>
    <row r="152" spans="1:10">
      <c r="A152" s="92" t="s">
        <v>454</v>
      </c>
      <c r="B152" s="106" t="s">
        <v>146</v>
      </c>
      <c r="C152" s="67" t="s">
        <v>450</v>
      </c>
      <c r="D152" s="74" t="s">
        <v>451</v>
      </c>
      <c r="E152" s="136" t="s">
        <v>210</v>
      </c>
      <c r="F152" s="108">
        <f>'Memória de cálculo'!H1041</f>
        <v>4</v>
      </c>
      <c r="G152" s="108">
        <v>234.69</v>
      </c>
      <c r="H152" s="108">
        <f t="shared" si="47"/>
        <v>282.47288400000002</v>
      </c>
      <c r="I152" s="108">
        <f t="shared" si="48"/>
        <v>938.76</v>
      </c>
      <c r="J152" s="116">
        <f t="shared" si="49"/>
        <v>1129.8915360000001</v>
      </c>
    </row>
    <row r="153" spans="1:10" ht="22.5">
      <c r="A153" s="92" t="s">
        <v>457</v>
      </c>
      <c r="B153" s="106" t="s">
        <v>146</v>
      </c>
      <c r="C153" s="67" t="s">
        <v>744</v>
      </c>
      <c r="D153" s="74" t="s">
        <v>453</v>
      </c>
      <c r="E153" s="136" t="s">
        <v>210</v>
      </c>
      <c r="F153" s="108">
        <f>'Memória de cálculo'!H1044</f>
        <v>2</v>
      </c>
      <c r="G153" s="108">
        <v>347.71</v>
      </c>
      <c r="H153" s="108">
        <f t="shared" si="47"/>
        <v>418.50375599999995</v>
      </c>
      <c r="I153" s="108">
        <f t="shared" si="48"/>
        <v>695.42</v>
      </c>
      <c r="J153" s="116">
        <f t="shared" si="49"/>
        <v>837.00751199999991</v>
      </c>
    </row>
    <row r="154" spans="1:10">
      <c r="A154" s="92" t="s">
        <v>458</v>
      </c>
      <c r="B154" s="106" t="s">
        <v>146</v>
      </c>
      <c r="C154" s="67" t="s">
        <v>455</v>
      </c>
      <c r="D154" s="74" t="s">
        <v>456</v>
      </c>
      <c r="E154" s="136" t="s">
        <v>210</v>
      </c>
      <c r="F154" s="108">
        <f>'Memória de cálculo'!H1047</f>
        <v>3</v>
      </c>
      <c r="G154" s="108">
        <v>109.92</v>
      </c>
      <c r="H154" s="108">
        <f t="shared" si="47"/>
        <v>132.299712</v>
      </c>
      <c r="I154" s="108">
        <f t="shared" si="48"/>
        <v>329.76</v>
      </c>
      <c r="J154" s="116">
        <f t="shared" si="49"/>
        <v>396.899136</v>
      </c>
    </row>
    <row r="155" spans="1:10" ht="22.5">
      <c r="A155" s="92" t="s">
        <v>459</v>
      </c>
      <c r="B155" s="106" t="s">
        <v>93</v>
      </c>
      <c r="C155" s="67">
        <v>101938</v>
      </c>
      <c r="D155" s="74" t="s">
        <v>529</v>
      </c>
      <c r="E155" s="136" t="s">
        <v>210</v>
      </c>
      <c r="F155" s="108">
        <f>'Memória de cálculo'!H1050</f>
        <v>1</v>
      </c>
      <c r="G155" s="108">
        <v>101.78</v>
      </c>
      <c r="H155" s="108">
        <f t="shared" si="47"/>
        <v>122.502408</v>
      </c>
      <c r="I155" s="108">
        <f t="shared" si="48"/>
        <v>101.78</v>
      </c>
      <c r="J155" s="116">
        <f t="shared" si="49"/>
        <v>122.502408</v>
      </c>
    </row>
    <row r="156" spans="1:10" ht="22.5">
      <c r="A156" s="92" t="s">
        <v>460</v>
      </c>
      <c r="B156" s="106" t="s">
        <v>93</v>
      </c>
      <c r="C156" s="67">
        <v>20111</v>
      </c>
      <c r="D156" s="74" t="s">
        <v>563</v>
      </c>
      <c r="E156" s="136" t="s">
        <v>210</v>
      </c>
      <c r="F156" s="108">
        <f>'Memória de cálculo'!H1053</f>
        <v>10</v>
      </c>
      <c r="G156" s="108">
        <v>15</v>
      </c>
      <c r="H156" s="108">
        <f t="shared" si="47"/>
        <v>18.053999999999998</v>
      </c>
      <c r="I156" s="108">
        <f t="shared" si="48"/>
        <v>150</v>
      </c>
      <c r="J156" s="116">
        <f t="shared" si="49"/>
        <v>180.54</v>
      </c>
    </row>
    <row r="157" spans="1:10" ht="22.5">
      <c r="A157" s="92" t="s">
        <v>549</v>
      </c>
      <c r="B157" s="106" t="s">
        <v>93</v>
      </c>
      <c r="C157" s="67">
        <v>3405</v>
      </c>
      <c r="D157" s="74" t="s">
        <v>748</v>
      </c>
      <c r="E157" s="136" t="s">
        <v>210</v>
      </c>
      <c r="F157" s="108">
        <f>'Memória de cálculo'!H1056</f>
        <v>1</v>
      </c>
      <c r="G157" s="108">
        <v>91.9</v>
      </c>
      <c r="H157" s="108">
        <f t="shared" si="47"/>
        <v>110.61084000000001</v>
      </c>
      <c r="I157" s="108">
        <f t="shared" si="48"/>
        <v>91.9</v>
      </c>
      <c r="J157" s="116">
        <f t="shared" si="49"/>
        <v>110.61084000000001</v>
      </c>
    </row>
    <row r="158" spans="1:10" ht="33.75">
      <c r="A158" s="92" t="s">
        <v>550</v>
      </c>
      <c r="B158" s="106" t="s">
        <v>93</v>
      </c>
      <c r="C158" s="67">
        <v>4351</v>
      </c>
      <c r="D158" s="74" t="s">
        <v>751</v>
      </c>
      <c r="E158" s="136" t="s">
        <v>210</v>
      </c>
      <c r="F158" s="108">
        <f>'Memória de cálculo'!H1061</f>
        <v>1224</v>
      </c>
      <c r="G158" s="108">
        <v>22.34</v>
      </c>
      <c r="H158" s="108">
        <f t="shared" si="47"/>
        <v>26.888424000000001</v>
      </c>
      <c r="I158" s="108">
        <f t="shared" si="48"/>
        <v>27344.16</v>
      </c>
      <c r="J158" s="116">
        <f t="shared" si="49"/>
        <v>32911.430976000003</v>
      </c>
    </row>
    <row r="159" spans="1:10">
      <c r="A159" s="92" t="s">
        <v>749</v>
      </c>
      <c r="B159" s="106" t="s">
        <v>146</v>
      </c>
      <c r="C159" s="67" t="s">
        <v>752</v>
      </c>
      <c r="D159" s="74" t="s">
        <v>753</v>
      </c>
      <c r="E159" s="136" t="s">
        <v>210</v>
      </c>
      <c r="F159" s="108">
        <f>'Memória de cálculo'!H1064</f>
        <v>1</v>
      </c>
      <c r="G159" s="108">
        <v>127.47</v>
      </c>
      <c r="H159" s="108">
        <f t="shared" si="47"/>
        <v>153.42289199999999</v>
      </c>
      <c r="I159" s="108">
        <f t="shared" si="48"/>
        <v>127.47</v>
      </c>
      <c r="J159" s="116">
        <f t="shared" si="49"/>
        <v>153.42289199999999</v>
      </c>
    </row>
    <row r="160" spans="1:10">
      <c r="A160" s="92" t="s">
        <v>750</v>
      </c>
      <c r="B160" s="106" t="s">
        <v>146</v>
      </c>
      <c r="C160" s="67" t="s">
        <v>755</v>
      </c>
      <c r="D160" s="74" t="s">
        <v>756</v>
      </c>
      <c r="E160" s="136" t="s">
        <v>210</v>
      </c>
      <c r="F160" s="108">
        <f>'Memória de cálculo'!H1067</f>
        <v>6</v>
      </c>
      <c r="G160" s="108">
        <v>101.64</v>
      </c>
      <c r="H160" s="108">
        <f t="shared" si="47"/>
        <v>122.333904</v>
      </c>
      <c r="I160" s="108">
        <f t="shared" si="48"/>
        <v>609.84</v>
      </c>
      <c r="J160" s="116">
        <f t="shared" si="49"/>
        <v>734.003424</v>
      </c>
    </row>
    <row r="161" spans="1:10" ht="33.75">
      <c r="A161" s="92" t="s">
        <v>754</v>
      </c>
      <c r="B161" s="106" t="s">
        <v>93</v>
      </c>
      <c r="C161" s="67">
        <v>101879</v>
      </c>
      <c r="D161" s="74" t="s">
        <v>757</v>
      </c>
      <c r="E161" s="136" t="s">
        <v>210</v>
      </c>
      <c r="F161" s="108">
        <f>'Memória de cálculo'!H1070</f>
        <v>1</v>
      </c>
      <c r="G161" s="108">
        <v>657.76</v>
      </c>
      <c r="H161" s="108">
        <f t="shared" si="47"/>
        <v>791.679936</v>
      </c>
      <c r="I161" s="108">
        <f t="shared" si="48"/>
        <v>657.76</v>
      </c>
      <c r="J161" s="116">
        <f t="shared" si="49"/>
        <v>791.679936</v>
      </c>
    </row>
    <row r="162" spans="1:10">
      <c r="A162" s="53" t="s">
        <v>12</v>
      </c>
      <c r="B162" s="53"/>
      <c r="C162" s="53"/>
      <c r="D162" s="59" t="s">
        <v>840</v>
      </c>
      <c r="E162" s="54"/>
      <c r="F162" s="51"/>
      <c r="G162" s="55"/>
      <c r="H162" s="55"/>
      <c r="I162" s="55"/>
      <c r="J162" s="55">
        <f>SUM(J163:J194)</f>
        <v>130901.11926065618</v>
      </c>
    </row>
    <row r="163" spans="1:10" ht="22.5">
      <c r="A163" s="92" t="s">
        <v>594</v>
      </c>
      <c r="B163" s="106" t="s">
        <v>93</v>
      </c>
      <c r="C163" s="67">
        <v>97663</v>
      </c>
      <c r="D163" s="91" t="s">
        <v>1016</v>
      </c>
      <c r="E163" s="66" t="s">
        <v>210</v>
      </c>
      <c r="F163" s="70">
        <f>'Memória de cálculo'!H1074</f>
        <v>12</v>
      </c>
      <c r="G163" s="70">
        <v>10.119999999999999</v>
      </c>
      <c r="H163" s="2">
        <f>G163*(1+$I$3)</f>
        <v>12.180432</v>
      </c>
      <c r="I163" s="2">
        <f t="shared" ref="I163" si="50">ROUND(F163*G163,2)</f>
        <v>121.44</v>
      </c>
      <c r="J163" s="293">
        <f>H163*F163</f>
        <v>146.16518400000001</v>
      </c>
    </row>
    <row r="164" spans="1:10">
      <c r="A164" s="92" t="s">
        <v>659</v>
      </c>
      <c r="B164" s="106" t="s">
        <v>146</v>
      </c>
      <c r="C164" s="67" t="s">
        <v>913</v>
      </c>
      <c r="D164" s="91" t="s">
        <v>914</v>
      </c>
      <c r="E164" s="66" t="s">
        <v>124</v>
      </c>
      <c r="F164" s="70">
        <f>'Memória de cálculo'!H1077</f>
        <v>86.8</v>
      </c>
      <c r="G164" s="70">
        <v>6.93</v>
      </c>
      <c r="H164" s="2">
        <f>G164*(1+$I$3)</f>
        <v>8.3409479999999991</v>
      </c>
      <c r="I164" s="2">
        <f t="shared" ref="I164:I165" si="51">ROUND(F164*G164,2)</f>
        <v>601.52</v>
      </c>
      <c r="J164" s="296">
        <f t="shared" ref="J164:J194" si="52">H164*F164</f>
        <v>723.99428639999985</v>
      </c>
    </row>
    <row r="165" spans="1:10">
      <c r="A165" s="92" t="s">
        <v>660</v>
      </c>
      <c r="B165" s="106" t="s">
        <v>146</v>
      </c>
      <c r="C165" s="67" t="s">
        <v>915</v>
      </c>
      <c r="D165" s="91" t="s">
        <v>916</v>
      </c>
      <c r="E165" s="66" t="s">
        <v>124</v>
      </c>
      <c r="F165" s="70">
        <f>'Memória de cálculo'!H1080</f>
        <v>5.6</v>
      </c>
      <c r="G165" s="70">
        <v>15.72</v>
      </c>
      <c r="H165" s="2">
        <f>G165*(1+$I$3)</f>
        <v>18.920591999999999</v>
      </c>
      <c r="I165" s="2">
        <f t="shared" si="51"/>
        <v>88.03</v>
      </c>
      <c r="J165" s="296">
        <f t="shared" si="52"/>
        <v>105.95531519999999</v>
      </c>
    </row>
    <row r="166" spans="1:10" ht="22.5">
      <c r="A166" s="92" t="s">
        <v>661</v>
      </c>
      <c r="B166" s="106" t="s">
        <v>146</v>
      </c>
      <c r="C166" s="67" t="s">
        <v>615</v>
      </c>
      <c r="D166" s="74" t="s">
        <v>616</v>
      </c>
      <c r="E166" s="136" t="s">
        <v>210</v>
      </c>
      <c r="F166" s="108">
        <f>'Memória de cálculo'!H1083</f>
        <v>7</v>
      </c>
      <c r="G166" s="108">
        <v>633.38</v>
      </c>
      <c r="H166" s="108">
        <f t="shared" ref="H166:H194" si="53">G166*(1+$I$3)</f>
        <v>762.33616800000004</v>
      </c>
      <c r="I166" s="108">
        <f t="shared" ref="I166:I194" si="54">ROUND(F166*G166,2)</f>
        <v>4433.66</v>
      </c>
      <c r="J166" s="296">
        <f t="shared" si="52"/>
        <v>5336.3531760000005</v>
      </c>
    </row>
    <row r="167" spans="1:10">
      <c r="A167" s="92" t="s">
        <v>662</v>
      </c>
      <c r="B167" s="106" t="s">
        <v>215</v>
      </c>
      <c r="C167" s="185">
        <f>COMPOSIÇÕES!A93</f>
        <v>16</v>
      </c>
      <c r="D167" s="86" t="str">
        <f>COMPOSIÇÕES!D93</f>
        <v>LUVA DUPLA PVC P/ESGOTO D=150mm -C/ANÉIS - UN</v>
      </c>
      <c r="E167" s="136" t="s">
        <v>210</v>
      </c>
      <c r="F167" s="108">
        <f>'Memória de cálculo'!H1086</f>
        <v>29</v>
      </c>
      <c r="G167" s="108">
        <f>COMPOSIÇÕES!J93</f>
        <v>44.88252</v>
      </c>
      <c r="H167" s="108">
        <f t="shared" si="53"/>
        <v>54.020601071999998</v>
      </c>
      <c r="I167" s="108">
        <f t="shared" si="54"/>
        <v>1301.5899999999999</v>
      </c>
      <c r="J167" s="296">
        <f t="shared" si="52"/>
        <v>1566.5974310879999</v>
      </c>
    </row>
    <row r="168" spans="1:10" ht="45">
      <c r="A168" s="92" t="s">
        <v>663</v>
      </c>
      <c r="B168" s="106" t="s">
        <v>93</v>
      </c>
      <c r="C168" s="67">
        <v>98109</v>
      </c>
      <c r="D168" s="74" t="s">
        <v>617</v>
      </c>
      <c r="E168" s="136" t="s">
        <v>210</v>
      </c>
      <c r="F168" s="108">
        <f>'Memória de cálculo'!H1089</f>
        <v>2</v>
      </c>
      <c r="G168" s="108">
        <v>753.61</v>
      </c>
      <c r="H168" s="108">
        <f t="shared" si="53"/>
        <v>907.04499599999997</v>
      </c>
      <c r="I168" s="108">
        <f t="shared" si="54"/>
        <v>1507.22</v>
      </c>
      <c r="J168" s="296">
        <f t="shared" si="52"/>
        <v>1814.0899919999999</v>
      </c>
    </row>
    <row r="169" spans="1:10" ht="22.5">
      <c r="A169" s="92" t="s">
        <v>664</v>
      </c>
      <c r="B169" s="106" t="s">
        <v>146</v>
      </c>
      <c r="C169" s="67" t="s">
        <v>640</v>
      </c>
      <c r="D169" s="74" t="s">
        <v>641</v>
      </c>
      <c r="E169" s="136" t="s">
        <v>210</v>
      </c>
      <c r="F169" s="108">
        <f>'Memória de cálculo'!H1092</f>
        <v>19</v>
      </c>
      <c r="G169" s="108">
        <v>41.21</v>
      </c>
      <c r="H169" s="108">
        <f t="shared" si="53"/>
        <v>49.600355999999998</v>
      </c>
      <c r="I169" s="108">
        <f t="shared" si="54"/>
        <v>782.99</v>
      </c>
      <c r="J169" s="296">
        <f t="shared" si="52"/>
        <v>942.40676399999995</v>
      </c>
    </row>
    <row r="170" spans="1:10" ht="22.5">
      <c r="A170" s="92" t="s">
        <v>665</v>
      </c>
      <c r="B170" s="106" t="s">
        <v>146</v>
      </c>
      <c r="C170" s="67" t="s">
        <v>642</v>
      </c>
      <c r="D170" s="74" t="s">
        <v>643</v>
      </c>
      <c r="E170" s="136" t="s">
        <v>210</v>
      </c>
      <c r="F170" s="108">
        <f>'Memória de cálculo'!H1095</f>
        <v>8</v>
      </c>
      <c r="G170" s="108">
        <v>95.35</v>
      </c>
      <c r="H170" s="108">
        <f t="shared" si="53"/>
        <v>114.76325999999999</v>
      </c>
      <c r="I170" s="108">
        <f t="shared" si="54"/>
        <v>762.8</v>
      </c>
      <c r="J170" s="296">
        <f t="shared" si="52"/>
        <v>918.10607999999991</v>
      </c>
    </row>
    <row r="171" spans="1:10" ht="33.75">
      <c r="A171" s="92" t="s">
        <v>595</v>
      </c>
      <c r="B171" s="106" t="s">
        <v>215</v>
      </c>
      <c r="C171" s="185">
        <f>COMPOSIÇÕES!A79</f>
        <v>14</v>
      </c>
      <c r="D171" s="86" t="str">
        <f>COMPOSIÇÕES!D79</f>
        <v>REDUÇÃO EXCÊNTRICA, PVC, P/ ESGOTO PREDIAL DN 100 X 50 MM, JUNTA ELÁSTICA, FORNECIDO E INSTALADO EM RAMAL DE ENCAMINHAMENTO. AF_12/2014</v>
      </c>
      <c r="E171" s="136" t="s">
        <v>210</v>
      </c>
      <c r="F171" s="108">
        <f>'Memória de cálculo'!H1098</f>
        <v>8</v>
      </c>
      <c r="G171" s="108">
        <f>COMPOSIÇÕES!J79</f>
        <v>17.17933</v>
      </c>
      <c r="H171" s="108">
        <f t="shared" si="53"/>
        <v>20.677041588000002</v>
      </c>
      <c r="I171" s="108">
        <f t="shared" si="54"/>
        <v>137.43</v>
      </c>
      <c r="J171" s="296">
        <f t="shared" si="52"/>
        <v>165.41633270400001</v>
      </c>
    </row>
    <row r="172" spans="1:10">
      <c r="A172" s="92" t="s">
        <v>666</v>
      </c>
      <c r="B172" s="106" t="s">
        <v>146</v>
      </c>
      <c r="C172" s="185" t="s">
        <v>644</v>
      </c>
      <c r="D172" s="86" t="s">
        <v>645</v>
      </c>
      <c r="E172" s="136" t="s">
        <v>210</v>
      </c>
      <c r="F172" s="108">
        <f>'Memória de cálculo'!H1101</f>
        <v>1</v>
      </c>
      <c r="G172" s="108">
        <v>15.45</v>
      </c>
      <c r="H172" s="108">
        <f t="shared" si="53"/>
        <v>18.59562</v>
      </c>
      <c r="I172" s="108">
        <f t="shared" si="54"/>
        <v>15.45</v>
      </c>
      <c r="J172" s="296">
        <f t="shared" si="52"/>
        <v>18.59562</v>
      </c>
    </row>
    <row r="173" spans="1:10">
      <c r="A173" s="92" t="s">
        <v>667</v>
      </c>
      <c r="B173" s="106" t="s">
        <v>215</v>
      </c>
      <c r="C173" s="185">
        <f>COMPOSIÇÕES!A86</f>
        <v>15</v>
      </c>
      <c r="D173" s="86" t="str">
        <f>COMPOSIÇÕES!D86</f>
        <v>CAP (TAMPÃO) OU PLUG (BUJÃO) PVC P/ESGOTO D=150mm C/ANÉIS - UN</v>
      </c>
      <c r="E173" s="136" t="s">
        <v>210</v>
      </c>
      <c r="F173" s="108">
        <f>'Memória de cálculo'!H1104</f>
        <v>3</v>
      </c>
      <c r="G173" s="108">
        <f>COMPOSIÇÕES!J86</f>
        <v>87.662590000000009</v>
      </c>
      <c r="H173" s="108">
        <f t="shared" si="53"/>
        <v>105.51069332400002</v>
      </c>
      <c r="I173" s="108">
        <f t="shared" si="54"/>
        <v>262.99</v>
      </c>
      <c r="J173" s="296">
        <f t="shared" si="52"/>
        <v>316.53207997200002</v>
      </c>
    </row>
    <row r="174" spans="1:10" ht="33.75">
      <c r="A174" s="92" t="s">
        <v>668</v>
      </c>
      <c r="B174" s="106" t="s">
        <v>93</v>
      </c>
      <c r="C174" s="67">
        <v>89707</v>
      </c>
      <c r="D174" s="74" t="s">
        <v>620</v>
      </c>
      <c r="E174" s="136" t="s">
        <v>210</v>
      </c>
      <c r="F174" s="108">
        <f>'Memória de cálculo'!H1107</f>
        <v>18</v>
      </c>
      <c r="G174" s="108">
        <v>36.44</v>
      </c>
      <c r="H174" s="108">
        <f t="shared" si="53"/>
        <v>43.859183999999999</v>
      </c>
      <c r="I174" s="108">
        <f t="shared" si="54"/>
        <v>655.92</v>
      </c>
      <c r="J174" s="296">
        <f t="shared" si="52"/>
        <v>789.46531200000004</v>
      </c>
    </row>
    <row r="175" spans="1:10">
      <c r="A175" s="92" t="s">
        <v>596</v>
      </c>
      <c r="B175" s="106" t="s">
        <v>146</v>
      </c>
      <c r="C175" s="67" t="s">
        <v>764</v>
      </c>
      <c r="D175" s="74" t="s">
        <v>765</v>
      </c>
      <c r="E175" s="136" t="s">
        <v>210</v>
      </c>
      <c r="F175" s="108">
        <f>'Memória de cálculo'!H1110</f>
        <v>7</v>
      </c>
      <c r="G175" s="108">
        <v>50.68</v>
      </c>
      <c r="H175" s="108">
        <f t="shared" si="53"/>
        <v>60.998448000000003</v>
      </c>
      <c r="I175" s="108">
        <f t="shared" si="54"/>
        <v>354.76</v>
      </c>
      <c r="J175" s="296">
        <f t="shared" si="52"/>
        <v>426.98913600000003</v>
      </c>
    </row>
    <row r="176" spans="1:10" ht="22.5">
      <c r="A176" s="92" t="s">
        <v>597</v>
      </c>
      <c r="B176" s="106" t="s">
        <v>93</v>
      </c>
      <c r="C176" s="67">
        <v>86881</v>
      </c>
      <c r="D176" s="74" t="s">
        <v>621</v>
      </c>
      <c r="E176" s="136" t="s">
        <v>210</v>
      </c>
      <c r="F176" s="108">
        <f>'Memória de cálculo'!H1113</f>
        <v>20</v>
      </c>
      <c r="G176" s="108">
        <v>161.63999999999999</v>
      </c>
      <c r="H176" s="108">
        <f t="shared" si="53"/>
        <v>194.549904</v>
      </c>
      <c r="I176" s="108">
        <f t="shared" si="54"/>
        <v>3232.8</v>
      </c>
      <c r="J176" s="296">
        <f t="shared" si="52"/>
        <v>3890.9980799999998</v>
      </c>
    </row>
    <row r="177" spans="1:10" ht="33.75">
      <c r="A177" s="92" t="s">
        <v>598</v>
      </c>
      <c r="B177" s="106" t="s">
        <v>93</v>
      </c>
      <c r="C177" s="67">
        <v>86877</v>
      </c>
      <c r="D177" s="74" t="s">
        <v>766</v>
      </c>
      <c r="E177" s="136" t="s">
        <v>210</v>
      </c>
      <c r="F177" s="108">
        <f>'Memória de cálculo'!H1122</f>
        <v>20</v>
      </c>
      <c r="G177" s="108">
        <v>53.44</v>
      </c>
      <c r="H177" s="108">
        <f t="shared" si="53"/>
        <v>64.320384000000004</v>
      </c>
      <c r="I177" s="108">
        <f t="shared" si="54"/>
        <v>1068.8</v>
      </c>
      <c r="J177" s="296">
        <f t="shared" si="52"/>
        <v>1286.40768</v>
      </c>
    </row>
    <row r="178" spans="1:10" ht="33.75">
      <c r="A178" s="92" t="s">
        <v>599</v>
      </c>
      <c r="B178" s="106" t="s">
        <v>93</v>
      </c>
      <c r="C178" s="67">
        <v>89728</v>
      </c>
      <c r="D178" s="74" t="s">
        <v>622</v>
      </c>
      <c r="E178" s="136" t="s">
        <v>210</v>
      </c>
      <c r="F178" s="108">
        <f>'Memória de cálculo'!H1125</f>
        <v>18</v>
      </c>
      <c r="G178" s="108">
        <v>10.02</v>
      </c>
      <c r="H178" s="108">
        <f t="shared" si="53"/>
        <v>12.060072</v>
      </c>
      <c r="I178" s="108">
        <f t="shared" si="54"/>
        <v>180.36</v>
      </c>
      <c r="J178" s="296">
        <f t="shared" si="52"/>
        <v>217.08129600000001</v>
      </c>
    </row>
    <row r="179" spans="1:10" ht="33.75">
      <c r="A179" s="92" t="s">
        <v>600</v>
      </c>
      <c r="B179" s="106" t="s">
        <v>93</v>
      </c>
      <c r="C179" s="67">
        <v>89732</v>
      </c>
      <c r="D179" s="86" t="s">
        <v>623</v>
      </c>
      <c r="E179" s="136" t="s">
        <v>210</v>
      </c>
      <c r="F179" s="108">
        <f>'Memória de cálculo'!H1128</f>
        <v>19</v>
      </c>
      <c r="G179" s="108">
        <v>11.46</v>
      </c>
      <c r="H179" s="108">
        <f t="shared" si="53"/>
        <v>13.793256000000001</v>
      </c>
      <c r="I179" s="108">
        <f>ROUND(F179*G179,2)</f>
        <v>217.74</v>
      </c>
      <c r="J179" s="296">
        <f t="shared" si="52"/>
        <v>262.07186400000001</v>
      </c>
    </row>
    <row r="180" spans="1:10" ht="33.75">
      <c r="A180" s="92" t="s">
        <v>601</v>
      </c>
      <c r="B180" s="106" t="s">
        <v>93</v>
      </c>
      <c r="C180" s="67">
        <v>89726</v>
      </c>
      <c r="D180" s="86" t="s">
        <v>624</v>
      </c>
      <c r="E180" s="136" t="s">
        <v>210</v>
      </c>
      <c r="F180" s="108">
        <f>'Memória de cálculo'!H1131</f>
        <v>10</v>
      </c>
      <c r="G180" s="108">
        <v>6.55</v>
      </c>
      <c r="H180" s="108">
        <f t="shared" si="53"/>
        <v>7.8835799999999994</v>
      </c>
      <c r="I180" s="108">
        <f t="shared" si="54"/>
        <v>65.5</v>
      </c>
      <c r="J180" s="296">
        <f t="shared" si="52"/>
        <v>78.835799999999992</v>
      </c>
    </row>
    <row r="181" spans="1:10" ht="33.75">
      <c r="A181" s="92" t="s">
        <v>602</v>
      </c>
      <c r="B181" s="106" t="s">
        <v>93</v>
      </c>
      <c r="C181" s="67">
        <v>89855</v>
      </c>
      <c r="D181" s="86" t="s">
        <v>625</v>
      </c>
      <c r="E181" s="136" t="s">
        <v>210</v>
      </c>
      <c r="F181" s="108">
        <f>'Memória de cálculo'!H1134</f>
        <v>2</v>
      </c>
      <c r="G181" s="108">
        <v>90.06</v>
      </c>
      <c r="H181" s="108">
        <f t="shared" si="53"/>
        <v>108.39621600000001</v>
      </c>
      <c r="I181" s="108">
        <f t="shared" si="54"/>
        <v>180.12</v>
      </c>
      <c r="J181" s="296">
        <f t="shared" si="52"/>
        <v>216.79243200000002</v>
      </c>
    </row>
    <row r="182" spans="1:10" ht="33.75">
      <c r="A182" s="92" t="s">
        <v>603</v>
      </c>
      <c r="B182" s="106" t="s">
        <v>93</v>
      </c>
      <c r="C182" s="67">
        <v>89753</v>
      </c>
      <c r="D182" s="74" t="s">
        <v>626</v>
      </c>
      <c r="E182" s="136" t="s">
        <v>210</v>
      </c>
      <c r="F182" s="108">
        <f>'Memória de cálculo'!H1137</f>
        <v>21</v>
      </c>
      <c r="G182" s="108">
        <v>9.2100000000000009</v>
      </c>
      <c r="H182" s="108">
        <f t="shared" si="53"/>
        <v>11.085156000000001</v>
      </c>
      <c r="I182" s="108">
        <f t="shared" si="54"/>
        <v>193.41</v>
      </c>
      <c r="J182" s="296">
        <f t="shared" si="52"/>
        <v>232.78827600000002</v>
      </c>
    </row>
    <row r="183" spans="1:10" ht="33.75">
      <c r="A183" s="92" t="s">
        <v>604</v>
      </c>
      <c r="B183" s="106" t="s">
        <v>93</v>
      </c>
      <c r="C183" s="67">
        <v>89778</v>
      </c>
      <c r="D183" s="74" t="s">
        <v>627</v>
      </c>
      <c r="E183" s="136" t="s">
        <v>210</v>
      </c>
      <c r="F183" s="108">
        <f>'Memória de cálculo'!H1140</f>
        <v>28</v>
      </c>
      <c r="G183" s="108">
        <v>19</v>
      </c>
      <c r="H183" s="108">
        <f t="shared" si="53"/>
        <v>22.868400000000001</v>
      </c>
      <c r="I183" s="108">
        <f t="shared" si="54"/>
        <v>532</v>
      </c>
      <c r="J183" s="296">
        <f t="shared" si="52"/>
        <v>640.3152</v>
      </c>
    </row>
    <row r="184" spans="1:10" ht="45">
      <c r="A184" s="92" t="s">
        <v>605</v>
      </c>
      <c r="B184" s="106" t="s">
        <v>93</v>
      </c>
      <c r="C184" s="67">
        <v>91792</v>
      </c>
      <c r="D184" s="74" t="s">
        <v>628</v>
      </c>
      <c r="E184" s="136" t="s">
        <v>124</v>
      </c>
      <c r="F184" s="108">
        <f>'Memória de cálculo'!H1143</f>
        <v>24.32</v>
      </c>
      <c r="G184" s="108">
        <v>52.03</v>
      </c>
      <c r="H184" s="108">
        <f t="shared" si="53"/>
        <v>62.623308000000002</v>
      </c>
      <c r="I184" s="108">
        <f t="shared" si="54"/>
        <v>1265.3699999999999</v>
      </c>
      <c r="J184" s="296">
        <f t="shared" si="52"/>
        <v>1522.9988505600002</v>
      </c>
    </row>
    <row r="185" spans="1:10" ht="45">
      <c r="A185" s="92" t="s">
        <v>606</v>
      </c>
      <c r="B185" s="106" t="s">
        <v>93</v>
      </c>
      <c r="C185" s="67">
        <v>91793</v>
      </c>
      <c r="D185" s="74" t="s">
        <v>629</v>
      </c>
      <c r="E185" s="136" t="s">
        <v>124</v>
      </c>
      <c r="F185" s="108">
        <f>'Memória de cálculo'!H1146</f>
        <v>32.700000000000003</v>
      </c>
      <c r="G185" s="108">
        <v>82.37</v>
      </c>
      <c r="H185" s="108">
        <f t="shared" si="53"/>
        <v>99.140532000000007</v>
      </c>
      <c r="I185" s="108">
        <f t="shared" si="54"/>
        <v>2693.5</v>
      </c>
      <c r="J185" s="296">
        <f t="shared" si="52"/>
        <v>3241.8953964000007</v>
      </c>
    </row>
    <row r="186" spans="1:10" ht="45">
      <c r="A186" s="92" t="s">
        <v>607</v>
      </c>
      <c r="B186" s="106" t="s">
        <v>93</v>
      </c>
      <c r="C186" s="67">
        <v>91795</v>
      </c>
      <c r="D186" s="74" t="s">
        <v>630</v>
      </c>
      <c r="E186" s="136" t="s">
        <v>124</v>
      </c>
      <c r="F186" s="108">
        <f>'Memória de cálculo'!H1150</f>
        <v>70.509999999999991</v>
      </c>
      <c r="G186" s="108">
        <v>66.39</v>
      </c>
      <c r="H186" s="108">
        <f t="shared" si="53"/>
        <v>79.907004000000001</v>
      </c>
      <c r="I186" s="108">
        <f t="shared" si="54"/>
        <v>4681.16</v>
      </c>
      <c r="J186" s="296">
        <f t="shared" si="52"/>
        <v>5634.242852039999</v>
      </c>
    </row>
    <row r="187" spans="1:10" ht="45">
      <c r="A187" s="92" t="s">
        <v>608</v>
      </c>
      <c r="B187" s="106" t="s">
        <v>93</v>
      </c>
      <c r="C187" s="67">
        <v>91796</v>
      </c>
      <c r="D187" s="74" t="s">
        <v>631</v>
      </c>
      <c r="E187" s="136" t="s">
        <v>124</v>
      </c>
      <c r="F187" s="108">
        <f>'Memória de cálculo'!H1153</f>
        <v>102.59</v>
      </c>
      <c r="G187" s="108">
        <v>72.81</v>
      </c>
      <c r="H187" s="108">
        <f t="shared" si="53"/>
        <v>87.634116000000006</v>
      </c>
      <c r="I187" s="108">
        <f t="shared" si="54"/>
        <v>7469.58</v>
      </c>
      <c r="J187" s="296">
        <f t="shared" si="52"/>
        <v>8990.38396044</v>
      </c>
    </row>
    <row r="188" spans="1:10" ht="33.75">
      <c r="A188" s="92" t="s">
        <v>609</v>
      </c>
      <c r="B188" s="106" t="s">
        <v>93</v>
      </c>
      <c r="C188" s="67">
        <v>89782</v>
      </c>
      <c r="D188" s="74" t="s">
        <v>637</v>
      </c>
      <c r="E188" s="136" t="s">
        <v>210</v>
      </c>
      <c r="F188" s="108">
        <f>'Memória de cálculo'!H1156</f>
        <v>8</v>
      </c>
      <c r="G188" s="108">
        <v>10.96</v>
      </c>
      <c r="H188" s="108">
        <f t="shared" si="53"/>
        <v>13.191456000000001</v>
      </c>
      <c r="I188" s="108">
        <f t="shared" si="54"/>
        <v>87.68</v>
      </c>
      <c r="J188" s="296">
        <f t="shared" si="52"/>
        <v>105.531648</v>
      </c>
    </row>
    <row r="189" spans="1:10" ht="33.75">
      <c r="A189" s="92" t="s">
        <v>610</v>
      </c>
      <c r="B189" s="106" t="s">
        <v>93</v>
      </c>
      <c r="C189" s="67">
        <v>89744</v>
      </c>
      <c r="D189" s="74" t="s">
        <v>837</v>
      </c>
      <c r="E189" s="136" t="s">
        <v>210</v>
      </c>
      <c r="F189" s="108">
        <f>'Memória de cálculo'!H1159</f>
        <v>16</v>
      </c>
      <c r="G189" s="108">
        <v>24.27</v>
      </c>
      <c r="H189" s="108">
        <f t="shared" si="53"/>
        <v>29.211372000000001</v>
      </c>
      <c r="I189" s="108">
        <f t="shared" si="54"/>
        <v>388.32</v>
      </c>
      <c r="J189" s="296">
        <f t="shared" si="52"/>
        <v>467.38195200000001</v>
      </c>
    </row>
    <row r="190" spans="1:10" ht="22.5">
      <c r="A190" s="92" t="s">
        <v>619</v>
      </c>
      <c r="B190" s="106" t="s">
        <v>215</v>
      </c>
      <c r="C190" s="185">
        <f>COMPOSIÇÕES!A100</f>
        <v>17</v>
      </c>
      <c r="D190" s="86" t="str">
        <f>COMPOSIÇÕES!D100</f>
        <v>FILTRO ANAERÓBIO RETANGULAR, EM ALVENARIA COM TIJOLOS CERÂMICOS, DIMENSÕES INTERNAS: 4,4 X 4,4 X 1,90 M</v>
      </c>
      <c r="E190" s="136" t="str">
        <f>[4]Composição!D130</f>
        <v>M3</v>
      </c>
      <c r="F190" s="108">
        <f>'Memória de cálculo'!H1162</f>
        <v>1</v>
      </c>
      <c r="G190" s="108">
        <f>COMPOSIÇÕES!J100</f>
        <v>38785.529175115495</v>
      </c>
      <c r="H190" s="108">
        <f t="shared" si="53"/>
        <v>46682.262915169013</v>
      </c>
      <c r="I190" s="108">
        <f t="shared" si="54"/>
        <v>38785.53</v>
      </c>
      <c r="J190" s="296">
        <f t="shared" si="52"/>
        <v>46682.262915169013</v>
      </c>
    </row>
    <row r="191" spans="1:10" ht="33.75">
      <c r="A191" s="92" t="s">
        <v>687</v>
      </c>
      <c r="B191" s="106" t="s">
        <v>93</v>
      </c>
      <c r="C191" s="67">
        <v>89724</v>
      </c>
      <c r="D191" s="74" t="s">
        <v>838</v>
      </c>
      <c r="E191" s="136" t="s">
        <v>210</v>
      </c>
      <c r="F191" s="108">
        <f>'Memória de cálculo'!H1165</f>
        <v>18</v>
      </c>
      <c r="G191" s="108">
        <v>9.33</v>
      </c>
      <c r="H191" s="108">
        <f t="shared" si="53"/>
        <v>11.229588</v>
      </c>
      <c r="I191" s="108">
        <f t="shared" si="54"/>
        <v>167.94</v>
      </c>
      <c r="J191" s="296">
        <f t="shared" si="52"/>
        <v>202.13258400000001</v>
      </c>
    </row>
    <row r="192" spans="1:10" ht="33.75">
      <c r="A192" s="92" t="s">
        <v>694</v>
      </c>
      <c r="B192" s="106" t="s">
        <v>215</v>
      </c>
      <c r="C192" s="185">
        <f>COMPOSIÇÕES!A117</f>
        <v>18</v>
      </c>
      <c r="D192" s="86" t="str">
        <f>COMPOSIÇÕES!D117</f>
        <v>TE, PVC, SERIE NORMAL, ESGOTO PREDIAL, DN 150 X 100 MM, JUNTA ELÁSTICA, FORNECIDO E INSTALADO EM RAMAL DE DESCARGA OU RAMAL DE ESGOTO SANITÁRIO. AF_12/2014</v>
      </c>
      <c r="E192" s="136" t="s">
        <v>210</v>
      </c>
      <c r="F192" s="108">
        <f>'Memória de cálculo'!H1173</f>
        <v>16</v>
      </c>
      <c r="G192" s="108">
        <f>COMPOSIÇÕES!J117</f>
        <v>114.68966</v>
      </c>
      <c r="H192" s="108">
        <f t="shared" si="53"/>
        <v>138.040474776</v>
      </c>
      <c r="I192" s="108">
        <f t="shared" si="54"/>
        <v>1835.03</v>
      </c>
      <c r="J192" s="296">
        <f t="shared" si="52"/>
        <v>2208.6475964159999</v>
      </c>
    </row>
    <row r="193" spans="1:10" ht="33.75">
      <c r="A193" s="92" t="s">
        <v>977</v>
      </c>
      <c r="B193" s="106" t="s">
        <v>93</v>
      </c>
      <c r="C193" s="67">
        <v>89731</v>
      </c>
      <c r="D193" s="74" t="s">
        <v>839</v>
      </c>
      <c r="E193" s="136" t="s">
        <v>210</v>
      </c>
      <c r="F193" s="108">
        <f>'Memória de cálculo'!H1176</f>
        <v>4</v>
      </c>
      <c r="G193" s="108">
        <v>10.81</v>
      </c>
      <c r="H193" s="108">
        <f t="shared" si="53"/>
        <v>13.010916</v>
      </c>
      <c r="I193" s="108">
        <f t="shared" si="54"/>
        <v>43.24</v>
      </c>
      <c r="J193" s="296">
        <f t="shared" si="52"/>
        <v>52.043664</v>
      </c>
    </row>
    <row r="194" spans="1:10" ht="33.75">
      <c r="A194" s="92" t="s">
        <v>1015</v>
      </c>
      <c r="B194" s="106" t="s">
        <v>215</v>
      </c>
      <c r="C194" s="185">
        <f>COMPOSIÇÕES!A124</f>
        <v>19</v>
      </c>
      <c r="D194" s="86" t="str">
        <f>COMPOSIÇÕES!D124</f>
        <v>TANQUE SÉPTICO RETANGULAR, EM ALVENARIA COM TIJOLOS CERÂMICOS MACIÇOS, DIMENSÕES INTERNAS: 2,8 X 5,30 X 2,8 M,  LAJE DE FUNDO COM 20CM E LAJE DE TAMPA COM 20CM.</v>
      </c>
      <c r="E194" s="136" t="s">
        <v>210</v>
      </c>
      <c r="F194" s="108">
        <f>'Memória de cálculo'!H1179</f>
        <v>1</v>
      </c>
      <c r="G194" s="108">
        <f>COMPOSIÇÕES!J124</f>
        <v>34644.101449208334</v>
      </c>
      <c r="H194" s="108">
        <f t="shared" si="53"/>
        <v>41697.640504267154</v>
      </c>
      <c r="I194" s="108">
        <f t="shared" si="54"/>
        <v>34644.1</v>
      </c>
      <c r="J194" s="296">
        <f t="shared" si="52"/>
        <v>41697.640504267154</v>
      </c>
    </row>
    <row r="195" spans="1:10">
      <c r="A195" s="166" t="s">
        <v>13</v>
      </c>
      <c r="B195" s="166"/>
      <c r="C195" s="166"/>
      <c r="D195" s="167" t="s">
        <v>780</v>
      </c>
      <c r="E195" s="168"/>
      <c r="F195" s="169"/>
      <c r="G195" s="170"/>
      <c r="H195" s="170"/>
      <c r="I195" s="170"/>
      <c r="J195" s="170">
        <f>SUM(J196:J224)</f>
        <v>35438.648292303842</v>
      </c>
    </row>
    <row r="196" spans="1:10">
      <c r="A196" s="92" t="s">
        <v>767</v>
      </c>
      <c r="B196" s="106" t="s">
        <v>146</v>
      </c>
      <c r="C196" s="67" t="s">
        <v>781</v>
      </c>
      <c r="D196" s="74" t="s">
        <v>782</v>
      </c>
      <c r="E196" s="136" t="s">
        <v>210</v>
      </c>
      <c r="F196" s="108">
        <f>'Memória de cálculo'!H1183</f>
        <v>2</v>
      </c>
      <c r="G196" s="108">
        <v>10.93</v>
      </c>
      <c r="H196" s="108">
        <f t="shared" ref="H196:H232" si="55">G196*(1+$I$3)</f>
        <v>13.155348</v>
      </c>
      <c r="I196" s="108">
        <f t="shared" ref="I196:I212" si="56">ROUND(F196*G196,2)</f>
        <v>21.86</v>
      </c>
      <c r="J196" s="116">
        <f t="shared" ref="J196:J224" si="57">H196*F196</f>
        <v>26.310696</v>
      </c>
    </row>
    <row r="197" spans="1:10" ht="33.75">
      <c r="A197" s="92" t="s">
        <v>768</v>
      </c>
      <c r="B197" s="106" t="s">
        <v>93</v>
      </c>
      <c r="C197" s="67">
        <v>86931</v>
      </c>
      <c r="D197" s="74" t="s">
        <v>783</v>
      </c>
      <c r="E197" s="136" t="s">
        <v>210</v>
      </c>
      <c r="F197" s="108">
        <f>'Memória de cálculo'!H1186</f>
        <v>16</v>
      </c>
      <c r="G197" s="108">
        <v>449.66</v>
      </c>
      <c r="H197" s="108">
        <f t="shared" si="55"/>
        <v>541.21077600000001</v>
      </c>
      <c r="I197" s="108">
        <f t="shared" si="56"/>
        <v>7194.56</v>
      </c>
      <c r="J197" s="116">
        <f t="shared" si="57"/>
        <v>8659.3724160000002</v>
      </c>
    </row>
    <row r="198" spans="1:10">
      <c r="A198" s="92" t="s">
        <v>769</v>
      </c>
      <c r="B198" s="106" t="s">
        <v>146</v>
      </c>
      <c r="C198" s="67" t="s">
        <v>989</v>
      </c>
      <c r="D198" s="74" t="s">
        <v>990</v>
      </c>
      <c r="E198" s="136" t="s">
        <v>210</v>
      </c>
      <c r="F198" s="108">
        <f>'Memória de cálculo'!H1189</f>
        <v>2</v>
      </c>
      <c r="G198" s="108">
        <v>139.87</v>
      </c>
      <c r="H198" s="108">
        <f t="shared" si="55"/>
        <v>168.347532</v>
      </c>
      <c r="I198" s="108">
        <f t="shared" si="56"/>
        <v>279.74</v>
      </c>
      <c r="J198" s="116">
        <f t="shared" si="57"/>
        <v>336.695064</v>
      </c>
    </row>
    <row r="199" spans="1:10">
      <c r="A199" s="92" t="s">
        <v>770</v>
      </c>
      <c r="B199" s="106" t="s">
        <v>146</v>
      </c>
      <c r="C199" s="67" t="s">
        <v>896</v>
      </c>
      <c r="D199" s="74" t="s">
        <v>897</v>
      </c>
      <c r="E199" s="136" t="s">
        <v>210</v>
      </c>
      <c r="F199" s="108">
        <f>'Memória de cálculo'!H1192</f>
        <v>2</v>
      </c>
      <c r="G199" s="108">
        <v>78.5</v>
      </c>
      <c r="H199" s="108">
        <f t="shared" si="55"/>
        <v>94.482600000000005</v>
      </c>
      <c r="I199" s="108">
        <f t="shared" ref="I199" si="58">ROUND(F199*G199,2)</f>
        <v>157</v>
      </c>
      <c r="J199" s="116">
        <f t="shared" si="57"/>
        <v>188.96520000000001</v>
      </c>
    </row>
    <row r="200" spans="1:10">
      <c r="A200" s="92" t="s">
        <v>771</v>
      </c>
      <c r="B200" s="106" t="s">
        <v>146</v>
      </c>
      <c r="C200" s="67" t="s">
        <v>985</v>
      </c>
      <c r="D200" s="74" t="s">
        <v>986</v>
      </c>
      <c r="E200" s="136" t="s">
        <v>210</v>
      </c>
      <c r="F200" s="108">
        <f>'Memória de cálculo'!H1196</f>
        <v>9</v>
      </c>
      <c r="G200" s="108">
        <v>81.7</v>
      </c>
      <c r="H200" s="108">
        <f t="shared" si="55"/>
        <v>98.334119999999999</v>
      </c>
      <c r="I200" s="108">
        <f t="shared" ref="I200" si="59">ROUND(F200*G200,2)</f>
        <v>735.3</v>
      </c>
      <c r="J200" s="116">
        <f t="shared" si="57"/>
        <v>885.00707999999997</v>
      </c>
    </row>
    <row r="201" spans="1:10">
      <c r="A201" s="92" t="s">
        <v>772</v>
      </c>
      <c r="B201" s="106" t="s">
        <v>146</v>
      </c>
      <c r="C201" s="67" t="s">
        <v>921</v>
      </c>
      <c r="D201" s="74" t="s">
        <v>922</v>
      </c>
      <c r="E201" s="136" t="s">
        <v>210</v>
      </c>
      <c r="F201" s="108">
        <f>'Memória de cálculo'!H1200</f>
        <v>16</v>
      </c>
      <c r="G201" s="108">
        <v>11.33</v>
      </c>
      <c r="H201" s="108">
        <f t="shared" si="55"/>
        <v>13.636787999999999</v>
      </c>
      <c r="I201" s="108">
        <f t="shared" ref="I201" si="60">ROUND(F201*G201,2)</f>
        <v>181.28</v>
      </c>
      <c r="J201" s="116">
        <f t="shared" si="57"/>
        <v>218.18860799999999</v>
      </c>
    </row>
    <row r="202" spans="1:10">
      <c r="A202" s="92" t="s">
        <v>773</v>
      </c>
      <c r="B202" s="106" t="s">
        <v>146</v>
      </c>
      <c r="C202" s="67" t="s">
        <v>925</v>
      </c>
      <c r="D202" s="74" t="s">
        <v>926</v>
      </c>
      <c r="E202" s="136" t="s">
        <v>210</v>
      </c>
      <c r="F202" s="108">
        <f>'Memória de cálculo'!H1203</f>
        <v>18</v>
      </c>
      <c r="G202" s="108">
        <v>4.8899999999999997</v>
      </c>
      <c r="H202" s="108">
        <f t="shared" si="55"/>
        <v>5.8856039999999998</v>
      </c>
      <c r="I202" s="108">
        <f t="shared" si="56"/>
        <v>88.02</v>
      </c>
      <c r="J202" s="116">
        <f t="shared" si="57"/>
        <v>105.940872</v>
      </c>
    </row>
    <row r="203" spans="1:10">
      <c r="A203" s="92" t="s">
        <v>774</v>
      </c>
      <c r="B203" s="106" t="s">
        <v>146</v>
      </c>
      <c r="C203" s="67" t="s">
        <v>917</v>
      </c>
      <c r="D203" s="74" t="s">
        <v>918</v>
      </c>
      <c r="E203" s="136" t="s">
        <v>210</v>
      </c>
      <c r="F203" s="108">
        <f>'Memória de cálculo'!H1207</f>
        <v>4</v>
      </c>
      <c r="G203" s="108">
        <v>4.6399999999999997</v>
      </c>
      <c r="H203" s="108">
        <f t="shared" si="55"/>
        <v>5.5847039999999994</v>
      </c>
      <c r="I203" s="108">
        <f t="shared" si="56"/>
        <v>18.559999999999999</v>
      </c>
      <c r="J203" s="116">
        <f t="shared" si="57"/>
        <v>22.338815999999998</v>
      </c>
    </row>
    <row r="204" spans="1:10">
      <c r="A204" s="92" t="s">
        <v>775</v>
      </c>
      <c r="B204" s="106" t="s">
        <v>146</v>
      </c>
      <c r="C204" s="67" t="s">
        <v>919</v>
      </c>
      <c r="D204" s="74" t="s">
        <v>920</v>
      </c>
      <c r="E204" s="136" t="s">
        <v>210</v>
      </c>
      <c r="F204" s="108">
        <f>'Memória de cálculo'!H1210</f>
        <v>4</v>
      </c>
      <c r="G204" s="108">
        <v>10.130000000000001</v>
      </c>
      <c r="H204" s="108">
        <f t="shared" si="55"/>
        <v>12.192468000000002</v>
      </c>
      <c r="I204" s="108">
        <f t="shared" si="56"/>
        <v>40.520000000000003</v>
      </c>
      <c r="J204" s="116">
        <f t="shared" si="57"/>
        <v>48.769872000000007</v>
      </c>
    </row>
    <row r="205" spans="1:10">
      <c r="A205" s="92" t="s">
        <v>776</v>
      </c>
      <c r="B205" s="106" t="s">
        <v>146</v>
      </c>
      <c r="C205" s="67" t="s">
        <v>784</v>
      </c>
      <c r="D205" s="74" t="s">
        <v>785</v>
      </c>
      <c r="E205" s="136" t="s">
        <v>210</v>
      </c>
      <c r="F205" s="108">
        <f>'Memória de cálculo'!H1213</f>
        <v>2</v>
      </c>
      <c r="G205" s="108">
        <v>12.13</v>
      </c>
      <c r="H205" s="108">
        <f t="shared" si="55"/>
        <v>14.599668000000001</v>
      </c>
      <c r="I205" s="108">
        <f t="shared" si="56"/>
        <v>24.26</v>
      </c>
      <c r="J205" s="116">
        <f t="shared" si="57"/>
        <v>29.199336000000002</v>
      </c>
    </row>
    <row r="206" spans="1:10">
      <c r="A206" s="92" t="s">
        <v>779</v>
      </c>
      <c r="B206" s="106" t="s">
        <v>146</v>
      </c>
      <c r="C206" s="67" t="s">
        <v>786</v>
      </c>
      <c r="D206" s="74" t="s">
        <v>787</v>
      </c>
      <c r="E206" s="136" t="s">
        <v>124</v>
      </c>
      <c r="F206" s="108">
        <f>'Memória de cálculo'!H1217</f>
        <v>104</v>
      </c>
      <c r="G206" s="108">
        <v>8.01</v>
      </c>
      <c r="H206" s="108">
        <f t="shared" si="55"/>
        <v>9.6408360000000002</v>
      </c>
      <c r="I206" s="108">
        <f t="shared" si="56"/>
        <v>833.04</v>
      </c>
      <c r="J206" s="116">
        <f t="shared" si="57"/>
        <v>1002.6469440000001</v>
      </c>
    </row>
    <row r="207" spans="1:10">
      <c r="A207" s="92" t="s">
        <v>1023</v>
      </c>
      <c r="B207" s="106" t="s">
        <v>146</v>
      </c>
      <c r="C207" s="67" t="s">
        <v>788</v>
      </c>
      <c r="D207" s="74" t="s">
        <v>789</v>
      </c>
      <c r="E207" s="136" t="s">
        <v>124</v>
      </c>
      <c r="F207" s="108">
        <f>'Memória de cálculo'!H1220</f>
        <v>48</v>
      </c>
      <c r="G207" s="108">
        <v>21.3</v>
      </c>
      <c r="H207" s="108">
        <f t="shared" si="55"/>
        <v>25.636680000000002</v>
      </c>
      <c r="I207" s="108">
        <f t="shared" si="56"/>
        <v>1022.4</v>
      </c>
      <c r="J207" s="116">
        <f t="shared" si="57"/>
        <v>1230.5606400000001</v>
      </c>
    </row>
    <row r="208" spans="1:10">
      <c r="A208" s="92" t="s">
        <v>1024</v>
      </c>
      <c r="B208" s="106" t="s">
        <v>146</v>
      </c>
      <c r="C208" s="67" t="s">
        <v>923</v>
      </c>
      <c r="D208" s="74" t="s">
        <v>924</v>
      </c>
      <c r="E208" s="136" t="s">
        <v>210</v>
      </c>
      <c r="F208" s="108">
        <f>'Memória de cálculo'!H1223</f>
        <v>8</v>
      </c>
      <c r="G208" s="108">
        <v>9.4</v>
      </c>
      <c r="H208" s="108">
        <f t="shared" si="55"/>
        <v>11.313840000000001</v>
      </c>
      <c r="I208" s="108">
        <f t="shared" si="56"/>
        <v>75.2</v>
      </c>
      <c r="J208" s="116">
        <f t="shared" si="57"/>
        <v>90.510720000000006</v>
      </c>
    </row>
    <row r="209" spans="1:10">
      <c r="A209" s="92" t="s">
        <v>1025</v>
      </c>
      <c r="B209" s="106" t="s">
        <v>146</v>
      </c>
      <c r="C209" s="67" t="s">
        <v>790</v>
      </c>
      <c r="D209" s="74" t="s">
        <v>791</v>
      </c>
      <c r="E209" s="136" t="s">
        <v>210</v>
      </c>
      <c r="F209" s="108">
        <f>'Memória de cálculo'!H1226</f>
        <v>2</v>
      </c>
      <c r="G209" s="171" t="s">
        <v>792</v>
      </c>
      <c r="H209" s="108">
        <f t="shared" si="55"/>
        <v>25.769076000000002</v>
      </c>
      <c r="I209" s="108">
        <f t="shared" si="56"/>
        <v>42.82</v>
      </c>
      <c r="J209" s="116">
        <f t="shared" si="57"/>
        <v>51.538152000000004</v>
      </c>
    </row>
    <row r="210" spans="1:10">
      <c r="A210" s="92" t="s">
        <v>1026</v>
      </c>
      <c r="B210" s="106" t="s">
        <v>146</v>
      </c>
      <c r="C210" s="67" t="s">
        <v>793</v>
      </c>
      <c r="D210" s="74" t="s">
        <v>794</v>
      </c>
      <c r="E210" s="136" t="s">
        <v>210</v>
      </c>
      <c r="F210" s="108">
        <f>'Memória de cálculo'!H1230</f>
        <v>41</v>
      </c>
      <c r="G210" s="171">
        <v>12.72</v>
      </c>
      <c r="H210" s="108">
        <f t="shared" si="55"/>
        <v>15.309792000000002</v>
      </c>
      <c r="I210" s="108">
        <f t="shared" si="56"/>
        <v>521.52</v>
      </c>
      <c r="J210" s="116">
        <f t="shared" si="57"/>
        <v>627.70147200000008</v>
      </c>
    </row>
    <row r="211" spans="1:10">
      <c r="A211" s="92" t="s">
        <v>1027</v>
      </c>
      <c r="B211" s="106" t="s">
        <v>146</v>
      </c>
      <c r="C211" s="67" t="s">
        <v>795</v>
      </c>
      <c r="D211" s="74" t="s">
        <v>796</v>
      </c>
      <c r="E211" s="136" t="s">
        <v>210</v>
      </c>
      <c r="F211" s="108">
        <f>'Memória de cálculo'!H1234</f>
        <v>7</v>
      </c>
      <c r="G211" s="171">
        <v>15.56</v>
      </c>
      <c r="H211" s="108">
        <f t="shared" si="55"/>
        <v>18.728016</v>
      </c>
      <c r="I211" s="108">
        <f t="shared" si="56"/>
        <v>108.92</v>
      </c>
      <c r="J211" s="116">
        <f t="shared" si="57"/>
        <v>131.09611200000001</v>
      </c>
    </row>
    <row r="212" spans="1:10">
      <c r="A212" s="92" t="s">
        <v>1028</v>
      </c>
      <c r="B212" s="106" t="s">
        <v>146</v>
      </c>
      <c r="C212" s="67" t="s">
        <v>797</v>
      </c>
      <c r="D212" s="74" t="s">
        <v>798</v>
      </c>
      <c r="E212" s="136" t="s">
        <v>210</v>
      </c>
      <c r="F212" s="108">
        <f>'Memória de cálculo'!H1237</f>
        <v>2</v>
      </c>
      <c r="G212" s="171">
        <v>11.12</v>
      </c>
      <c r="H212" s="108">
        <f t="shared" si="55"/>
        <v>13.384031999999999</v>
      </c>
      <c r="I212" s="108">
        <f t="shared" si="56"/>
        <v>22.24</v>
      </c>
      <c r="J212" s="116">
        <f t="shared" si="57"/>
        <v>26.768063999999999</v>
      </c>
    </row>
    <row r="213" spans="1:10" ht="22.5">
      <c r="A213" s="92" t="s">
        <v>1029</v>
      </c>
      <c r="B213" s="106" t="s">
        <v>93</v>
      </c>
      <c r="C213" s="67">
        <v>95545</v>
      </c>
      <c r="D213" s="74" t="s">
        <v>892</v>
      </c>
      <c r="E213" s="136" t="s">
        <v>210</v>
      </c>
      <c r="F213" s="108">
        <f>'Memória de cálculo'!H1241</f>
        <v>2</v>
      </c>
      <c r="G213" s="171">
        <v>62.19</v>
      </c>
      <c r="H213" s="108">
        <f t="shared" si="55"/>
        <v>74.851883999999998</v>
      </c>
      <c r="I213" s="108">
        <f t="shared" ref="I213:I219" si="61">ROUND(F213*G213,2)</f>
        <v>124.38</v>
      </c>
      <c r="J213" s="116">
        <f t="shared" si="57"/>
        <v>149.703768</v>
      </c>
    </row>
    <row r="214" spans="1:10">
      <c r="A214" s="92" t="s">
        <v>1030</v>
      </c>
      <c r="B214" s="106" t="s">
        <v>146</v>
      </c>
      <c r="C214" s="67" t="s">
        <v>900</v>
      </c>
      <c r="D214" s="74" t="s">
        <v>901</v>
      </c>
      <c r="E214" s="136" t="s">
        <v>210</v>
      </c>
      <c r="F214" s="108">
        <f>'Memória de cálculo'!H1253</f>
        <v>10</v>
      </c>
      <c r="G214" s="171">
        <v>53.94</v>
      </c>
      <c r="H214" s="108">
        <f t="shared" si="55"/>
        <v>64.922184000000001</v>
      </c>
      <c r="I214" s="108">
        <f t="shared" si="61"/>
        <v>539.4</v>
      </c>
      <c r="J214" s="116">
        <f t="shared" si="57"/>
        <v>649.22184000000004</v>
      </c>
    </row>
    <row r="215" spans="1:10" ht="22.5">
      <c r="A215" s="92" t="s">
        <v>1031</v>
      </c>
      <c r="B215" s="106" t="s">
        <v>93</v>
      </c>
      <c r="C215" s="67">
        <v>95547</v>
      </c>
      <c r="D215" s="74" t="s">
        <v>893</v>
      </c>
      <c r="E215" s="136" t="s">
        <v>210</v>
      </c>
      <c r="F215" s="108">
        <f>'Memória de cálculo'!H1265</f>
        <v>16</v>
      </c>
      <c r="G215" s="171">
        <v>58.64</v>
      </c>
      <c r="H215" s="108">
        <f t="shared" si="55"/>
        <v>70.579104000000001</v>
      </c>
      <c r="I215" s="108">
        <f t="shared" si="61"/>
        <v>938.24</v>
      </c>
      <c r="J215" s="116">
        <f t="shared" si="57"/>
        <v>1129.265664</v>
      </c>
    </row>
    <row r="216" spans="1:10" ht="22.5">
      <c r="A216" s="92" t="s">
        <v>1032</v>
      </c>
      <c r="B216" s="106" t="s">
        <v>93</v>
      </c>
      <c r="C216" s="67">
        <v>100867</v>
      </c>
      <c r="D216" s="74" t="s">
        <v>894</v>
      </c>
      <c r="E216" s="136" t="s">
        <v>210</v>
      </c>
      <c r="F216" s="108">
        <f>'Memória de cálculo'!H1271</f>
        <v>4</v>
      </c>
      <c r="G216" s="171">
        <v>347.76</v>
      </c>
      <c r="H216" s="108">
        <f t="shared" si="55"/>
        <v>418.56393600000001</v>
      </c>
      <c r="I216" s="108">
        <f t="shared" si="61"/>
        <v>1391.04</v>
      </c>
      <c r="J216" s="116">
        <f t="shared" si="57"/>
        <v>1674.255744</v>
      </c>
    </row>
    <row r="217" spans="1:10" ht="22.5">
      <c r="A217" s="92" t="s">
        <v>1033</v>
      </c>
      <c r="B217" s="106" t="s">
        <v>93</v>
      </c>
      <c r="C217" s="67">
        <v>100874</v>
      </c>
      <c r="D217" s="74" t="s">
        <v>895</v>
      </c>
      <c r="E217" s="136" t="s">
        <v>210</v>
      </c>
      <c r="F217" s="108">
        <f>'Memória de cálculo'!H1277</f>
        <v>4</v>
      </c>
      <c r="G217" s="171">
        <v>329.09</v>
      </c>
      <c r="H217" s="108">
        <f t="shared" si="55"/>
        <v>396.09272399999998</v>
      </c>
      <c r="I217" s="108">
        <f t="shared" si="61"/>
        <v>1316.36</v>
      </c>
      <c r="J217" s="116">
        <f t="shared" si="57"/>
        <v>1584.3708959999999</v>
      </c>
    </row>
    <row r="218" spans="1:10">
      <c r="A218" s="92" t="s">
        <v>1034</v>
      </c>
      <c r="B218" s="106" t="s">
        <v>146</v>
      </c>
      <c r="C218" s="67" t="s">
        <v>898</v>
      </c>
      <c r="D218" s="74" t="s">
        <v>899</v>
      </c>
      <c r="E218" s="136" t="s">
        <v>210</v>
      </c>
      <c r="F218" s="108">
        <f>'Memória de cálculo'!H1289</f>
        <v>18</v>
      </c>
      <c r="G218" s="171">
        <v>32.1</v>
      </c>
      <c r="H218" s="108">
        <f t="shared" si="55"/>
        <v>38.635560000000005</v>
      </c>
      <c r="I218" s="108">
        <f t="shared" si="61"/>
        <v>577.79999999999995</v>
      </c>
      <c r="J218" s="116">
        <f t="shared" si="57"/>
        <v>695.44008000000008</v>
      </c>
    </row>
    <row r="219" spans="1:10" ht="22.5">
      <c r="A219" s="92" t="s">
        <v>1035</v>
      </c>
      <c r="B219" s="106" t="s">
        <v>146</v>
      </c>
      <c r="C219" s="67" t="s">
        <v>902</v>
      </c>
      <c r="D219" s="74" t="s">
        <v>903</v>
      </c>
      <c r="E219" s="136" t="s">
        <v>149</v>
      </c>
      <c r="F219" s="108">
        <f>'Memória de cálculo'!H1301</f>
        <v>6.5600000000000005</v>
      </c>
      <c r="G219" s="171">
        <v>455.93</v>
      </c>
      <c r="H219" s="108">
        <f t="shared" si="55"/>
        <v>548.75734799999998</v>
      </c>
      <c r="I219" s="108">
        <f t="shared" si="61"/>
        <v>2990.9</v>
      </c>
      <c r="J219" s="116">
        <f t="shared" si="57"/>
        <v>3599.8482028799999</v>
      </c>
    </row>
    <row r="220" spans="1:10" ht="22.5">
      <c r="A220" s="92" t="s">
        <v>1036</v>
      </c>
      <c r="B220" s="106" t="s">
        <v>215</v>
      </c>
      <c r="C220" s="67">
        <f>COMPOSIÇÕES!A159</f>
        <v>22</v>
      </c>
      <c r="D220" s="74" t="str">
        <f>COMPOSIÇÕES!D159</f>
        <v>BANCADA EM GRANITO P/ LAVATÓRIO, INCL. 2 LOUÇAS BRANCAS E ACESSÓRIOS</v>
      </c>
      <c r="E220" s="136" t="str">
        <f>COMPOSIÇÕES!E159</f>
        <v>UND</v>
      </c>
      <c r="F220" s="108">
        <f>'Memória de cálculo'!H1307</f>
        <v>4</v>
      </c>
      <c r="G220" s="288">
        <f>COMPOSIÇÕES!J159</f>
        <v>1295.0210976999999</v>
      </c>
      <c r="H220" s="108">
        <f t="shared" ref="H220:H221" si="62">G220*(1+$I$3)</f>
        <v>1558.6873931917198</v>
      </c>
      <c r="I220" s="108">
        <f t="shared" ref="I220:I221" si="63">ROUND(F220*G220,2)</f>
        <v>5180.08</v>
      </c>
      <c r="J220" s="116">
        <f t="shared" si="57"/>
        <v>6234.7495727668793</v>
      </c>
    </row>
    <row r="221" spans="1:10" ht="22.5">
      <c r="A221" s="92" t="s">
        <v>1037</v>
      </c>
      <c r="B221" s="106" t="s">
        <v>215</v>
      </c>
      <c r="C221" s="67">
        <f>COMPOSIÇÕES!A171</f>
        <v>23</v>
      </c>
      <c r="D221" s="74" t="str">
        <f>COMPOSIÇÕES!D171</f>
        <v>BANCADA EM GRANITO P/ LAVATÓRIO, INCL. 3 LOUÇAS BRANCAS E ACESSÓRIOS</v>
      </c>
      <c r="E221" s="136" t="str">
        <f>COMPOSIÇÕES!E171</f>
        <v>UND</v>
      </c>
      <c r="F221" s="108">
        <f>'Memória de cálculo'!H1311</f>
        <v>2</v>
      </c>
      <c r="G221" s="288">
        <f>COMPOSIÇÕES!J171</f>
        <v>1939.0750468000001</v>
      </c>
      <c r="H221" s="108">
        <f t="shared" si="62"/>
        <v>2333.87072632848</v>
      </c>
      <c r="I221" s="108">
        <f t="shared" si="63"/>
        <v>3878.15</v>
      </c>
      <c r="J221" s="116">
        <f t="shared" si="57"/>
        <v>4667.7414526569601</v>
      </c>
    </row>
    <row r="222" spans="1:10" ht="33.75">
      <c r="A222" s="92" t="s">
        <v>1038</v>
      </c>
      <c r="B222" s="106" t="s">
        <v>94</v>
      </c>
      <c r="C222" s="67" t="s">
        <v>980</v>
      </c>
      <c r="D222" s="74" t="s">
        <v>981</v>
      </c>
      <c r="E222" s="136" t="s">
        <v>149</v>
      </c>
      <c r="F222" s="108">
        <f>'Memória de cálculo'!H1314</f>
        <v>1.5</v>
      </c>
      <c r="G222" s="288">
        <v>360</v>
      </c>
      <c r="H222" s="108">
        <f t="shared" ref="H222:H224" si="64">G222*(1+$I$3)</f>
        <v>433.29599999999999</v>
      </c>
      <c r="I222" s="108">
        <f t="shared" ref="I222:I223" si="65">ROUND(F222*G222,2)</f>
        <v>540</v>
      </c>
      <c r="J222" s="116">
        <f t="shared" si="57"/>
        <v>649.94399999999996</v>
      </c>
    </row>
    <row r="223" spans="1:10" ht="22.5">
      <c r="A223" s="92" t="s">
        <v>1039</v>
      </c>
      <c r="B223" s="106" t="s">
        <v>93</v>
      </c>
      <c r="C223" s="67">
        <v>100852</v>
      </c>
      <c r="D223" s="74" t="s">
        <v>982</v>
      </c>
      <c r="E223" s="136" t="s">
        <v>210</v>
      </c>
      <c r="F223" s="108">
        <f>'Memória de cálculo'!H1317</f>
        <v>2</v>
      </c>
      <c r="G223" s="288">
        <v>187.04</v>
      </c>
      <c r="H223" s="108">
        <f t="shared" si="64"/>
        <v>225.12134399999999</v>
      </c>
      <c r="I223" s="108">
        <f t="shared" si="65"/>
        <v>374.08</v>
      </c>
      <c r="J223" s="116">
        <f t="shared" si="57"/>
        <v>450.24268799999999</v>
      </c>
    </row>
    <row r="224" spans="1:10" ht="22.5">
      <c r="A224" s="92" t="s">
        <v>1040</v>
      </c>
      <c r="B224" s="106" t="s">
        <v>93</v>
      </c>
      <c r="C224" s="67">
        <v>86910</v>
      </c>
      <c r="D224" s="74" t="s">
        <v>984</v>
      </c>
      <c r="E224" s="136" t="s">
        <v>210</v>
      </c>
      <c r="F224" s="108">
        <f>'Memória de cálculo'!H1320</f>
        <v>2</v>
      </c>
      <c r="G224" s="288">
        <v>113.1</v>
      </c>
      <c r="H224" s="108">
        <f t="shared" si="64"/>
        <v>136.12716</v>
      </c>
      <c r="I224" s="108">
        <f t="shared" ref="I224" si="66">ROUND(F224*G224,2)</f>
        <v>226.2</v>
      </c>
      <c r="J224" s="116">
        <f t="shared" si="57"/>
        <v>272.25432000000001</v>
      </c>
    </row>
    <row r="225" spans="1:11">
      <c r="A225" s="166" t="s">
        <v>14</v>
      </c>
      <c r="B225" s="166"/>
      <c r="C225" s="166"/>
      <c r="D225" s="167" t="s">
        <v>1049</v>
      </c>
      <c r="E225" s="168"/>
      <c r="F225" s="169"/>
      <c r="G225" s="170"/>
      <c r="H225" s="170"/>
      <c r="I225" s="170"/>
      <c r="J225" s="170">
        <f>SUM(J226:J230)</f>
        <v>2899.2798239999997</v>
      </c>
    </row>
    <row r="226" spans="1:11">
      <c r="A226" s="56" t="s">
        <v>1061</v>
      </c>
      <c r="B226" s="106" t="s">
        <v>146</v>
      </c>
      <c r="C226" s="67" t="s">
        <v>1050</v>
      </c>
      <c r="D226" s="74" t="s">
        <v>1051</v>
      </c>
      <c r="E226" s="136" t="s">
        <v>1052</v>
      </c>
      <c r="F226" s="108">
        <f>'Memória de cálculo'!H1324</f>
        <v>5.6</v>
      </c>
      <c r="G226" s="288">
        <v>34.28</v>
      </c>
      <c r="H226" s="108">
        <f t="shared" ref="H226" si="67">G226*(1+$I$3)</f>
        <v>41.259408000000001</v>
      </c>
      <c r="I226" s="108">
        <f t="shared" ref="I226" si="68">ROUND(F226*G226,2)</f>
        <v>191.97</v>
      </c>
      <c r="J226" s="116">
        <f t="shared" ref="J226:J230" si="69">H226*F226</f>
        <v>231.05268479999998</v>
      </c>
    </row>
    <row r="227" spans="1:11">
      <c r="A227" s="56" t="s">
        <v>1062</v>
      </c>
      <c r="B227" s="106" t="s">
        <v>146</v>
      </c>
      <c r="C227" s="67" t="s">
        <v>1053</v>
      </c>
      <c r="D227" s="74" t="s">
        <v>1054</v>
      </c>
      <c r="E227" s="136" t="s">
        <v>1052</v>
      </c>
      <c r="F227" s="108">
        <f>'Memória de cálculo'!H1327</f>
        <v>5.6</v>
      </c>
      <c r="G227" s="288">
        <v>6.86</v>
      </c>
      <c r="H227" s="108">
        <f t="shared" ref="H227:H230" si="70">G227*(1+$I$3)</f>
        <v>8.2566959999999998</v>
      </c>
      <c r="I227" s="108">
        <f t="shared" ref="I227:I230" si="71">ROUND(F227*G227,2)</f>
        <v>38.42</v>
      </c>
      <c r="J227" s="116">
        <f t="shared" si="69"/>
        <v>46.237497599999998</v>
      </c>
    </row>
    <row r="228" spans="1:11">
      <c r="A228" s="56" t="s">
        <v>1063</v>
      </c>
      <c r="B228" s="106" t="s">
        <v>146</v>
      </c>
      <c r="C228" s="67" t="s">
        <v>1055</v>
      </c>
      <c r="D228" s="74" t="s">
        <v>1056</v>
      </c>
      <c r="E228" s="136" t="s">
        <v>1052</v>
      </c>
      <c r="F228" s="108">
        <f>'Memória de cálculo'!H1330</f>
        <v>5.6</v>
      </c>
      <c r="G228" s="288">
        <v>21.96</v>
      </c>
      <c r="H228" s="108">
        <f t="shared" si="70"/>
        <v>26.431056000000002</v>
      </c>
      <c r="I228" s="108">
        <f t="shared" si="71"/>
        <v>122.98</v>
      </c>
      <c r="J228" s="116">
        <f t="shared" si="69"/>
        <v>148.0139136</v>
      </c>
    </row>
    <row r="229" spans="1:11" ht="22.5">
      <c r="A229" s="56" t="s">
        <v>1064</v>
      </c>
      <c r="B229" s="106" t="s">
        <v>146</v>
      </c>
      <c r="C229" s="67" t="s">
        <v>1057</v>
      </c>
      <c r="D229" s="74" t="s">
        <v>1058</v>
      </c>
      <c r="E229" s="136" t="s">
        <v>1052</v>
      </c>
      <c r="F229" s="108">
        <f>'Memória de cálculo'!H1333</f>
        <v>5.6</v>
      </c>
      <c r="G229" s="288">
        <v>296.01</v>
      </c>
      <c r="H229" s="108">
        <f t="shared" si="70"/>
        <v>356.27763599999997</v>
      </c>
      <c r="I229" s="108">
        <f t="shared" si="71"/>
        <v>1657.66</v>
      </c>
      <c r="J229" s="116">
        <f t="shared" si="69"/>
        <v>1995.1547615999998</v>
      </c>
    </row>
    <row r="230" spans="1:11">
      <c r="A230" s="56" t="s">
        <v>799</v>
      </c>
      <c r="B230" s="106" t="s">
        <v>146</v>
      </c>
      <c r="C230" s="67" t="s">
        <v>1059</v>
      </c>
      <c r="D230" s="74" t="s">
        <v>1060</v>
      </c>
      <c r="E230" s="136" t="s">
        <v>1052</v>
      </c>
      <c r="F230" s="108">
        <f>'Memória de cálculo'!H1336</f>
        <v>5.6</v>
      </c>
      <c r="G230" s="288">
        <v>71.040000000000006</v>
      </c>
      <c r="H230" s="108">
        <f t="shared" si="70"/>
        <v>85.503744000000012</v>
      </c>
      <c r="I230" s="108">
        <f t="shared" si="71"/>
        <v>397.82</v>
      </c>
      <c r="J230" s="116">
        <f t="shared" si="69"/>
        <v>478.82096640000003</v>
      </c>
    </row>
    <row r="231" spans="1:11">
      <c r="A231" s="166" t="s">
        <v>1068</v>
      </c>
      <c r="B231" s="166"/>
      <c r="C231" s="166"/>
      <c r="D231" s="167" t="s">
        <v>800</v>
      </c>
      <c r="E231" s="168"/>
      <c r="F231" s="169"/>
      <c r="G231" s="170"/>
      <c r="H231" s="170"/>
      <c r="I231" s="170"/>
      <c r="J231" s="170">
        <f>SUM(J232)</f>
        <v>2421.35951148</v>
      </c>
    </row>
    <row r="232" spans="1:11">
      <c r="A232" s="92" t="s">
        <v>1069</v>
      </c>
      <c r="B232" s="106" t="s">
        <v>146</v>
      </c>
      <c r="C232" s="67" t="s">
        <v>890</v>
      </c>
      <c r="D232" s="176" t="s">
        <v>891</v>
      </c>
      <c r="E232" s="66" t="s">
        <v>149</v>
      </c>
      <c r="F232" s="108">
        <f>'Memória de cálculo'!H1341</f>
        <v>4.13</v>
      </c>
      <c r="G232" s="108">
        <v>487.11</v>
      </c>
      <c r="H232" s="108">
        <f t="shared" si="55"/>
        <v>586.28559600000006</v>
      </c>
      <c r="I232" s="108">
        <f t="shared" ref="I232" si="72">ROUND(F232*G232,2)</f>
        <v>2011.76</v>
      </c>
      <c r="J232" s="116">
        <f t="shared" ref="J232" si="73">H232*F232</f>
        <v>2421.35951148</v>
      </c>
    </row>
    <row r="233" spans="1:11">
      <c r="A233" s="395" t="s">
        <v>1154</v>
      </c>
      <c r="B233" s="395"/>
      <c r="C233" s="396"/>
      <c r="D233" s="396"/>
      <c r="E233" s="396"/>
      <c r="F233" s="382" t="s">
        <v>20</v>
      </c>
      <c r="G233" s="382"/>
      <c r="H233" s="380">
        <f>J7+J11+J27+J38+J45+J65+J77+J88+J103+J105+J162+J195+J225+J231</f>
        <v>1760371.9624396849</v>
      </c>
      <c r="I233" s="380"/>
      <c r="J233" s="380"/>
      <c r="K233" s="184"/>
    </row>
    <row r="234" spans="1:11">
      <c r="A234" s="396"/>
      <c r="B234" s="396"/>
      <c r="C234" s="396"/>
      <c r="D234" s="396"/>
      <c r="E234" s="396"/>
      <c r="F234" s="382"/>
      <c r="G234" s="382"/>
      <c r="H234" s="380"/>
      <c r="I234" s="380"/>
      <c r="J234" s="380"/>
    </row>
    <row r="238" spans="1:11">
      <c r="K238" s="184"/>
    </row>
  </sheetData>
  <mergeCells count="17">
    <mergeCell ref="A233:E234"/>
    <mergeCell ref="A1:J1"/>
    <mergeCell ref="H233:J234"/>
    <mergeCell ref="I3:J4"/>
    <mergeCell ref="F233:G234"/>
    <mergeCell ref="G5:H5"/>
    <mergeCell ref="F5:F6"/>
    <mergeCell ref="E5:E6"/>
    <mergeCell ref="D5:D6"/>
    <mergeCell ref="C5:C6"/>
    <mergeCell ref="A5:A6"/>
    <mergeCell ref="A3:F3"/>
    <mergeCell ref="A4:F4"/>
    <mergeCell ref="A2:J2"/>
    <mergeCell ref="G3:H4"/>
    <mergeCell ref="I5:J5"/>
    <mergeCell ref="B5:B6"/>
  </mergeCells>
  <phoneticPr fontId="15" type="noConversion"/>
  <printOptions horizontalCentered="1"/>
  <pageMargins left="0.35433070866141736" right="0.51181102362204722" top="1.2010833333333333" bottom="0.82677165354330717" header="0.15531249999999999" footer="0.31496062992125984"/>
  <pageSetup paperSize="9" scale="62" fitToWidth="0" orientation="portrait" horizontalDpi="360" verticalDpi="360" r:id="rId1"/>
  <headerFooter>
    <oddHeader xml:space="preserve">&amp;C&amp;G
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1"/>
  <sheetViews>
    <sheetView view="pageBreakPreview" topLeftCell="A608" zoomScaleNormal="100" zoomScaleSheetLayoutView="100" workbookViewId="0">
      <selection activeCell="B619" sqref="B619"/>
    </sheetView>
  </sheetViews>
  <sheetFormatPr defaultColWidth="9.140625" defaultRowHeight="11.25"/>
  <cols>
    <col min="1" max="1" width="9.140625" style="64"/>
    <col min="2" max="2" width="53.42578125" style="64" customWidth="1"/>
    <col min="3" max="3" width="9.140625" style="64"/>
    <col min="4" max="4" width="16" style="64" customWidth="1"/>
    <col min="5" max="5" width="13.85546875" style="64" customWidth="1"/>
    <col min="6" max="6" width="16.42578125" style="65" customWidth="1"/>
    <col min="7" max="7" width="15.5703125" style="64" customWidth="1"/>
    <col min="8" max="8" width="10.28515625" style="64" customWidth="1"/>
    <col min="9" max="9" width="62.7109375" style="62" customWidth="1"/>
    <col min="10" max="10" width="16.7109375" style="63" bestFit="1" customWidth="1"/>
    <col min="11" max="16384" width="9.140625" style="64"/>
  </cols>
  <sheetData>
    <row r="1" spans="1:10" ht="20.25" customHeight="1">
      <c r="A1" s="397" t="s">
        <v>21</v>
      </c>
      <c r="B1" s="397"/>
      <c r="C1" s="397"/>
      <c r="D1" s="397"/>
      <c r="E1" s="397"/>
      <c r="F1" s="397"/>
      <c r="G1" s="397"/>
      <c r="H1" s="397"/>
    </row>
    <row r="2" spans="1:10" ht="25.15" customHeight="1">
      <c r="A2" s="397" t="s">
        <v>992</v>
      </c>
      <c r="B2" s="397"/>
      <c r="C2" s="397"/>
      <c r="D2" s="397"/>
      <c r="E2" s="397"/>
      <c r="F2" s="397"/>
      <c r="G2" s="397"/>
      <c r="H2" s="397"/>
    </row>
    <row r="3" spans="1:10" ht="15" customHeight="1">
      <c r="A3" s="399" t="s">
        <v>57</v>
      </c>
      <c r="B3" s="399"/>
      <c r="C3" s="399"/>
      <c r="D3" s="399"/>
      <c r="E3" s="399"/>
      <c r="F3" s="399"/>
      <c r="G3" s="399"/>
      <c r="H3" s="399"/>
    </row>
    <row r="4" spans="1:10" ht="15">
      <c r="A4" s="398" t="s">
        <v>956</v>
      </c>
      <c r="B4" s="398"/>
      <c r="C4" s="398"/>
      <c r="D4" s="398"/>
      <c r="E4" s="398"/>
      <c r="F4" s="398"/>
      <c r="G4" s="398"/>
      <c r="H4" s="398"/>
    </row>
    <row r="5" spans="1:10">
      <c r="A5" s="57"/>
      <c r="B5" s="57"/>
      <c r="C5" s="57"/>
      <c r="D5" s="57"/>
      <c r="E5" s="57"/>
      <c r="F5" s="58"/>
      <c r="G5" s="57"/>
      <c r="H5" s="57"/>
    </row>
    <row r="6" spans="1:10">
      <c r="A6" s="301" t="s">
        <v>0</v>
      </c>
      <c r="B6" s="301" t="s">
        <v>1</v>
      </c>
      <c r="C6" s="302" t="s">
        <v>2</v>
      </c>
      <c r="D6" s="301" t="s">
        <v>64</v>
      </c>
      <c r="E6" s="301" t="s">
        <v>72</v>
      </c>
      <c r="F6" s="301" t="s">
        <v>71</v>
      </c>
      <c r="G6" s="301" t="s">
        <v>73</v>
      </c>
      <c r="H6" s="301" t="s">
        <v>74</v>
      </c>
    </row>
    <row r="7" spans="1:10">
      <c r="A7" s="301" t="str">
        <f>'[5]Planilha orç'!A7</f>
        <v>1.0</v>
      </c>
      <c r="B7" s="303" t="str">
        <f>'Planilha orç'!D7</f>
        <v>SERVIÇOS PRELIMINARES</v>
      </c>
      <c r="C7" s="302"/>
      <c r="D7" s="301"/>
      <c r="E7" s="301"/>
      <c r="F7" s="301"/>
      <c r="G7" s="301"/>
      <c r="H7" s="301"/>
    </row>
    <row r="8" spans="1:10" s="73" customFormat="1" ht="22.5">
      <c r="A8" s="304" t="str">
        <f>'Planilha orç'!A8</f>
        <v>1.1</v>
      </c>
      <c r="B8" s="305" t="str">
        <f>'Planilha orç'!D8</f>
        <v>PLACA DE OBRA (PARA CONSTRUCAO CIVIL) EM CHAPA GALVANIZADA *N. 22*, ADESIVADADE *2,0 X 1,125* M</v>
      </c>
      <c r="C8" s="306" t="str">
        <f>'Planilha orç'!E8</f>
        <v>M2</v>
      </c>
      <c r="D8" s="307">
        <v>1</v>
      </c>
      <c r="E8" s="307"/>
      <c r="F8" s="308"/>
      <c r="G8" s="308"/>
      <c r="H8" s="321">
        <f>ROUND(PRODUCT(D8:G8),2)</f>
        <v>1</v>
      </c>
      <c r="I8" s="71"/>
      <c r="J8" s="72"/>
    </row>
    <row r="9" spans="1:10">
      <c r="A9" s="304" t="str">
        <f>'Planilha orç'!A9</f>
        <v>1.2</v>
      </c>
      <c r="B9" s="305" t="str">
        <f>'Planilha orç'!D9</f>
        <v>ADMINISTRAÇÃO LOCAL DE OBRA</v>
      </c>
      <c r="C9" s="306" t="str">
        <f>'Planilha orç'!E9</f>
        <v>MÊS</v>
      </c>
      <c r="D9" s="307">
        <v>12</v>
      </c>
      <c r="E9" s="309"/>
      <c r="F9" s="310"/>
      <c r="G9" s="309"/>
      <c r="H9" s="321">
        <f>ROUND(PRODUCT(D9:G9),2)</f>
        <v>12</v>
      </c>
    </row>
    <row r="10" spans="1:10" ht="22.5">
      <c r="A10" s="311" t="str">
        <f>'Planilha orç'!A10</f>
        <v>1.3</v>
      </c>
      <c r="B10" s="134" t="str">
        <f>'Planilha orç'!D10</f>
        <v>LOCAÇÃO DA OBRA COM AUXÍLIO TOPOGRÁFICO (ÁREA ATÉ 5000 M2)</v>
      </c>
      <c r="C10" s="311" t="str">
        <f>'Planilha orç'!E10</f>
        <v>M2</v>
      </c>
      <c r="D10" s="312"/>
      <c r="E10" s="313"/>
      <c r="F10" s="314"/>
      <c r="G10" s="315"/>
      <c r="H10" s="316"/>
    </row>
    <row r="11" spans="1:10">
      <c r="A11" s="317"/>
      <c r="B11" s="318" t="s">
        <v>857</v>
      </c>
      <c r="C11" s="317"/>
      <c r="D11" s="319">
        <f>1004.4+652.9</f>
        <v>1657.3</v>
      </c>
      <c r="E11" s="320"/>
      <c r="F11" s="320"/>
      <c r="G11" s="319"/>
      <c r="H11" s="321">
        <f>ROUND(PRODUCT(D11:G11),2)</f>
        <v>1657.3</v>
      </c>
    </row>
    <row r="12" spans="1:10">
      <c r="A12" s="317"/>
      <c r="B12" s="321"/>
      <c r="C12" s="317"/>
      <c r="D12" s="317"/>
      <c r="E12" s="317"/>
      <c r="F12" s="320"/>
      <c r="G12" s="139" t="str">
        <f>"Total item "&amp;A10</f>
        <v>Total item 1.3</v>
      </c>
      <c r="H12" s="140">
        <f>SUM(H11:H11)</f>
        <v>1657.3</v>
      </c>
    </row>
    <row r="13" spans="1:10">
      <c r="A13" s="301" t="str">
        <f>'Planilha orç'!A11</f>
        <v>2.0</v>
      </c>
      <c r="B13" s="303" t="str">
        <f>'Planilha orç'!D11</f>
        <v xml:space="preserve">COBERTA </v>
      </c>
      <c r="C13" s="302"/>
      <c r="D13" s="301"/>
      <c r="E13" s="301"/>
      <c r="F13" s="301"/>
      <c r="G13" s="301"/>
      <c r="H13" s="301"/>
    </row>
    <row r="14" spans="1:10" ht="22.5">
      <c r="A14" s="311" t="str">
        <f>'Planilha orç'!A12</f>
        <v xml:space="preserve">2.1 </v>
      </c>
      <c r="B14" s="134" t="str">
        <f>'Planilha orç'!D12</f>
        <v>REMOÇÃO DE TELHAS, DE FIBROCIMENTO, METÁLICA E CERÂMICA, DE FORMA MANUAL, SEM REAPROVEITAMENTO. AF_12/2017</v>
      </c>
      <c r="C14" s="311" t="str">
        <f>'Planilha orç'!E12</f>
        <v>M2</v>
      </c>
      <c r="D14" s="312"/>
      <c r="E14" s="313"/>
      <c r="F14" s="314"/>
      <c r="G14" s="315"/>
      <c r="H14" s="316"/>
    </row>
    <row r="15" spans="1:10">
      <c r="A15" s="322"/>
      <c r="B15" s="191" t="s">
        <v>1104</v>
      </c>
      <c r="C15" s="323"/>
      <c r="D15" s="323">
        <v>1</v>
      </c>
      <c r="E15" s="323">
        <f>12.15+0.3+0.3</f>
        <v>12.750000000000002</v>
      </c>
      <c r="F15" s="320">
        <f>8.2+0.3+0.3</f>
        <v>8.8000000000000007</v>
      </c>
      <c r="G15" s="323"/>
      <c r="H15" s="324">
        <f>ROUND(PRODUCT(D15:G15),2)</f>
        <v>112.2</v>
      </c>
      <c r="I15" s="62">
        <f>(10.35+0.3+0.3)*(8+0.3+0.3)</f>
        <v>94.17000000000003</v>
      </c>
    </row>
    <row r="16" spans="1:10" ht="22.5">
      <c r="A16" s="322"/>
      <c r="B16" s="120" t="s">
        <v>1105</v>
      </c>
      <c r="C16" s="323"/>
      <c r="D16" s="323">
        <v>152.24</v>
      </c>
      <c r="E16" s="323"/>
      <c r="F16" s="320"/>
      <c r="G16" s="323"/>
      <c r="H16" s="324">
        <f t="shared" ref="H16:H19" si="0">ROUND(PRODUCT(D16:G16),2)</f>
        <v>152.24</v>
      </c>
      <c r="I16" s="62">
        <f>(7.31+0.3+0.3)*(2+0.3+0.3)</f>
        <v>20.565999999999995</v>
      </c>
    </row>
    <row r="17" spans="1:9">
      <c r="A17" s="322"/>
      <c r="B17" s="191" t="s">
        <v>1106</v>
      </c>
      <c r="C17" s="323"/>
      <c r="D17" s="323">
        <v>1</v>
      </c>
      <c r="E17" s="323">
        <f>7.55+0.3+0.3</f>
        <v>8.15</v>
      </c>
      <c r="F17" s="320">
        <f>8.3+0.3+0.3</f>
        <v>8.9000000000000021</v>
      </c>
      <c r="G17" s="323"/>
      <c r="H17" s="324">
        <f t="shared" si="0"/>
        <v>72.540000000000006</v>
      </c>
      <c r="I17" s="62">
        <f>(5.04+0.3+0.3)*(6.05+0.3+0.3)</f>
        <v>37.505999999999993</v>
      </c>
    </row>
    <row r="18" spans="1:9">
      <c r="A18" s="322"/>
      <c r="B18" s="191" t="s">
        <v>1107</v>
      </c>
      <c r="C18" s="323"/>
      <c r="D18" s="323">
        <v>1</v>
      </c>
      <c r="E18" s="323">
        <f>12+0.3+0.3</f>
        <v>12.600000000000001</v>
      </c>
      <c r="F18" s="320">
        <f>8.3+0.3+0.3</f>
        <v>8.9000000000000021</v>
      </c>
      <c r="G18" s="323"/>
      <c r="H18" s="324">
        <f t="shared" si="0"/>
        <v>112.14</v>
      </c>
    </row>
    <row r="19" spans="1:9">
      <c r="A19" s="322"/>
      <c r="B19" s="325" t="s">
        <v>1109</v>
      </c>
      <c r="C19" s="323"/>
      <c r="D19" s="323">
        <v>1</v>
      </c>
      <c r="E19" s="323">
        <f>7.65+0.3+0.3</f>
        <v>8.25</v>
      </c>
      <c r="F19" s="320">
        <f>8.15+0.3+0.3</f>
        <v>8.7500000000000018</v>
      </c>
      <c r="G19" s="323"/>
      <c r="H19" s="324">
        <f t="shared" si="0"/>
        <v>72.19</v>
      </c>
    </row>
    <row r="20" spans="1:9">
      <c r="A20" s="322"/>
      <c r="B20" s="87"/>
      <c r="C20" s="317"/>
      <c r="D20" s="326"/>
      <c r="E20" s="319"/>
      <c r="F20" s="112"/>
      <c r="G20" s="113" t="str">
        <f>"Total item "&amp;A14</f>
        <v xml:space="preserve">Total item 2.1 </v>
      </c>
      <c r="H20" s="114">
        <f>SUM(H15:H19)</f>
        <v>521.30999999999995</v>
      </c>
    </row>
    <row r="21" spans="1:9" ht="22.5">
      <c r="A21" s="311" t="str">
        <f>'Planilha orç'!A13</f>
        <v>2.2</v>
      </c>
      <c r="B21" s="134" t="str">
        <f>'Planilha orç'!D13</f>
        <v>REMOÇÃO DE TRAMA DE MADEIRA PARA COBERTURA, DE FORMA MANUAL, SEM REAPROVEITAMENTO. AF_12/2017</v>
      </c>
      <c r="C21" s="311" t="str">
        <f>'Planilha orç'!E13</f>
        <v>M2</v>
      </c>
      <c r="D21" s="312"/>
      <c r="E21" s="313"/>
      <c r="F21" s="314"/>
      <c r="G21" s="315"/>
      <c r="H21" s="316"/>
    </row>
    <row r="22" spans="1:9">
      <c r="A22" s="322"/>
      <c r="B22" s="191" t="s">
        <v>1104</v>
      </c>
      <c r="C22" s="323"/>
      <c r="D22" s="323">
        <v>1</v>
      </c>
      <c r="E22" s="323">
        <f>12.15+0.3+0.3</f>
        <v>12.750000000000002</v>
      </c>
      <c r="F22" s="320">
        <f>8.2+0.3+0.3</f>
        <v>8.8000000000000007</v>
      </c>
      <c r="G22" s="323"/>
      <c r="H22" s="324">
        <f>ROUND(PRODUCT(D22:G22),2)</f>
        <v>112.2</v>
      </c>
    </row>
    <row r="23" spans="1:9" ht="22.5">
      <c r="A23" s="322"/>
      <c r="B23" s="120" t="s">
        <v>1105</v>
      </c>
      <c r="C23" s="323"/>
      <c r="D23" s="323">
        <v>152.24</v>
      </c>
      <c r="E23" s="323"/>
      <c r="F23" s="320"/>
      <c r="G23" s="323"/>
      <c r="H23" s="324">
        <f>ROUND(PRODUCT(D23:G23),2)</f>
        <v>152.24</v>
      </c>
    </row>
    <row r="24" spans="1:9">
      <c r="A24" s="322"/>
      <c r="B24" s="191" t="s">
        <v>1106</v>
      </c>
      <c r="C24" s="323"/>
      <c r="D24" s="323">
        <v>1</v>
      </c>
      <c r="E24" s="323">
        <f>7.55+0.3+0.3</f>
        <v>8.15</v>
      </c>
      <c r="F24" s="320">
        <f>8.3+0.3+0.3</f>
        <v>8.9000000000000021</v>
      </c>
      <c r="G24" s="323"/>
      <c r="H24" s="324">
        <f>ROUND(PRODUCT(D24:G24),2)</f>
        <v>72.540000000000006</v>
      </c>
    </row>
    <row r="25" spans="1:9">
      <c r="A25" s="322"/>
      <c r="B25" s="191" t="s">
        <v>1107</v>
      </c>
      <c r="C25" s="323"/>
      <c r="D25" s="323">
        <v>1</v>
      </c>
      <c r="E25" s="323">
        <f>12+0.3+0.3</f>
        <v>12.600000000000001</v>
      </c>
      <c r="F25" s="320">
        <f>8.3+0.3+0.3</f>
        <v>8.9000000000000021</v>
      </c>
      <c r="G25" s="323"/>
      <c r="H25" s="324">
        <f>ROUND(PRODUCT(D25:G25),2)</f>
        <v>112.14</v>
      </c>
    </row>
    <row r="26" spans="1:9">
      <c r="A26" s="322"/>
      <c r="B26" s="191" t="s">
        <v>1109</v>
      </c>
      <c r="C26" s="323"/>
      <c r="D26" s="323">
        <v>1</v>
      </c>
      <c r="E26" s="323">
        <f>7.65+0.3+0.3</f>
        <v>8.25</v>
      </c>
      <c r="F26" s="320">
        <f>8.15+0.3+0.3</f>
        <v>8.7500000000000018</v>
      </c>
      <c r="G26" s="323"/>
      <c r="H26" s="324">
        <f>ROUND(PRODUCT(D26:G26),2)</f>
        <v>72.19</v>
      </c>
    </row>
    <row r="27" spans="1:9">
      <c r="A27" s="322"/>
      <c r="B27" s="87"/>
      <c r="C27" s="317"/>
      <c r="D27" s="326"/>
      <c r="E27" s="319"/>
      <c r="F27" s="320"/>
      <c r="G27" s="113" t="str">
        <f>"Total item "&amp;A21</f>
        <v>Total item 2.2</v>
      </c>
      <c r="H27" s="114">
        <f>SUM(H22:H26)</f>
        <v>521.30999999999995</v>
      </c>
    </row>
    <row r="28" spans="1:9" ht="22.5">
      <c r="A28" s="311" t="str">
        <f>'Planilha orç'!A14</f>
        <v>2.3</v>
      </c>
      <c r="B28" s="134" t="str">
        <f>'Planilha orç'!D14</f>
        <v>REMOÇÃO DE TESOURAS DE MADEIRA, COM VÃO MAIOR OU IGUAL A 8M, DE FORMA MANUAL, SEM REAPROVEITAMENTO. AF_12/2017</v>
      </c>
      <c r="C28" s="311" t="str">
        <f>'Planilha orç'!E14</f>
        <v>UN</v>
      </c>
      <c r="D28" s="312"/>
      <c r="E28" s="313"/>
      <c r="F28" s="314"/>
      <c r="G28" s="315"/>
      <c r="H28" s="316"/>
    </row>
    <row r="29" spans="1:9">
      <c r="A29" s="322"/>
      <c r="B29" s="325" t="s">
        <v>1104</v>
      </c>
      <c r="C29" s="317"/>
      <c r="D29" s="323">
        <v>1</v>
      </c>
      <c r="E29" s="323"/>
      <c r="F29" s="320"/>
      <c r="G29" s="323"/>
      <c r="H29" s="324">
        <f>ROUND(PRODUCT(D29:G29),2)</f>
        <v>1</v>
      </c>
    </row>
    <row r="30" spans="1:9" ht="22.5">
      <c r="A30" s="322"/>
      <c r="B30" s="325" t="s">
        <v>1105</v>
      </c>
      <c r="C30" s="317"/>
      <c r="D30" s="323">
        <v>1</v>
      </c>
      <c r="E30" s="323"/>
      <c r="F30" s="320"/>
      <c r="G30" s="323"/>
      <c r="H30" s="324">
        <f t="shared" ref="H30:H33" si="1">ROUND(PRODUCT(D30:G30),2)</f>
        <v>1</v>
      </c>
    </row>
    <row r="31" spans="1:9">
      <c r="A31" s="322"/>
      <c r="B31" s="325" t="s">
        <v>1106</v>
      </c>
      <c r="C31" s="317"/>
      <c r="D31" s="323">
        <v>1</v>
      </c>
      <c r="E31" s="323"/>
      <c r="F31" s="320"/>
      <c r="G31" s="323"/>
      <c r="H31" s="324">
        <f t="shared" si="1"/>
        <v>1</v>
      </c>
    </row>
    <row r="32" spans="1:9">
      <c r="A32" s="322"/>
      <c r="B32" s="325" t="s">
        <v>1107</v>
      </c>
      <c r="C32" s="317"/>
      <c r="D32" s="323">
        <v>1</v>
      </c>
      <c r="E32" s="323"/>
      <c r="F32" s="320"/>
      <c r="G32" s="323"/>
      <c r="H32" s="324">
        <f t="shared" si="1"/>
        <v>1</v>
      </c>
    </row>
    <row r="33" spans="1:9">
      <c r="A33" s="322"/>
      <c r="B33" s="325" t="s">
        <v>1109</v>
      </c>
      <c r="C33" s="317"/>
      <c r="D33" s="323">
        <v>1</v>
      </c>
      <c r="E33" s="323"/>
      <c r="F33" s="320"/>
      <c r="G33" s="323"/>
      <c r="H33" s="324">
        <f t="shared" si="1"/>
        <v>1</v>
      </c>
      <c r="I33" s="62">
        <f>(10.35)*(8)</f>
        <v>82.8</v>
      </c>
    </row>
    <row r="34" spans="1:9">
      <c r="A34" s="322"/>
      <c r="B34" s="87"/>
      <c r="C34" s="317"/>
      <c r="D34" s="326"/>
      <c r="E34" s="319"/>
      <c r="F34" s="320"/>
      <c r="G34" s="113" t="str">
        <f>"Total item "&amp;A28</f>
        <v>Total item 2.3</v>
      </c>
      <c r="H34" s="114">
        <f>SUM(H29:H33)</f>
        <v>5</v>
      </c>
      <c r="I34" s="62">
        <f>(7.31)*(2)</f>
        <v>14.62</v>
      </c>
    </row>
    <row r="35" spans="1:9">
      <c r="A35" s="311" t="str">
        <f>'Planilha orç'!A15</f>
        <v>2.4</v>
      </c>
      <c r="B35" s="134" t="str">
        <f>'Planilha orç'!D15</f>
        <v>DEMOLIÇÃO DE FORRO DE LAMBRI</v>
      </c>
      <c r="C35" s="311" t="str">
        <f>'Planilha orç'!E15</f>
        <v>M2</v>
      </c>
      <c r="D35" s="312"/>
      <c r="E35" s="313"/>
      <c r="F35" s="314"/>
      <c r="G35" s="315"/>
      <c r="H35" s="316"/>
      <c r="I35" s="62">
        <f>(5.04)*(6.05)</f>
        <v>30.492000000000001</v>
      </c>
    </row>
    <row r="36" spans="1:9">
      <c r="A36" s="322"/>
      <c r="B36" s="191" t="s">
        <v>1104</v>
      </c>
      <c r="C36" s="317"/>
      <c r="D36" s="323">
        <v>1</v>
      </c>
      <c r="E36" s="323">
        <v>12.15</v>
      </c>
      <c r="F36" s="320">
        <v>8.1999999999999993</v>
      </c>
      <c r="G36" s="323"/>
      <c r="H36" s="324">
        <f>ROUND(PRODUCT(D36:G36),2)</f>
        <v>99.63</v>
      </c>
    </row>
    <row r="37" spans="1:9" ht="22.5">
      <c r="A37" s="322"/>
      <c r="B37" s="120" t="s">
        <v>1105</v>
      </c>
      <c r="C37" s="317"/>
      <c r="D37" s="323">
        <v>127.91</v>
      </c>
      <c r="E37" s="323"/>
      <c r="F37" s="320"/>
      <c r="G37" s="323"/>
      <c r="H37" s="324">
        <f t="shared" ref="H37:H39" si="2">ROUND(PRODUCT(D37:G37),2)</f>
        <v>127.91</v>
      </c>
    </row>
    <row r="38" spans="1:9">
      <c r="A38" s="322"/>
      <c r="B38" s="191" t="s">
        <v>1106</v>
      </c>
      <c r="C38" s="317"/>
      <c r="D38" s="323">
        <v>1</v>
      </c>
      <c r="E38" s="323">
        <v>7.55</v>
      </c>
      <c r="F38" s="320">
        <v>8.3000000000000007</v>
      </c>
      <c r="G38" s="323"/>
      <c r="H38" s="324">
        <f t="shared" si="2"/>
        <v>62.67</v>
      </c>
    </row>
    <row r="39" spans="1:9">
      <c r="A39" s="322"/>
      <c r="B39" s="191" t="s">
        <v>1107</v>
      </c>
      <c r="C39" s="317"/>
      <c r="D39" s="323">
        <v>1</v>
      </c>
      <c r="E39" s="323">
        <v>12</v>
      </c>
      <c r="F39" s="320">
        <v>8.3000000000000007</v>
      </c>
      <c r="G39" s="323"/>
      <c r="H39" s="324">
        <f t="shared" si="2"/>
        <v>99.6</v>
      </c>
    </row>
    <row r="40" spans="1:9">
      <c r="A40" s="322"/>
      <c r="B40" s="191" t="s">
        <v>1109</v>
      </c>
      <c r="C40" s="317"/>
      <c r="D40" s="323">
        <v>1</v>
      </c>
      <c r="E40" s="323">
        <v>7.65</v>
      </c>
      <c r="F40" s="320">
        <v>8.15</v>
      </c>
      <c r="G40" s="323"/>
      <c r="H40" s="324">
        <f>ROUND(PRODUCT(D40:G40),2)</f>
        <v>62.35</v>
      </c>
    </row>
    <row r="41" spans="1:9">
      <c r="A41" s="322"/>
      <c r="B41" s="98"/>
      <c r="C41" s="317"/>
      <c r="D41" s="326"/>
      <c r="E41" s="319"/>
      <c r="F41" s="320"/>
      <c r="G41" s="113" t="str">
        <f>"Total item "&amp;A35</f>
        <v>Total item 2.4</v>
      </c>
      <c r="H41" s="114">
        <f>SUM(H36:H40)</f>
        <v>452.15999999999997</v>
      </c>
    </row>
    <row r="42" spans="1:9" ht="33.75">
      <c r="A42" s="311" t="str">
        <f>'Planilha orç'!A16</f>
        <v>2.5</v>
      </c>
      <c r="B42" s="134" t="str">
        <f>'Planilha orç'!D16</f>
        <v>FABRICAÇÃO E INSTALAÇÃO DE TESOURA INTEIRA EM MADEIRA NÃO APARELHADA, VÃO DE 11 M, PARA TELHA CERÂMICA OU DE CONCRETO, INCLUSO IÇAMENTO. AF_07/2019</v>
      </c>
      <c r="C42" s="311" t="str">
        <f>'Planilha orç'!E16</f>
        <v>UN</v>
      </c>
      <c r="D42" s="312"/>
      <c r="E42" s="313"/>
      <c r="F42" s="314"/>
      <c r="G42" s="315"/>
      <c r="H42" s="316"/>
    </row>
    <row r="43" spans="1:9">
      <c r="A43" s="322"/>
      <c r="B43" s="191" t="s">
        <v>1107</v>
      </c>
      <c r="C43" s="317"/>
      <c r="D43" s="323">
        <v>1</v>
      </c>
      <c r="E43" s="323"/>
      <c r="F43" s="320"/>
      <c r="G43" s="323"/>
      <c r="H43" s="324">
        <f>ROUND(PRODUCT(D43:G43),2)</f>
        <v>1</v>
      </c>
    </row>
    <row r="44" spans="1:9">
      <c r="A44" s="322"/>
      <c r="B44" s="191" t="s">
        <v>1109</v>
      </c>
      <c r="C44" s="317"/>
      <c r="D44" s="323">
        <v>1</v>
      </c>
      <c r="E44" s="323"/>
      <c r="F44" s="320"/>
      <c r="G44" s="323"/>
      <c r="H44" s="324">
        <f t="shared" ref="H44:H45" si="3">ROUND(PRODUCT(D44:G44),2)</f>
        <v>1</v>
      </c>
    </row>
    <row r="45" spans="1:9">
      <c r="A45" s="322"/>
      <c r="B45" s="191" t="s">
        <v>1108</v>
      </c>
      <c r="C45" s="317"/>
      <c r="D45" s="323">
        <v>1</v>
      </c>
      <c r="E45" s="323"/>
      <c r="F45" s="320"/>
      <c r="G45" s="328"/>
      <c r="H45" s="324">
        <f t="shared" si="3"/>
        <v>1</v>
      </c>
    </row>
    <row r="46" spans="1:9">
      <c r="A46" s="322"/>
      <c r="B46" s="97"/>
      <c r="C46" s="317"/>
      <c r="D46" s="326"/>
      <c r="E46" s="319"/>
      <c r="F46" s="320"/>
      <c r="G46" s="113" t="str">
        <f>"Total item "&amp;A42</f>
        <v>Total item 2.5</v>
      </c>
      <c r="H46" s="114">
        <f>SUM(H43:H45)</f>
        <v>3</v>
      </c>
    </row>
    <row r="47" spans="1:9" ht="33.75">
      <c r="A47" s="311" t="str">
        <f>'Planilha orç'!A17</f>
        <v>2.6</v>
      </c>
      <c r="B47" s="134" t="str">
        <f>'Planilha orç'!D17</f>
        <v>FABRICAÇÃO E INSTALAÇÃO DE TESOURA INTEIRA EM MADEIRA NÃO APARELHADA, VÃO DE 12 M, PARA TELHA CERÂMICA OU DE CONCRETO, INCLUSO IÇAMENTO. AF_07/2019</v>
      </c>
      <c r="C47" s="311" t="str">
        <f>'Planilha orç'!E17</f>
        <v>UN</v>
      </c>
      <c r="D47" s="312"/>
      <c r="E47" s="313"/>
      <c r="F47" s="314"/>
      <c r="G47" s="315"/>
      <c r="H47" s="316"/>
    </row>
    <row r="48" spans="1:9">
      <c r="A48" s="322"/>
      <c r="B48" s="191" t="s">
        <v>1104</v>
      </c>
      <c r="C48" s="317"/>
      <c r="D48" s="323">
        <v>1</v>
      </c>
      <c r="E48" s="323"/>
      <c r="F48" s="320"/>
      <c r="G48" s="323"/>
      <c r="H48" s="324">
        <f>ROUND(PRODUCT(D48:G48),2)</f>
        <v>1</v>
      </c>
    </row>
    <row r="49" spans="1:8">
      <c r="A49" s="322"/>
      <c r="B49" s="191" t="s">
        <v>1106</v>
      </c>
      <c r="C49" s="317"/>
      <c r="D49" s="323">
        <v>1</v>
      </c>
      <c r="E49" s="323"/>
      <c r="F49" s="320"/>
      <c r="G49" s="328"/>
      <c r="H49" s="324">
        <f>ROUND(PRODUCT(D49:G49),2)</f>
        <v>1</v>
      </c>
    </row>
    <row r="50" spans="1:8">
      <c r="A50" s="322"/>
      <c r="B50" s="87"/>
      <c r="C50" s="317"/>
      <c r="D50" s="326"/>
      <c r="E50" s="319"/>
      <c r="F50" s="320"/>
      <c r="G50" s="113" t="str">
        <f>"Total item "&amp;A47</f>
        <v>Total item 2.6</v>
      </c>
      <c r="H50" s="114">
        <f>SUM(H48:H49)</f>
        <v>2</v>
      </c>
    </row>
    <row r="51" spans="1:8">
      <c r="A51" s="311" t="str">
        <f>'Planilha orç'!A18</f>
        <v>2.7</v>
      </c>
      <c r="B51" s="134" t="str">
        <f>'Planilha orç'!D18</f>
        <v>LAJE PRÉ-FABRICADA P/ FÔRRO - VÃO ACIMA DE 4,01 m</v>
      </c>
      <c r="C51" s="311" t="str">
        <f>'Planilha orç'!E18</f>
        <v>M2</v>
      </c>
      <c r="D51" s="312"/>
      <c r="E51" s="313"/>
      <c r="F51" s="314"/>
      <c r="G51" s="315"/>
      <c r="H51" s="316"/>
    </row>
    <row r="52" spans="1:8" ht="22.5">
      <c r="A52" s="322"/>
      <c r="B52" s="120" t="s">
        <v>1096</v>
      </c>
      <c r="C52" s="317"/>
      <c r="D52" s="323">
        <v>152.24</v>
      </c>
      <c r="E52" s="323"/>
      <c r="F52" s="320"/>
      <c r="G52" s="323"/>
      <c r="H52" s="324">
        <f>ROUND(PRODUCT(D52:G52),2)</f>
        <v>152.24</v>
      </c>
    </row>
    <row r="53" spans="1:8">
      <c r="A53" s="322"/>
      <c r="B53" s="191" t="s">
        <v>1103</v>
      </c>
      <c r="C53" s="317"/>
      <c r="D53" s="323">
        <v>65.64</v>
      </c>
      <c r="E53" s="323"/>
      <c r="F53" s="320"/>
      <c r="G53" s="323"/>
      <c r="H53" s="324">
        <f t="shared" ref="H53:H56" si="4">ROUND(PRODUCT(D53:G53),2)</f>
        <v>65.64</v>
      </c>
    </row>
    <row r="54" spans="1:8">
      <c r="A54" s="322"/>
      <c r="B54" s="191" t="s">
        <v>1097</v>
      </c>
      <c r="C54" s="317"/>
      <c r="D54" s="323">
        <v>87.22</v>
      </c>
      <c r="E54" s="323"/>
      <c r="F54" s="320"/>
      <c r="G54" s="323"/>
      <c r="H54" s="324">
        <f t="shared" si="4"/>
        <v>87.22</v>
      </c>
    </row>
    <row r="55" spans="1:8">
      <c r="A55" s="322"/>
      <c r="B55" s="191" t="s">
        <v>1102</v>
      </c>
      <c r="C55" s="317"/>
      <c r="D55" s="323">
        <v>67.67</v>
      </c>
      <c r="E55" s="323"/>
      <c r="F55" s="320"/>
      <c r="G55" s="323"/>
      <c r="H55" s="324">
        <f t="shared" si="4"/>
        <v>67.67</v>
      </c>
    </row>
    <row r="56" spans="1:8">
      <c r="A56" s="322"/>
      <c r="B56" s="191" t="s">
        <v>497</v>
      </c>
      <c r="C56" s="317"/>
      <c r="D56" s="323">
        <f>2.6*2.3</f>
        <v>5.9799999999999995</v>
      </c>
      <c r="E56" s="323"/>
      <c r="F56" s="320"/>
      <c r="G56" s="323"/>
      <c r="H56" s="324">
        <f t="shared" si="4"/>
        <v>5.98</v>
      </c>
    </row>
    <row r="57" spans="1:8">
      <c r="A57" s="322"/>
      <c r="B57" s="97"/>
      <c r="C57" s="317"/>
      <c r="D57" s="326"/>
      <c r="E57" s="319"/>
      <c r="F57" s="320"/>
      <c r="G57" s="139" t="str">
        <f>"Total item "&amp;A51</f>
        <v>Total item 2.7</v>
      </c>
      <c r="H57" s="140">
        <f>SUM(H52:H56)</f>
        <v>378.75000000000006</v>
      </c>
    </row>
    <row r="58" spans="1:8" ht="56.25">
      <c r="A58" s="311" t="str">
        <f>'Planilha orç'!A19</f>
        <v>2.8</v>
      </c>
      <c r="B58" s="134" t="str">
        <f>'Planilha orç'!D19</f>
        <v xml:space="preserve">IMPERMEABILIZACAO DE LAJES, SUB-SOLOS, JARDI NEIRAS, RESERVATORIOS E CANAIS DE IRRIGACAO COM MANTA ASFALTICA ESP.4 MM, APLICADA COM MACARICO, PINTADO COM PRIMER, INCLUINDO PROTECAO MECANICA, MATERIAL E MAO DE OBRA. </v>
      </c>
      <c r="C58" s="311" t="str">
        <f>'Planilha orç'!E19</f>
        <v>M2</v>
      </c>
      <c r="D58" s="312"/>
      <c r="E58" s="313"/>
      <c r="F58" s="314"/>
      <c r="G58" s="315"/>
      <c r="H58" s="316"/>
    </row>
    <row r="59" spans="1:8">
      <c r="A59" s="322"/>
      <c r="B59" s="191" t="s">
        <v>497</v>
      </c>
      <c r="C59" s="317"/>
      <c r="D59" s="323">
        <f>2.6*2.3</f>
        <v>5.9799999999999995</v>
      </c>
      <c r="E59" s="323"/>
      <c r="F59" s="320"/>
      <c r="G59" s="323"/>
      <c r="H59" s="324">
        <f t="shared" ref="H59" si="5">ROUND(PRODUCT(D59:G59),2)</f>
        <v>5.98</v>
      </c>
    </row>
    <row r="60" spans="1:8">
      <c r="A60" s="322"/>
      <c r="B60" s="97"/>
      <c r="C60" s="317"/>
      <c r="D60" s="326"/>
      <c r="E60" s="319"/>
      <c r="F60" s="320"/>
      <c r="G60" s="139" t="str">
        <f>"Total item "&amp;A58</f>
        <v>Total item 2.8</v>
      </c>
      <c r="H60" s="140">
        <f>SUM(H59:H59)</f>
        <v>5.98</v>
      </c>
    </row>
    <row r="61" spans="1:8" ht="33.75">
      <c r="A61" s="311" t="str">
        <f>'Planilha orç'!A20</f>
        <v>2.9</v>
      </c>
      <c r="B61" s="134" t="str">
        <f>'Planilha orç'!D20</f>
        <v>TRAMA DE MADEIRA COMPOSTA POR RIPAS, CAIBROS E TERÇAS PARA TELHADOS DEMAIS QUE 2 ÁGUAS PARA TELHA CERÂMICA CAPA-CANAL, INCLUSO TRANSPORTE VERTICAL.AF_07/2019</v>
      </c>
      <c r="C61" s="311" t="str">
        <f>'Planilha orç'!E20</f>
        <v>M2</v>
      </c>
      <c r="D61" s="312"/>
      <c r="E61" s="313"/>
      <c r="F61" s="314"/>
      <c r="G61" s="315"/>
      <c r="H61" s="316"/>
    </row>
    <row r="62" spans="1:8">
      <c r="A62" s="322"/>
      <c r="B62" s="191" t="s">
        <v>1099</v>
      </c>
      <c r="C62" s="317"/>
      <c r="D62" s="323">
        <v>1</v>
      </c>
      <c r="E62" s="323">
        <f>12.15+0.3+0.3</f>
        <v>12.750000000000002</v>
      </c>
      <c r="F62" s="320">
        <f>8.2+0.3+0.3</f>
        <v>8.8000000000000007</v>
      </c>
      <c r="G62" s="323"/>
      <c r="H62" s="324">
        <f>ROUND(PRODUCT(D62:G62),2)</f>
        <v>112.2</v>
      </c>
    </row>
    <row r="63" spans="1:8">
      <c r="A63" s="322"/>
      <c r="B63" s="191" t="s">
        <v>1106</v>
      </c>
      <c r="C63" s="317"/>
      <c r="D63" s="323">
        <v>1</v>
      </c>
      <c r="E63" s="323">
        <f>7.55+0.3+0.3</f>
        <v>8.15</v>
      </c>
      <c r="F63" s="320">
        <f>8.3+0.3+0.3</f>
        <v>8.9000000000000021</v>
      </c>
      <c r="G63" s="323"/>
      <c r="H63" s="324">
        <f t="shared" ref="H63:H66" si="6">ROUND(PRODUCT(D63:G63),2)</f>
        <v>72.540000000000006</v>
      </c>
    </row>
    <row r="64" spans="1:8">
      <c r="A64" s="322"/>
      <c r="B64" s="191" t="s">
        <v>1098</v>
      </c>
      <c r="C64" s="317"/>
      <c r="D64" s="323">
        <v>1</v>
      </c>
      <c r="E64" s="323">
        <f>12+0.3+0.3</f>
        <v>12.600000000000001</v>
      </c>
      <c r="F64" s="320">
        <f>8.3+0.3+0.3</f>
        <v>8.9000000000000021</v>
      </c>
      <c r="G64" s="323"/>
      <c r="H64" s="324">
        <f t="shared" si="6"/>
        <v>112.14</v>
      </c>
    </row>
    <row r="65" spans="1:8">
      <c r="A65" s="322"/>
      <c r="B65" s="191" t="s">
        <v>1109</v>
      </c>
      <c r="C65" s="317"/>
      <c r="D65" s="323">
        <v>1</v>
      </c>
      <c r="E65" s="323">
        <f>7.65+0.3+0.3</f>
        <v>8.25</v>
      </c>
      <c r="F65" s="320">
        <f>8.15+0.3+0.3</f>
        <v>8.7500000000000018</v>
      </c>
      <c r="G65" s="323"/>
      <c r="H65" s="324">
        <f t="shared" si="6"/>
        <v>72.19</v>
      </c>
    </row>
    <row r="66" spans="1:8">
      <c r="A66" s="322"/>
      <c r="B66" s="191" t="s">
        <v>1100</v>
      </c>
      <c r="C66" s="317"/>
      <c r="D66" s="323">
        <v>1</v>
      </c>
      <c r="E66" s="323">
        <f>8.45+0.3+0.3</f>
        <v>9.0500000000000007</v>
      </c>
      <c r="F66" s="323">
        <f>8.2+0.3+0.3</f>
        <v>8.8000000000000007</v>
      </c>
      <c r="G66" s="323"/>
      <c r="H66" s="324">
        <f t="shared" si="6"/>
        <v>79.64</v>
      </c>
    </row>
    <row r="67" spans="1:8">
      <c r="A67" s="322"/>
      <c r="B67" s="97"/>
      <c r="C67" s="317"/>
      <c r="D67" s="326"/>
      <c r="E67" s="319"/>
      <c r="F67" s="320"/>
      <c r="G67" s="113" t="str">
        <f>"Total item "&amp;A61</f>
        <v>Total item 2.9</v>
      </c>
      <c r="H67" s="114">
        <f>SUM(H62:H66)</f>
        <v>448.71</v>
      </c>
    </row>
    <row r="68" spans="1:8" ht="33.75">
      <c r="A68" s="311" t="str">
        <f>'Planilha orç'!A21</f>
        <v>2.10</v>
      </c>
      <c r="B68" s="134" t="str">
        <f>'Planilha orç'!D21</f>
        <v>TELHAMENTO COM TELHA CERÂMICA CAPA-CANAL, TIPO COLONIAL, COM MAIS DE 2 ÁGUAS, INCLUSO TRANSPORTE VERTICAL. AF_07/2019</v>
      </c>
      <c r="C68" s="311" t="str">
        <f>'Planilha orç'!E21</f>
        <v>M2</v>
      </c>
      <c r="D68" s="312"/>
      <c r="E68" s="313"/>
      <c r="F68" s="314"/>
      <c r="G68" s="315"/>
      <c r="H68" s="316"/>
    </row>
    <row r="69" spans="1:8">
      <c r="A69" s="322"/>
      <c r="B69" s="199" t="str">
        <f>"Total item "&amp;A61</f>
        <v>Total item 2.9</v>
      </c>
      <c r="C69" s="317"/>
      <c r="D69" s="323"/>
      <c r="E69" s="323">
        <f>H67</f>
        <v>448.71</v>
      </c>
      <c r="F69" s="323"/>
      <c r="G69" s="323"/>
      <c r="H69" s="324">
        <f>ROUND(PRODUCT(D69:G69),2)</f>
        <v>448.71</v>
      </c>
    </row>
    <row r="70" spans="1:8">
      <c r="A70" s="322"/>
      <c r="B70" s="97"/>
      <c r="C70" s="317"/>
      <c r="D70" s="326"/>
      <c r="E70" s="319"/>
      <c r="F70" s="320"/>
      <c r="G70" s="139" t="str">
        <f>"Total item "&amp;A68</f>
        <v>Total item 2.10</v>
      </c>
      <c r="H70" s="140">
        <f>SUM(H69:H69)</f>
        <v>448.71</v>
      </c>
    </row>
    <row r="71" spans="1:8">
      <c r="A71" s="322"/>
      <c r="B71" s="97"/>
      <c r="C71" s="317"/>
      <c r="D71" s="326"/>
      <c r="E71" s="319"/>
      <c r="F71" s="320"/>
      <c r="G71" s="320"/>
      <c r="H71" s="320"/>
    </row>
    <row r="72" spans="1:8" ht="45">
      <c r="A72" s="311" t="str">
        <f>'Planilha orç'!A22</f>
        <v>2.11</v>
      </c>
      <c r="B72" s="134" t="str">
        <f>'Planilha orç'!D22</f>
        <v>TRAMA DE MADEIRA COMPOSTA POR TERÇAS PARA TELHADOS DE ATÉ 2 ÁGUAS PARA TELHA ONDULADA DE FIBROCIMENTO, METÁLICA, PLÁSTICA OU TERMOACÚSTICA, INCLUSO TRANSPORTE VERTICAL. AF_07/20</v>
      </c>
      <c r="C72" s="311" t="str">
        <f>'Planilha orç'!E22</f>
        <v>M2</v>
      </c>
      <c r="D72" s="312"/>
      <c r="E72" s="313"/>
      <c r="F72" s="314"/>
      <c r="G72" s="315"/>
      <c r="H72" s="316"/>
    </row>
    <row r="73" spans="1:8">
      <c r="A73" s="322"/>
      <c r="B73" s="121" t="str">
        <f>"Subtotal item "&amp;A51</f>
        <v>Subtotal item 2.7</v>
      </c>
      <c r="C73" s="317"/>
      <c r="D73" s="323">
        <f>H57</f>
        <v>378.75000000000006</v>
      </c>
      <c r="E73" s="323"/>
      <c r="F73" s="323"/>
      <c r="G73" s="323"/>
      <c r="H73" s="324">
        <f>ROUND(PRODUCT(D73:G73),2)</f>
        <v>378.75</v>
      </c>
    </row>
    <row r="74" spans="1:8">
      <c r="A74" s="322"/>
      <c r="B74" s="97"/>
      <c r="C74" s="317"/>
      <c r="D74" s="326"/>
      <c r="E74" s="319"/>
      <c r="F74" s="320"/>
      <c r="G74" s="113" t="str">
        <f>"Total item "&amp;A72</f>
        <v>Total item 2.11</v>
      </c>
      <c r="H74" s="114">
        <f>SUM(H73:H73)</f>
        <v>378.75</v>
      </c>
    </row>
    <row r="75" spans="1:8" ht="45">
      <c r="A75" s="311" t="str">
        <f>'Planilha orç'!A23</f>
        <v>2.12</v>
      </c>
      <c r="B75" s="134" t="str">
        <f>'Planilha orç'!D23</f>
        <v>TELHAMENTO COM TELHA ONDULADA DE FIBROCIMENTO E = 6 MM, COM RECOBRIMENTO LATERAL DE 1 1/4 DE ONDA PARA TELHADO COM INCLINAÇÃO MÁXIMA DE 10°, COM ATÉ 2 ÁGUAS, INCLUSO IÇAMENTO. AF_07/2019</v>
      </c>
      <c r="C75" s="311" t="str">
        <f>'Planilha orç'!E23</f>
        <v>M2</v>
      </c>
      <c r="D75" s="312"/>
      <c r="E75" s="313"/>
      <c r="F75" s="314"/>
      <c r="G75" s="315"/>
      <c r="H75" s="316"/>
    </row>
    <row r="76" spans="1:8">
      <c r="A76" s="306"/>
      <c r="B76" s="121" t="str">
        <f>"Subtotal item "&amp;A51</f>
        <v>Subtotal item 2.7</v>
      </c>
      <c r="C76" s="317"/>
      <c r="D76" s="323">
        <f>H73</f>
        <v>378.75</v>
      </c>
      <c r="E76" s="323"/>
      <c r="F76" s="323"/>
      <c r="G76" s="323"/>
      <c r="H76" s="324">
        <f t="shared" ref="H76" si="7">ROUND(PRODUCT(D76:G76),2)</f>
        <v>378.75</v>
      </c>
    </row>
    <row r="77" spans="1:8">
      <c r="A77" s="306"/>
      <c r="B77" s="97"/>
      <c r="C77" s="317"/>
      <c r="D77" s="326"/>
      <c r="E77" s="319"/>
      <c r="F77" s="320"/>
      <c r="G77" s="113" t="str">
        <f>"Total item "&amp;A75</f>
        <v>Total item 2.12</v>
      </c>
      <c r="H77" s="114">
        <f>SUM(H76:H76)</f>
        <v>378.75</v>
      </c>
    </row>
    <row r="78" spans="1:8" ht="33.75">
      <c r="A78" s="311" t="str">
        <f>'Planilha orç'!A24</f>
        <v>2.13</v>
      </c>
      <c r="B78" s="134" t="str">
        <f>'Planilha orç'!D24</f>
        <v>CUMEEIRA PARA TELHA CERÂMICA EMBOÇADA COM ARGAMASSA TRAÇO 1:2:9 (CIMENTO, CAL E AREIA) PARA TELHADOS COM ATÉ 2 ÁGUAS, INCLUSO TRANSPORTE VERTICAL. AF_07/2019</v>
      </c>
      <c r="C78" s="311" t="str">
        <f>'Planilha orç'!E24</f>
        <v>M</v>
      </c>
      <c r="D78" s="312"/>
      <c r="E78" s="313"/>
      <c r="F78" s="314"/>
      <c r="G78" s="315"/>
      <c r="H78" s="316"/>
    </row>
    <row r="79" spans="1:8">
      <c r="A79" s="306"/>
      <c r="B79" s="191" t="s">
        <v>1099</v>
      </c>
      <c r="C79" s="317"/>
      <c r="D79" s="323"/>
      <c r="E79" s="323">
        <v>28.48</v>
      </c>
      <c r="F79" s="323"/>
      <c r="G79" s="323"/>
      <c r="H79" s="324">
        <f>ROUND(PRODUCT(D79:G79),2)</f>
        <v>28.48</v>
      </c>
    </row>
    <row r="80" spans="1:8">
      <c r="A80" s="306"/>
      <c r="B80" s="191" t="s">
        <v>1106</v>
      </c>
      <c r="C80" s="317"/>
      <c r="D80" s="323"/>
      <c r="E80" s="323">
        <f>11.22*2</f>
        <v>22.44</v>
      </c>
      <c r="F80" s="323"/>
      <c r="G80" s="323"/>
      <c r="H80" s="324">
        <f t="shared" ref="H80:H82" si="8">ROUND(PRODUCT(D80:G80),2)</f>
        <v>22.44</v>
      </c>
    </row>
    <row r="81" spans="1:9">
      <c r="A81" s="306"/>
      <c r="B81" s="191" t="s">
        <v>1098</v>
      </c>
      <c r="C81" s="317"/>
      <c r="D81" s="323"/>
      <c r="E81" s="323">
        <f>14.24*2</f>
        <v>28.48</v>
      </c>
      <c r="F81" s="323"/>
      <c r="G81" s="323"/>
      <c r="H81" s="324">
        <f t="shared" si="8"/>
        <v>28.48</v>
      </c>
    </row>
    <row r="82" spans="1:9">
      <c r="A82" s="306"/>
      <c r="B82" s="191" t="s">
        <v>1109</v>
      </c>
      <c r="C82" s="317"/>
      <c r="D82" s="323"/>
      <c r="E82" s="323">
        <f>10.65*2</f>
        <v>21.3</v>
      </c>
      <c r="F82" s="323"/>
      <c r="G82" s="323"/>
      <c r="H82" s="324">
        <f t="shared" si="8"/>
        <v>21.3</v>
      </c>
    </row>
    <row r="83" spans="1:9">
      <c r="A83" s="306"/>
      <c r="B83" s="191" t="s">
        <v>1100</v>
      </c>
      <c r="C83" s="317"/>
      <c r="D83" s="323"/>
      <c r="E83" s="323">
        <f>11.39*2</f>
        <v>22.78</v>
      </c>
      <c r="F83" s="323"/>
      <c r="G83" s="323"/>
      <c r="H83" s="324">
        <f>ROUND(PRODUCT(D83:G83),2)</f>
        <v>22.78</v>
      </c>
    </row>
    <row r="84" spans="1:9">
      <c r="A84" s="306"/>
      <c r="B84" s="325"/>
      <c r="C84" s="317"/>
      <c r="D84" s="326"/>
      <c r="E84" s="319"/>
      <c r="F84" s="320"/>
      <c r="G84" s="113" t="str">
        <f>"Total item "&amp;A78</f>
        <v>Total item 2.13</v>
      </c>
      <c r="H84" s="114">
        <f>SUM(H79:H83)</f>
        <v>123.48</v>
      </c>
    </row>
    <row r="85" spans="1:9" ht="33.75">
      <c r="A85" s="311" t="str">
        <f>'Planilha orç'!A25</f>
        <v>2.14</v>
      </c>
      <c r="B85" s="134" t="str">
        <f>'Planilha orç'!D25</f>
        <v>CALHA EM CHAPA DE AÇO GALVANIZADO NÚMERO 24, DESENVOLVIMENTO DE 33 CM, INCLUSO TRANSPORTE VERTICAL. AF_07/2019</v>
      </c>
      <c r="C85" s="311" t="str">
        <f>'Planilha orç'!E25</f>
        <v>M</v>
      </c>
      <c r="D85" s="312"/>
      <c r="E85" s="313"/>
      <c r="F85" s="314"/>
      <c r="G85" s="315"/>
      <c r="H85" s="316"/>
    </row>
    <row r="86" spans="1:9" ht="22.5">
      <c r="A86" s="306"/>
      <c r="B86" s="120" t="s">
        <v>1096</v>
      </c>
      <c r="C86" s="317"/>
      <c r="D86" s="326"/>
      <c r="E86" s="319">
        <f>18.1+0.3</f>
        <v>18.400000000000002</v>
      </c>
      <c r="F86" s="320"/>
      <c r="G86" s="332"/>
      <c r="H86" s="324">
        <f>ROUND(PRODUCT(D86:G86),2)</f>
        <v>18.399999999999999</v>
      </c>
      <c r="I86" s="297"/>
    </row>
    <row r="87" spans="1:9">
      <c r="A87" s="322"/>
      <c r="B87" s="191" t="s">
        <v>1103</v>
      </c>
      <c r="C87" s="317"/>
      <c r="D87" s="326"/>
      <c r="E87" s="319">
        <f>7.9+0.3</f>
        <v>8.2000000000000011</v>
      </c>
      <c r="F87" s="320"/>
      <c r="G87" s="332"/>
      <c r="H87" s="324">
        <f t="shared" ref="H87:H89" si="9">ROUND(PRODUCT(D87:G87),2)</f>
        <v>8.1999999999999993</v>
      </c>
      <c r="I87" s="298"/>
    </row>
    <row r="88" spans="1:9">
      <c r="A88" s="322"/>
      <c r="B88" s="191" t="s">
        <v>1097</v>
      </c>
      <c r="C88" s="317"/>
      <c r="D88" s="326"/>
      <c r="E88" s="319">
        <f>7.9+0.3</f>
        <v>8.2000000000000011</v>
      </c>
      <c r="F88" s="320"/>
      <c r="G88" s="332"/>
      <c r="H88" s="324">
        <f t="shared" si="9"/>
        <v>8.1999999999999993</v>
      </c>
      <c r="I88" s="298"/>
    </row>
    <row r="89" spans="1:9">
      <c r="A89" s="322"/>
      <c r="B89" s="191" t="s">
        <v>1102</v>
      </c>
      <c r="C89" s="317"/>
      <c r="D89" s="326"/>
      <c r="E89" s="319">
        <f>7.9+0.3</f>
        <v>8.2000000000000011</v>
      </c>
      <c r="F89" s="320"/>
      <c r="G89" s="332"/>
      <c r="H89" s="324">
        <f t="shared" si="9"/>
        <v>8.1999999999999993</v>
      </c>
    </row>
    <row r="90" spans="1:9">
      <c r="A90" s="322"/>
      <c r="B90" s="97"/>
      <c r="C90" s="317"/>
      <c r="D90" s="326"/>
      <c r="E90" s="319"/>
      <c r="F90" s="320"/>
      <c r="G90" s="139" t="str">
        <f>"Total item "&amp;A85</f>
        <v>Total item 2.14</v>
      </c>
      <c r="H90" s="140">
        <f>SUM(H86:H89)</f>
        <v>43</v>
      </c>
    </row>
    <row r="91" spans="1:9">
      <c r="A91" s="311" t="str">
        <f>'Planilha orç'!A26</f>
        <v>2.15</v>
      </c>
      <c r="B91" s="134" t="str">
        <f>'Planilha orç'!D26</f>
        <v>FORRO EM PLACAS DE GESSO, PARA AMBIENTES COMERCIAIS.</v>
      </c>
      <c r="C91" s="311" t="str">
        <f>'Planilha orç'!E26</f>
        <v>M2</v>
      </c>
      <c r="D91" s="312"/>
      <c r="E91" s="313"/>
      <c r="F91" s="314"/>
      <c r="G91" s="315"/>
      <c r="H91" s="316"/>
    </row>
    <row r="92" spans="1:9" ht="22.5">
      <c r="A92" s="306"/>
      <c r="B92" s="120" t="s">
        <v>1105</v>
      </c>
      <c r="C92" s="306"/>
      <c r="D92" s="333">
        <v>152.24</v>
      </c>
      <c r="E92" s="330"/>
      <c r="F92" s="331"/>
      <c r="G92" s="332"/>
      <c r="H92" s="321">
        <f t="shared" ref="H92:H102" si="10">ROUND(PRODUCT(D92:G92),2)</f>
        <v>152.24</v>
      </c>
    </row>
    <row r="93" spans="1:9">
      <c r="A93" s="306"/>
      <c r="B93" s="191" t="s">
        <v>1109</v>
      </c>
      <c r="C93" s="306"/>
      <c r="D93" s="333">
        <v>61.13</v>
      </c>
      <c r="E93" s="330"/>
      <c r="F93" s="331"/>
      <c r="G93" s="332"/>
      <c r="H93" s="321">
        <f t="shared" si="10"/>
        <v>61.13</v>
      </c>
    </row>
    <row r="94" spans="1:9">
      <c r="A94" s="306"/>
      <c r="B94" s="191" t="s">
        <v>1110</v>
      </c>
      <c r="C94" s="306"/>
      <c r="D94" s="333">
        <v>66.84</v>
      </c>
      <c r="E94" s="330"/>
      <c r="F94" s="331"/>
      <c r="G94" s="332"/>
      <c r="H94" s="321">
        <f t="shared" si="10"/>
        <v>66.84</v>
      </c>
    </row>
    <row r="95" spans="1:9">
      <c r="A95" s="306"/>
      <c r="B95" s="191" t="s">
        <v>1111</v>
      </c>
      <c r="C95" s="306"/>
      <c r="D95" s="333">
        <v>66.83</v>
      </c>
      <c r="E95" s="330"/>
      <c r="F95" s="331"/>
      <c r="G95" s="332"/>
      <c r="H95" s="321">
        <f t="shared" si="10"/>
        <v>66.83</v>
      </c>
    </row>
    <row r="96" spans="1:9">
      <c r="A96" s="306"/>
      <c r="B96" s="191" t="s">
        <v>1099</v>
      </c>
      <c r="C96" s="306"/>
      <c r="D96" s="333">
        <v>68.349999999999994</v>
      </c>
      <c r="E96" s="330"/>
      <c r="F96" s="331"/>
      <c r="G96" s="332"/>
      <c r="H96" s="321">
        <f t="shared" si="10"/>
        <v>68.349999999999994</v>
      </c>
      <c r="I96" s="62">
        <v>94.38</v>
      </c>
    </row>
    <row r="97" spans="1:8">
      <c r="A97" s="306"/>
      <c r="B97" s="191" t="s">
        <v>1098</v>
      </c>
      <c r="C97" s="306"/>
      <c r="D97" s="333">
        <v>99.63</v>
      </c>
      <c r="E97" s="330"/>
      <c r="F97" s="331"/>
      <c r="G97" s="332"/>
      <c r="H97" s="321">
        <f t="shared" si="10"/>
        <v>99.63</v>
      </c>
    </row>
    <row r="98" spans="1:8">
      <c r="A98" s="306"/>
      <c r="B98" s="191" t="s">
        <v>1112</v>
      </c>
      <c r="C98" s="306"/>
      <c r="D98" s="333">
        <v>66.010000000000005</v>
      </c>
      <c r="E98" s="330"/>
      <c r="F98" s="331"/>
      <c r="G98" s="332"/>
      <c r="H98" s="321">
        <f t="shared" si="10"/>
        <v>66.010000000000005</v>
      </c>
    </row>
    <row r="99" spans="1:8">
      <c r="A99" s="306"/>
      <c r="B99" s="191" t="s">
        <v>1100</v>
      </c>
      <c r="C99" s="306"/>
      <c r="D99" s="333">
        <v>69.290000000000006</v>
      </c>
      <c r="E99" s="330"/>
      <c r="F99" s="331"/>
      <c r="G99" s="332"/>
      <c r="H99" s="321">
        <f t="shared" si="10"/>
        <v>69.290000000000006</v>
      </c>
    </row>
    <row r="100" spans="1:8">
      <c r="A100" s="306"/>
      <c r="B100" s="191" t="s">
        <v>1113</v>
      </c>
      <c r="C100" s="306"/>
      <c r="D100" s="333">
        <v>65.64</v>
      </c>
      <c r="E100" s="330"/>
      <c r="F100" s="331"/>
      <c r="G100" s="332"/>
      <c r="H100" s="321">
        <f t="shared" si="10"/>
        <v>65.64</v>
      </c>
    </row>
    <row r="101" spans="1:8">
      <c r="A101" s="306"/>
      <c r="B101" s="191" t="s">
        <v>1114</v>
      </c>
      <c r="C101" s="306"/>
      <c r="D101" s="333">
        <v>87.22</v>
      </c>
      <c r="E101" s="330"/>
      <c r="F101" s="331"/>
      <c r="G101" s="332"/>
      <c r="H101" s="321">
        <f t="shared" si="10"/>
        <v>87.22</v>
      </c>
    </row>
    <row r="102" spans="1:8">
      <c r="A102" s="306"/>
      <c r="B102" s="191" t="s">
        <v>1115</v>
      </c>
      <c r="C102" s="306"/>
      <c r="D102" s="333">
        <v>61.89</v>
      </c>
      <c r="E102" s="330"/>
      <c r="F102" s="331"/>
      <c r="G102" s="332"/>
      <c r="H102" s="321">
        <f t="shared" si="10"/>
        <v>61.89</v>
      </c>
    </row>
    <row r="103" spans="1:8">
      <c r="A103" s="317"/>
      <c r="B103" s="321"/>
      <c r="C103" s="317"/>
      <c r="D103" s="317"/>
      <c r="E103" s="317"/>
      <c r="F103" s="320"/>
      <c r="G103" s="139" t="str">
        <f>"Total item "&amp;A91</f>
        <v>Total item 2.15</v>
      </c>
      <c r="H103" s="140">
        <f>SUM(H92:H102)</f>
        <v>865.06999999999994</v>
      </c>
    </row>
    <row r="104" spans="1:8">
      <c r="A104" s="301" t="str">
        <f>'Planilha orç'!A27</f>
        <v>3.0</v>
      </c>
      <c r="B104" s="303" t="str">
        <f>'Planilha orç'!D27</f>
        <v>INFRAESTRUTURA</v>
      </c>
      <c r="C104" s="302"/>
      <c r="D104" s="301"/>
      <c r="E104" s="301"/>
      <c r="F104" s="301"/>
      <c r="G104" s="301"/>
      <c r="H104" s="301"/>
    </row>
    <row r="105" spans="1:8" ht="22.5">
      <c r="A105" s="311" t="str">
        <f>'Planilha orç'!A28</f>
        <v>3.1</v>
      </c>
      <c r="B105" s="134" t="str">
        <f>'Planilha orç'!D28</f>
        <v>ESCAVAÇÃO MANUAL PARA BLOCO DE COROAMENTO OU SAPATA, COM PREVISÃO DE FÔRMA. AF_06/2017</v>
      </c>
      <c r="C105" s="311" t="str">
        <f>'Planilha orç'!E28</f>
        <v>M3</v>
      </c>
      <c r="D105" s="312"/>
      <c r="E105" s="313"/>
      <c r="F105" s="314"/>
      <c r="G105" s="315"/>
      <c r="H105" s="316"/>
    </row>
    <row r="106" spans="1:8">
      <c r="A106" s="306"/>
      <c r="B106" s="172" t="s">
        <v>1145</v>
      </c>
      <c r="C106" s="306"/>
      <c r="D106" s="329"/>
      <c r="E106" s="330"/>
      <c r="F106" s="331"/>
      <c r="G106" s="332"/>
      <c r="H106" s="90"/>
    </row>
    <row r="107" spans="1:8">
      <c r="A107" s="334"/>
      <c r="B107" s="192" t="s">
        <v>242</v>
      </c>
      <c r="C107" s="317"/>
      <c r="D107" s="335">
        <v>7</v>
      </c>
      <c r="E107" s="335">
        <v>0.6</v>
      </c>
      <c r="F107" s="335">
        <v>0.6</v>
      </c>
      <c r="G107" s="335">
        <v>0.8</v>
      </c>
      <c r="H107" s="336">
        <f t="shared" ref="H107:H114" si="11">ROUND(PRODUCT(D107:G107),2)</f>
        <v>2.02</v>
      </c>
    </row>
    <row r="108" spans="1:8">
      <c r="A108" s="334"/>
      <c r="B108" s="192" t="s">
        <v>869</v>
      </c>
      <c r="C108" s="317"/>
      <c r="D108" s="335">
        <v>9</v>
      </c>
      <c r="E108" s="335">
        <v>0.6</v>
      </c>
      <c r="F108" s="335">
        <v>0.6</v>
      </c>
      <c r="G108" s="335">
        <v>0.8</v>
      </c>
      <c r="H108" s="336">
        <f t="shared" si="11"/>
        <v>2.59</v>
      </c>
    </row>
    <row r="109" spans="1:8">
      <c r="A109" s="334"/>
      <c r="B109" s="192" t="s">
        <v>870</v>
      </c>
      <c r="C109" s="317"/>
      <c r="D109" s="335">
        <v>9</v>
      </c>
      <c r="E109" s="335">
        <v>0.6</v>
      </c>
      <c r="F109" s="335">
        <v>0.6</v>
      </c>
      <c r="G109" s="335">
        <v>0.8</v>
      </c>
      <c r="H109" s="336">
        <f t="shared" si="11"/>
        <v>2.59</v>
      </c>
    </row>
    <row r="110" spans="1:8">
      <c r="A110" s="334"/>
      <c r="B110" s="192" t="s">
        <v>871</v>
      </c>
      <c r="C110" s="317"/>
      <c r="D110" s="335">
        <v>5</v>
      </c>
      <c r="E110" s="335">
        <v>0.6</v>
      </c>
      <c r="F110" s="335">
        <v>0.6</v>
      </c>
      <c r="G110" s="335">
        <v>0.8</v>
      </c>
      <c r="H110" s="336">
        <f t="shared" si="11"/>
        <v>1.44</v>
      </c>
    </row>
    <row r="111" spans="1:8">
      <c r="A111" s="334"/>
      <c r="B111" s="192" t="s">
        <v>1092</v>
      </c>
      <c r="C111" s="317"/>
      <c r="D111" s="335">
        <v>9</v>
      </c>
      <c r="E111" s="335">
        <v>0.6</v>
      </c>
      <c r="F111" s="335">
        <v>0.6</v>
      </c>
      <c r="G111" s="335">
        <v>0.8</v>
      </c>
      <c r="H111" s="336">
        <f t="shared" si="11"/>
        <v>2.59</v>
      </c>
    </row>
    <row r="112" spans="1:8">
      <c r="A112" s="334"/>
      <c r="B112" s="192" t="s">
        <v>872</v>
      </c>
      <c r="C112" s="317"/>
      <c r="D112" s="335">
        <v>11</v>
      </c>
      <c r="E112" s="335">
        <v>0.6</v>
      </c>
      <c r="F112" s="335">
        <v>0.6</v>
      </c>
      <c r="G112" s="335">
        <v>0.8</v>
      </c>
      <c r="H112" s="336">
        <f t="shared" si="11"/>
        <v>3.17</v>
      </c>
    </row>
    <row r="113" spans="1:8">
      <c r="A113" s="334"/>
      <c r="B113" s="120" t="s">
        <v>1101</v>
      </c>
      <c r="C113" s="317"/>
      <c r="D113" s="335">
        <v>6</v>
      </c>
      <c r="E113" s="335">
        <v>0.6</v>
      </c>
      <c r="F113" s="335">
        <v>0.6</v>
      </c>
      <c r="G113" s="335">
        <v>0.8</v>
      </c>
      <c r="H113" s="336">
        <f t="shared" si="11"/>
        <v>1.73</v>
      </c>
    </row>
    <row r="114" spans="1:8">
      <c r="A114" s="334"/>
      <c r="B114" s="120" t="s">
        <v>497</v>
      </c>
      <c r="C114" s="317"/>
      <c r="D114" s="335">
        <v>4</v>
      </c>
      <c r="E114" s="335">
        <v>0.6</v>
      </c>
      <c r="F114" s="335">
        <v>0.6</v>
      </c>
      <c r="G114" s="335">
        <v>0.8</v>
      </c>
      <c r="H114" s="336">
        <f t="shared" si="11"/>
        <v>1.1499999999999999</v>
      </c>
    </row>
    <row r="115" spans="1:8">
      <c r="A115" s="334"/>
      <c r="B115" s="97"/>
      <c r="C115" s="317"/>
      <c r="D115" s="326"/>
      <c r="E115" s="319"/>
      <c r="F115" s="320"/>
      <c r="G115" s="139" t="str">
        <f>"Total item "&amp;A105</f>
        <v>Total item 3.1</v>
      </c>
      <c r="H115" s="140">
        <f>SUM(H107:H114)</f>
        <v>17.279999999999998</v>
      </c>
    </row>
    <row r="116" spans="1:8" ht="22.5">
      <c r="A116" s="311" t="str">
        <f>'Planilha orç'!A29</f>
        <v>3.2</v>
      </c>
      <c r="B116" s="134" t="str">
        <f>'Planilha orç'!D29</f>
        <v>ESCAVAÇÃO MANUAL DE VALA PARA VIGA BALDRAME, COM PREVISÃO DE FÔRMA. AF_06/2017</v>
      </c>
      <c r="C116" s="311" t="str">
        <f>'Planilha orç'!E29</f>
        <v>M3</v>
      </c>
      <c r="D116" s="312"/>
      <c r="E116" s="313"/>
      <c r="F116" s="314"/>
      <c r="G116" s="315"/>
      <c r="H116" s="316"/>
    </row>
    <row r="117" spans="1:8">
      <c r="A117" s="334"/>
      <c r="B117" s="192" t="s">
        <v>242</v>
      </c>
      <c r="C117" s="337"/>
      <c r="D117" s="335"/>
      <c r="E117" s="338">
        <f>31.37+0.69</f>
        <v>32.06</v>
      </c>
      <c r="F117" s="338">
        <v>0.3</v>
      </c>
      <c r="G117" s="335">
        <v>0.5</v>
      </c>
      <c r="H117" s="324">
        <f t="shared" ref="H117:H124" si="12">ROUND(PRODUCT(D117:G117),2)</f>
        <v>4.8099999999999996</v>
      </c>
    </row>
    <row r="118" spans="1:8">
      <c r="A118" s="334"/>
      <c r="B118" s="192" t="s">
        <v>869</v>
      </c>
      <c r="C118" s="337"/>
      <c r="D118" s="335"/>
      <c r="E118" s="338">
        <f>8.2*3+7.7*2</f>
        <v>40</v>
      </c>
      <c r="F118" s="338">
        <v>0.3</v>
      </c>
      <c r="G118" s="335">
        <v>0.5</v>
      </c>
      <c r="H118" s="324">
        <f t="shared" si="12"/>
        <v>6</v>
      </c>
    </row>
    <row r="119" spans="1:8">
      <c r="A119" s="334"/>
      <c r="B119" s="192" t="s">
        <v>870</v>
      </c>
      <c r="C119" s="337"/>
      <c r="D119" s="335"/>
      <c r="E119" s="338">
        <f>8.2*3+10.33*2</f>
        <v>45.26</v>
      </c>
      <c r="F119" s="338">
        <v>0.3</v>
      </c>
      <c r="G119" s="335">
        <v>0.5</v>
      </c>
      <c r="H119" s="324">
        <f t="shared" si="12"/>
        <v>6.79</v>
      </c>
    </row>
    <row r="120" spans="1:8">
      <c r="A120" s="334"/>
      <c r="B120" s="192" t="s">
        <v>871</v>
      </c>
      <c r="C120" s="337"/>
      <c r="D120" s="335"/>
      <c r="E120" s="338">
        <f>8.2+4+4</f>
        <v>16.2</v>
      </c>
      <c r="F120" s="338">
        <v>0.3</v>
      </c>
      <c r="G120" s="335">
        <v>0.5</v>
      </c>
      <c r="H120" s="324">
        <f t="shared" si="12"/>
        <v>2.4300000000000002</v>
      </c>
    </row>
    <row r="121" spans="1:8">
      <c r="A121" s="334"/>
      <c r="B121" s="120" t="s">
        <v>1094</v>
      </c>
      <c r="C121" s="337"/>
      <c r="D121" s="335"/>
      <c r="E121" s="338">
        <f>(8.2*2)+7.5+7.95+(3.07*2)+(3.23*2)+2.77</f>
        <v>47.22</v>
      </c>
      <c r="F121" s="338">
        <v>0.3</v>
      </c>
      <c r="G121" s="335">
        <v>0.5</v>
      </c>
      <c r="H121" s="324">
        <f t="shared" si="12"/>
        <v>7.08</v>
      </c>
    </row>
    <row r="122" spans="1:8">
      <c r="A122" s="334"/>
      <c r="B122" s="120" t="s">
        <v>872</v>
      </c>
      <c r="C122" s="337"/>
      <c r="D122" s="335"/>
      <c r="E122" s="338">
        <f>7.8*2+8.3*4</f>
        <v>48.800000000000004</v>
      </c>
      <c r="F122" s="338">
        <v>0.3</v>
      </c>
      <c r="G122" s="335">
        <v>0.5</v>
      </c>
      <c r="H122" s="324">
        <f t="shared" si="12"/>
        <v>7.32</v>
      </c>
    </row>
    <row r="123" spans="1:8">
      <c r="A123" s="334"/>
      <c r="B123" s="120" t="s">
        <v>1101</v>
      </c>
      <c r="C123" s="337"/>
      <c r="D123" s="335"/>
      <c r="E123" s="338">
        <f>(8.44*2)+(3.75*3)</f>
        <v>28.13</v>
      </c>
      <c r="F123" s="338">
        <v>0.3</v>
      </c>
      <c r="G123" s="335">
        <v>0.5</v>
      </c>
      <c r="H123" s="324">
        <f t="shared" si="12"/>
        <v>4.22</v>
      </c>
    </row>
    <row r="124" spans="1:8">
      <c r="A124" s="334"/>
      <c r="B124" s="120" t="s">
        <v>497</v>
      </c>
      <c r="C124" s="337"/>
      <c r="D124" s="335"/>
      <c r="E124" s="338">
        <f>(2.1*2)+(1.7*2)</f>
        <v>7.6</v>
      </c>
      <c r="F124" s="338">
        <v>0.3</v>
      </c>
      <c r="G124" s="335">
        <v>0.5</v>
      </c>
      <c r="H124" s="324">
        <f t="shared" si="12"/>
        <v>1.1399999999999999</v>
      </c>
    </row>
    <row r="125" spans="1:8">
      <c r="A125" s="334"/>
      <c r="B125" s="97"/>
      <c r="C125" s="317"/>
      <c r="D125" s="326"/>
      <c r="E125" s="319"/>
      <c r="F125" s="320"/>
      <c r="G125" s="139" t="str">
        <f>"Total item "&amp;A116</f>
        <v>Total item 3.2</v>
      </c>
      <c r="H125" s="140">
        <f>SUM(H117:H124)</f>
        <v>39.79</v>
      </c>
    </row>
    <row r="126" spans="1:8" ht="22.5">
      <c r="A126" s="311" t="str">
        <f>'Planilha orç'!A30</f>
        <v>3.3</v>
      </c>
      <c r="B126" s="134" t="str">
        <f>'Planilha orç'!D30</f>
        <v>LASTRO DE CONCRETO MAGRO, APLICADO EM PISOS, LAJES SOBRE SOLO OU RADIERS. AF_08/2017</v>
      </c>
      <c r="C126" s="311" t="str">
        <f>'Planilha orç'!E30</f>
        <v>M3</v>
      </c>
      <c r="D126" s="312"/>
      <c r="E126" s="313"/>
      <c r="F126" s="314"/>
      <c r="G126" s="315"/>
      <c r="H126" s="316"/>
    </row>
    <row r="127" spans="1:8">
      <c r="A127" s="334"/>
      <c r="B127" s="372" t="s">
        <v>1141</v>
      </c>
      <c r="C127" s="317"/>
      <c r="D127" s="335"/>
      <c r="E127" s="335"/>
      <c r="F127" s="335"/>
      <c r="G127" s="338"/>
      <c r="H127" s="324"/>
    </row>
    <row r="128" spans="1:8">
      <c r="A128" s="334"/>
      <c r="B128" s="192" t="s">
        <v>242</v>
      </c>
      <c r="C128" s="317"/>
      <c r="D128" s="335">
        <v>7</v>
      </c>
      <c r="E128" s="335">
        <v>0.6</v>
      </c>
      <c r="F128" s="335">
        <v>0.6</v>
      </c>
      <c r="G128" s="338">
        <v>0.05</v>
      </c>
      <c r="H128" s="324">
        <f t="shared" ref="H128:H144" si="13">ROUND(PRODUCT(D128:G128),2)</f>
        <v>0.13</v>
      </c>
    </row>
    <row r="129" spans="1:8">
      <c r="A129" s="334"/>
      <c r="B129" s="192" t="s">
        <v>869</v>
      </c>
      <c r="C129" s="317"/>
      <c r="D129" s="335">
        <v>9</v>
      </c>
      <c r="E129" s="335">
        <v>0.6</v>
      </c>
      <c r="F129" s="335">
        <v>0.6</v>
      </c>
      <c r="G129" s="338">
        <v>0.05</v>
      </c>
      <c r="H129" s="324">
        <f t="shared" si="13"/>
        <v>0.16</v>
      </c>
    </row>
    <row r="130" spans="1:8">
      <c r="A130" s="334"/>
      <c r="B130" s="192" t="s">
        <v>870</v>
      </c>
      <c r="C130" s="317"/>
      <c r="D130" s="335">
        <v>9</v>
      </c>
      <c r="E130" s="335">
        <v>0.6</v>
      </c>
      <c r="F130" s="335">
        <v>0.6</v>
      </c>
      <c r="G130" s="338">
        <v>0.05</v>
      </c>
      <c r="H130" s="324">
        <f t="shared" si="13"/>
        <v>0.16</v>
      </c>
    </row>
    <row r="131" spans="1:8">
      <c r="A131" s="334"/>
      <c r="B131" s="192" t="s">
        <v>871</v>
      </c>
      <c r="C131" s="317"/>
      <c r="D131" s="335">
        <v>5</v>
      </c>
      <c r="E131" s="335">
        <v>0.6</v>
      </c>
      <c r="F131" s="335">
        <v>0.6</v>
      </c>
      <c r="G131" s="338">
        <v>0.05</v>
      </c>
      <c r="H131" s="324">
        <f t="shared" si="13"/>
        <v>0.09</v>
      </c>
    </row>
    <row r="132" spans="1:8">
      <c r="A132" s="334"/>
      <c r="B132" s="120" t="s">
        <v>1094</v>
      </c>
      <c r="C132" s="317"/>
      <c r="D132" s="323">
        <v>9</v>
      </c>
      <c r="E132" s="335">
        <v>0.6</v>
      </c>
      <c r="F132" s="335">
        <v>0.6</v>
      </c>
      <c r="G132" s="338">
        <v>0.05</v>
      </c>
      <c r="H132" s="324">
        <f t="shared" si="13"/>
        <v>0.16</v>
      </c>
    </row>
    <row r="133" spans="1:8">
      <c r="A133" s="334"/>
      <c r="B133" s="120" t="s">
        <v>872</v>
      </c>
      <c r="C133" s="317"/>
      <c r="D133" s="335">
        <v>11</v>
      </c>
      <c r="E133" s="335">
        <v>0.6</v>
      </c>
      <c r="F133" s="335">
        <v>0.6</v>
      </c>
      <c r="G133" s="338">
        <v>0.05</v>
      </c>
      <c r="H133" s="324">
        <f t="shared" si="13"/>
        <v>0.2</v>
      </c>
    </row>
    <row r="134" spans="1:8">
      <c r="A134" s="334"/>
      <c r="B134" s="120" t="s">
        <v>1101</v>
      </c>
      <c r="C134" s="317"/>
      <c r="D134" s="335">
        <v>6</v>
      </c>
      <c r="E134" s="335">
        <v>0.6</v>
      </c>
      <c r="F134" s="335">
        <v>0.6</v>
      </c>
      <c r="G134" s="338">
        <v>0.05</v>
      </c>
      <c r="H134" s="324">
        <f t="shared" si="13"/>
        <v>0.11</v>
      </c>
    </row>
    <row r="135" spans="1:8">
      <c r="A135" s="334"/>
      <c r="B135" s="120" t="s">
        <v>497</v>
      </c>
      <c r="C135" s="317"/>
      <c r="D135" s="335">
        <v>4</v>
      </c>
      <c r="E135" s="335">
        <v>0.6</v>
      </c>
      <c r="F135" s="335">
        <v>0.6</v>
      </c>
      <c r="G135" s="338">
        <v>0.05</v>
      </c>
      <c r="H135" s="324">
        <f t="shared" si="13"/>
        <v>7.0000000000000007E-2</v>
      </c>
    </row>
    <row r="136" spans="1:8">
      <c r="A136" s="334"/>
      <c r="B136" s="373" t="s">
        <v>1142</v>
      </c>
      <c r="C136" s="317"/>
      <c r="D136" s="335"/>
      <c r="E136" s="335"/>
      <c r="F136" s="335"/>
      <c r="G136" s="338"/>
      <c r="H136" s="324"/>
    </row>
    <row r="137" spans="1:8">
      <c r="A137" s="334"/>
      <c r="B137" s="120" t="s">
        <v>242</v>
      </c>
      <c r="C137" s="339"/>
      <c r="D137" s="329"/>
      <c r="E137" s="338">
        <f>31.37+0.69</f>
        <v>32.06</v>
      </c>
      <c r="F137" s="335">
        <v>0.3</v>
      </c>
      <c r="G137" s="338">
        <v>0.05</v>
      </c>
      <c r="H137" s="324">
        <f t="shared" si="13"/>
        <v>0.48</v>
      </c>
    </row>
    <row r="138" spans="1:8">
      <c r="A138" s="334"/>
      <c r="B138" s="120" t="s">
        <v>869</v>
      </c>
      <c r="C138" s="339"/>
      <c r="D138" s="329"/>
      <c r="E138" s="338">
        <f>7.7*2+8.2*3</f>
        <v>40</v>
      </c>
      <c r="F138" s="335">
        <v>0.3</v>
      </c>
      <c r="G138" s="338">
        <v>0.05</v>
      </c>
      <c r="H138" s="324">
        <f t="shared" si="13"/>
        <v>0.6</v>
      </c>
    </row>
    <row r="139" spans="1:8">
      <c r="A139" s="334"/>
      <c r="B139" s="120" t="s">
        <v>870</v>
      </c>
      <c r="C139" s="339"/>
      <c r="D139" s="329"/>
      <c r="E139" s="338">
        <f>(10.33*2)+(8.2*3)</f>
        <v>45.26</v>
      </c>
      <c r="F139" s="335">
        <v>0.3</v>
      </c>
      <c r="G139" s="338">
        <v>0.05</v>
      </c>
      <c r="H139" s="324">
        <f t="shared" si="13"/>
        <v>0.68</v>
      </c>
    </row>
    <row r="140" spans="1:8">
      <c r="A140" s="334"/>
      <c r="B140" s="120" t="s">
        <v>871</v>
      </c>
      <c r="C140" s="339"/>
      <c r="D140" s="329"/>
      <c r="E140" s="338">
        <f>(3.85*2)+(8.2*2)</f>
        <v>24.099999999999998</v>
      </c>
      <c r="F140" s="335">
        <v>0.3</v>
      </c>
      <c r="G140" s="338">
        <v>0.05</v>
      </c>
      <c r="H140" s="324">
        <f t="shared" si="13"/>
        <v>0.36</v>
      </c>
    </row>
    <row r="141" spans="1:8">
      <c r="A141" s="334"/>
      <c r="B141" s="120" t="s">
        <v>1094</v>
      </c>
      <c r="C141" s="339"/>
      <c r="D141" s="329"/>
      <c r="E141" s="338">
        <f>(8.2*2)+7.5+7.95+(3.07*2)+(3.23*2)+2.77</f>
        <v>47.22</v>
      </c>
      <c r="F141" s="335">
        <v>0.3</v>
      </c>
      <c r="G141" s="338">
        <v>0.05</v>
      </c>
      <c r="H141" s="324">
        <f t="shared" si="13"/>
        <v>0.71</v>
      </c>
    </row>
    <row r="142" spans="1:8">
      <c r="A142" s="334"/>
      <c r="B142" s="120" t="s">
        <v>872</v>
      </c>
      <c r="C142" s="339"/>
      <c r="D142" s="329"/>
      <c r="E142" s="338">
        <f>(7.95*2)+(8*2)+3.85+2.8</f>
        <v>38.549999999999997</v>
      </c>
      <c r="F142" s="335">
        <v>0.3</v>
      </c>
      <c r="G142" s="338">
        <v>0.05</v>
      </c>
      <c r="H142" s="324">
        <f t="shared" si="13"/>
        <v>0.57999999999999996</v>
      </c>
    </row>
    <row r="143" spans="1:8">
      <c r="A143" s="334"/>
      <c r="B143" s="120" t="s">
        <v>1101</v>
      </c>
      <c r="C143" s="339"/>
      <c r="D143" s="329"/>
      <c r="E143" s="338">
        <f>(8.44*2)+(3.75*3)</f>
        <v>28.13</v>
      </c>
      <c r="F143" s="335">
        <v>0.3</v>
      </c>
      <c r="G143" s="338">
        <v>0.05</v>
      </c>
      <c r="H143" s="324">
        <f t="shared" si="13"/>
        <v>0.42</v>
      </c>
    </row>
    <row r="144" spans="1:8">
      <c r="A144" s="334"/>
      <c r="B144" s="173" t="s">
        <v>1041</v>
      </c>
      <c r="C144" s="306"/>
      <c r="D144" s="342">
        <v>4</v>
      </c>
      <c r="E144" s="330">
        <v>3.5</v>
      </c>
      <c r="F144" s="335">
        <v>0.3</v>
      </c>
      <c r="G144" s="338">
        <v>0.05</v>
      </c>
      <c r="H144" s="324">
        <f t="shared" si="13"/>
        <v>0.21</v>
      </c>
    </row>
    <row r="145" spans="1:10">
      <c r="A145" s="334"/>
      <c r="B145" s="173" t="s">
        <v>497</v>
      </c>
      <c r="C145" s="306"/>
      <c r="D145" s="342"/>
      <c r="E145" s="338">
        <f>(2.1*2)+(1.7*2)</f>
        <v>7.6</v>
      </c>
      <c r="F145" s="335">
        <v>0.3</v>
      </c>
      <c r="G145" s="338">
        <v>0.05</v>
      </c>
      <c r="H145" s="324">
        <f>ROUND(PRODUCT(D145:G145),2)</f>
        <v>0.11</v>
      </c>
    </row>
    <row r="146" spans="1:10">
      <c r="A146" s="334"/>
      <c r="B146" s="97"/>
      <c r="C146" s="317"/>
      <c r="D146" s="326"/>
      <c r="E146" s="319"/>
      <c r="F146" s="320"/>
      <c r="G146" s="139" t="str">
        <f>"Total item "&amp;A126</f>
        <v>Total item 3.3</v>
      </c>
      <c r="H146" s="140">
        <f>SUM(H128:H145)</f>
        <v>5.23</v>
      </c>
    </row>
    <row r="147" spans="1:10" ht="33.75">
      <c r="A147" s="311" t="str">
        <f>'Planilha orç'!A31</f>
        <v>3.4</v>
      </c>
      <c r="B147" s="134" t="str">
        <f>'Planilha orç'!D31</f>
        <v>CONCRETO ARMADO PRONTO, FCK 30 MPA CONDICAO A
(NBR 12655), LANCADO EM FUNDACOES E ADENSADO,
INCLUSIVE FORMA, ESCORAMENTO E FERRAGEM</v>
      </c>
      <c r="C147" s="311" t="str">
        <f>'Planilha orç'!E31</f>
        <v>M3</v>
      </c>
      <c r="D147" s="312"/>
      <c r="E147" s="313"/>
      <c r="F147" s="314"/>
      <c r="G147" s="315"/>
      <c r="H147" s="316"/>
    </row>
    <row r="148" spans="1:10">
      <c r="A148" s="306"/>
      <c r="B148" s="172" t="s">
        <v>1095</v>
      </c>
      <c r="C148" s="306"/>
      <c r="D148" s="329"/>
      <c r="E148" s="330"/>
      <c r="F148" s="331"/>
      <c r="G148" s="332"/>
      <c r="H148" s="90"/>
    </row>
    <row r="149" spans="1:10">
      <c r="A149" s="334"/>
      <c r="B149" s="120" t="s">
        <v>242</v>
      </c>
      <c r="C149" s="337"/>
      <c r="D149" s="323">
        <v>2</v>
      </c>
      <c r="E149" s="338">
        <f>31.37+0.69</f>
        <v>32.06</v>
      </c>
      <c r="F149" s="335">
        <f t="shared" ref="F149:F156" si="14">0.2</f>
        <v>0.2</v>
      </c>
      <c r="G149" s="335">
        <v>0.3</v>
      </c>
      <c r="H149" s="324">
        <f t="shared" ref="H149:H165" si="15">ROUND(PRODUCT(D149:G149),2)</f>
        <v>3.85</v>
      </c>
    </row>
    <row r="150" spans="1:10">
      <c r="A150" s="334"/>
      <c r="B150" s="120" t="s">
        <v>869</v>
      </c>
      <c r="C150" s="337"/>
      <c r="D150" s="323">
        <v>2</v>
      </c>
      <c r="E150" s="338">
        <f>7.7*2+8.2*3</f>
        <v>40</v>
      </c>
      <c r="F150" s="335">
        <f t="shared" si="14"/>
        <v>0.2</v>
      </c>
      <c r="G150" s="335">
        <v>0.3</v>
      </c>
      <c r="H150" s="324">
        <f t="shared" si="15"/>
        <v>4.8</v>
      </c>
    </row>
    <row r="151" spans="1:10">
      <c r="A151" s="334"/>
      <c r="B151" s="120" t="s">
        <v>870</v>
      </c>
      <c r="C151" s="337"/>
      <c r="D151" s="323">
        <v>2</v>
      </c>
      <c r="E151" s="338">
        <f>(10.33*2)+(8.2*3)</f>
        <v>45.26</v>
      </c>
      <c r="F151" s="335">
        <f t="shared" si="14"/>
        <v>0.2</v>
      </c>
      <c r="G151" s="335">
        <v>0.3</v>
      </c>
      <c r="H151" s="324">
        <f t="shared" si="15"/>
        <v>5.43</v>
      </c>
    </row>
    <row r="152" spans="1:10">
      <c r="A152" s="334"/>
      <c r="B152" s="120" t="s">
        <v>871</v>
      </c>
      <c r="C152" s="337"/>
      <c r="D152" s="323">
        <v>2</v>
      </c>
      <c r="E152" s="338">
        <f>(3.85*2)+(8.2*2)</f>
        <v>24.099999999999998</v>
      </c>
      <c r="F152" s="335">
        <f t="shared" si="14"/>
        <v>0.2</v>
      </c>
      <c r="G152" s="335">
        <v>0.3</v>
      </c>
      <c r="H152" s="324">
        <f t="shared" si="15"/>
        <v>2.89</v>
      </c>
    </row>
    <row r="153" spans="1:10" ht="12">
      <c r="A153" s="334"/>
      <c r="B153" s="120" t="s">
        <v>1094</v>
      </c>
      <c r="C153" s="337"/>
      <c r="D153" s="323">
        <v>2</v>
      </c>
      <c r="E153" s="338">
        <f>(8.2*2)+7.5+7.95+(3.07*2)+(3.23*2)+2.77</f>
        <v>47.22</v>
      </c>
      <c r="F153" s="335">
        <f t="shared" si="14"/>
        <v>0.2</v>
      </c>
      <c r="G153" s="335">
        <v>0.3</v>
      </c>
      <c r="H153" s="324">
        <f t="shared" si="15"/>
        <v>5.67</v>
      </c>
      <c r="J153" s="187">
        <f>8.5*3+7.9*3+(0.8+1.95+0.9+1.56)*4</f>
        <v>70.040000000000006</v>
      </c>
    </row>
    <row r="154" spans="1:10">
      <c r="A154" s="334"/>
      <c r="B154" s="120" t="s">
        <v>872</v>
      </c>
      <c r="C154" s="337"/>
      <c r="D154" s="323">
        <v>2</v>
      </c>
      <c r="E154" s="338">
        <f>(7.95*2)+(8*2)+3.85+2.8</f>
        <v>38.549999999999997</v>
      </c>
      <c r="F154" s="335">
        <f t="shared" si="14"/>
        <v>0.2</v>
      </c>
      <c r="G154" s="335">
        <v>0.3</v>
      </c>
      <c r="H154" s="324">
        <f t="shared" si="15"/>
        <v>4.63</v>
      </c>
    </row>
    <row r="155" spans="1:10">
      <c r="A155" s="334"/>
      <c r="B155" s="120" t="s">
        <v>1093</v>
      </c>
      <c r="C155" s="337"/>
      <c r="D155" s="323">
        <v>2</v>
      </c>
      <c r="E155" s="338">
        <f>(8.44*2)+(3.75*3)</f>
        <v>28.13</v>
      </c>
      <c r="F155" s="335">
        <f t="shared" si="14"/>
        <v>0.2</v>
      </c>
      <c r="G155" s="335">
        <v>0.3</v>
      </c>
      <c r="H155" s="324">
        <f t="shared" si="15"/>
        <v>3.38</v>
      </c>
    </row>
    <row r="156" spans="1:10">
      <c r="A156" s="334"/>
      <c r="B156" s="120" t="s">
        <v>497</v>
      </c>
      <c r="C156" s="337"/>
      <c r="D156" s="323">
        <v>2</v>
      </c>
      <c r="E156" s="338">
        <f>(2.1*2)+(1.7*2)</f>
        <v>7.6</v>
      </c>
      <c r="F156" s="335">
        <f t="shared" si="14"/>
        <v>0.2</v>
      </c>
      <c r="G156" s="335">
        <v>1.3</v>
      </c>
      <c r="H156" s="324">
        <f>ROUND(PRODUCT(D156:G156),2)</f>
        <v>3.95</v>
      </c>
    </row>
    <row r="157" spans="1:10" ht="22.5">
      <c r="A157" s="334"/>
      <c r="B157" s="193" t="s">
        <v>1146</v>
      </c>
      <c r="C157" s="337"/>
      <c r="D157" s="335"/>
      <c r="E157" s="335"/>
      <c r="F157" s="335"/>
      <c r="G157" s="335"/>
      <c r="H157" s="324"/>
    </row>
    <row r="158" spans="1:10">
      <c r="A158" s="334"/>
      <c r="B158" s="192" t="s">
        <v>242</v>
      </c>
      <c r="C158" s="317"/>
      <c r="D158" s="335">
        <v>7</v>
      </c>
      <c r="E158" s="335">
        <v>0.6</v>
      </c>
      <c r="F158" s="335">
        <v>0.6</v>
      </c>
      <c r="G158" s="335">
        <v>0.3</v>
      </c>
      <c r="H158" s="324">
        <f t="shared" si="15"/>
        <v>0.76</v>
      </c>
    </row>
    <row r="159" spans="1:10">
      <c r="A159" s="334"/>
      <c r="B159" s="192" t="s">
        <v>869</v>
      </c>
      <c r="C159" s="317"/>
      <c r="D159" s="335">
        <v>9</v>
      </c>
      <c r="E159" s="335">
        <v>0.6</v>
      </c>
      <c r="F159" s="335">
        <v>0.6</v>
      </c>
      <c r="G159" s="335">
        <v>0.3</v>
      </c>
      <c r="H159" s="324">
        <f t="shared" si="15"/>
        <v>0.97</v>
      </c>
    </row>
    <row r="160" spans="1:10">
      <c r="A160" s="334"/>
      <c r="B160" s="192" t="s">
        <v>870</v>
      </c>
      <c r="C160" s="317"/>
      <c r="D160" s="335">
        <v>9</v>
      </c>
      <c r="E160" s="335">
        <v>0.6</v>
      </c>
      <c r="F160" s="335">
        <v>0.6</v>
      </c>
      <c r="G160" s="335">
        <v>0.3</v>
      </c>
      <c r="H160" s="324">
        <f t="shared" si="15"/>
        <v>0.97</v>
      </c>
    </row>
    <row r="161" spans="1:8">
      <c r="A161" s="334"/>
      <c r="B161" s="192" t="s">
        <v>871</v>
      </c>
      <c r="C161" s="317"/>
      <c r="D161" s="335">
        <v>5</v>
      </c>
      <c r="E161" s="335">
        <v>0.6</v>
      </c>
      <c r="F161" s="335">
        <v>0.6</v>
      </c>
      <c r="G161" s="335">
        <v>0.3</v>
      </c>
      <c r="H161" s="324">
        <f t="shared" si="15"/>
        <v>0.54</v>
      </c>
    </row>
    <row r="162" spans="1:8">
      <c r="A162" s="334"/>
      <c r="B162" s="120" t="s">
        <v>1094</v>
      </c>
      <c r="C162" s="317"/>
      <c r="D162" s="323">
        <v>9</v>
      </c>
      <c r="E162" s="335">
        <v>0.6</v>
      </c>
      <c r="F162" s="335">
        <v>0.6</v>
      </c>
      <c r="G162" s="335">
        <v>0.3</v>
      </c>
      <c r="H162" s="324">
        <f t="shared" si="15"/>
        <v>0.97</v>
      </c>
    </row>
    <row r="163" spans="1:8">
      <c r="A163" s="334"/>
      <c r="B163" s="120" t="s">
        <v>872</v>
      </c>
      <c r="C163" s="317"/>
      <c r="D163" s="335">
        <v>11</v>
      </c>
      <c r="E163" s="335">
        <v>0.6</v>
      </c>
      <c r="F163" s="335">
        <v>0.6</v>
      </c>
      <c r="G163" s="335">
        <v>0.3</v>
      </c>
      <c r="H163" s="324">
        <f t="shared" si="15"/>
        <v>1.19</v>
      </c>
    </row>
    <row r="164" spans="1:8">
      <c r="A164" s="334"/>
      <c r="B164" s="120" t="s">
        <v>1101</v>
      </c>
      <c r="C164" s="317"/>
      <c r="D164" s="335">
        <v>6</v>
      </c>
      <c r="E164" s="335">
        <v>0.6</v>
      </c>
      <c r="F164" s="335">
        <v>0.6</v>
      </c>
      <c r="G164" s="335">
        <v>0.3</v>
      </c>
      <c r="H164" s="324">
        <f t="shared" si="15"/>
        <v>0.65</v>
      </c>
    </row>
    <row r="165" spans="1:8">
      <c r="A165" s="334"/>
      <c r="B165" s="120" t="s">
        <v>497</v>
      </c>
      <c r="C165" s="317"/>
      <c r="D165" s="335">
        <v>4</v>
      </c>
      <c r="E165" s="335">
        <v>0.6</v>
      </c>
      <c r="F165" s="335">
        <v>0.6</v>
      </c>
      <c r="G165" s="335">
        <v>0.3</v>
      </c>
      <c r="H165" s="324">
        <f t="shared" si="15"/>
        <v>0.43</v>
      </c>
    </row>
    <row r="166" spans="1:8">
      <c r="A166" s="334"/>
      <c r="B166" s="97"/>
      <c r="C166" s="317"/>
      <c r="D166" s="326"/>
      <c r="E166" s="319"/>
      <c r="F166" s="320"/>
      <c r="G166" s="113" t="str">
        <f>"Total item "&amp;A147</f>
        <v>Total item 3.4</v>
      </c>
      <c r="H166" s="114">
        <f>SUM(H149:H165)</f>
        <v>41.079999999999991</v>
      </c>
    </row>
    <row r="167" spans="1:8" ht="33.75">
      <c r="A167" s="311" t="str">
        <f>'Planilha orç'!A32</f>
        <v>3.5</v>
      </c>
      <c r="B167" s="134" t="str">
        <f>'Planilha orç'!D32</f>
        <v>IMPERMEABILIZAÇÃO DE FLOREIRA OU VIGA BALDRAME COM ARGAMASSA DE CIMENTO E AREIA, COM ADITIVO IMPERMEABILIZANTE, E = 2 CM. AF_06/2018</v>
      </c>
      <c r="C167" s="311" t="str">
        <f>'Planilha orç'!E32</f>
        <v>M2</v>
      </c>
      <c r="D167" s="312"/>
      <c r="E167" s="313"/>
      <c r="F167" s="314"/>
      <c r="G167" s="315"/>
      <c r="H167" s="316"/>
    </row>
    <row r="168" spans="1:8">
      <c r="A168" s="306"/>
      <c r="B168" s="172" t="s">
        <v>873</v>
      </c>
      <c r="C168" s="306"/>
      <c r="D168" s="329"/>
      <c r="E168" s="330"/>
      <c r="F168" s="331"/>
      <c r="G168" s="332"/>
      <c r="H168" s="90"/>
    </row>
    <row r="169" spans="1:8">
      <c r="A169" s="334"/>
      <c r="B169" s="120" t="s">
        <v>242</v>
      </c>
      <c r="C169" s="339"/>
      <c r="D169" s="339">
        <v>2</v>
      </c>
      <c r="E169" s="338">
        <f>31.37+0.69</f>
        <v>32.06</v>
      </c>
      <c r="F169" s="338">
        <v>0.8</v>
      </c>
      <c r="G169" s="335"/>
      <c r="H169" s="324">
        <f t="shared" ref="H169:H176" si="16">ROUND(PRODUCT(D169:G169),2)</f>
        <v>51.3</v>
      </c>
    </row>
    <row r="170" spans="1:8">
      <c r="A170" s="334"/>
      <c r="B170" s="120" t="s">
        <v>869</v>
      </c>
      <c r="C170" s="339"/>
      <c r="D170" s="339">
        <v>2</v>
      </c>
      <c r="E170" s="338">
        <f>7.7*2+8.2*3</f>
        <v>40</v>
      </c>
      <c r="F170" s="338">
        <v>0.8</v>
      </c>
      <c r="G170" s="335"/>
      <c r="H170" s="324">
        <f t="shared" si="16"/>
        <v>64</v>
      </c>
    </row>
    <row r="171" spans="1:8">
      <c r="A171" s="334"/>
      <c r="B171" s="120" t="s">
        <v>870</v>
      </c>
      <c r="C171" s="339"/>
      <c r="D171" s="339">
        <v>2</v>
      </c>
      <c r="E171" s="338">
        <f>(10.33*2)+(8.2*3)</f>
        <v>45.26</v>
      </c>
      <c r="F171" s="338">
        <v>0.8</v>
      </c>
      <c r="G171" s="335"/>
      <c r="H171" s="324">
        <f t="shared" si="16"/>
        <v>72.42</v>
      </c>
    </row>
    <row r="172" spans="1:8">
      <c r="A172" s="334"/>
      <c r="B172" s="120" t="s">
        <v>871</v>
      </c>
      <c r="C172" s="339"/>
      <c r="D172" s="339">
        <v>2</v>
      </c>
      <c r="E172" s="338">
        <f>(3.85*2)+(8.2*2)</f>
        <v>24.099999999999998</v>
      </c>
      <c r="F172" s="338">
        <v>0.8</v>
      </c>
      <c r="G172" s="335"/>
      <c r="H172" s="324">
        <f t="shared" si="16"/>
        <v>38.56</v>
      </c>
    </row>
    <row r="173" spans="1:8">
      <c r="A173" s="334"/>
      <c r="B173" s="120" t="s">
        <v>1094</v>
      </c>
      <c r="C173" s="339"/>
      <c r="D173" s="339">
        <v>2</v>
      </c>
      <c r="E173" s="338">
        <f>(8.2*2)+7.5+7.95+(3.07*2)+(3.23*2)+2.77</f>
        <v>47.22</v>
      </c>
      <c r="F173" s="338">
        <v>0.8</v>
      </c>
      <c r="G173" s="335"/>
      <c r="H173" s="324">
        <f t="shared" si="16"/>
        <v>75.55</v>
      </c>
    </row>
    <row r="174" spans="1:8">
      <c r="A174" s="334"/>
      <c r="B174" s="120" t="s">
        <v>872</v>
      </c>
      <c r="C174" s="339"/>
      <c r="D174" s="339">
        <v>2</v>
      </c>
      <c r="E174" s="338">
        <f>(7.95*2)+(8*2)+3.85+2.8</f>
        <v>38.549999999999997</v>
      </c>
      <c r="F174" s="338">
        <v>0.8</v>
      </c>
      <c r="G174" s="335"/>
      <c r="H174" s="324">
        <f t="shared" si="16"/>
        <v>61.68</v>
      </c>
    </row>
    <row r="175" spans="1:8">
      <c r="A175" s="334"/>
      <c r="B175" s="120" t="s">
        <v>1101</v>
      </c>
      <c r="C175" s="339"/>
      <c r="D175" s="339">
        <v>2</v>
      </c>
      <c r="E175" s="338">
        <f>(8.44*2)+(3.75*3)</f>
        <v>28.13</v>
      </c>
      <c r="F175" s="338">
        <v>0.8</v>
      </c>
      <c r="G175" s="340"/>
      <c r="H175" s="324">
        <f t="shared" si="16"/>
        <v>45.01</v>
      </c>
    </row>
    <row r="176" spans="1:8">
      <c r="A176" s="334"/>
      <c r="B176" s="120" t="s">
        <v>497</v>
      </c>
      <c r="C176" s="339"/>
      <c r="D176" s="339">
        <v>2</v>
      </c>
      <c r="E176" s="338">
        <f>(2.1*2)+(1.7*2)</f>
        <v>7.6</v>
      </c>
      <c r="F176" s="338">
        <v>0.8</v>
      </c>
      <c r="G176" s="340"/>
      <c r="H176" s="324">
        <f t="shared" si="16"/>
        <v>12.16</v>
      </c>
    </row>
    <row r="177" spans="1:8">
      <c r="A177" s="334"/>
      <c r="B177" s="97"/>
      <c r="C177" s="317"/>
      <c r="D177" s="326"/>
      <c r="E177" s="319"/>
      <c r="F177" s="320"/>
      <c r="G177" s="113" t="str">
        <f>"Total item "&amp;A167</f>
        <v>Total item 3.5</v>
      </c>
      <c r="H177" s="114">
        <f>SUM(H169:H176)</f>
        <v>420.68</v>
      </c>
    </row>
    <row r="178" spans="1:8" ht="22.5">
      <c r="A178" s="311" t="str">
        <f>'Planilha orç'!A33</f>
        <v>3.6</v>
      </c>
      <c r="B178" s="134" t="str">
        <f>'Planilha orç'!D33</f>
        <v xml:space="preserve">ALVENARIA DE TIJOLO CERÂMICO FURADO (9x19x19)cm C/ARGAMASSA MISTA DE CAL HIDRATADA ESP=20 cm </v>
      </c>
      <c r="C178" s="311" t="str">
        <f>'Planilha orç'!E33</f>
        <v>M2</v>
      </c>
      <c r="D178" s="312"/>
      <c r="E178" s="313"/>
      <c r="F178" s="314"/>
      <c r="G178" s="315"/>
      <c r="H178" s="316"/>
    </row>
    <row r="179" spans="1:8">
      <c r="A179" s="334"/>
      <c r="B179" s="120" t="s">
        <v>242</v>
      </c>
      <c r="C179" s="339"/>
      <c r="D179" s="329"/>
      <c r="E179" s="338">
        <f>31.37+0.69</f>
        <v>32.06</v>
      </c>
      <c r="F179" s="338"/>
      <c r="G179" s="374">
        <f>0.2+0.8</f>
        <v>1</v>
      </c>
      <c r="H179" s="324">
        <f>ROUND(PRODUCT(D179:G179),2)</f>
        <v>32.06</v>
      </c>
    </row>
    <row r="180" spans="1:8">
      <c r="A180" s="334"/>
      <c r="B180" s="120" t="s">
        <v>869</v>
      </c>
      <c r="C180" s="339"/>
      <c r="D180" s="329"/>
      <c r="E180" s="338">
        <f>7.7*2+8.2*3</f>
        <v>40</v>
      </c>
      <c r="F180" s="338"/>
      <c r="G180" s="374">
        <f t="shared" ref="G180:G186" si="17">0.2+0.8</f>
        <v>1</v>
      </c>
      <c r="H180" s="324">
        <f t="shared" ref="H180:H187" si="18">ROUND(PRODUCT(D180:G180),2)</f>
        <v>40</v>
      </c>
    </row>
    <row r="181" spans="1:8">
      <c r="A181" s="334"/>
      <c r="B181" s="120" t="s">
        <v>870</v>
      </c>
      <c r="C181" s="339"/>
      <c r="D181" s="329"/>
      <c r="E181" s="338">
        <f>(10.33*2)+(8.2*3)</f>
        <v>45.26</v>
      </c>
      <c r="F181" s="338"/>
      <c r="G181" s="374">
        <f t="shared" si="17"/>
        <v>1</v>
      </c>
      <c r="H181" s="324">
        <f t="shared" si="18"/>
        <v>45.26</v>
      </c>
    </row>
    <row r="182" spans="1:8">
      <c r="A182" s="334"/>
      <c r="B182" s="120" t="s">
        <v>871</v>
      </c>
      <c r="C182" s="339"/>
      <c r="D182" s="329"/>
      <c r="E182" s="338">
        <f>(3.85*2)+(8.2*2)</f>
        <v>24.099999999999998</v>
      </c>
      <c r="F182" s="338"/>
      <c r="G182" s="374">
        <f t="shared" si="17"/>
        <v>1</v>
      </c>
      <c r="H182" s="324">
        <f t="shared" si="18"/>
        <v>24.1</v>
      </c>
    </row>
    <row r="183" spans="1:8">
      <c r="A183" s="334"/>
      <c r="B183" s="120" t="s">
        <v>1094</v>
      </c>
      <c r="C183" s="339"/>
      <c r="D183" s="329"/>
      <c r="E183" s="338">
        <f>(8.2*2)+7.5+7.95+(3.07*2)+(3.23*2)+2.77</f>
        <v>47.22</v>
      </c>
      <c r="F183" s="338"/>
      <c r="G183" s="374">
        <f t="shared" si="17"/>
        <v>1</v>
      </c>
      <c r="H183" s="324">
        <f t="shared" si="18"/>
        <v>47.22</v>
      </c>
    </row>
    <row r="184" spans="1:8">
      <c r="A184" s="334"/>
      <c r="B184" s="120" t="s">
        <v>872</v>
      </c>
      <c r="C184" s="339"/>
      <c r="D184" s="329"/>
      <c r="E184" s="338">
        <f>(7.95*2)+(8*2)+3.85+2.8</f>
        <v>38.549999999999997</v>
      </c>
      <c r="F184" s="338"/>
      <c r="G184" s="374">
        <f t="shared" si="17"/>
        <v>1</v>
      </c>
      <c r="H184" s="324">
        <f t="shared" si="18"/>
        <v>38.549999999999997</v>
      </c>
    </row>
    <row r="185" spans="1:8">
      <c r="A185" s="334"/>
      <c r="B185" s="120" t="s">
        <v>1101</v>
      </c>
      <c r="C185" s="339"/>
      <c r="D185" s="329"/>
      <c r="E185" s="338">
        <f>(8.44*2)+(3.75*3)</f>
        <v>28.13</v>
      </c>
      <c r="F185" s="338"/>
      <c r="G185" s="374">
        <f t="shared" si="17"/>
        <v>1</v>
      </c>
      <c r="H185" s="324">
        <f>ROUND(PRODUCT(D185:G185),2)</f>
        <v>28.13</v>
      </c>
    </row>
    <row r="186" spans="1:8">
      <c r="A186" s="334"/>
      <c r="B186" s="173" t="s">
        <v>1041</v>
      </c>
      <c r="C186" s="306"/>
      <c r="D186" s="342">
        <v>4</v>
      </c>
      <c r="E186" s="330">
        <v>3.5</v>
      </c>
      <c r="F186" s="331"/>
      <c r="G186" s="374">
        <f t="shared" si="17"/>
        <v>1</v>
      </c>
      <c r="H186" s="324">
        <f t="shared" si="18"/>
        <v>14</v>
      </c>
    </row>
    <row r="187" spans="1:8">
      <c r="A187" s="334"/>
      <c r="B187" s="120" t="s">
        <v>497</v>
      </c>
      <c r="C187" s="306"/>
      <c r="D187" s="342"/>
      <c r="E187" s="338">
        <f>(2.1*2)+(1.7*2)</f>
        <v>7.6</v>
      </c>
      <c r="F187" s="331"/>
      <c r="G187" s="374">
        <v>0.3</v>
      </c>
      <c r="H187" s="324">
        <f t="shared" si="18"/>
        <v>2.2799999999999998</v>
      </c>
    </row>
    <row r="188" spans="1:8">
      <c r="A188" s="334"/>
      <c r="B188" s="97"/>
      <c r="C188" s="317"/>
      <c r="D188" s="326"/>
      <c r="E188" s="319"/>
      <c r="F188" s="320"/>
      <c r="G188" s="139" t="str">
        <f>"Total item "&amp;A178</f>
        <v>Total item 3.6</v>
      </c>
      <c r="H188" s="140">
        <f>SUM(H179:H187)</f>
        <v>271.59999999999997</v>
      </c>
    </row>
    <row r="189" spans="1:8">
      <c r="A189" s="311" t="str">
        <f>'Planilha orç'!A34</f>
        <v>3.7</v>
      </c>
      <c r="B189" s="134" t="str">
        <f>'Planilha orç'!D34</f>
        <v>REATERRO MANUAL APILOADO COM SOQUETE. AF_10/2017</v>
      </c>
      <c r="C189" s="311" t="str">
        <f>'Planilha orç'!E34</f>
        <v>M3</v>
      </c>
      <c r="D189" s="312"/>
      <c r="E189" s="313"/>
      <c r="F189" s="314"/>
      <c r="G189" s="315"/>
      <c r="H189" s="316"/>
    </row>
    <row r="190" spans="1:8">
      <c r="A190" s="334"/>
      <c r="B190" s="179" t="s">
        <v>828</v>
      </c>
      <c r="C190" s="317"/>
      <c r="D190" s="323"/>
      <c r="E190" s="323"/>
      <c r="F190" s="323"/>
      <c r="G190" s="323"/>
      <c r="H190" s="343">
        <f>(H115+H125-H166-H188)*-1</f>
        <v>255.60999999999996</v>
      </c>
    </row>
    <row r="191" spans="1:8">
      <c r="A191" s="334"/>
      <c r="B191" s="97"/>
      <c r="C191" s="317"/>
      <c r="D191" s="326"/>
      <c r="E191" s="319"/>
      <c r="F191" s="320"/>
      <c r="G191" s="113" t="str">
        <f>"Total item "&amp;A189</f>
        <v>Total item 3.7</v>
      </c>
      <c r="H191" s="114">
        <f>SUM(H190:H190)</f>
        <v>255.60999999999996</v>
      </c>
    </row>
    <row r="192" spans="1:8" ht="56.25">
      <c r="A192" s="311" t="str">
        <f>'Planilha orç'!A35</f>
        <v>3.8</v>
      </c>
      <c r="B192" s="134" t="str">
        <f>'Planilha orç'!D35</f>
        <v>ESCAVAÇÃO MECANIZADA DE VALA COM PROF. MAIOR QUE 1,5 M ATÉ 3,0 M (MÉDIA MONTANTE E JUSANTE/UMA COMPOSIÇÃO POR TRECHO), ESCAVADEIRA (0,8 M3), LARGURA ATÉ 1,5 M, EM SOLO DE 1A CATEGORIA, EM LOCAIS COM ALTO NÍVEL DE INTERFERÊNCIA. AF_02/2021</v>
      </c>
      <c r="C192" s="311" t="str">
        <f>'Planilha orç'!E35</f>
        <v>M3</v>
      </c>
      <c r="D192" s="312"/>
      <c r="E192" s="313"/>
      <c r="F192" s="314"/>
      <c r="G192" s="315"/>
      <c r="H192" s="316"/>
    </row>
    <row r="193" spans="1:8">
      <c r="A193" s="306"/>
      <c r="B193" s="173" t="s">
        <v>1041</v>
      </c>
      <c r="C193" s="306"/>
      <c r="D193" s="329"/>
      <c r="E193" s="330">
        <v>3.5</v>
      </c>
      <c r="F193" s="338">
        <v>3.5</v>
      </c>
      <c r="G193" s="332">
        <v>2.7</v>
      </c>
      <c r="H193" s="321">
        <f t="shared" ref="H193" si="19">ROUND(PRODUCT(D193:G193),2)</f>
        <v>33.08</v>
      </c>
    </row>
    <row r="194" spans="1:8">
      <c r="A194" s="317"/>
      <c r="B194" s="321"/>
      <c r="C194" s="317"/>
      <c r="D194" s="317"/>
      <c r="E194" s="317"/>
      <c r="F194" s="320"/>
      <c r="G194" s="139" t="str">
        <f>"Total item "&amp;A192</f>
        <v>Total item 3.8</v>
      </c>
      <c r="H194" s="140">
        <f>SUM(H193:H193)</f>
        <v>33.08</v>
      </c>
    </row>
    <row r="195" spans="1:8" ht="22.5">
      <c r="A195" s="311" t="str">
        <f>'Planilha orç'!A36</f>
        <v>3.9</v>
      </c>
      <c r="B195" s="134" t="str">
        <f>'Planilha orç'!D36</f>
        <v>CONCRETO NAO ESTRUTURAL (1 4 8) PARA LASTROS 
DE PISOS E FUNDACOES, LANCADO E ADENSADO.</v>
      </c>
      <c r="C195" s="311" t="str">
        <f>'Planilha orç'!E36</f>
        <v>M3</v>
      </c>
      <c r="D195" s="312"/>
      <c r="E195" s="313"/>
      <c r="F195" s="314"/>
      <c r="G195" s="315"/>
      <c r="H195" s="316"/>
    </row>
    <row r="196" spans="1:8">
      <c r="A196" s="306"/>
      <c r="B196" s="173" t="s">
        <v>1041</v>
      </c>
      <c r="C196" s="306"/>
      <c r="D196" s="329"/>
      <c r="E196" s="330">
        <v>3.5</v>
      </c>
      <c r="F196" s="338">
        <v>3.5</v>
      </c>
      <c r="G196" s="332">
        <v>7.0000000000000007E-2</v>
      </c>
      <c r="H196" s="321">
        <f t="shared" ref="H196" si="20">ROUND(PRODUCT(D196:G196),2)</f>
        <v>0.86</v>
      </c>
    </row>
    <row r="197" spans="1:8">
      <c r="A197" s="317"/>
      <c r="B197" s="321"/>
      <c r="C197" s="317"/>
      <c r="D197" s="317"/>
      <c r="E197" s="317"/>
      <c r="F197" s="320"/>
      <c r="G197" s="139" t="str">
        <f>"Total item "&amp;A195</f>
        <v>Total item 3.9</v>
      </c>
      <c r="H197" s="140">
        <f>SUM(H196:H196)</f>
        <v>0.86</v>
      </c>
    </row>
    <row r="198" spans="1:8" ht="33.75">
      <c r="A198" s="311" t="str">
        <f>'Planilha orç'!A37</f>
        <v>3.10</v>
      </c>
      <c r="B198" s="134" t="str">
        <f>'Planilha orç'!D37</f>
        <v xml:space="preserve">CONCRETO ARMADO PRONTO, FCK 25 MPA,CONDICAO A (NBR 12655), LANCADO EM QUALQUER TIPO DE ESTRUTURA E ADENSADO, INCLUSIVE FORMA, ESCORAMENTO E FERRAGEM. </v>
      </c>
      <c r="C198" s="311" t="str">
        <f>'Planilha orç'!E37</f>
        <v>M3</v>
      </c>
      <c r="D198" s="312"/>
      <c r="E198" s="313"/>
      <c r="F198" s="314"/>
      <c r="G198" s="315"/>
      <c r="H198" s="316"/>
    </row>
    <row r="199" spans="1:8">
      <c r="A199" s="306"/>
      <c r="B199" s="173" t="s">
        <v>1042</v>
      </c>
      <c r="C199" s="306"/>
      <c r="D199" s="329"/>
      <c r="E199" s="330">
        <v>3.5</v>
      </c>
      <c r="F199" s="331">
        <v>3.5</v>
      </c>
      <c r="G199" s="332">
        <v>0.2</v>
      </c>
      <c r="H199" s="321">
        <f t="shared" ref="H199:H200" si="21">ROUND(PRODUCT(D199:G199),2)</f>
        <v>2.4500000000000002</v>
      </c>
    </row>
    <row r="200" spans="1:8">
      <c r="A200" s="306"/>
      <c r="B200" s="173" t="s">
        <v>1043</v>
      </c>
      <c r="C200" s="306"/>
      <c r="D200" s="342">
        <v>4</v>
      </c>
      <c r="E200" s="330">
        <v>3.5</v>
      </c>
      <c r="F200" s="331">
        <v>0.2</v>
      </c>
      <c r="G200" s="332">
        <v>0.3</v>
      </c>
      <c r="H200" s="321">
        <f t="shared" si="21"/>
        <v>0.84</v>
      </c>
    </row>
    <row r="201" spans="1:8">
      <c r="A201" s="317"/>
      <c r="B201" s="321"/>
      <c r="C201" s="317"/>
      <c r="D201" s="317"/>
      <c r="E201" s="317"/>
      <c r="F201" s="320"/>
      <c r="G201" s="139" t="str">
        <f>"Total item "&amp;A198</f>
        <v>Total item 3.10</v>
      </c>
      <c r="H201" s="140">
        <f>SUM(H199:H200)</f>
        <v>3.29</v>
      </c>
    </row>
    <row r="202" spans="1:8">
      <c r="A202" s="301" t="str">
        <f>'Planilha orç'!A38</f>
        <v>4.0</v>
      </c>
      <c r="B202" s="303" t="s">
        <v>1009</v>
      </c>
      <c r="C202" s="302"/>
      <c r="D202" s="301"/>
      <c r="E202" s="301"/>
      <c r="F202" s="301"/>
      <c r="G202" s="301"/>
      <c r="H202" s="301"/>
    </row>
    <row r="203" spans="1:8" ht="33.75">
      <c r="A203" s="311" t="str">
        <f>'Planilha orç'!A39</f>
        <v>4.1</v>
      </c>
      <c r="B203" s="134" t="str">
        <f>'Planilha orç'!D39</f>
        <v>CONCRETO ARMADO PRONTO, FCK 30 MPA,CONDICAO A
(NBR 12655), LANCADO EM VIGAS E ADENSADO, INCLUSIVE FORMA, ESCORAMENTO E FERRAGEM (AÇO CA-50 12.5MM)</v>
      </c>
      <c r="C203" s="311" t="str">
        <f>'Planilha orç'!E39</f>
        <v>M3</v>
      </c>
      <c r="D203" s="312"/>
      <c r="E203" s="313"/>
      <c r="F203" s="314"/>
      <c r="G203" s="315"/>
      <c r="H203" s="316"/>
    </row>
    <row r="204" spans="1:8">
      <c r="A204" s="334"/>
      <c r="B204" s="120" t="s">
        <v>242</v>
      </c>
      <c r="C204" s="337"/>
      <c r="D204" s="335"/>
      <c r="E204" s="338">
        <f>31.37+0.69</f>
        <v>32.06</v>
      </c>
      <c r="F204" s="338">
        <v>0.12</v>
      </c>
      <c r="G204" s="335">
        <v>0.4</v>
      </c>
      <c r="H204" s="344">
        <f t="shared" ref="H204:H212" si="22">ROUND(PRODUCT(D204:G204),2)</f>
        <v>1.54</v>
      </c>
    </row>
    <row r="205" spans="1:8">
      <c r="A205" s="334"/>
      <c r="B205" s="120" t="s">
        <v>1143</v>
      </c>
      <c r="C205" s="337"/>
      <c r="D205" s="335"/>
      <c r="E205" s="338">
        <v>5.14</v>
      </c>
      <c r="F205" s="338">
        <v>0.12</v>
      </c>
      <c r="G205" s="335">
        <v>0.4</v>
      </c>
      <c r="H205" s="344">
        <f>ROUND(PRODUCT(D205:G205),2)</f>
        <v>0.25</v>
      </c>
    </row>
    <row r="206" spans="1:8">
      <c r="A206" s="334"/>
      <c r="B206" s="120" t="s">
        <v>869</v>
      </c>
      <c r="C206" s="337"/>
      <c r="D206" s="335"/>
      <c r="E206" s="338">
        <f>7.7*2+8.2*3</f>
        <v>40</v>
      </c>
      <c r="F206" s="338">
        <v>0.12</v>
      </c>
      <c r="G206" s="335">
        <v>0.4</v>
      </c>
      <c r="H206" s="344">
        <f t="shared" si="22"/>
        <v>1.92</v>
      </c>
    </row>
    <row r="207" spans="1:8">
      <c r="A207" s="334"/>
      <c r="B207" s="120" t="s">
        <v>870</v>
      </c>
      <c r="C207" s="337"/>
      <c r="D207" s="335"/>
      <c r="E207" s="338">
        <f>(10.33*2)+(8.2*3)</f>
        <v>45.26</v>
      </c>
      <c r="F207" s="338">
        <v>0.12</v>
      </c>
      <c r="G207" s="335">
        <v>0.4</v>
      </c>
      <c r="H207" s="344">
        <f t="shared" si="22"/>
        <v>2.17</v>
      </c>
    </row>
    <row r="208" spans="1:8">
      <c r="A208" s="334"/>
      <c r="B208" s="120" t="s">
        <v>871</v>
      </c>
      <c r="C208" s="337"/>
      <c r="D208" s="335"/>
      <c r="E208" s="338">
        <f>(3.85*2)+(8.2*2)</f>
        <v>24.099999999999998</v>
      </c>
      <c r="F208" s="338">
        <v>0.12</v>
      </c>
      <c r="G208" s="335">
        <v>0.4</v>
      </c>
      <c r="H208" s="344">
        <f t="shared" si="22"/>
        <v>1.1599999999999999</v>
      </c>
    </row>
    <row r="209" spans="1:8">
      <c r="A209" s="334"/>
      <c r="B209" s="120" t="s">
        <v>1094</v>
      </c>
      <c r="C209" s="337"/>
      <c r="D209" s="335"/>
      <c r="E209" s="338">
        <f>(8.2*2)+7.5+7.95+(3.07*2)+(3.23*2)+2.77</f>
        <v>47.22</v>
      </c>
      <c r="F209" s="338">
        <v>0.12</v>
      </c>
      <c r="G209" s="335">
        <v>0.4</v>
      </c>
      <c r="H209" s="344">
        <f t="shared" si="22"/>
        <v>2.27</v>
      </c>
    </row>
    <row r="210" spans="1:8">
      <c r="A210" s="334"/>
      <c r="B210" s="120" t="s">
        <v>872</v>
      </c>
      <c r="C210" s="337"/>
      <c r="D210" s="335"/>
      <c r="E210" s="338">
        <f>(7.95*2)+(8*2)+3.85+2.8</f>
        <v>38.549999999999997</v>
      </c>
      <c r="F210" s="338">
        <v>0.12</v>
      </c>
      <c r="G210" s="335">
        <v>0.4</v>
      </c>
      <c r="H210" s="344">
        <f t="shared" si="22"/>
        <v>1.85</v>
      </c>
    </row>
    <row r="211" spans="1:8">
      <c r="A211" s="334"/>
      <c r="B211" s="120" t="s">
        <v>1101</v>
      </c>
      <c r="C211" s="337"/>
      <c r="D211" s="335"/>
      <c r="E211" s="338">
        <f>(8.44*2)+(3.75*3)</f>
        <v>28.13</v>
      </c>
      <c r="F211" s="338">
        <v>0.12</v>
      </c>
      <c r="G211" s="335">
        <v>0.4</v>
      </c>
      <c r="H211" s="344">
        <f t="shared" si="22"/>
        <v>1.35</v>
      </c>
    </row>
    <row r="212" spans="1:8">
      <c r="A212" s="334"/>
      <c r="B212" s="120" t="s">
        <v>497</v>
      </c>
      <c r="C212" s="306"/>
      <c r="D212" s="342"/>
      <c r="E212" s="338">
        <f>(2.1*2)+(1.7*2)</f>
        <v>7.6</v>
      </c>
      <c r="F212" s="338">
        <v>0.12</v>
      </c>
      <c r="G212" s="335">
        <v>0.4</v>
      </c>
      <c r="H212" s="344">
        <f t="shared" si="22"/>
        <v>0.36</v>
      </c>
    </row>
    <row r="213" spans="1:8">
      <c r="A213" s="334"/>
      <c r="B213" s="97"/>
      <c r="C213" s="317"/>
      <c r="D213" s="326"/>
      <c r="E213" s="319"/>
      <c r="F213" s="320"/>
      <c r="G213" s="113" t="str">
        <f>"Total item "&amp;A203</f>
        <v>Total item 4.1</v>
      </c>
      <c r="H213" s="114">
        <f>SUM(H204:H212)</f>
        <v>12.87</v>
      </c>
    </row>
    <row r="214" spans="1:8" ht="33.75">
      <c r="A214" s="311" t="str">
        <f>'Planilha orç'!A40</f>
        <v>4.2</v>
      </c>
      <c r="B214" s="134" t="str">
        <f>'Planilha orç'!D40</f>
        <v>CONCRETO ARMADO PRONTO, FCK 30 MPA,CONDICAO A
(NBR 12655),LANCADO EM PILARES E ADENSADO,INCLUSIVE FORMA, ESCORAMENTO E FERRAGEM.</v>
      </c>
      <c r="C214" s="311" t="str">
        <f>'Planilha orç'!E40</f>
        <v>M3</v>
      </c>
      <c r="D214" s="312"/>
      <c r="E214" s="313"/>
      <c r="F214" s="314"/>
      <c r="G214" s="315"/>
      <c r="H214" s="316"/>
    </row>
    <row r="215" spans="1:8" ht="22.5">
      <c r="A215" s="334"/>
      <c r="B215" s="120" t="s">
        <v>1105</v>
      </c>
      <c r="C215" s="317"/>
      <c r="D215" s="335">
        <v>16</v>
      </c>
      <c r="E215" s="345">
        <v>0.15</v>
      </c>
      <c r="F215" s="338">
        <v>0.3</v>
      </c>
      <c r="G215" s="338">
        <f>1.5+2.7</f>
        <v>4.2</v>
      </c>
      <c r="H215" s="346">
        <f t="shared" ref="H215:H220" si="23">ROUND(PRODUCT(D215:G215),2)</f>
        <v>3.02</v>
      </c>
    </row>
    <row r="216" spans="1:8">
      <c r="A216" s="334"/>
      <c r="B216" s="191" t="s">
        <v>1113</v>
      </c>
      <c r="C216" s="317"/>
      <c r="D216" s="335">
        <v>9</v>
      </c>
      <c r="E216" s="345">
        <v>0.15</v>
      </c>
      <c r="F216" s="338">
        <v>0.3</v>
      </c>
      <c r="G216" s="338">
        <f t="shared" ref="G216:G220" si="24">1.5+2.7</f>
        <v>4.2</v>
      </c>
      <c r="H216" s="346">
        <f t="shared" si="23"/>
        <v>1.7</v>
      </c>
    </row>
    <row r="217" spans="1:8">
      <c r="A217" s="334"/>
      <c r="B217" s="191" t="s">
        <v>1114</v>
      </c>
      <c r="C217" s="317"/>
      <c r="D217" s="335">
        <v>9</v>
      </c>
      <c r="E217" s="345">
        <v>0.15</v>
      </c>
      <c r="F217" s="338">
        <v>0.3</v>
      </c>
      <c r="G217" s="338">
        <f t="shared" si="24"/>
        <v>4.2</v>
      </c>
      <c r="H217" s="346">
        <f t="shared" si="23"/>
        <v>1.7</v>
      </c>
    </row>
    <row r="218" spans="1:8">
      <c r="A218" s="334"/>
      <c r="B218" s="191" t="s">
        <v>1098</v>
      </c>
      <c r="C218" s="317"/>
      <c r="D218" s="335">
        <v>6</v>
      </c>
      <c r="E218" s="345">
        <v>0.15</v>
      </c>
      <c r="F218" s="338">
        <v>0.3</v>
      </c>
      <c r="G218" s="338">
        <f t="shared" si="24"/>
        <v>4.2</v>
      </c>
      <c r="H218" s="346">
        <f t="shared" si="23"/>
        <v>1.1299999999999999</v>
      </c>
    </row>
    <row r="219" spans="1:8">
      <c r="A219" s="334"/>
      <c r="B219" s="191" t="s">
        <v>1115</v>
      </c>
      <c r="C219" s="317"/>
      <c r="D219" s="335">
        <v>9</v>
      </c>
      <c r="E219" s="345">
        <v>0.15</v>
      </c>
      <c r="F219" s="338">
        <v>0.3</v>
      </c>
      <c r="G219" s="338">
        <f t="shared" si="24"/>
        <v>4.2</v>
      </c>
      <c r="H219" s="346">
        <f t="shared" si="23"/>
        <v>1.7</v>
      </c>
    </row>
    <row r="220" spans="1:8">
      <c r="A220" s="334"/>
      <c r="B220" s="191" t="s">
        <v>1099</v>
      </c>
      <c r="C220" s="317"/>
      <c r="D220" s="335">
        <v>6</v>
      </c>
      <c r="E220" s="345">
        <v>0.15</v>
      </c>
      <c r="F220" s="338">
        <v>0.3</v>
      </c>
      <c r="G220" s="338">
        <f t="shared" si="24"/>
        <v>4.2</v>
      </c>
      <c r="H220" s="346">
        <f t="shared" si="23"/>
        <v>1.1299999999999999</v>
      </c>
    </row>
    <row r="221" spans="1:8">
      <c r="A221" s="334"/>
      <c r="B221" s="120" t="s">
        <v>497</v>
      </c>
      <c r="C221" s="317"/>
      <c r="D221" s="335">
        <v>4</v>
      </c>
      <c r="E221" s="345">
        <v>0.15</v>
      </c>
      <c r="F221" s="338">
        <v>0.3</v>
      </c>
      <c r="G221" s="338">
        <v>3</v>
      </c>
      <c r="H221" s="346">
        <f>ROUND(PRODUCT(D221:G221),2)</f>
        <v>0.54</v>
      </c>
    </row>
    <row r="222" spans="1:8">
      <c r="A222" s="334"/>
      <c r="B222" s="97"/>
      <c r="C222" s="317"/>
      <c r="D222" s="326"/>
      <c r="E222" s="345"/>
      <c r="F222" s="338"/>
      <c r="G222" s="139" t="str">
        <f>"Total item "&amp;A214</f>
        <v>Total item 4.2</v>
      </c>
      <c r="H222" s="140">
        <f>SUM(H215:H221)</f>
        <v>10.919999999999998</v>
      </c>
    </row>
    <row r="223" spans="1:8">
      <c r="A223" s="311" t="str">
        <f>'Planilha orç'!A41</f>
        <v>4.3</v>
      </c>
      <c r="B223" s="134" t="str">
        <f>'Planilha orç'!D41</f>
        <v>CONSTRUÇÃO DE RAMPA COM CONCRETO FCK 25 MPA</v>
      </c>
      <c r="C223" s="311" t="str">
        <f>'Planilha orç'!E41</f>
        <v>M3</v>
      </c>
      <c r="D223" s="312"/>
      <c r="E223" s="313"/>
      <c r="F223" s="314"/>
      <c r="G223" s="315"/>
      <c r="H223" s="316"/>
    </row>
    <row r="224" spans="1:8">
      <c r="A224" s="317"/>
      <c r="B224" s="321" t="s">
        <v>832</v>
      </c>
      <c r="C224" s="317"/>
      <c r="D224" s="317">
        <v>1</v>
      </c>
      <c r="E224" s="317"/>
      <c r="F224" s="320"/>
      <c r="G224" s="139"/>
      <c r="H224" s="321">
        <f t="shared" ref="H224" si="25">ROUND(PRODUCT(D224:G224),2)</f>
        <v>1</v>
      </c>
    </row>
    <row r="225" spans="1:8">
      <c r="A225" s="317"/>
      <c r="B225" s="321" t="s">
        <v>833</v>
      </c>
      <c r="C225" s="317"/>
      <c r="D225" s="317"/>
      <c r="E225" s="317"/>
      <c r="F225" s="320"/>
      <c r="G225" s="139"/>
      <c r="H225" s="182"/>
    </row>
    <row r="226" spans="1:8">
      <c r="A226" s="317"/>
      <c r="B226" s="321"/>
      <c r="C226" s="317"/>
      <c r="D226" s="317"/>
      <c r="E226" s="317"/>
      <c r="F226" s="320"/>
      <c r="G226" s="139" t="str">
        <f>"Total item "&amp;A223</f>
        <v>Total item 4.3</v>
      </c>
      <c r="H226" s="140">
        <f>SUM(H224:H225)</f>
        <v>1</v>
      </c>
    </row>
    <row r="227" spans="1:8" ht="22.5">
      <c r="A227" s="311" t="str">
        <f>'Planilha orç'!A42</f>
        <v>4.4</v>
      </c>
      <c r="B227" s="134" t="str">
        <f>'Planilha orç'!D42</f>
        <v xml:space="preserve">ALVENARIA DE TIJOLO CERÂMICO FURADO (9x19x19)cm C/ARGAMASSA MISTA DE CAL HIDRATADA ESP.=10cm (1:2:8) </v>
      </c>
      <c r="C227" s="311" t="str">
        <f>'Planilha orç'!E42</f>
        <v>M2</v>
      </c>
      <c r="D227" s="312"/>
      <c r="E227" s="313"/>
      <c r="F227" s="314"/>
      <c r="G227" s="315"/>
      <c r="H227" s="316"/>
    </row>
    <row r="228" spans="1:8">
      <c r="A228" s="334"/>
      <c r="B228" s="120" t="s">
        <v>242</v>
      </c>
      <c r="C228" s="337"/>
      <c r="D228" s="335"/>
      <c r="E228" s="338">
        <f>31.37+0.69</f>
        <v>32.06</v>
      </c>
      <c r="F228" s="338"/>
      <c r="G228" s="335">
        <v>2.7</v>
      </c>
      <c r="H228" s="344">
        <f t="shared" ref="H228:H248" si="26">ROUND(PRODUCT(D228:G228),2)</f>
        <v>86.56</v>
      </c>
    </row>
    <row r="229" spans="1:8">
      <c r="A229" s="334"/>
      <c r="B229" s="120" t="s">
        <v>869</v>
      </c>
      <c r="C229" s="337"/>
      <c r="D229" s="335"/>
      <c r="E229" s="338">
        <f>7.7*2+8.2*3</f>
        <v>40</v>
      </c>
      <c r="F229" s="338"/>
      <c r="G229" s="335">
        <v>2.7</v>
      </c>
      <c r="H229" s="344">
        <f t="shared" si="26"/>
        <v>108</v>
      </c>
    </row>
    <row r="230" spans="1:8">
      <c r="A230" s="334"/>
      <c r="B230" s="120" t="s">
        <v>870</v>
      </c>
      <c r="C230" s="337"/>
      <c r="D230" s="335"/>
      <c r="E230" s="338">
        <f>(10.33*2)+(8.2*3)</f>
        <v>45.26</v>
      </c>
      <c r="F230" s="338"/>
      <c r="G230" s="335">
        <v>2.7</v>
      </c>
      <c r="H230" s="344">
        <f t="shared" si="26"/>
        <v>122.2</v>
      </c>
    </row>
    <row r="231" spans="1:8">
      <c r="A231" s="334"/>
      <c r="B231" s="120" t="s">
        <v>871</v>
      </c>
      <c r="C231" s="337"/>
      <c r="D231" s="335"/>
      <c r="E231" s="338">
        <f>(3.85*2)+(8.2*2)</f>
        <v>24.099999999999998</v>
      </c>
      <c r="F231" s="338"/>
      <c r="G231" s="335">
        <v>2.7</v>
      </c>
      <c r="H231" s="344">
        <f t="shared" si="26"/>
        <v>65.069999999999993</v>
      </c>
    </row>
    <row r="232" spans="1:8">
      <c r="A232" s="334"/>
      <c r="B232" s="120" t="s">
        <v>1094</v>
      </c>
      <c r="C232" s="337"/>
      <c r="D232" s="335"/>
      <c r="E232" s="338">
        <f>(8.2*2)+7.5+7.95+(3.07*2)+(3.23*2)+2.77</f>
        <v>47.22</v>
      </c>
      <c r="F232" s="338"/>
      <c r="G232" s="335">
        <v>2.7</v>
      </c>
      <c r="H232" s="344">
        <f t="shared" si="26"/>
        <v>127.49</v>
      </c>
    </row>
    <row r="233" spans="1:8">
      <c r="A233" s="334"/>
      <c r="B233" s="120" t="s">
        <v>872</v>
      </c>
      <c r="C233" s="337"/>
      <c r="D233" s="335"/>
      <c r="E233" s="338">
        <f>(7.95*2)+(8*2)+3.85+2.8</f>
        <v>38.549999999999997</v>
      </c>
      <c r="F233" s="338"/>
      <c r="G233" s="335">
        <v>2.7</v>
      </c>
      <c r="H233" s="344">
        <f t="shared" si="26"/>
        <v>104.09</v>
      </c>
    </row>
    <row r="234" spans="1:8">
      <c r="A234" s="334"/>
      <c r="B234" s="120" t="s">
        <v>1093</v>
      </c>
      <c r="C234" s="337"/>
      <c r="D234" s="335"/>
      <c r="E234" s="338">
        <f>(8.44*2)+(3.75*3)</f>
        <v>28.13</v>
      </c>
      <c r="F234" s="338"/>
      <c r="G234" s="335">
        <v>2.7</v>
      </c>
      <c r="H234" s="344">
        <f t="shared" si="26"/>
        <v>75.95</v>
      </c>
    </row>
    <row r="235" spans="1:8">
      <c r="A235" s="334"/>
      <c r="B235" s="120" t="s">
        <v>497</v>
      </c>
      <c r="C235" s="337"/>
      <c r="D235" s="335"/>
      <c r="E235" s="338">
        <f>(2.1*2)+(1.7*2)</f>
        <v>7.6</v>
      </c>
      <c r="F235" s="338"/>
      <c r="G235" s="335">
        <v>2.7</v>
      </c>
      <c r="H235" s="344">
        <f t="shared" si="26"/>
        <v>20.52</v>
      </c>
    </row>
    <row r="236" spans="1:8">
      <c r="A236" s="334"/>
      <c r="B236" s="373" t="s">
        <v>1150</v>
      </c>
      <c r="C236" s="337"/>
      <c r="D236" s="335"/>
      <c r="E236" s="338"/>
      <c r="F236" s="338"/>
      <c r="G236" s="335"/>
      <c r="H236" s="344"/>
    </row>
    <row r="237" spans="1:8">
      <c r="A237" s="334"/>
      <c r="B237" s="120" t="s">
        <v>242</v>
      </c>
      <c r="C237" s="337"/>
      <c r="D237" s="335"/>
      <c r="E237" s="338">
        <f>31.37+0.69</f>
        <v>32.06</v>
      </c>
      <c r="F237" s="338"/>
      <c r="G237" s="335">
        <v>0.7</v>
      </c>
      <c r="H237" s="344">
        <f t="shared" si="26"/>
        <v>22.44</v>
      </c>
    </row>
    <row r="238" spans="1:8">
      <c r="A238" s="334"/>
      <c r="B238" s="120" t="s">
        <v>869</v>
      </c>
      <c r="C238" s="337"/>
      <c r="D238" s="335"/>
      <c r="E238" s="338">
        <f>7.7*2+8.2*3</f>
        <v>40</v>
      </c>
      <c r="F238" s="338"/>
      <c r="G238" s="335">
        <v>0.7</v>
      </c>
      <c r="H238" s="344">
        <f t="shared" si="26"/>
        <v>28</v>
      </c>
    </row>
    <row r="239" spans="1:8">
      <c r="A239" s="334"/>
      <c r="B239" s="120" t="s">
        <v>870</v>
      </c>
      <c r="C239" s="337"/>
      <c r="D239" s="335"/>
      <c r="E239" s="338">
        <f>(10.33*2)+(8.2*3)</f>
        <v>45.26</v>
      </c>
      <c r="F239" s="338"/>
      <c r="G239" s="335">
        <v>0.7</v>
      </c>
      <c r="H239" s="344">
        <f t="shared" si="26"/>
        <v>31.68</v>
      </c>
    </row>
    <row r="240" spans="1:8">
      <c r="A240" s="334"/>
      <c r="B240" s="120" t="s">
        <v>871</v>
      </c>
      <c r="C240" s="337"/>
      <c r="D240" s="335"/>
      <c r="E240" s="338">
        <f>(3.85*2)+(8.2*2)</f>
        <v>24.099999999999998</v>
      </c>
      <c r="F240" s="338"/>
      <c r="G240" s="335">
        <v>0.7</v>
      </c>
      <c r="H240" s="344">
        <f t="shared" si="26"/>
        <v>16.87</v>
      </c>
    </row>
    <row r="241" spans="1:8">
      <c r="A241" s="334"/>
      <c r="B241" s="120" t="s">
        <v>1094</v>
      </c>
      <c r="C241" s="337"/>
      <c r="D241" s="335"/>
      <c r="E241" s="338">
        <f>(8.2*2)+7.5+7.95+(3.07*2)+(3.23*2)+2.77</f>
        <v>47.22</v>
      </c>
      <c r="F241" s="338"/>
      <c r="G241" s="335">
        <v>0.7</v>
      </c>
      <c r="H241" s="344">
        <f t="shared" si="26"/>
        <v>33.049999999999997</v>
      </c>
    </row>
    <row r="242" spans="1:8">
      <c r="A242" s="334"/>
      <c r="B242" s="120" t="s">
        <v>872</v>
      </c>
      <c r="C242" s="337"/>
      <c r="D242" s="335"/>
      <c r="E242" s="338">
        <f>(7.95*2)+(8*2)+3.85+2.8</f>
        <v>38.549999999999997</v>
      </c>
      <c r="F242" s="338"/>
      <c r="G242" s="335">
        <v>0.7</v>
      </c>
      <c r="H242" s="344">
        <f t="shared" si="26"/>
        <v>26.99</v>
      </c>
    </row>
    <row r="243" spans="1:8">
      <c r="A243" s="334"/>
      <c r="B243" s="120" t="s">
        <v>1093</v>
      </c>
      <c r="C243" s="337"/>
      <c r="D243" s="335"/>
      <c r="E243" s="338">
        <f>(8.44*2)+(3.75*3)</f>
        <v>28.13</v>
      </c>
      <c r="F243" s="338"/>
      <c r="G243" s="335">
        <v>0.7</v>
      </c>
      <c r="H243" s="344">
        <f t="shared" si="26"/>
        <v>19.690000000000001</v>
      </c>
    </row>
    <row r="244" spans="1:8">
      <c r="A244" s="334"/>
      <c r="B244" s="120" t="s">
        <v>497</v>
      </c>
      <c r="C244" s="337"/>
      <c r="D244" s="335"/>
      <c r="E244" s="338">
        <f>(2.1*2)+(1.7*2)</f>
        <v>7.6</v>
      </c>
      <c r="F244" s="338"/>
      <c r="G244" s="335">
        <v>0.7</v>
      </c>
      <c r="H244" s="344">
        <f t="shared" si="26"/>
        <v>5.32</v>
      </c>
    </row>
    <row r="245" spans="1:8" ht="22.5">
      <c r="A245" s="334"/>
      <c r="B245" s="372" t="s">
        <v>1067</v>
      </c>
      <c r="C245" s="337"/>
      <c r="D245" s="335"/>
      <c r="E245" s="335"/>
      <c r="F245" s="338"/>
      <c r="G245" s="335"/>
      <c r="H245" s="344"/>
    </row>
    <row r="246" spans="1:8">
      <c r="A246" s="334"/>
      <c r="B246" s="199" t="s">
        <v>1044</v>
      </c>
      <c r="C246" s="317"/>
      <c r="D246" s="323">
        <v>4</v>
      </c>
      <c r="E246" s="323">
        <v>0.9</v>
      </c>
      <c r="F246" s="323"/>
      <c r="G246" s="323">
        <v>0.6</v>
      </c>
      <c r="H246" s="344">
        <f t="shared" si="26"/>
        <v>2.16</v>
      </c>
    </row>
    <row r="247" spans="1:8">
      <c r="A247" s="334"/>
      <c r="B247" s="199" t="s">
        <v>1044</v>
      </c>
      <c r="C247" s="317"/>
      <c r="D247" s="323">
        <v>6</v>
      </c>
      <c r="E247" s="323">
        <v>0.8</v>
      </c>
      <c r="F247" s="323"/>
      <c r="G247" s="323">
        <v>0.6</v>
      </c>
      <c r="H247" s="344">
        <f t="shared" si="26"/>
        <v>2.88</v>
      </c>
    </row>
    <row r="248" spans="1:8">
      <c r="A248" s="334"/>
      <c r="B248" s="120" t="s">
        <v>1017</v>
      </c>
      <c r="C248" s="317"/>
      <c r="D248" s="323">
        <v>2</v>
      </c>
      <c r="E248" s="323">
        <v>0.7</v>
      </c>
      <c r="F248" s="323"/>
      <c r="G248" s="323">
        <v>0.6</v>
      </c>
      <c r="H248" s="344">
        <f t="shared" si="26"/>
        <v>0.84</v>
      </c>
    </row>
    <row r="249" spans="1:8">
      <c r="A249" s="334"/>
      <c r="B249" s="97"/>
      <c r="C249" s="317"/>
      <c r="D249" s="326"/>
      <c r="E249" s="319"/>
      <c r="F249" s="320"/>
      <c r="G249" s="113" t="str">
        <f>"Total item "&amp;A227</f>
        <v>Total item 4.4</v>
      </c>
      <c r="H249" s="114">
        <f>SUM(H228:H248)</f>
        <v>899.80000000000007</v>
      </c>
    </row>
    <row r="250" spans="1:8" ht="23.45" customHeight="1">
      <c r="A250" s="311" t="str">
        <f>'Planilha orç'!A43</f>
        <v>4.5</v>
      </c>
      <c r="B250" s="134" t="str">
        <f>'Planilha orç'!D43</f>
        <v>DEMOLIÇÃO DE ALVENARIA DE BLOCO FURADO, DE FORMA MANUAL, SEM REAPROVEITAMENTO. AF_12/20</v>
      </c>
      <c r="C250" s="311" t="str">
        <f>'Planilha orç'!E43</f>
        <v>M3</v>
      </c>
      <c r="D250" s="312"/>
      <c r="E250" s="313"/>
      <c r="F250" s="314"/>
      <c r="G250" s="315"/>
      <c r="H250" s="316"/>
    </row>
    <row r="251" spans="1:8">
      <c r="A251" s="306"/>
      <c r="B251" s="192" t="s">
        <v>242</v>
      </c>
      <c r="C251" s="306"/>
      <c r="D251" s="329"/>
      <c r="E251" s="330">
        <v>0.14000000000000001</v>
      </c>
      <c r="F251" s="331">
        <f>5.29+2+6.05+1.85</f>
        <v>15.19</v>
      </c>
      <c r="G251" s="332">
        <v>2.4</v>
      </c>
      <c r="H251" s="344">
        <f t="shared" ref="H251:H264" si="27">ROUND(PRODUCT(D251:G251),2)</f>
        <v>5.0999999999999996</v>
      </c>
    </row>
    <row r="252" spans="1:8">
      <c r="A252" s="306"/>
      <c r="B252" s="192" t="s">
        <v>869</v>
      </c>
      <c r="C252" s="306"/>
      <c r="D252" s="329"/>
      <c r="E252" s="330">
        <v>0.14000000000000001</v>
      </c>
      <c r="F252" s="331">
        <f>8.2*2+7.7</f>
        <v>24.099999999999998</v>
      </c>
      <c r="G252" s="332">
        <v>2.4</v>
      </c>
      <c r="H252" s="344">
        <f t="shared" si="27"/>
        <v>8.1</v>
      </c>
    </row>
    <row r="253" spans="1:8">
      <c r="A253" s="306"/>
      <c r="B253" s="192" t="s">
        <v>870</v>
      </c>
      <c r="C253" s="306"/>
      <c r="D253" s="329"/>
      <c r="E253" s="330">
        <v>0.14000000000000001</v>
      </c>
      <c r="F253" s="331">
        <f>8.2*2</f>
        <v>16.399999999999999</v>
      </c>
      <c r="G253" s="332">
        <v>2.4</v>
      </c>
      <c r="H253" s="344">
        <f t="shared" si="27"/>
        <v>5.51</v>
      </c>
    </row>
    <row r="254" spans="1:8">
      <c r="A254" s="306"/>
      <c r="B254" s="192" t="s">
        <v>871</v>
      </c>
      <c r="C254" s="306"/>
      <c r="D254" s="329"/>
      <c r="E254" s="330">
        <v>0.14000000000000001</v>
      </c>
      <c r="F254" s="331">
        <f>8.2</f>
        <v>8.1999999999999993</v>
      </c>
      <c r="G254" s="332">
        <v>2.4</v>
      </c>
      <c r="H254" s="344">
        <f t="shared" si="27"/>
        <v>2.76</v>
      </c>
    </row>
    <row r="255" spans="1:8">
      <c r="A255" s="306"/>
      <c r="B255" s="192" t="s">
        <v>1094</v>
      </c>
      <c r="C255" s="306"/>
      <c r="D255" s="329"/>
      <c r="E255" s="330">
        <v>0.14000000000000001</v>
      </c>
      <c r="F255" s="331">
        <f>8.2*2</f>
        <v>16.399999999999999</v>
      </c>
      <c r="G255" s="332">
        <v>2.4</v>
      </c>
      <c r="H255" s="344">
        <f t="shared" si="27"/>
        <v>5.51</v>
      </c>
    </row>
    <row r="256" spans="1:8">
      <c r="A256" s="306"/>
      <c r="B256" s="192" t="s">
        <v>872</v>
      </c>
      <c r="C256" s="306"/>
      <c r="D256" s="329"/>
      <c r="E256" s="330">
        <v>0.14000000000000001</v>
      </c>
      <c r="F256" s="331">
        <f>(5.65+2.65)*2+5.29+2</f>
        <v>23.89</v>
      </c>
      <c r="G256" s="332">
        <v>2.4</v>
      </c>
      <c r="H256" s="344">
        <f t="shared" si="27"/>
        <v>8.0299999999999994</v>
      </c>
    </row>
    <row r="257" spans="1:8">
      <c r="A257" s="306"/>
      <c r="B257" s="192" t="s">
        <v>1093</v>
      </c>
      <c r="C257" s="306"/>
      <c r="D257" s="329"/>
      <c r="E257" s="330">
        <v>0.14000000000000001</v>
      </c>
      <c r="F257" s="331">
        <v>8.44</v>
      </c>
      <c r="G257" s="332">
        <v>2.4</v>
      </c>
      <c r="H257" s="344">
        <f t="shared" si="27"/>
        <v>2.84</v>
      </c>
    </row>
    <row r="258" spans="1:8">
      <c r="A258" s="306"/>
      <c r="B258" s="192" t="s">
        <v>1065</v>
      </c>
      <c r="C258" s="306"/>
      <c r="D258" s="329"/>
      <c r="E258" s="330">
        <v>0.5</v>
      </c>
      <c r="F258" s="331">
        <v>2.5</v>
      </c>
      <c r="G258" s="332">
        <v>1.8</v>
      </c>
      <c r="H258" s="344">
        <f t="shared" si="27"/>
        <v>2.25</v>
      </c>
    </row>
    <row r="259" spans="1:8">
      <c r="A259" s="306"/>
      <c r="B259" s="192" t="s">
        <v>1066</v>
      </c>
      <c r="C259" s="306"/>
      <c r="D259" s="342">
        <v>2</v>
      </c>
      <c r="E259" s="330">
        <v>0.14000000000000001</v>
      </c>
      <c r="F259" s="331">
        <v>1.7</v>
      </c>
      <c r="G259" s="332">
        <v>2.2999999999999998</v>
      </c>
      <c r="H259" s="344">
        <f t="shared" si="27"/>
        <v>1.0900000000000001</v>
      </c>
    </row>
    <row r="260" spans="1:8">
      <c r="A260" s="306"/>
      <c r="B260" s="192"/>
      <c r="C260" s="306"/>
      <c r="D260" s="342">
        <v>2</v>
      </c>
      <c r="E260" s="330">
        <v>0.14000000000000001</v>
      </c>
      <c r="F260" s="331">
        <v>2.8</v>
      </c>
      <c r="G260" s="332">
        <v>2.2999999999999998</v>
      </c>
      <c r="H260" s="344">
        <f t="shared" si="27"/>
        <v>1.8</v>
      </c>
    </row>
    <row r="261" spans="1:8">
      <c r="A261" s="306"/>
      <c r="B261" s="192" t="s">
        <v>1077</v>
      </c>
      <c r="C261" s="306"/>
      <c r="D261" s="342">
        <v>2</v>
      </c>
      <c r="E261" s="330">
        <v>2.5</v>
      </c>
      <c r="F261" s="331">
        <v>0.14000000000000001</v>
      </c>
      <c r="G261" s="332">
        <v>0.9</v>
      </c>
      <c r="H261" s="344">
        <f t="shared" si="27"/>
        <v>0.63</v>
      </c>
    </row>
    <row r="262" spans="1:8">
      <c r="A262" s="306"/>
      <c r="B262" s="192"/>
      <c r="C262" s="306"/>
      <c r="D262" s="342">
        <v>6</v>
      </c>
      <c r="E262" s="330">
        <v>0.8</v>
      </c>
      <c r="F262" s="331">
        <v>0.14000000000000001</v>
      </c>
      <c r="G262" s="332">
        <v>0.6</v>
      </c>
      <c r="H262" s="344">
        <f t="shared" si="27"/>
        <v>0.4</v>
      </c>
    </row>
    <row r="263" spans="1:8">
      <c r="A263" s="306"/>
      <c r="B263" s="192"/>
      <c r="C263" s="306"/>
      <c r="D263" s="342">
        <v>2</v>
      </c>
      <c r="E263" s="330">
        <v>2.2999999999999998</v>
      </c>
      <c r="F263" s="331">
        <v>0.8</v>
      </c>
      <c r="G263" s="332">
        <v>0.14000000000000001</v>
      </c>
      <c r="H263" s="344">
        <f t="shared" si="27"/>
        <v>0.52</v>
      </c>
    </row>
    <row r="264" spans="1:8">
      <c r="A264" s="306"/>
      <c r="B264" s="192" t="s">
        <v>1078</v>
      </c>
      <c r="C264" s="306"/>
      <c r="D264" s="342">
        <v>4</v>
      </c>
      <c r="E264" s="330">
        <v>2.5</v>
      </c>
      <c r="F264" s="331">
        <v>0.17</v>
      </c>
      <c r="G264" s="332">
        <v>0.7</v>
      </c>
      <c r="H264" s="344">
        <f t="shared" si="27"/>
        <v>1.19</v>
      </c>
    </row>
    <row r="265" spans="1:8">
      <c r="A265" s="306"/>
      <c r="B265" s="172"/>
      <c r="C265" s="306"/>
      <c r="D265" s="329"/>
      <c r="E265" s="330"/>
      <c r="F265" s="331"/>
      <c r="G265" s="139" t="str">
        <f>"Total item "&amp;A250</f>
        <v>Total item 4.5</v>
      </c>
      <c r="H265" s="140">
        <f>SUM(H251:H264)</f>
        <v>45.73</v>
      </c>
    </row>
    <row r="266" spans="1:8" ht="23.45" customHeight="1">
      <c r="A266" s="311" t="str">
        <f>'Planilha orç'!A44</f>
        <v>4.6</v>
      </c>
      <c r="B266" s="134" t="str">
        <f>'Planilha orç'!D44</f>
        <v>DEMOLIÇÃO DE PILARES E VIGAS EM CONCRETO ARMADO, DE FORMA MANUAL, SEM REAPROVEITAMENTO. AF_12/201</v>
      </c>
      <c r="C266" s="311" t="str">
        <f>'Planilha orç'!E44</f>
        <v>M3</v>
      </c>
      <c r="D266" s="312"/>
      <c r="E266" s="313"/>
      <c r="F266" s="314"/>
      <c r="G266" s="315"/>
      <c r="H266" s="316"/>
    </row>
    <row r="267" spans="1:8">
      <c r="A267" s="306"/>
      <c r="B267" s="172" t="s">
        <v>877</v>
      </c>
      <c r="C267" s="306"/>
      <c r="D267" s="329"/>
      <c r="E267" s="330"/>
      <c r="F267" s="331"/>
      <c r="G267" s="332"/>
      <c r="H267" s="90"/>
    </row>
    <row r="268" spans="1:8">
      <c r="A268" s="306"/>
      <c r="B268" s="192" t="s">
        <v>242</v>
      </c>
      <c r="C268" s="306"/>
      <c r="D268" s="329"/>
      <c r="E268" s="330">
        <v>0.2</v>
      </c>
      <c r="F268" s="331">
        <f>5.29+2+6.05+1.85</f>
        <v>15.19</v>
      </c>
      <c r="G268" s="332">
        <v>0.4</v>
      </c>
      <c r="H268" s="344">
        <f t="shared" ref="H268:H282" si="28">ROUND(PRODUCT(D268:G268),2)</f>
        <v>1.22</v>
      </c>
    </row>
    <row r="269" spans="1:8">
      <c r="A269" s="306"/>
      <c r="B269" s="192" t="s">
        <v>869</v>
      </c>
      <c r="C269" s="306"/>
      <c r="D269" s="329"/>
      <c r="E269" s="330">
        <v>0.2</v>
      </c>
      <c r="F269" s="331">
        <f>8.2*2+7.7</f>
        <v>24.099999999999998</v>
      </c>
      <c r="G269" s="332">
        <v>0.4</v>
      </c>
      <c r="H269" s="344">
        <f t="shared" si="28"/>
        <v>1.93</v>
      </c>
    </row>
    <row r="270" spans="1:8">
      <c r="A270" s="306"/>
      <c r="B270" s="192" t="s">
        <v>870</v>
      </c>
      <c r="C270" s="306"/>
      <c r="D270" s="329"/>
      <c r="E270" s="330">
        <v>0.2</v>
      </c>
      <c r="F270" s="331">
        <f>8.2*2</f>
        <v>16.399999999999999</v>
      </c>
      <c r="G270" s="332">
        <v>0.4</v>
      </c>
      <c r="H270" s="344">
        <f t="shared" si="28"/>
        <v>1.31</v>
      </c>
    </row>
    <row r="271" spans="1:8">
      <c r="A271" s="306"/>
      <c r="B271" s="192" t="s">
        <v>871</v>
      </c>
      <c r="C271" s="306"/>
      <c r="D271" s="329"/>
      <c r="E271" s="330">
        <v>0.2</v>
      </c>
      <c r="F271" s="331">
        <f>8.2</f>
        <v>8.1999999999999993</v>
      </c>
      <c r="G271" s="332">
        <v>0.4</v>
      </c>
      <c r="H271" s="344">
        <f t="shared" si="28"/>
        <v>0.66</v>
      </c>
    </row>
    <row r="272" spans="1:8">
      <c r="A272" s="306"/>
      <c r="B272" s="192" t="s">
        <v>1094</v>
      </c>
      <c r="C272" s="306"/>
      <c r="D272" s="329"/>
      <c r="E272" s="330">
        <v>0.2</v>
      </c>
      <c r="F272" s="331">
        <f>8.2*2</f>
        <v>16.399999999999999</v>
      </c>
      <c r="G272" s="332">
        <v>0.4</v>
      </c>
      <c r="H272" s="344">
        <f t="shared" si="28"/>
        <v>1.31</v>
      </c>
    </row>
    <row r="273" spans="1:8">
      <c r="A273" s="306"/>
      <c r="B273" s="192" t="s">
        <v>872</v>
      </c>
      <c r="C273" s="306"/>
      <c r="D273" s="329"/>
      <c r="E273" s="330">
        <v>0.2</v>
      </c>
      <c r="F273" s="331">
        <f>(5.65+2.65)*2+5.29+2</f>
        <v>23.89</v>
      </c>
      <c r="G273" s="332">
        <v>0.4</v>
      </c>
      <c r="H273" s="344">
        <f t="shared" si="28"/>
        <v>1.91</v>
      </c>
    </row>
    <row r="274" spans="1:8">
      <c r="A274" s="306"/>
      <c r="B274" s="192" t="s">
        <v>1093</v>
      </c>
      <c r="C274" s="306"/>
      <c r="D274" s="329"/>
      <c r="E274" s="330">
        <v>0.2</v>
      </c>
      <c r="F274" s="331">
        <v>8.44</v>
      </c>
      <c r="G274" s="332">
        <v>0.4</v>
      </c>
      <c r="H274" s="344">
        <f t="shared" si="28"/>
        <v>0.68</v>
      </c>
    </row>
    <row r="275" spans="1:8">
      <c r="A275" s="306"/>
      <c r="B275" s="172" t="s">
        <v>998</v>
      </c>
      <c r="C275" s="306"/>
      <c r="D275" s="329"/>
      <c r="E275" s="330"/>
      <c r="F275" s="331"/>
      <c r="G275" s="332"/>
      <c r="H275" s="344"/>
    </row>
    <row r="276" spans="1:8">
      <c r="A276" s="306"/>
      <c r="B276" s="192" t="s">
        <v>242</v>
      </c>
      <c r="C276" s="306"/>
      <c r="D276" s="335">
        <v>4</v>
      </c>
      <c r="E276" s="345">
        <v>0.2</v>
      </c>
      <c r="F276" s="338">
        <v>0.3</v>
      </c>
      <c r="G276" s="338">
        <v>3</v>
      </c>
      <c r="H276" s="344">
        <f t="shared" si="28"/>
        <v>0.72</v>
      </c>
    </row>
    <row r="277" spans="1:8">
      <c r="A277" s="306"/>
      <c r="B277" s="192" t="s">
        <v>869</v>
      </c>
      <c r="C277" s="306"/>
      <c r="D277" s="335">
        <v>6</v>
      </c>
      <c r="E277" s="345">
        <v>0.2</v>
      </c>
      <c r="F277" s="338">
        <v>0.3</v>
      </c>
      <c r="G277" s="338">
        <v>3</v>
      </c>
      <c r="H277" s="344">
        <f t="shared" si="28"/>
        <v>1.08</v>
      </c>
    </row>
    <row r="278" spans="1:8">
      <c r="A278" s="306"/>
      <c r="B278" s="192" t="s">
        <v>870</v>
      </c>
      <c r="C278" s="306"/>
      <c r="D278" s="335">
        <v>6</v>
      </c>
      <c r="E278" s="345">
        <v>0.2</v>
      </c>
      <c r="F278" s="338">
        <v>0.3</v>
      </c>
      <c r="G278" s="338">
        <v>3</v>
      </c>
      <c r="H278" s="344">
        <f t="shared" si="28"/>
        <v>1.08</v>
      </c>
    </row>
    <row r="279" spans="1:8">
      <c r="A279" s="306"/>
      <c r="B279" s="192" t="s">
        <v>871</v>
      </c>
      <c r="C279" s="306"/>
      <c r="D279" s="335">
        <v>3</v>
      </c>
      <c r="E279" s="345">
        <v>0.2</v>
      </c>
      <c r="F279" s="338">
        <v>0.3</v>
      </c>
      <c r="G279" s="338">
        <v>3</v>
      </c>
      <c r="H279" s="344">
        <f t="shared" si="28"/>
        <v>0.54</v>
      </c>
    </row>
    <row r="280" spans="1:8">
      <c r="A280" s="306"/>
      <c r="B280" s="192" t="s">
        <v>1094</v>
      </c>
      <c r="C280" s="306"/>
      <c r="D280" s="335">
        <v>6</v>
      </c>
      <c r="E280" s="345">
        <v>0.2</v>
      </c>
      <c r="F280" s="338">
        <v>0.3</v>
      </c>
      <c r="G280" s="338">
        <v>3</v>
      </c>
      <c r="H280" s="344">
        <f t="shared" si="28"/>
        <v>1.08</v>
      </c>
    </row>
    <row r="281" spans="1:8">
      <c r="A281" s="306"/>
      <c r="B281" s="192" t="s">
        <v>872</v>
      </c>
      <c r="C281" s="306"/>
      <c r="D281" s="335">
        <v>6</v>
      </c>
      <c r="E281" s="345">
        <v>0.2</v>
      </c>
      <c r="F281" s="338">
        <v>0.3</v>
      </c>
      <c r="G281" s="338">
        <v>3</v>
      </c>
      <c r="H281" s="344">
        <f t="shared" si="28"/>
        <v>1.08</v>
      </c>
    </row>
    <row r="282" spans="1:8">
      <c r="A282" s="306"/>
      <c r="B282" s="192" t="s">
        <v>1093</v>
      </c>
      <c r="C282" s="306"/>
      <c r="D282" s="335">
        <v>3</v>
      </c>
      <c r="E282" s="345">
        <v>0.2</v>
      </c>
      <c r="F282" s="338">
        <v>0.3</v>
      </c>
      <c r="G282" s="338">
        <v>3</v>
      </c>
      <c r="H282" s="344">
        <f t="shared" si="28"/>
        <v>0.54</v>
      </c>
    </row>
    <row r="283" spans="1:8">
      <c r="A283" s="306"/>
      <c r="B283" s="172"/>
      <c r="C283" s="306"/>
      <c r="D283" s="329"/>
      <c r="E283" s="330"/>
      <c r="F283" s="331"/>
      <c r="G283" s="113" t="str">
        <f>"Total item "&amp;A266</f>
        <v>Total item 4.6</v>
      </c>
      <c r="H283" s="114">
        <f>SUM(H268:H282)</f>
        <v>15.14</v>
      </c>
    </row>
    <row r="284" spans="1:8">
      <c r="A284" s="301" t="str">
        <f>'Planilha orç'!A45</f>
        <v>5.0</v>
      </c>
      <c r="B284" s="303" t="str">
        <f>'Planilha orç'!D45</f>
        <v xml:space="preserve"> PORTAS E ESQUADRIAS</v>
      </c>
      <c r="C284" s="302"/>
      <c r="D284" s="301"/>
      <c r="E284" s="301"/>
      <c r="F284" s="301"/>
      <c r="G284" s="301"/>
      <c r="H284" s="301"/>
    </row>
    <row r="285" spans="1:8">
      <c r="A285" s="311" t="str">
        <f>'Planilha orç'!A46</f>
        <v>5.1</v>
      </c>
      <c r="B285" s="134" t="str">
        <f>'Planilha orç'!D46</f>
        <v>RETIRADA DE PORTAS E JANELAS, INCLUSIVE BATENTES</v>
      </c>
      <c r="C285" s="311" t="str">
        <f>'Planilha orç'!E46</f>
        <v>M2</v>
      </c>
      <c r="D285" s="312"/>
      <c r="E285" s="313"/>
      <c r="F285" s="314"/>
      <c r="G285" s="315"/>
      <c r="H285" s="316"/>
    </row>
    <row r="286" spans="1:8">
      <c r="A286" s="334"/>
      <c r="B286" s="199" t="s">
        <v>1044</v>
      </c>
      <c r="C286" s="317"/>
      <c r="D286" s="323">
        <v>4</v>
      </c>
      <c r="E286" s="323">
        <v>0.9</v>
      </c>
      <c r="F286" s="323"/>
      <c r="G286" s="323">
        <v>2.7</v>
      </c>
      <c r="H286" s="324">
        <f t="shared" ref="H286:H288" si="29">ROUND(PRODUCT(D286:G286),2)</f>
        <v>9.7200000000000006</v>
      </c>
    </row>
    <row r="287" spans="1:8">
      <c r="A287" s="334"/>
      <c r="B287" s="199" t="s">
        <v>1044</v>
      </c>
      <c r="C287" s="317"/>
      <c r="D287" s="323">
        <v>6</v>
      </c>
      <c r="E287" s="323">
        <v>0.8</v>
      </c>
      <c r="F287" s="323"/>
      <c r="G287" s="323">
        <v>2.7</v>
      </c>
      <c r="H287" s="324">
        <f t="shared" si="29"/>
        <v>12.96</v>
      </c>
    </row>
    <row r="288" spans="1:8">
      <c r="A288" s="334"/>
      <c r="B288" s="120" t="s">
        <v>1070</v>
      </c>
      <c r="C288" s="317"/>
      <c r="D288" s="323">
        <v>2</v>
      </c>
      <c r="E288" s="323">
        <v>0.7</v>
      </c>
      <c r="F288" s="323"/>
      <c r="G288" s="323">
        <v>2.7</v>
      </c>
      <c r="H288" s="324">
        <f t="shared" si="29"/>
        <v>3.78</v>
      </c>
    </row>
    <row r="289" spans="1:8">
      <c r="A289" s="334"/>
      <c r="B289" s="97"/>
      <c r="C289" s="317"/>
      <c r="D289" s="326"/>
      <c r="E289" s="319"/>
      <c r="F289" s="320"/>
      <c r="G289" s="113" t="str">
        <f>"Total item "&amp;A285</f>
        <v>Total item 5.1</v>
      </c>
      <c r="H289" s="114">
        <f>SUM(H286:H288)</f>
        <v>26.46</v>
      </c>
    </row>
    <row r="290" spans="1:8">
      <c r="A290" s="311" t="str">
        <f>'Planilha orç'!A47</f>
        <v>5.2</v>
      </c>
      <c r="B290" s="134" t="str">
        <f>'Planilha orç'!D47</f>
        <v>RETIRADA DE GRADE DE FERRO</v>
      </c>
      <c r="C290" s="311" t="str">
        <f>'Planilha orç'!E47</f>
        <v>M2</v>
      </c>
      <c r="D290" s="312"/>
      <c r="E290" s="313"/>
      <c r="F290" s="314"/>
      <c r="G290" s="315"/>
      <c r="H290" s="316"/>
    </row>
    <row r="291" spans="1:8">
      <c r="A291" s="334"/>
      <c r="B291" s="199" t="s">
        <v>1071</v>
      </c>
      <c r="C291" s="317"/>
      <c r="D291" s="323"/>
      <c r="E291" s="323">
        <v>1.76</v>
      </c>
      <c r="F291" s="323"/>
      <c r="G291" s="323">
        <v>0.9</v>
      </c>
      <c r="H291" s="324">
        <f t="shared" ref="H291:H292" si="30">ROUND(PRODUCT(D291:G291),2)</f>
        <v>1.58</v>
      </c>
    </row>
    <row r="292" spans="1:8">
      <c r="A292" s="334"/>
      <c r="B292" s="199" t="s">
        <v>1072</v>
      </c>
      <c r="C292" s="317"/>
      <c r="D292" s="323"/>
      <c r="E292" s="323">
        <v>1.76</v>
      </c>
      <c r="F292" s="323"/>
      <c r="G292" s="323">
        <v>2.1</v>
      </c>
      <c r="H292" s="324">
        <f t="shared" si="30"/>
        <v>3.7</v>
      </c>
    </row>
    <row r="293" spans="1:8">
      <c r="A293" s="334"/>
      <c r="B293" s="97"/>
      <c r="C293" s="317"/>
      <c r="D293" s="326"/>
      <c r="E293" s="319"/>
      <c r="F293" s="320"/>
      <c r="G293" s="113" t="str">
        <f>"Total item "&amp;A290</f>
        <v>Total item 5.2</v>
      </c>
      <c r="H293" s="114">
        <f>SUM(H291:H292)</f>
        <v>5.28</v>
      </c>
    </row>
    <row r="294" spans="1:8" ht="22.5">
      <c r="A294" s="311" t="str">
        <f>'Planilha orç'!A48</f>
        <v>5.3</v>
      </c>
      <c r="B294" s="134" t="str">
        <f>'Planilha orç'!D48</f>
        <v>VERGA PRÉ-MOLDADA PARA PORTAS COM ATÉ 1,5 M DE VÃO. AF_03/2016</v>
      </c>
      <c r="C294" s="311" t="str">
        <f>'Planilha orç'!E48</f>
        <v>M</v>
      </c>
      <c r="D294" s="312"/>
      <c r="E294" s="313"/>
      <c r="F294" s="314"/>
      <c r="G294" s="315"/>
      <c r="H294" s="316"/>
    </row>
    <row r="295" spans="1:8">
      <c r="A295" s="334"/>
      <c r="B295" s="121" t="str">
        <f>"Total item "&amp;A347</f>
        <v>Total item 5.9</v>
      </c>
      <c r="C295" s="317"/>
      <c r="D295" s="323">
        <f>H352</f>
        <v>4</v>
      </c>
      <c r="E295" s="323">
        <f>0.3+0.3+0.8</f>
        <v>1.4</v>
      </c>
      <c r="F295" s="323"/>
      <c r="G295" s="323"/>
      <c r="H295" s="324">
        <f t="shared" ref="H295:H303" si="31">ROUND(PRODUCT(D295:G295),2)</f>
        <v>5.6</v>
      </c>
    </row>
    <row r="296" spans="1:8">
      <c r="A296" s="334"/>
      <c r="B296" s="121" t="str">
        <f>"Total item "&amp;A353</f>
        <v>Total item 5.10</v>
      </c>
      <c r="C296" s="317"/>
      <c r="D296" s="323">
        <f>H381</f>
        <v>27</v>
      </c>
      <c r="E296" s="323">
        <f>0.3+0.3+0.9</f>
        <v>1.5</v>
      </c>
      <c r="F296" s="323"/>
      <c r="G296" s="323"/>
      <c r="H296" s="324">
        <f t="shared" si="31"/>
        <v>40.5</v>
      </c>
    </row>
    <row r="297" spans="1:8">
      <c r="A297" s="334"/>
      <c r="B297" s="199" t="s">
        <v>1044</v>
      </c>
      <c r="C297" s="317"/>
      <c r="D297" s="323">
        <v>4</v>
      </c>
      <c r="E297" s="323">
        <f>0.3+0.3+0.9</f>
        <v>1.5</v>
      </c>
      <c r="F297" s="323"/>
      <c r="G297" s="323"/>
      <c r="H297" s="324">
        <f t="shared" si="31"/>
        <v>6</v>
      </c>
    </row>
    <row r="298" spans="1:8">
      <c r="A298" s="334"/>
      <c r="B298" s="199" t="s">
        <v>1044</v>
      </c>
      <c r="C298" s="317"/>
      <c r="D298" s="323">
        <v>6</v>
      </c>
      <c r="E298" s="323">
        <f>0.3+0.3+0.8</f>
        <v>1.4</v>
      </c>
      <c r="F298" s="323"/>
      <c r="G298" s="323"/>
      <c r="H298" s="324">
        <f t="shared" si="31"/>
        <v>8.4</v>
      </c>
    </row>
    <row r="299" spans="1:8">
      <c r="A299" s="334"/>
      <c r="B299" s="199" t="s">
        <v>1070</v>
      </c>
      <c r="C299" s="317"/>
      <c r="D299" s="323">
        <v>2</v>
      </c>
      <c r="E299" s="323">
        <f>0.3+0.3+0.7</f>
        <v>1.2999999999999998</v>
      </c>
      <c r="F299" s="323"/>
      <c r="G299" s="323"/>
      <c r="H299" s="324">
        <f t="shared" si="31"/>
        <v>2.6</v>
      </c>
    </row>
    <row r="300" spans="1:8">
      <c r="A300" s="334"/>
      <c r="B300" s="199" t="s">
        <v>250</v>
      </c>
      <c r="C300" s="317"/>
      <c r="D300" s="323">
        <v>1</v>
      </c>
      <c r="E300" s="323">
        <f>0.3+0.3+1.3</f>
        <v>1.9</v>
      </c>
      <c r="F300" s="323"/>
      <c r="G300" s="323"/>
      <c r="H300" s="324">
        <f t="shared" si="31"/>
        <v>1.9</v>
      </c>
    </row>
    <row r="301" spans="1:8">
      <c r="A301" s="334"/>
      <c r="B301" s="199" t="s">
        <v>251</v>
      </c>
      <c r="C301" s="317"/>
      <c r="D301" s="323">
        <v>1</v>
      </c>
      <c r="E301" s="323">
        <f>0.3+0.3+0.8</f>
        <v>1.4</v>
      </c>
      <c r="F301" s="323"/>
      <c r="G301" s="323"/>
      <c r="H301" s="324">
        <f t="shared" si="31"/>
        <v>1.4</v>
      </c>
    </row>
    <row r="302" spans="1:8">
      <c r="A302" s="334"/>
      <c r="B302" s="199" t="s">
        <v>252</v>
      </c>
      <c r="C302" s="317"/>
      <c r="D302" s="323">
        <v>1</v>
      </c>
      <c r="E302" s="323">
        <f>0.3+0.3+1.3</f>
        <v>1.9</v>
      </c>
      <c r="F302" s="323"/>
      <c r="G302" s="323"/>
      <c r="H302" s="324">
        <f t="shared" si="31"/>
        <v>1.9</v>
      </c>
    </row>
    <row r="303" spans="1:8">
      <c r="A303" s="334"/>
      <c r="B303" s="199" t="str">
        <f>"Total item "&amp;A421</f>
        <v>Total item 5.14</v>
      </c>
      <c r="C303" s="317"/>
      <c r="D303" s="323">
        <f>D422+D423+D424+D425</f>
        <v>4</v>
      </c>
      <c r="E303" s="323">
        <f>0.3+0.3+0.9</f>
        <v>1.5</v>
      </c>
      <c r="F303" s="323"/>
      <c r="G303" s="323"/>
      <c r="H303" s="324">
        <f t="shared" si="31"/>
        <v>6</v>
      </c>
    </row>
    <row r="304" spans="1:8">
      <c r="A304" s="334"/>
      <c r="B304" s="97"/>
      <c r="C304" s="317"/>
      <c r="D304" s="326"/>
      <c r="E304" s="319"/>
      <c r="F304" s="320"/>
      <c r="G304" s="113" t="str">
        <f>"Total item "&amp;A294</f>
        <v>Total item 5.3</v>
      </c>
      <c r="H304" s="114">
        <f>SUM(H295:H303)</f>
        <v>74.300000000000011</v>
      </c>
    </row>
    <row r="305" spans="1:8" ht="22.5">
      <c r="A305" s="311" t="str">
        <f>'Planilha orç'!A49</f>
        <v>5.4</v>
      </c>
      <c r="B305" s="134" t="str">
        <f>'Planilha orç'!D49</f>
        <v xml:space="preserve">VERGA PRÉ-MOLDADA PARA PORTAS COM MAIS DE 1,5 M DE VÃO. AF_03/2016 </v>
      </c>
      <c r="C305" s="311" t="str">
        <f>'Planilha orç'!E49</f>
        <v>M</v>
      </c>
      <c r="D305" s="312"/>
      <c r="E305" s="313"/>
      <c r="F305" s="314"/>
      <c r="G305" s="315"/>
      <c r="H305" s="316"/>
    </row>
    <row r="306" spans="1:8">
      <c r="A306" s="334"/>
      <c r="B306" s="120" t="s">
        <v>286</v>
      </c>
      <c r="C306" s="317"/>
      <c r="D306" s="323">
        <v>1</v>
      </c>
      <c r="E306" s="323">
        <f>0.3+0.3+1.9</f>
        <v>2.5</v>
      </c>
      <c r="F306" s="323"/>
      <c r="G306" s="323">
        <v>2.1</v>
      </c>
      <c r="H306" s="324">
        <f t="shared" ref="H306:H307" si="32">ROUND(PRODUCT(D306:G306),2)</f>
        <v>5.25</v>
      </c>
    </row>
    <row r="307" spans="1:8">
      <c r="A307" s="334"/>
      <c r="B307" s="120" t="s">
        <v>287</v>
      </c>
      <c r="C307" s="317"/>
      <c r="D307" s="323">
        <v>1</v>
      </c>
      <c r="E307" s="323">
        <f>0.3+0.3+3</f>
        <v>3.6</v>
      </c>
      <c r="F307" s="323"/>
      <c r="G307" s="323">
        <v>2.1</v>
      </c>
      <c r="H307" s="324">
        <f t="shared" si="32"/>
        <v>7.56</v>
      </c>
    </row>
    <row r="308" spans="1:8">
      <c r="A308" s="334"/>
      <c r="B308" s="97"/>
      <c r="C308" s="317"/>
      <c r="D308" s="326"/>
      <c r="E308" s="319"/>
      <c r="F308" s="320"/>
      <c r="G308" s="113" t="str">
        <f>"Total item "&amp;A305</f>
        <v>Total item 5.4</v>
      </c>
      <c r="H308" s="114">
        <f>SUM(H306:H307)</f>
        <v>12.809999999999999</v>
      </c>
    </row>
    <row r="309" spans="1:8" ht="22.5">
      <c r="A309" s="311" t="str">
        <f>'Planilha orç'!A50</f>
        <v>5.5</v>
      </c>
      <c r="B309" s="134" t="str">
        <f>'Planilha orç'!D50</f>
        <v>VERGA PRÉ-MOLDADA PARA JANELAS COM ATÉ 1,5 M DE VÃO. AF_03/2016</v>
      </c>
      <c r="C309" s="311" t="str">
        <f>'Planilha orç'!E50</f>
        <v>M</v>
      </c>
      <c r="D309" s="312"/>
      <c r="E309" s="313"/>
      <c r="F309" s="314"/>
      <c r="G309" s="315"/>
      <c r="H309" s="316"/>
    </row>
    <row r="310" spans="1:8">
      <c r="A310" s="334"/>
      <c r="B310" s="120" t="s">
        <v>257</v>
      </c>
      <c r="C310" s="317"/>
      <c r="D310" s="323">
        <v>1</v>
      </c>
      <c r="E310" s="323">
        <f>0.3+0.3+1.5</f>
        <v>2.1</v>
      </c>
      <c r="F310" s="323"/>
      <c r="G310" s="323"/>
      <c r="H310" s="324">
        <f t="shared" ref="H310:H315" si="33">ROUND(PRODUCT(D310:G310),2)</f>
        <v>2.1</v>
      </c>
    </row>
    <row r="311" spans="1:8">
      <c r="A311" s="334"/>
      <c r="B311" s="120" t="s">
        <v>258</v>
      </c>
      <c r="C311" s="317"/>
      <c r="D311" s="323">
        <v>1</v>
      </c>
      <c r="E311" s="323">
        <f t="shared" ref="E311:E314" si="34">0.3+0.3+1.5</f>
        <v>2.1</v>
      </c>
      <c r="F311" s="323"/>
      <c r="G311" s="323"/>
      <c r="H311" s="324">
        <f t="shared" si="33"/>
        <v>2.1</v>
      </c>
    </row>
    <row r="312" spans="1:8">
      <c r="A312" s="334"/>
      <c r="B312" s="120" t="s">
        <v>259</v>
      </c>
      <c r="C312" s="317"/>
      <c r="D312" s="323">
        <v>3</v>
      </c>
      <c r="E312" s="323">
        <f t="shared" si="34"/>
        <v>2.1</v>
      </c>
      <c r="F312" s="323"/>
      <c r="G312" s="323"/>
      <c r="H312" s="324">
        <f t="shared" si="33"/>
        <v>6.3</v>
      </c>
    </row>
    <row r="313" spans="1:8">
      <c r="A313" s="334"/>
      <c r="B313" s="120" t="s">
        <v>260</v>
      </c>
      <c r="C313" s="317"/>
      <c r="D313" s="323">
        <v>1</v>
      </c>
      <c r="E313" s="323">
        <f t="shared" si="34"/>
        <v>2.1</v>
      </c>
      <c r="F313" s="323"/>
      <c r="G313" s="323"/>
      <c r="H313" s="324">
        <f t="shared" si="33"/>
        <v>2.1</v>
      </c>
    </row>
    <row r="314" spans="1:8">
      <c r="A314" s="334"/>
      <c r="B314" s="120" t="s">
        <v>281</v>
      </c>
      <c r="C314" s="317"/>
      <c r="D314" s="323">
        <v>1</v>
      </c>
      <c r="E314" s="323">
        <f t="shared" si="34"/>
        <v>2.1</v>
      </c>
      <c r="F314" s="323"/>
      <c r="G314" s="323"/>
      <c r="H314" s="324">
        <f t="shared" si="33"/>
        <v>2.1</v>
      </c>
    </row>
    <row r="315" spans="1:8">
      <c r="A315" s="334"/>
      <c r="B315" s="120" t="s">
        <v>281</v>
      </c>
      <c r="C315" s="317"/>
      <c r="D315" s="323">
        <v>1</v>
      </c>
      <c r="E315" s="323">
        <f>0.3+0.3+0.5</f>
        <v>1.1000000000000001</v>
      </c>
      <c r="F315" s="323"/>
      <c r="G315" s="323"/>
      <c r="H315" s="324">
        <f t="shared" si="33"/>
        <v>1.1000000000000001</v>
      </c>
    </row>
    <row r="316" spans="1:8">
      <c r="A316" s="334"/>
      <c r="B316" s="97"/>
      <c r="C316" s="317"/>
      <c r="D316" s="326"/>
      <c r="E316" s="319"/>
      <c r="F316" s="320"/>
      <c r="G316" s="113" t="str">
        <f>"Total item "&amp;A309</f>
        <v>Total item 5.5</v>
      </c>
      <c r="H316" s="114">
        <f>SUM(H310:H315)</f>
        <v>15.799999999999999</v>
      </c>
    </row>
    <row r="317" spans="1:8" ht="22.5">
      <c r="A317" s="311" t="str">
        <f>'Planilha orç'!A51</f>
        <v>5.6</v>
      </c>
      <c r="B317" s="134" t="str">
        <f>'Planilha orç'!D51</f>
        <v>VERGA PRÉ-MOLDADA PARA JANELAS COM MAIS DE 1,5 M DE VÃO. AF_03/2016</v>
      </c>
      <c r="C317" s="311" t="str">
        <f>'Planilha orç'!E51</f>
        <v>M</v>
      </c>
      <c r="D317" s="312"/>
      <c r="E317" s="313"/>
      <c r="F317" s="314"/>
      <c r="G317" s="315"/>
      <c r="H317" s="316"/>
    </row>
    <row r="318" spans="1:8">
      <c r="A318" s="334"/>
      <c r="B318" s="120" t="s">
        <v>254</v>
      </c>
      <c r="C318" s="317"/>
      <c r="D318" s="323">
        <v>1</v>
      </c>
      <c r="E318" s="323">
        <f>0.3+0.3+2</f>
        <v>2.6</v>
      </c>
      <c r="F318" s="323"/>
      <c r="G318" s="323"/>
      <c r="H318" s="324">
        <f t="shared" ref="H318:H339" si="35">ROUND(PRODUCT(D318:G318),2)</f>
        <v>2.6</v>
      </c>
    </row>
    <row r="319" spans="1:8">
      <c r="A319" s="334"/>
      <c r="B319" s="120" t="s">
        <v>255</v>
      </c>
      <c r="C319" s="317"/>
      <c r="D319" s="323">
        <v>1</v>
      </c>
      <c r="E319" s="323">
        <f>0.3+0.3+2</f>
        <v>2.6</v>
      </c>
      <c r="F319" s="323"/>
      <c r="G319" s="323"/>
      <c r="H319" s="324">
        <f t="shared" si="35"/>
        <v>2.6</v>
      </c>
    </row>
    <row r="320" spans="1:8">
      <c r="A320" s="334"/>
      <c r="B320" s="120" t="s">
        <v>288</v>
      </c>
      <c r="C320" s="317"/>
      <c r="D320" s="323">
        <v>1</v>
      </c>
      <c r="E320" s="323">
        <f>0.3+0.3+1.8</f>
        <v>2.4</v>
      </c>
      <c r="F320" s="323"/>
      <c r="G320" s="323"/>
      <c r="H320" s="324">
        <f t="shared" si="35"/>
        <v>2.4</v>
      </c>
    </row>
    <row r="321" spans="1:8">
      <c r="A321" s="334"/>
      <c r="B321" s="120" t="s">
        <v>289</v>
      </c>
      <c r="C321" s="317"/>
      <c r="D321" s="323">
        <v>1</v>
      </c>
      <c r="E321" s="323">
        <f t="shared" ref="E321:E323" si="36">0.3+0.3+1.8</f>
        <v>2.4</v>
      </c>
      <c r="F321" s="323"/>
      <c r="G321" s="323"/>
      <c r="H321" s="324">
        <f t="shared" si="35"/>
        <v>2.4</v>
      </c>
    </row>
    <row r="322" spans="1:8">
      <c r="A322" s="334"/>
      <c r="B322" s="120" t="s">
        <v>290</v>
      </c>
      <c r="C322" s="317"/>
      <c r="D322" s="323">
        <v>1</v>
      </c>
      <c r="E322" s="323">
        <f t="shared" si="36"/>
        <v>2.4</v>
      </c>
      <c r="F322" s="323"/>
      <c r="G322" s="323"/>
      <c r="H322" s="324">
        <f t="shared" si="35"/>
        <v>2.4</v>
      </c>
    </row>
    <row r="323" spans="1:8">
      <c r="A323" s="334"/>
      <c r="B323" s="120" t="s">
        <v>291</v>
      </c>
      <c r="C323" s="317"/>
      <c r="D323" s="323">
        <v>1</v>
      </c>
      <c r="E323" s="323">
        <f t="shared" si="36"/>
        <v>2.4</v>
      </c>
      <c r="F323" s="323"/>
      <c r="G323" s="323"/>
      <c r="H323" s="324">
        <f t="shared" si="35"/>
        <v>2.4</v>
      </c>
    </row>
    <row r="324" spans="1:8">
      <c r="A324" s="334"/>
      <c r="B324" s="120" t="s">
        <v>267</v>
      </c>
      <c r="C324" s="317"/>
      <c r="D324" s="323">
        <v>2</v>
      </c>
      <c r="E324" s="323">
        <f t="shared" ref="E324:E339" si="37">0.3+0.3+2</f>
        <v>2.6</v>
      </c>
      <c r="F324" s="323"/>
      <c r="G324" s="323"/>
      <c r="H324" s="324">
        <f t="shared" si="35"/>
        <v>5.2</v>
      </c>
    </row>
    <row r="325" spans="1:8">
      <c r="A325" s="334"/>
      <c r="B325" s="120" t="s">
        <v>269</v>
      </c>
      <c r="C325" s="317"/>
      <c r="D325" s="323">
        <v>2</v>
      </c>
      <c r="E325" s="323">
        <f t="shared" si="37"/>
        <v>2.6</v>
      </c>
      <c r="F325" s="323"/>
      <c r="G325" s="323"/>
      <c r="H325" s="324">
        <f t="shared" si="35"/>
        <v>5.2</v>
      </c>
    </row>
    <row r="326" spans="1:8">
      <c r="A326" s="334"/>
      <c r="B326" s="120" t="s">
        <v>270</v>
      </c>
      <c r="C326" s="317"/>
      <c r="D326" s="323">
        <v>2</v>
      </c>
      <c r="E326" s="323">
        <f t="shared" si="37"/>
        <v>2.6</v>
      </c>
      <c r="F326" s="323"/>
      <c r="G326" s="323"/>
      <c r="H326" s="324">
        <f t="shared" si="35"/>
        <v>5.2</v>
      </c>
    </row>
    <row r="327" spans="1:8">
      <c r="A327" s="334"/>
      <c r="B327" s="120" t="s">
        <v>271</v>
      </c>
      <c r="C327" s="317"/>
      <c r="D327" s="323">
        <v>2</v>
      </c>
      <c r="E327" s="323">
        <f t="shared" si="37"/>
        <v>2.6</v>
      </c>
      <c r="F327" s="323"/>
      <c r="G327" s="323"/>
      <c r="H327" s="324">
        <f t="shared" si="35"/>
        <v>5.2</v>
      </c>
    </row>
    <row r="328" spans="1:8">
      <c r="A328" s="334"/>
      <c r="B328" s="120" t="s">
        <v>272</v>
      </c>
      <c r="C328" s="317"/>
      <c r="D328" s="323">
        <v>2</v>
      </c>
      <c r="E328" s="323">
        <f t="shared" si="37"/>
        <v>2.6</v>
      </c>
      <c r="F328" s="323"/>
      <c r="G328" s="323"/>
      <c r="H328" s="324">
        <f t="shared" si="35"/>
        <v>5.2</v>
      </c>
    </row>
    <row r="329" spans="1:8">
      <c r="A329" s="334"/>
      <c r="B329" s="120" t="s">
        <v>546</v>
      </c>
      <c r="C329" s="317"/>
      <c r="D329" s="323">
        <v>2</v>
      </c>
      <c r="E329" s="323">
        <f t="shared" si="37"/>
        <v>2.6</v>
      </c>
      <c r="F329" s="323"/>
      <c r="G329" s="323"/>
      <c r="H329" s="324">
        <f t="shared" si="35"/>
        <v>5.2</v>
      </c>
    </row>
    <row r="330" spans="1:8">
      <c r="A330" s="334"/>
      <c r="B330" s="120" t="s">
        <v>273</v>
      </c>
      <c r="C330" s="317"/>
      <c r="D330" s="323">
        <v>2</v>
      </c>
      <c r="E330" s="323">
        <f t="shared" si="37"/>
        <v>2.6</v>
      </c>
      <c r="F330" s="323"/>
      <c r="G330" s="323"/>
      <c r="H330" s="324">
        <f t="shared" si="35"/>
        <v>5.2</v>
      </c>
    </row>
    <row r="331" spans="1:8">
      <c r="A331" s="334"/>
      <c r="B331" s="120" t="s">
        <v>274</v>
      </c>
      <c r="C331" s="317"/>
      <c r="D331" s="323">
        <v>2</v>
      </c>
      <c r="E331" s="323">
        <f t="shared" si="37"/>
        <v>2.6</v>
      </c>
      <c r="F331" s="323"/>
      <c r="G331" s="323"/>
      <c r="H331" s="324">
        <f t="shared" si="35"/>
        <v>5.2</v>
      </c>
    </row>
    <row r="332" spans="1:8">
      <c r="A332" s="334"/>
      <c r="B332" s="120" t="s">
        <v>275</v>
      </c>
      <c r="C332" s="317"/>
      <c r="D332" s="323">
        <v>2</v>
      </c>
      <c r="E332" s="323">
        <f t="shared" si="37"/>
        <v>2.6</v>
      </c>
      <c r="F332" s="323"/>
      <c r="G332" s="323"/>
      <c r="H332" s="324">
        <f t="shared" si="35"/>
        <v>5.2</v>
      </c>
    </row>
    <row r="333" spans="1:8">
      <c r="A333" s="334"/>
      <c r="B333" s="120" t="s">
        <v>276</v>
      </c>
      <c r="C333" s="317"/>
      <c r="D333" s="323">
        <v>2</v>
      </c>
      <c r="E333" s="323">
        <f t="shared" si="37"/>
        <v>2.6</v>
      </c>
      <c r="F333" s="323"/>
      <c r="G333" s="323"/>
      <c r="H333" s="324">
        <f t="shared" si="35"/>
        <v>5.2</v>
      </c>
    </row>
    <row r="334" spans="1:8">
      <c r="A334" s="334"/>
      <c r="B334" s="120" t="s">
        <v>277</v>
      </c>
      <c r="C334" s="317"/>
      <c r="D334" s="323">
        <v>2</v>
      </c>
      <c r="E334" s="323">
        <f t="shared" si="37"/>
        <v>2.6</v>
      </c>
      <c r="F334" s="323"/>
      <c r="G334" s="323"/>
      <c r="H334" s="324">
        <f t="shared" si="35"/>
        <v>5.2</v>
      </c>
    </row>
    <row r="335" spans="1:8">
      <c r="A335" s="334"/>
      <c r="B335" s="120" t="s">
        <v>278</v>
      </c>
      <c r="C335" s="317"/>
      <c r="D335" s="323">
        <v>2</v>
      </c>
      <c r="E335" s="323">
        <f t="shared" si="37"/>
        <v>2.6</v>
      </c>
      <c r="F335" s="323"/>
      <c r="G335" s="323"/>
      <c r="H335" s="324">
        <f t="shared" si="35"/>
        <v>5.2</v>
      </c>
    </row>
    <row r="336" spans="1:8">
      <c r="A336" s="334"/>
      <c r="B336" s="120" t="s">
        <v>279</v>
      </c>
      <c r="C336" s="317"/>
      <c r="D336" s="323">
        <v>2</v>
      </c>
      <c r="E336" s="323">
        <f t="shared" si="37"/>
        <v>2.6</v>
      </c>
      <c r="F336" s="323"/>
      <c r="G336" s="323"/>
      <c r="H336" s="324">
        <f t="shared" si="35"/>
        <v>5.2</v>
      </c>
    </row>
    <row r="337" spans="1:8">
      <c r="A337" s="334"/>
      <c r="B337" s="120" t="s">
        <v>280</v>
      </c>
      <c r="C337" s="317"/>
      <c r="D337" s="323">
        <v>2</v>
      </c>
      <c r="E337" s="323">
        <f t="shared" si="37"/>
        <v>2.6</v>
      </c>
      <c r="F337" s="323"/>
      <c r="G337" s="323"/>
      <c r="H337" s="324">
        <f t="shared" si="35"/>
        <v>5.2</v>
      </c>
    </row>
    <row r="338" spans="1:8">
      <c r="A338" s="334"/>
      <c r="B338" s="120" t="s">
        <v>547</v>
      </c>
      <c r="C338" s="317"/>
      <c r="D338" s="323">
        <v>3</v>
      </c>
      <c r="E338" s="323">
        <f t="shared" si="37"/>
        <v>2.6</v>
      </c>
      <c r="F338" s="323"/>
      <c r="G338" s="323"/>
      <c r="H338" s="324">
        <f t="shared" si="35"/>
        <v>7.8</v>
      </c>
    </row>
    <row r="339" spans="1:8">
      <c r="A339" s="334"/>
      <c r="B339" s="120" t="s">
        <v>548</v>
      </c>
      <c r="C339" s="317"/>
      <c r="D339" s="323">
        <v>4</v>
      </c>
      <c r="E339" s="323">
        <f t="shared" si="37"/>
        <v>2.6</v>
      </c>
      <c r="F339" s="323"/>
      <c r="G339" s="323"/>
      <c r="H339" s="324">
        <f t="shared" si="35"/>
        <v>10.4</v>
      </c>
    </row>
    <row r="340" spans="1:8">
      <c r="A340" s="334"/>
      <c r="B340" s="97"/>
      <c r="C340" s="317"/>
      <c r="D340" s="326"/>
      <c r="E340" s="319"/>
      <c r="F340" s="320"/>
      <c r="G340" s="113" t="str">
        <f>"Total item "&amp;A317</f>
        <v>Total item 5.6</v>
      </c>
      <c r="H340" s="114">
        <f>SUM(H318:H339)</f>
        <v>105.80000000000003</v>
      </c>
    </row>
    <row r="341" spans="1:8" ht="22.5">
      <c r="A341" s="311" t="str">
        <f>'Planilha orç'!A52</f>
        <v>5.7</v>
      </c>
      <c r="B341" s="134" t="str">
        <f>'Planilha orç'!D52</f>
        <v>CONTRAVERGA PRÉ-MOLDADA PARA VÃOS DE ATÉ 1,5 M DE COMPRIMENTO. AF_03/2016</v>
      </c>
      <c r="C341" s="311" t="str">
        <f>'Planilha orç'!E52</f>
        <v>M</v>
      </c>
      <c r="D341" s="312"/>
      <c r="E341" s="313"/>
      <c r="F341" s="314"/>
      <c r="G341" s="315"/>
      <c r="H341" s="316"/>
    </row>
    <row r="342" spans="1:8">
      <c r="A342" s="334"/>
      <c r="B342" s="121" t="str">
        <f>"Total item "&amp;A309</f>
        <v>Total item 5.5</v>
      </c>
      <c r="C342" s="317"/>
      <c r="D342" s="317"/>
      <c r="E342" s="317"/>
      <c r="F342" s="320"/>
      <c r="G342" s="317"/>
      <c r="H342" s="324">
        <f>H316</f>
        <v>15.799999999999999</v>
      </c>
    </row>
    <row r="343" spans="1:8">
      <c r="A343" s="334"/>
      <c r="B343" s="97"/>
      <c r="C343" s="317"/>
      <c r="D343" s="326"/>
      <c r="E343" s="319"/>
      <c r="F343" s="320"/>
      <c r="G343" s="113" t="str">
        <f>"Total item "&amp;A341</f>
        <v>Total item 5.7</v>
      </c>
      <c r="H343" s="114">
        <f>SUM(H342)</f>
        <v>15.799999999999999</v>
      </c>
    </row>
    <row r="344" spans="1:8" ht="22.5">
      <c r="A344" s="311" t="str">
        <f>'Planilha orç'!A53</f>
        <v>5.8</v>
      </c>
      <c r="B344" s="134" t="str">
        <f>'Planilha orç'!D53</f>
        <v>CONTRAVERGA PRÉ-MOLDADA PARA VÃOS DE MAIS DE 1,5 M DE COMPRIMENTO. AF_ 03/2016</v>
      </c>
      <c r="C344" s="311" t="str">
        <f>'Planilha orç'!E53</f>
        <v>M</v>
      </c>
      <c r="D344" s="312"/>
      <c r="E344" s="313"/>
      <c r="F344" s="314"/>
      <c r="G344" s="315"/>
      <c r="H344" s="316"/>
    </row>
    <row r="345" spans="1:8">
      <c r="A345" s="334"/>
      <c r="B345" s="121" t="str">
        <f>"Total item "&amp;A317</f>
        <v>Total item 5.6</v>
      </c>
      <c r="C345" s="317"/>
      <c r="D345" s="317"/>
      <c r="E345" s="317"/>
      <c r="F345" s="320"/>
      <c r="G345" s="317"/>
      <c r="H345" s="324">
        <f>H340</f>
        <v>105.80000000000003</v>
      </c>
    </row>
    <row r="346" spans="1:8">
      <c r="A346" s="334"/>
      <c r="B346" s="97"/>
      <c r="C346" s="317"/>
      <c r="D346" s="326"/>
      <c r="E346" s="319"/>
      <c r="F346" s="320"/>
      <c r="G346" s="113" t="str">
        <f>"Total item "&amp;A344</f>
        <v>Total item 5.8</v>
      </c>
      <c r="H346" s="114">
        <f>SUM(H345)</f>
        <v>105.80000000000003</v>
      </c>
    </row>
    <row r="347" spans="1:8" ht="44.45" customHeight="1">
      <c r="A347" s="311" t="str">
        <f>'Planilha orç'!A54</f>
        <v>5.9</v>
      </c>
      <c r="B347" s="134" t="str">
        <f>'Planilha orç'!D54</f>
        <v>KIT DE PORTA DE MADEIRA PARA PINTURA, SEMI-OCA (LEVE OU MÉDIA), PADRÃO POPULAR, 80X210CM, ESPESSURA DE 3,5CM, ITENS INCLUSOS: DOBRADIÇAS, MONTAGEM E INSTALAÇÃO DO BATENTE, FECHADURA COM EXECUÇÃO DO FURO - FORNECIMENTO E INSTALAÇÃO. AF_12/2019</v>
      </c>
      <c r="C347" s="311" t="str">
        <f>'Planilha orç'!E54</f>
        <v>UN</v>
      </c>
      <c r="D347" s="312"/>
      <c r="E347" s="313"/>
      <c r="F347" s="314"/>
      <c r="G347" s="315"/>
      <c r="H347" s="316"/>
    </row>
    <row r="348" spans="1:8">
      <c r="A348" s="334"/>
      <c r="B348" s="120" t="s">
        <v>253</v>
      </c>
      <c r="C348" s="317"/>
      <c r="D348" s="323">
        <v>1</v>
      </c>
      <c r="E348" s="323"/>
      <c r="F348" s="323"/>
      <c r="G348" s="323"/>
      <c r="H348" s="324">
        <f>ROUND(PRODUCT(D348:G348),2)</f>
        <v>1</v>
      </c>
    </row>
    <row r="349" spans="1:8">
      <c r="A349" s="334"/>
      <c r="B349" s="120" t="s">
        <v>254</v>
      </c>
      <c r="C349" s="317"/>
      <c r="D349" s="323">
        <v>1</v>
      </c>
      <c r="E349" s="323"/>
      <c r="F349" s="323"/>
      <c r="G349" s="323"/>
      <c r="H349" s="324">
        <f t="shared" ref="H349:H351" si="38">ROUND(PRODUCT(D349:G349),2)</f>
        <v>1</v>
      </c>
    </row>
    <row r="350" spans="1:8">
      <c r="A350" s="334"/>
      <c r="B350" s="120" t="s">
        <v>255</v>
      </c>
      <c r="C350" s="317"/>
      <c r="D350" s="323">
        <v>1</v>
      </c>
      <c r="E350" s="323"/>
      <c r="F350" s="323"/>
      <c r="G350" s="323"/>
      <c r="H350" s="324">
        <f t="shared" si="38"/>
        <v>1</v>
      </c>
    </row>
    <row r="351" spans="1:8">
      <c r="A351" s="334"/>
      <c r="B351" s="120" t="s">
        <v>256</v>
      </c>
      <c r="C351" s="317"/>
      <c r="D351" s="323">
        <v>1</v>
      </c>
      <c r="E351" s="323"/>
      <c r="F351" s="323"/>
      <c r="G351" s="323"/>
      <c r="H351" s="324">
        <f t="shared" si="38"/>
        <v>1</v>
      </c>
    </row>
    <row r="352" spans="1:8">
      <c r="A352" s="334"/>
      <c r="B352" s="97"/>
      <c r="C352" s="317"/>
      <c r="D352" s="326"/>
      <c r="E352" s="319"/>
      <c r="F352" s="320"/>
      <c r="G352" s="113" t="str">
        <f>"Total item "&amp;A347</f>
        <v>Total item 5.9</v>
      </c>
      <c r="H352" s="114">
        <f>SUM(H348:H351)</f>
        <v>4</v>
      </c>
    </row>
    <row r="353" spans="1:8" ht="43.15" customHeight="1">
      <c r="A353" s="311" t="str">
        <f>'Planilha orç'!A55</f>
        <v>5.10</v>
      </c>
      <c r="B353" s="134" t="str">
        <f>'Planilha orç'!D55</f>
        <v>KIT DE PORTA DE MADEIRA PARA PINTURA, SEMI-OCA (LEVE OU MÉDIA), PADRÃO POPULAR, 90X210CM, ESPESSURA DE 3,5CM, ITENS INCLUSOS: DOBRADIÇAS, MONTAGEM E INSTALAÇÃO DO BATENTE, FECHADURA COM EXECUÇÃO DO FURO - FORNECIMENTO E INSTALAÇÃO. AF_12/2019</v>
      </c>
      <c r="C353" s="311" t="str">
        <f>'Planilha orç'!E55</f>
        <v>UN</v>
      </c>
      <c r="D353" s="312"/>
      <c r="E353" s="313"/>
      <c r="F353" s="314"/>
      <c r="G353" s="315"/>
      <c r="H353" s="316"/>
    </row>
    <row r="354" spans="1:8">
      <c r="A354" s="334"/>
      <c r="B354" s="120" t="s">
        <v>257</v>
      </c>
      <c r="C354" s="317"/>
      <c r="D354" s="323">
        <v>1</v>
      </c>
      <c r="E354" s="323"/>
      <c r="F354" s="323"/>
      <c r="G354" s="323"/>
      <c r="H354" s="324">
        <f>ROUND(PRODUCT(D354:G354),2)</f>
        <v>1</v>
      </c>
    </row>
    <row r="355" spans="1:8">
      <c r="A355" s="334"/>
      <c r="B355" s="120" t="s">
        <v>258</v>
      </c>
      <c r="C355" s="317"/>
      <c r="D355" s="323">
        <v>1</v>
      </c>
      <c r="E355" s="323"/>
      <c r="F355" s="323"/>
      <c r="G355" s="323"/>
      <c r="H355" s="324">
        <f t="shared" ref="H355:H380" si="39">ROUND(PRODUCT(D355:G355),2)</f>
        <v>1</v>
      </c>
    </row>
    <row r="356" spans="1:8">
      <c r="A356" s="334"/>
      <c r="B356" s="120" t="s">
        <v>259</v>
      </c>
      <c r="C356" s="317"/>
      <c r="D356" s="323">
        <v>1</v>
      </c>
      <c r="E356" s="323"/>
      <c r="F356" s="323"/>
      <c r="G356" s="323"/>
      <c r="H356" s="324">
        <f t="shared" si="39"/>
        <v>1</v>
      </c>
    </row>
    <row r="357" spans="1:8">
      <c r="A357" s="334"/>
      <c r="B357" s="120" t="s">
        <v>260</v>
      </c>
      <c r="C357" s="317"/>
      <c r="D357" s="323">
        <v>1</v>
      </c>
      <c r="E357" s="323"/>
      <c r="F357" s="323"/>
      <c r="G357" s="323"/>
      <c r="H357" s="324">
        <f t="shared" si="39"/>
        <v>1</v>
      </c>
    </row>
    <row r="358" spans="1:8">
      <c r="A358" s="334"/>
      <c r="B358" s="120" t="s">
        <v>261</v>
      </c>
      <c r="C358" s="317"/>
      <c r="D358" s="323">
        <v>1</v>
      </c>
      <c r="E358" s="323"/>
      <c r="F358" s="323"/>
      <c r="G358" s="323"/>
      <c r="H358" s="324">
        <f t="shared" si="39"/>
        <v>1</v>
      </c>
    </row>
    <row r="359" spans="1:8">
      <c r="A359" s="334"/>
      <c r="B359" s="120" t="s">
        <v>262</v>
      </c>
      <c r="C359" s="317"/>
      <c r="D359" s="323">
        <v>1</v>
      </c>
      <c r="E359" s="323"/>
      <c r="F359" s="323"/>
      <c r="G359" s="323"/>
      <c r="H359" s="324">
        <f t="shared" si="39"/>
        <v>1</v>
      </c>
    </row>
    <row r="360" spans="1:8">
      <c r="A360" s="334"/>
      <c r="B360" s="120" t="s">
        <v>263</v>
      </c>
      <c r="C360" s="317"/>
      <c r="D360" s="323">
        <v>1</v>
      </c>
      <c r="E360" s="323"/>
      <c r="F360" s="323"/>
      <c r="G360" s="323"/>
      <c r="H360" s="324">
        <f t="shared" si="39"/>
        <v>1</v>
      </c>
    </row>
    <row r="361" spans="1:8">
      <c r="A361" s="334"/>
      <c r="B361" s="120" t="s">
        <v>264</v>
      </c>
      <c r="C361" s="317"/>
      <c r="D361" s="323">
        <v>1</v>
      </c>
      <c r="E361" s="323"/>
      <c r="F361" s="323"/>
      <c r="G361" s="323"/>
      <c r="H361" s="324">
        <f t="shared" si="39"/>
        <v>1</v>
      </c>
    </row>
    <row r="362" spans="1:8">
      <c r="A362" s="334"/>
      <c r="B362" s="120" t="s">
        <v>265</v>
      </c>
      <c r="C362" s="317"/>
      <c r="D362" s="323">
        <v>1</v>
      </c>
      <c r="E362" s="323"/>
      <c r="F362" s="323"/>
      <c r="G362" s="323"/>
      <c r="H362" s="324">
        <f t="shared" si="39"/>
        <v>1</v>
      </c>
    </row>
    <row r="363" spans="1:8">
      <c r="A363" s="334"/>
      <c r="B363" s="120" t="s">
        <v>266</v>
      </c>
      <c r="C363" s="317"/>
      <c r="D363" s="323">
        <v>1</v>
      </c>
      <c r="E363" s="323"/>
      <c r="F363" s="323"/>
      <c r="G363" s="323"/>
      <c r="H363" s="324">
        <f t="shared" si="39"/>
        <v>1</v>
      </c>
    </row>
    <row r="364" spans="1:8">
      <c r="A364" s="334"/>
      <c r="B364" s="120" t="s">
        <v>267</v>
      </c>
      <c r="C364" s="317"/>
      <c r="D364" s="323">
        <v>1</v>
      </c>
      <c r="E364" s="323"/>
      <c r="F364" s="323"/>
      <c r="G364" s="323"/>
      <c r="H364" s="324">
        <f t="shared" si="39"/>
        <v>1</v>
      </c>
    </row>
    <row r="365" spans="1:8">
      <c r="A365" s="334"/>
      <c r="B365" s="120" t="s">
        <v>269</v>
      </c>
      <c r="C365" s="317"/>
      <c r="D365" s="323">
        <v>1</v>
      </c>
      <c r="E365" s="323"/>
      <c r="F365" s="323"/>
      <c r="G365" s="323"/>
      <c r="H365" s="324">
        <f t="shared" si="39"/>
        <v>1</v>
      </c>
    </row>
    <row r="366" spans="1:8">
      <c r="A366" s="334"/>
      <c r="B366" s="120" t="s">
        <v>270</v>
      </c>
      <c r="C366" s="317"/>
      <c r="D366" s="323">
        <v>1</v>
      </c>
      <c r="E366" s="323"/>
      <c r="F366" s="323"/>
      <c r="G366" s="323"/>
      <c r="H366" s="324">
        <f t="shared" si="39"/>
        <v>1</v>
      </c>
    </row>
    <row r="367" spans="1:8">
      <c r="A367" s="334"/>
      <c r="B367" s="120" t="s">
        <v>271</v>
      </c>
      <c r="C367" s="317"/>
      <c r="D367" s="323">
        <v>1</v>
      </c>
      <c r="E367" s="323"/>
      <c r="F367" s="323"/>
      <c r="G367" s="323"/>
      <c r="H367" s="324">
        <f t="shared" si="39"/>
        <v>1</v>
      </c>
    </row>
    <row r="368" spans="1:8">
      <c r="A368" s="334"/>
      <c r="B368" s="120" t="s">
        <v>272</v>
      </c>
      <c r="C368" s="317"/>
      <c r="D368" s="323">
        <v>1</v>
      </c>
      <c r="E368" s="323"/>
      <c r="F368" s="323"/>
      <c r="G368" s="323"/>
      <c r="H368" s="324">
        <f t="shared" si="39"/>
        <v>1</v>
      </c>
    </row>
    <row r="369" spans="1:8">
      <c r="A369" s="334"/>
      <c r="B369" s="120" t="s">
        <v>546</v>
      </c>
      <c r="C369" s="317"/>
      <c r="D369" s="323">
        <v>1</v>
      </c>
      <c r="E369" s="323"/>
      <c r="F369" s="323"/>
      <c r="G369" s="323"/>
      <c r="H369" s="324">
        <f t="shared" si="39"/>
        <v>1</v>
      </c>
    </row>
    <row r="370" spans="1:8">
      <c r="A370" s="334"/>
      <c r="B370" s="120" t="s">
        <v>273</v>
      </c>
      <c r="C370" s="317"/>
      <c r="D370" s="323">
        <v>1</v>
      </c>
      <c r="E370" s="323"/>
      <c r="F370" s="323"/>
      <c r="G370" s="323"/>
      <c r="H370" s="324">
        <f t="shared" si="39"/>
        <v>1</v>
      </c>
    </row>
    <row r="371" spans="1:8">
      <c r="A371" s="334"/>
      <c r="B371" s="120" t="s">
        <v>274</v>
      </c>
      <c r="C371" s="317"/>
      <c r="D371" s="323">
        <v>1</v>
      </c>
      <c r="E371" s="323"/>
      <c r="F371" s="323"/>
      <c r="G371" s="323"/>
      <c r="H371" s="324">
        <f t="shared" si="39"/>
        <v>1</v>
      </c>
    </row>
    <row r="372" spans="1:8">
      <c r="A372" s="334"/>
      <c r="B372" s="120" t="s">
        <v>275</v>
      </c>
      <c r="C372" s="317"/>
      <c r="D372" s="323">
        <v>1</v>
      </c>
      <c r="E372" s="323"/>
      <c r="F372" s="323"/>
      <c r="G372" s="323"/>
      <c r="H372" s="324">
        <f t="shared" si="39"/>
        <v>1</v>
      </c>
    </row>
    <row r="373" spans="1:8">
      <c r="A373" s="334"/>
      <c r="B373" s="120" t="s">
        <v>276</v>
      </c>
      <c r="C373" s="317"/>
      <c r="D373" s="323">
        <v>1</v>
      </c>
      <c r="E373" s="323"/>
      <c r="F373" s="323"/>
      <c r="G373" s="323"/>
      <c r="H373" s="324">
        <f t="shared" si="39"/>
        <v>1</v>
      </c>
    </row>
    <row r="374" spans="1:8">
      <c r="A374" s="334"/>
      <c r="B374" s="120" t="s">
        <v>277</v>
      </c>
      <c r="C374" s="317"/>
      <c r="D374" s="323">
        <v>1</v>
      </c>
      <c r="E374" s="323"/>
      <c r="F374" s="323"/>
      <c r="G374" s="323"/>
      <c r="H374" s="324">
        <f t="shared" si="39"/>
        <v>1</v>
      </c>
    </row>
    <row r="375" spans="1:8">
      <c r="A375" s="334"/>
      <c r="B375" s="120" t="s">
        <v>278</v>
      </c>
      <c r="C375" s="317"/>
      <c r="D375" s="323">
        <v>1</v>
      </c>
      <c r="E375" s="323"/>
      <c r="F375" s="323"/>
      <c r="G375" s="323"/>
      <c r="H375" s="324">
        <f t="shared" si="39"/>
        <v>1</v>
      </c>
    </row>
    <row r="376" spans="1:8">
      <c r="A376" s="334"/>
      <c r="B376" s="120" t="s">
        <v>279</v>
      </c>
      <c r="C376" s="317"/>
      <c r="D376" s="323">
        <v>1</v>
      </c>
      <c r="E376" s="323"/>
      <c r="F376" s="323"/>
      <c r="G376" s="323"/>
      <c r="H376" s="324">
        <f t="shared" si="39"/>
        <v>1</v>
      </c>
    </row>
    <row r="377" spans="1:8">
      <c r="A377" s="334"/>
      <c r="B377" s="120" t="s">
        <v>280</v>
      </c>
      <c r="C377" s="317"/>
      <c r="D377" s="323">
        <v>1</v>
      </c>
      <c r="E377" s="323"/>
      <c r="F377" s="323"/>
      <c r="G377" s="323"/>
      <c r="H377" s="324">
        <f t="shared" si="39"/>
        <v>1</v>
      </c>
    </row>
    <row r="378" spans="1:8">
      <c r="A378" s="334"/>
      <c r="B378" s="120" t="s">
        <v>547</v>
      </c>
      <c r="C378" s="317"/>
      <c r="D378" s="323">
        <v>1</v>
      </c>
      <c r="E378" s="323"/>
      <c r="F378" s="323"/>
      <c r="G378" s="323"/>
      <c r="H378" s="324">
        <f t="shared" si="39"/>
        <v>1</v>
      </c>
    </row>
    <row r="379" spans="1:8">
      <c r="A379" s="334"/>
      <c r="B379" s="120" t="s">
        <v>548</v>
      </c>
      <c r="C379" s="317"/>
      <c r="D379" s="323">
        <v>1</v>
      </c>
      <c r="E379" s="323"/>
      <c r="F379" s="323"/>
      <c r="G379" s="323"/>
      <c r="H379" s="324">
        <f t="shared" si="39"/>
        <v>1</v>
      </c>
    </row>
    <row r="380" spans="1:8">
      <c r="A380" s="334"/>
      <c r="B380" s="120" t="s">
        <v>281</v>
      </c>
      <c r="C380" s="317"/>
      <c r="D380" s="323">
        <v>1</v>
      </c>
      <c r="E380" s="323"/>
      <c r="F380" s="323"/>
      <c r="G380" s="323"/>
      <c r="H380" s="324">
        <f t="shared" si="39"/>
        <v>1</v>
      </c>
    </row>
    <row r="381" spans="1:8">
      <c r="A381" s="334"/>
      <c r="B381" s="97"/>
      <c r="C381" s="317"/>
      <c r="D381" s="326"/>
      <c r="E381" s="319"/>
      <c r="F381" s="320"/>
      <c r="G381" s="113" t="str">
        <f>"Total item "&amp;A353</f>
        <v>Total item 5.10</v>
      </c>
      <c r="H381" s="114">
        <f>SUM(H354:H380)</f>
        <v>27</v>
      </c>
    </row>
    <row r="382" spans="1:8" ht="33.75">
      <c r="A382" s="311" t="str">
        <f>'Planilha orç'!A56</f>
        <v>5.11</v>
      </c>
      <c r="B382" s="134" t="str">
        <f>'Planilha orç'!D56</f>
        <v>PORTA DE CORRER DE ALUMÍNIO, COM DUAS FOLHAS PARA VIDRO, INCLUSO VIDRO LISO INCOLOR, FECHADURA E PUXADOR, SEM ALIZAR. AF_12/2019</v>
      </c>
      <c r="C382" s="311" t="str">
        <f>'Planilha orç'!E56</f>
        <v>M2</v>
      </c>
      <c r="D382" s="312"/>
      <c r="E382" s="313"/>
      <c r="F382" s="314"/>
      <c r="G382" s="315"/>
      <c r="H382" s="316"/>
    </row>
    <row r="383" spans="1:8">
      <c r="A383" s="334"/>
      <c r="B383" s="120" t="s">
        <v>286</v>
      </c>
      <c r="C383" s="317"/>
      <c r="D383" s="323"/>
      <c r="E383" s="323">
        <v>1.9</v>
      </c>
      <c r="F383" s="323"/>
      <c r="G383" s="323">
        <v>2.1</v>
      </c>
      <c r="H383" s="324">
        <f t="shared" ref="H383" si="40">ROUND(PRODUCT(D383:G383),2)</f>
        <v>3.99</v>
      </c>
    </row>
    <row r="384" spans="1:8">
      <c r="A384" s="334"/>
      <c r="B384" s="97"/>
      <c r="C384" s="317"/>
      <c r="D384" s="326"/>
      <c r="E384" s="319"/>
      <c r="F384" s="320"/>
      <c r="G384" s="113" t="str">
        <f>"Total item "&amp;A382</f>
        <v>Total item 5.11</v>
      </c>
      <c r="H384" s="114">
        <f>SUM(H383)</f>
        <v>3.99</v>
      </c>
    </row>
    <row r="385" spans="1:8" ht="22.5">
      <c r="A385" s="311" t="str">
        <f>'Planilha orç'!A57</f>
        <v>5.12</v>
      </c>
      <c r="B385" s="134" t="str">
        <f>'Planilha orç'!D57</f>
        <v>PORTÃO DE ALUMÍNIO ANODIZADO NATURAL, FECHAMENTO TOTAL C/ LAMBRI BOLA E CORREDIÇO (FORNECIMENTO E MONTAGEM)</v>
      </c>
      <c r="C385" s="311" t="str">
        <f>'Planilha orç'!E57</f>
        <v>M2</v>
      </c>
      <c r="D385" s="312"/>
      <c r="E385" s="313"/>
      <c r="F385" s="314"/>
      <c r="G385" s="315"/>
      <c r="H385" s="316"/>
    </row>
    <row r="386" spans="1:8">
      <c r="A386" s="334"/>
      <c r="B386" s="120" t="s">
        <v>250</v>
      </c>
      <c r="C386" s="317"/>
      <c r="D386" s="323"/>
      <c r="E386" s="323">
        <v>1.3</v>
      </c>
      <c r="F386" s="323"/>
      <c r="G386" s="323">
        <v>2.1</v>
      </c>
      <c r="H386" s="324">
        <f t="shared" ref="H386:H389" si="41">ROUND(PRODUCT(D386:G386),2)</f>
        <v>2.73</v>
      </c>
    </row>
    <row r="387" spans="1:8">
      <c r="A387" s="334"/>
      <c r="B387" s="120" t="s">
        <v>287</v>
      </c>
      <c r="C387" s="317"/>
      <c r="D387" s="323"/>
      <c r="E387" s="323">
        <v>3</v>
      </c>
      <c r="F387" s="323"/>
      <c r="G387" s="323">
        <v>2.1</v>
      </c>
      <c r="H387" s="324">
        <f t="shared" si="41"/>
        <v>6.3</v>
      </c>
    </row>
    <row r="388" spans="1:8">
      <c r="A388" s="334"/>
      <c r="B388" s="120" t="s">
        <v>251</v>
      </c>
      <c r="C388" s="317"/>
      <c r="D388" s="323"/>
      <c r="E388" s="323">
        <v>0.8</v>
      </c>
      <c r="F388" s="323"/>
      <c r="G388" s="323">
        <v>2.1</v>
      </c>
      <c r="H388" s="324">
        <f t="shared" si="41"/>
        <v>1.68</v>
      </c>
    </row>
    <row r="389" spans="1:8">
      <c r="A389" s="334"/>
      <c r="B389" s="120" t="s">
        <v>252</v>
      </c>
      <c r="C389" s="317"/>
      <c r="D389" s="323"/>
      <c r="E389" s="323">
        <v>1.3</v>
      </c>
      <c r="F389" s="323"/>
      <c r="G389" s="323">
        <v>2.1</v>
      </c>
      <c r="H389" s="324">
        <f t="shared" si="41"/>
        <v>2.73</v>
      </c>
    </row>
    <row r="390" spans="1:8">
      <c r="A390" s="334"/>
      <c r="B390" s="97"/>
      <c r="C390" s="317"/>
      <c r="D390" s="326"/>
      <c r="E390" s="319"/>
      <c r="F390" s="320"/>
      <c r="G390" s="113" t="str">
        <f>"Total item "&amp;A385</f>
        <v>Total item 5.12</v>
      </c>
      <c r="H390" s="114">
        <f>SUM(H386:H389)</f>
        <v>13.44</v>
      </c>
    </row>
    <row r="391" spans="1:8" ht="45">
      <c r="A391" s="311" t="str">
        <f>'Planilha orç'!A58</f>
        <v>5.13</v>
      </c>
      <c r="B391" s="134" t="str">
        <f>'Planilha orç'!D58</f>
        <v>JANELA DE ALUMÍNIO DE CORRER COM 2 FOLHAS PARA VIDROS, COM VIDROS, BATENTE, ACABAMENTO COM ACETATO OU BRILHANTE E FERRAGENS. EXCLUSIVE ALIZAR E CONTRAMARCO. FORNECIMENTO E INSTALAÇÃO. AF_12/2019</v>
      </c>
      <c r="C391" s="311" t="str">
        <f>'Planilha orç'!E58</f>
        <v>M2</v>
      </c>
      <c r="D391" s="312"/>
      <c r="E391" s="313"/>
      <c r="F391" s="314"/>
      <c r="G391" s="315"/>
      <c r="H391" s="316"/>
    </row>
    <row r="392" spans="1:8">
      <c r="A392" s="334"/>
      <c r="B392" s="120" t="s">
        <v>257</v>
      </c>
      <c r="C392" s="317"/>
      <c r="D392" s="323">
        <v>1</v>
      </c>
      <c r="E392" s="323">
        <v>1.5</v>
      </c>
      <c r="F392" s="323"/>
      <c r="G392" s="323">
        <v>1</v>
      </c>
      <c r="H392" s="324">
        <f t="shared" ref="H392:H419" si="42">ROUND(PRODUCT(D392:G392),2)</f>
        <v>1.5</v>
      </c>
    </row>
    <row r="393" spans="1:8">
      <c r="A393" s="334"/>
      <c r="B393" s="120" t="s">
        <v>258</v>
      </c>
      <c r="C393" s="317"/>
      <c r="D393" s="323">
        <v>1</v>
      </c>
      <c r="E393" s="323">
        <v>1.5</v>
      </c>
      <c r="F393" s="323"/>
      <c r="G393" s="323">
        <v>1</v>
      </c>
      <c r="H393" s="324">
        <f t="shared" si="42"/>
        <v>1.5</v>
      </c>
    </row>
    <row r="394" spans="1:8">
      <c r="A394" s="334"/>
      <c r="B394" s="120" t="s">
        <v>259</v>
      </c>
      <c r="C394" s="317"/>
      <c r="D394" s="323">
        <v>3</v>
      </c>
      <c r="E394" s="323">
        <v>1.5</v>
      </c>
      <c r="F394" s="323"/>
      <c r="G394" s="323">
        <v>1</v>
      </c>
      <c r="H394" s="324">
        <f t="shared" si="42"/>
        <v>4.5</v>
      </c>
    </row>
    <row r="395" spans="1:8">
      <c r="A395" s="334"/>
      <c r="B395" s="120" t="s">
        <v>260</v>
      </c>
      <c r="C395" s="317"/>
      <c r="D395" s="323">
        <v>1</v>
      </c>
      <c r="E395" s="323">
        <v>1.5</v>
      </c>
      <c r="F395" s="323"/>
      <c r="G395" s="323">
        <v>1</v>
      </c>
      <c r="H395" s="324">
        <f t="shared" si="42"/>
        <v>1.5</v>
      </c>
    </row>
    <row r="396" spans="1:8">
      <c r="A396" s="334"/>
      <c r="B396" s="120" t="s">
        <v>254</v>
      </c>
      <c r="C396" s="317"/>
      <c r="D396" s="323">
        <v>1</v>
      </c>
      <c r="E396" s="323">
        <v>2</v>
      </c>
      <c r="F396" s="323"/>
      <c r="G396" s="323">
        <v>0.3</v>
      </c>
      <c r="H396" s="324">
        <f t="shared" si="42"/>
        <v>0.6</v>
      </c>
    </row>
    <row r="397" spans="1:8">
      <c r="A397" s="334"/>
      <c r="B397" s="120" t="s">
        <v>255</v>
      </c>
      <c r="C397" s="317"/>
      <c r="D397" s="323">
        <v>1</v>
      </c>
      <c r="E397" s="323">
        <v>2</v>
      </c>
      <c r="F397" s="323"/>
      <c r="G397" s="323">
        <v>0.3</v>
      </c>
      <c r="H397" s="324">
        <f t="shared" si="42"/>
        <v>0.6</v>
      </c>
    </row>
    <row r="398" spans="1:8">
      <c r="A398" s="334"/>
      <c r="B398" s="120" t="s">
        <v>288</v>
      </c>
      <c r="C398" s="317"/>
      <c r="D398" s="323">
        <v>1</v>
      </c>
      <c r="E398" s="323">
        <v>1.8</v>
      </c>
      <c r="F398" s="323"/>
      <c r="G398" s="323">
        <v>0.3</v>
      </c>
      <c r="H398" s="324">
        <f t="shared" si="42"/>
        <v>0.54</v>
      </c>
    </row>
    <row r="399" spans="1:8">
      <c r="A399" s="334"/>
      <c r="B399" s="120" t="s">
        <v>289</v>
      </c>
      <c r="C399" s="317"/>
      <c r="D399" s="323">
        <v>1</v>
      </c>
      <c r="E399" s="323">
        <v>1.8</v>
      </c>
      <c r="F399" s="323"/>
      <c r="G399" s="323">
        <v>0.3</v>
      </c>
      <c r="H399" s="324">
        <f t="shared" si="42"/>
        <v>0.54</v>
      </c>
    </row>
    <row r="400" spans="1:8">
      <c r="A400" s="334"/>
      <c r="B400" s="120" t="s">
        <v>290</v>
      </c>
      <c r="C400" s="317"/>
      <c r="D400" s="323">
        <v>1</v>
      </c>
      <c r="E400" s="323">
        <v>1.8</v>
      </c>
      <c r="F400" s="323"/>
      <c r="G400" s="323">
        <v>0.3</v>
      </c>
      <c r="H400" s="324">
        <f t="shared" si="42"/>
        <v>0.54</v>
      </c>
    </row>
    <row r="401" spans="1:8">
      <c r="A401" s="334"/>
      <c r="B401" s="120" t="s">
        <v>291</v>
      </c>
      <c r="C401" s="317"/>
      <c r="D401" s="323">
        <v>1</v>
      </c>
      <c r="E401" s="323">
        <v>1.8</v>
      </c>
      <c r="F401" s="323"/>
      <c r="G401" s="323">
        <v>0.3</v>
      </c>
      <c r="H401" s="324">
        <f t="shared" si="42"/>
        <v>0.54</v>
      </c>
    </row>
    <row r="402" spans="1:8">
      <c r="A402" s="334"/>
      <c r="B402" s="120" t="s">
        <v>267</v>
      </c>
      <c r="C402" s="317"/>
      <c r="D402" s="323">
        <v>2</v>
      </c>
      <c r="E402" s="323">
        <v>2</v>
      </c>
      <c r="F402" s="323"/>
      <c r="G402" s="323">
        <v>1</v>
      </c>
      <c r="H402" s="324">
        <f t="shared" si="42"/>
        <v>4</v>
      </c>
    </row>
    <row r="403" spans="1:8">
      <c r="A403" s="334"/>
      <c r="B403" s="120" t="s">
        <v>269</v>
      </c>
      <c r="C403" s="317"/>
      <c r="D403" s="323">
        <v>2</v>
      </c>
      <c r="E403" s="323">
        <v>2</v>
      </c>
      <c r="F403" s="323"/>
      <c r="G403" s="323">
        <v>1</v>
      </c>
      <c r="H403" s="324">
        <f t="shared" si="42"/>
        <v>4</v>
      </c>
    </row>
    <row r="404" spans="1:8">
      <c r="A404" s="334"/>
      <c r="B404" s="120" t="s">
        <v>270</v>
      </c>
      <c r="C404" s="317"/>
      <c r="D404" s="323">
        <v>2</v>
      </c>
      <c r="E404" s="323">
        <v>2</v>
      </c>
      <c r="F404" s="323"/>
      <c r="G404" s="323">
        <v>1</v>
      </c>
      <c r="H404" s="324">
        <f t="shared" si="42"/>
        <v>4</v>
      </c>
    </row>
    <row r="405" spans="1:8">
      <c r="A405" s="334"/>
      <c r="B405" s="120" t="s">
        <v>271</v>
      </c>
      <c r="C405" s="317"/>
      <c r="D405" s="323">
        <v>2</v>
      </c>
      <c r="E405" s="323">
        <v>2</v>
      </c>
      <c r="F405" s="323"/>
      <c r="G405" s="323">
        <v>1</v>
      </c>
      <c r="H405" s="324">
        <f t="shared" si="42"/>
        <v>4</v>
      </c>
    </row>
    <row r="406" spans="1:8">
      <c r="A406" s="334"/>
      <c r="B406" s="120" t="s">
        <v>272</v>
      </c>
      <c r="C406" s="317"/>
      <c r="D406" s="323">
        <v>2</v>
      </c>
      <c r="E406" s="323">
        <v>2</v>
      </c>
      <c r="F406" s="323"/>
      <c r="G406" s="323">
        <v>1</v>
      </c>
      <c r="H406" s="324">
        <f t="shared" si="42"/>
        <v>4</v>
      </c>
    </row>
    <row r="407" spans="1:8">
      <c r="A407" s="334"/>
      <c r="B407" s="120" t="s">
        <v>546</v>
      </c>
      <c r="C407" s="317"/>
      <c r="D407" s="323">
        <v>2</v>
      </c>
      <c r="E407" s="323">
        <v>2</v>
      </c>
      <c r="F407" s="323"/>
      <c r="G407" s="323">
        <v>1</v>
      </c>
      <c r="H407" s="324">
        <f t="shared" si="42"/>
        <v>4</v>
      </c>
    </row>
    <row r="408" spans="1:8">
      <c r="A408" s="334"/>
      <c r="B408" s="120" t="s">
        <v>273</v>
      </c>
      <c r="C408" s="317"/>
      <c r="D408" s="323">
        <v>2</v>
      </c>
      <c r="E408" s="323">
        <v>2</v>
      </c>
      <c r="F408" s="323"/>
      <c r="G408" s="323">
        <v>1</v>
      </c>
      <c r="H408" s="324">
        <f t="shared" si="42"/>
        <v>4</v>
      </c>
    </row>
    <row r="409" spans="1:8">
      <c r="A409" s="334"/>
      <c r="B409" s="120" t="s">
        <v>274</v>
      </c>
      <c r="C409" s="317"/>
      <c r="D409" s="323">
        <v>2</v>
      </c>
      <c r="E409" s="323">
        <v>2</v>
      </c>
      <c r="F409" s="323"/>
      <c r="G409" s="323">
        <v>1</v>
      </c>
      <c r="H409" s="324">
        <f t="shared" si="42"/>
        <v>4</v>
      </c>
    </row>
    <row r="410" spans="1:8">
      <c r="A410" s="334"/>
      <c r="B410" s="120" t="s">
        <v>275</v>
      </c>
      <c r="C410" s="317"/>
      <c r="D410" s="323">
        <v>2</v>
      </c>
      <c r="E410" s="323">
        <v>2</v>
      </c>
      <c r="F410" s="323"/>
      <c r="G410" s="323">
        <v>1</v>
      </c>
      <c r="H410" s="324">
        <f t="shared" si="42"/>
        <v>4</v>
      </c>
    </row>
    <row r="411" spans="1:8">
      <c r="A411" s="334"/>
      <c r="B411" s="120" t="s">
        <v>276</v>
      </c>
      <c r="C411" s="317"/>
      <c r="D411" s="323">
        <v>2</v>
      </c>
      <c r="E411" s="323">
        <v>2</v>
      </c>
      <c r="F411" s="323"/>
      <c r="G411" s="323">
        <v>1</v>
      </c>
      <c r="H411" s="324">
        <f t="shared" si="42"/>
        <v>4</v>
      </c>
    </row>
    <row r="412" spans="1:8">
      <c r="A412" s="334"/>
      <c r="B412" s="120" t="s">
        <v>277</v>
      </c>
      <c r="C412" s="317"/>
      <c r="D412" s="323">
        <v>2</v>
      </c>
      <c r="E412" s="323">
        <v>2</v>
      </c>
      <c r="F412" s="323"/>
      <c r="G412" s="323">
        <v>1</v>
      </c>
      <c r="H412" s="324">
        <f t="shared" si="42"/>
        <v>4</v>
      </c>
    </row>
    <row r="413" spans="1:8">
      <c r="A413" s="334"/>
      <c r="B413" s="120" t="s">
        <v>278</v>
      </c>
      <c r="C413" s="317"/>
      <c r="D413" s="323">
        <v>2</v>
      </c>
      <c r="E413" s="323">
        <v>2</v>
      </c>
      <c r="F413" s="323"/>
      <c r="G413" s="323">
        <v>1</v>
      </c>
      <c r="H413" s="324">
        <f t="shared" si="42"/>
        <v>4</v>
      </c>
    </row>
    <row r="414" spans="1:8">
      <c r="A414" s="334"/>
      <c r="B414" s="120" t="s">
        <v>279</v>
      </c>
      <c r="C414" s="317"/>
      <c r="D414" s="323">
        <v>2</v>
      </c>
      <c r="E414" s="323">
        <v>2</v>
      </c>
      <c r="F414" s="323"/>
      <c r="G414" s="323">
        <v>1</v>
      </c>
      <c r="H414" s="324">
        <f t="shared" si="42"/>
        <v>4</v>
      </c>
    </row>
    <row r="415" spans="1:8">
      <c r="A415" s="334"/>
      <c r="B415" s="120" t="s">
        <v>280</v>
      </c>
      <c r="C415" s="317"/>
      <c r="D415" s="323">
        <v>2</v>
      </c>
      <c r="E415" s="323">
        <v>2</v>
      </c>
      <c r="F415" s="323"/>
      <c r="G415" s="323">
        <v>1</v>
      </c>
      <c r="H415" s="324">
        <f t="shared" si="42"/>
        <v>4</v>
      </c>
    </row>
    <row r="416" spans="1:8">
      <c r="A416" s="334"/>
      <c r="B416" s="120" t="s">
        <v>547</v>
      </c>
      <c r="C416" s="317"/>
      <c r="D416" s="323">
        <v>2</v>
      </c>
      <c r="E416" s="323">
        <v>2</v>
      </c>
      <c r="F416" s="323"/>
      <c r="G416" s="323">
        <v>1</v>
      </c>
      <c r="H416" s="324">
        <f t="shared" si="42"/>
        <v>4</v>
      </c>
    </row>
    <row r="417" spans="1:8">
      <c r="A417" s="334"/>
      <c r="B417" s="120" t="s">
        <v>548</v>
      </c>
      <c r="C417" s="317"/>
      <c r="D417" s="323">
        <v>2</v>
      </c>
      <c r="E417" s="323">
        <v>2</v>
      </c>
      <c r="F417" s="323"/>
      <c r="G417" s="323">
        <v>1</v>
      </c>
      <c r="H417" s="324">
        <f t="shared" si="42"/>
        <v>4</v>
      </c>
    </row>
    <row r="418" spans="1:8">
      <c r="A418" s="334"/>
      <c r="B418" s="120" t="s">
        <v>281</v>
      </c>
      <c r="C418" s="317"/>
      <c r="D418" s="323">
        <v>1</v>
      </c>
      <c r="E418" s="323">
        <v>1.5</v>
      </c>
      <c r="F418" s="323"/>
      <c r="G418" s="323">
        <v>1</v>
      </c>
      <c r="H418" s="324">
        <f t="shared" si="42"/>
        <v>1.5</v>
      </c>
    </row>
    <row r="419" spans="1:8">
      <c r="A419" s="334"/>
      <c r="B419" s="120" t="s">
        <v>281</v>
      </c>
      <c r="C419" s="317"/>
      <c r="D419" s="323">
        <v>1</v>
      </c>
      <c r="E419" s="323">
        <v>0.5</v>
      </c>
      <c r="F419" s="323"/>
      <c r="G419" s="323">
        <v>0.3</v>
      </c>
      <c r="H419" s="324">
        <f t="shared" si="42"/>
        <v>0.15</v>
      </c>
    </row>
    <row r="420" spans="1:8">
      <c r="A420" s="334"/>
      <c r="B420" s="97"/>
      <c r="C420" s="317"/>
      <c r="D420" s="326"/>
      <c r="E420" s="319"/>
      <c r="F420" s="320"/>
      <c r="G420" s="113" t="str">
        <f>"Total item "&amp;A391</f>
        <v>Total item 5.13</v>
      </c>
      <c r="H420" s="114">
        <f>SUM(H392:H419)</f>
        <v>78.010000000000005</v>
      </c>
    </row>
    <row r="421" spans="1:8" ht="33.75">
      <c r="A421" s="311" t="str">
        <f>'Planilha orç'!A59</f>
        <v>5.14</v>
      </c>
      <c r="B421" s="134" t="str">
        <f>'Planilha orç'!D59</f>
        <v>PORTA EM ALUMÍNIO ANODIZADO NATURAL/FOSCO, DE CORRER, SEM BANDEIROLA E/OU PEITORIL, SEM VIDRO - FORNECIMENTO E MONTAGEM</v>
      </c>
      <c r="C421" s="311" t="str">
        <f>'Planilha orç'!E59</f>
        <v>M2</v>
      </c>
      <c r="D421" s="312"/>
      <c r="E421" s="313"/>
      <c r="F421" s="314"/>
      <c r="G421" s="315"/>
      <c r="H421" s="316"/>
    </row>
    <row r="422" spans="1:8">
      <c r="A422" s="334"/>
      <c r="B422" s="120" t="s">
        <v>282</v>
      </c>
      <c r="C422" s="317"/>
      <c r="D422" s="323">
        <v>1</v>
      </c>
      <c r="E422" s="323">
        <v>0.9</v>
      </c>
      <c r="F422" s="323"/>
      <c r="G422" s="323">
        <v>2.1</v>
      </c>
      <c r="H422" s="324">
        <f t="shared" ref="H422:H425" si="43">ROUND(PRODUCT(D422:G422),2)</f>
        <v>1.89</v>
      </c>
    </row>
    <row r="423" spans="1:8">
      <c r="A423" s="334"/>
      <c r="B423" s="120" t="s">
        <v>283</v>
      </c>
      <c r="C423" s="317"/>
      <c r="D423" s="323">
        <v>1</v>
      </c>
      <c r="E423" s="323">
        <v>0.9</v>
      </c>
      <c r="F423" s="323"/>
      <c r="G423" s="323">
        <v>2.1</v>
      </c>
      <c r="H423" s="324">
        <f t="shared" si="43"/>
        <v>1.89</v>
      </c>
    </row>
    <row r="424" spans="1:8">
      <c r="A424" s="334"/>
      <c r="B424" s="120" t="s">
        <v>284</v>
      </c>
      <c r="C424" s="317"/>
      <c r="D424" s="323">
        <v>1</v>
      </c>
      <c r="E424" s="323">
        <v>0.9</v>
      </c>
      <c r="F424" s="323"/>
      <c r="G424" s="323">
        <v>2.1</v>
      </c>
      <c r="H424" s="324">
        <f t="shared" si="43"/>
        <v>1.89</v>
      </c>
    </row>
    <row r="425" spans="1:8">
      <c r="A425" s="334"/>
      <c r="B425" s="120" t="s">
        <v>285</v>
      </c>
      <c r="C425" s="317"/>
      <c r="D425" s="323">
        <v>1</v>
      </c>
      <c r="E425" s="323">
        <v>0.9</v>
      </c>
      <c r="F425" s="323"/>
      <c r="G425" s="323">
        <v>2.1</v>
      </c>
      <c r="H425" s="324">
        <f t="shared" si="43"/>
        <v>1.89</v>
      </c>
    </row>
    <row r="426" spans="1:8">
      <c r="A426" s="334"/>
      <c r="B426" s="97"/>
      <c r="C426" s="317"/>
      <c r="D426" s="326"/>
      <c r="E426" s="319"/>
      <c r="F426" s="320"/>
      <c r="G426" s="113" t="str">
        <f>"Total item "&amp;A421</f>
        <v>Total item 5.14</v>
      </c>
      <c r="H426" s="114">
        <f>SUM(H422:H425)</f>
        <v>7.56</v>
      </c>
    </row>
    <row r="427" spans="1:8">
      <c r="A427" s="311" t="str">
        <f>'Planilha orç'!A60</f>
        <v>5.15</v>
      </c>
      <c r="B427" s="134" t="str">
        <f>'Planilha orç'!D60</f>
        <v>GRADE DE FERRO DE PROTEÇÃO</v>
      </c>
      <c r="C427" s="311" t="str">
        <f>'Planilha orç'!E60</f>
        <v>M2</v>
      </c>
      <c r="D427" s="312"/>
      <c r="E427" s="313"/>
      <c r="F427" s="314"/>
      <c r="G427" s="315"/>
      <c r="H427" s="316"/>
    </row>
    <row r="428" spans="1:8">
      <c r="A428" s="334"/>
      <c r="B428" s="121" t="str">
        <f>"Total item "&amp;A391</f>
        <v>Total item 5.13</v>
      </c>
      <c r="C428" s="317"/>
      <c r="D428" s="326"/>
      <c r="E428" s="319"/>
      <c r="F428" s="320"/>
      <c r="G428" s="320"/>
      <c r="H428" s="321">
        <f>H420</f>
        <v>78.010000000000005</v>
      </c>
    </row>
    <row r="429" spans="1:8">
      <c r="A429" s="334"/>
      <c r="B429" s="97"/>
      <c r="C429" s="317"/>
      <c r="D429" s="326"/>
      <c r="E429" s="319"/>
      <c r="F429" s="320"/>
      <c r="G429" s="113" t="str">
        <f>"Total item "&amp;A427</f>
        <v>Total item 5.15</v>
      </c>
      <c r="H429" s="114">
        <f>SUM(H428)</f>
        <v>78.010000000000005</v>
      </c>
    </row>
    <row r="430" spans="1:8" ht="33.75">
      <c r="A430" s="311" t="str">
        <f>'Planilha orç'!A61</f>
        <v>5.16</v>
      </c>
      <c r="B430" s="134" t="str">
        <f>'Planilha orç'!D61</f>
        <v>PORTA DE ALUMÍNIO DE ABRIR COM LAMBRI, COM GUARNIÇÃO, FIXAÇÃO COM PARAFUSOS - FORNECIMENTO E INSTALAÇÃO. AF_12/2019</v>
      </c>
      <c r="C430" s="311" t="str">
        <f>'Planilha orç'!E61</f>
        <v>M2</v>
      </c>
      <c r="D430" s="312"/>
      <c r="E430" s="313"/>
      <c r="F430" s="314"/>
      <c r="G430" s="315"/>
      <c r="H430" s="316"/>
    </row>
    <row r="431" spans="1:8">
      <c r="A431" s="334"/>
      <c r="B431" s="120" t="s">
        <v>292</v>
      </c>
      <c r="C431" s="317"/>
      <c r="D431" s="323">
        <v>3</v>
      </c>
      <c r="E431" s="319">
        <v>0.9</v>
      </c>
      <c r="F431" s="320"/>
      <c r="G431" s="323">
        <v>1.7</v>
      </c>
      <c r="H431" s="324">
        <f t="shared" ref="H431:H436" si="44">ROUND(PRODUCT(D431:G431),2)</f>
        <v>4.59</v>
      </c>
    </row>
    <row r="432" spans="1:8">
      <c r="A432" s="334"/>
      <c r="B432" s="120" t="s">
        <v>293</v>
      </c>
      <c r="C432" s="317"/>
      <c r="D432" s="323">
        <v>3</v>
      </c>
      <c r="E432" s="319">
        <v>0.9</v>
      </c>
      <c r="F432" s="320"/>
      <c r="G432" s="323">
        <v>1.7</v>
      </c>
      <c r="H432" s="324">
        <f t="shared" si="44"/>
        <v>4.59</v>
      </c>
    </row>
    <row r="433" spans="1:8">
      <c r="A433" s="334"/>
      <c r="B433" s="120" t="s">
        <v>294</v>
      </c>
      <c r="C433" s="317"/>
      <c r="D433" s="323">
        <v>2</v>
      </c>
      <c r="E433" s="319">
        <v>0.9</v>
      </c>
      <c r="F433" s="320"/>
      <c r="G433" s="323">
        <v>1.7</v>
      </c>
      <c r="H433" s="324">
        <f t="shared" si="44"/>
        <v>3.06</v>
      </c>
    </row>
    <row r="434" spans="1:8">
      <c r="A434" s="334"/>
      <c r="B434" s="120" t="s">
        <v>295</v>
      </c>
      <c r="C434" s="317"/>
      <c r="D434" s="323">
        <v>2</v>
      </c>
      <c r="E434" s="319">
        <v>0.9</v>
      </c>
      <c r="F434" s="320"/>
      <c r="G434" s="323">
        <v>1.7</v>
      </c>
      <c r="H434" s="324">
        <f t="shared" si="44"/>
        <v>3.06</v>
      </c>
    </row>
    <row r="435" spans="1:8">
      <c r="A435" s="334"/>
      <c r="B435" s="120" t="s">
        <v>296</v>
      </c>
      <c r="C435" s="317"/>
      <c r="D435" s="323">
        <v>2</v>
      </c>
      <c r="E435" s="319">
        <v>0.9</v>
      </c>
      <c r="F435" s="320"/>
      <c r="G435" s="323">
        <v>1.7</v>
      </c>
      <c r="H435" s="324">
        <f t="shared" si="44"/>
        <v>3.06</v>
      </c>
    </row>
    <row r="436" spans="1:8">
      <c r="A436" s="334"/>
      <c r="B436" s="120" t="s">
        <v>297</v>
      </c>
      <c r="C436" s="317"/>
      <c r="D436" s="323">
        <v>2</v>
      </c>
      <c r="E436" s="319">
        <v>0.9</v>
      </c>
      <c r="F436" s="320"/>
      <c r="G436" s="323">
        <v>1.7</v>
      </c>
      <c r="H436" s="324">
        <f t="shared" si="44"/>
        <v>3.06</v>
      </c>
    </row>
    <row r="437" spans="1:8">
      <c r="A437" s="347"/>
      <c r="B437" s="196"/>
      <c r="C437" s="348"/>
      <c r="D437" s="349"/>
      <c r="E437" s="350"/>
      <c r="F437" s="351"/>
      <c r="G437" s="197" t="str">
        <f>"Total item "&amp;A430</f>
        <v>Total item 5.16</v>
      </c>
      <c r="H437" s="198">
        <f>SUM(H431:H436)</f>
        <v>21.419999999999998</v>
      </c>
    </row>
    <row r="438" spans="1:8">
      <c r="A438" s="311" t="str">
        <f>'Planilha orç'!A62</f>
        <v>5.17</v>
      </c>
      <c r="B438" s="134" t="str">
        <f>'Planilha orç'!D62</f>
        <v>FERROLHO DE SOBREPOR OU EMBUTIR PEQUENO</v>
      </c>
      <c r="C438" s="311" t="str">
        <f>'Planilha orç'!E62</f>
        <v>UN</v>
      </c>
      <c r="D438" s="312"/>
      <c r="E438" s="313"/>
      <c r="F438" s="314"/>
      <c r="G438" s="315"/>
      <c r="H438" s="316"/>
    </row>
    <row r="439" spans="1:8">
      <c r="A439" s="334"/>
      <c r="B439" s="199" t="s">
        <v>884</v>
      </c>
      <c r="C439" s="317"/>
      <c r="D439" s="323">
        <v>3</v>
      </c>
      <c r="E439" s="319"/>
      <c r="F439" s="320"/>
      <c r="G439" s="320"/>
      <c r="H439" s="324">
        <f t="shared" ref="H439:H448" si="45">ROUND(PRODUCT(D439:G439),2)</f>
        <v>3</v>
      </c>
    </row>
    <row r="440" spans="1:8">
      <c r="A440" s="334"/>
      <c r="B440" s="199" t="s">
        <v>885</v>
      </c>
      <c r="C440" s="317"/>
      <c r="D440" s="323">
        <v>3</v>
      </c>
      <c r="E440" s="319"/>
      <c r="F440" s="320"/>
      <c r="G440" s="320"/>
      <c r="H440" s="324">
        <f t="shared" si="45"/>
        <v>3</v>
      </c>
    </row>
    <row r="441" spans="1:8">
      <c r="A441" s="334"/>
      <c r="B441" s="199" t="s">
        <v>886</v>
      </c>
      <c r="C441" s="317"/>
      <c r="D441" s="323">
        <v>2</v>
      </c>
      <c r="E441" s="319"/>
      <c r="F441" s="320"/>
      <c r="G441" s="320"/>
      <c r="H441" s="324">
        <f t="shared" si="45"/>
        <v>2</v>
      </c>
    </row>
    <row r="442" spans="1:8">
      <c r="A442" s="334"/>
      <c r="B442" s="199" t="s">
        <v>887</v>
      </c>
      <c r="C442" s="317"/>
      <c r="D442" s="323">
        <v>2</v>
      </c>
      <c r="E442" s="319"/>
      <c r="F442" s="320"/>
      <c r="G442" s="320"/>
      <c r="H442" s="324">
        <f t="shared" si="45"/>
        <v>2</v>
      </c>
    </row>
    <row r="443" spans="1:8">
      <c r="A443" s="334"/>
      <c r="B443" s="199" t="s">
        <v>888</v>
      </c>
      <c r="C443" s="317"/>
      <c r="D443" s="323">
        <v>2</v>
      </c>
      <c r="E443" s="319"/>
      <c r="F443" s="320"/>
      <c r="G443" s="320"/>
      <c r="H443" s="324">
        <f t="shared" si="45"/>
        <v>2</v>
      </c>
    </row>
    <row r="444" spans="1:8">
      <c r="A444" s="334"/>
      <c r="B444" s="199" t="s">
        <v>889</v>
      </c>
      <c r="C444" s="317"/>
      <c r="D444" s="323">
        <v>2</v>
      </c>
      <c r="E444" s="319"/>
      <c r="F444" s="320"/>
      <c r="G444" s="320"/>
      <c r="H444" s="324">
        <f t="shared" si="45"/>
        <v>2</v>
      </c>
    </row>
    <row r="445" spans="1:8">
      <c r="A445" s="334"/>
      <c r="B445" s="120" t="s">
        <v>282</v>
      </c>
      <c r="C445" s="317"/>
      <c r="D445" s="323">
        <v>1</v>
      </c>
      <c r="E445" s="319"/>
      <c r="F445" s="320"/>
      <c r="G445" s="320"/>
      <c r="H445" s="324">
        <f t="shared" si="45"/>
        <v>1</v>
      </c>
    </row>
    <row r="446" spans="1:8">
      <c r="A446" s="334"/>
      <c r="B446" s="120" t="s">
        <v>283</v>
      </c>
      <c r="C446" s="317"/>
      <c r="D446" s="323">
        <v>1</v>
      </c>
      <c r="E446" s="319"/>
      <c r="F446" s="320"/>
      <c r="G446" s="320"/>
      <c r="H446" s="324">
        <f t="shared" si="45"/>
        <v>1</v>
      </c>
    </row>
    <row r="447" spans="1:8">
      <c r="A447" s="334"/>
      <c r="B447" s="120" t="s">
        <v>284</v>
      </c>
      <c r="C447" s="317"/>
      <c r="D447" s="323">
        <v>1</v>
      </c>
      <c r="E447" s="319"/>
      <c r="F447" s="320"/>
      <c r="G447" s="320"/>
      <c r="H447" s="324">
        <f t="shared" si="45"/>
        <v>1</v>
      </c>
    </row>
    <row r="448" spans="1:8">
      <c r="A448" s="334"/>
      <c r="B448" s="120" t="s">
        <v>285</v>
      </c>
      <c r="C448" s="317"/>
      <c r="D448" s="323">
        <v>1</v>
      </c>
      <c r="E448" s="319"/>
      <c r="F448" s="320"/>
      <c r="G448" s="320"/>
      <c r="H448" s="324">
        <f t="shared" si="45"/>
        <v>1</v>
      </c>
    </row>
    <row r="449" spans="1:8">
      <c r="A449" s="334"/>
      <c r="B449" s="97"/>
      <c r="C449" s="317"/>
      <c r="D449" s="326"/>
      <c r="E449" s="319"/>
      <c r="F449" s="320"/>
      <c r="G449" s="139" t="str">
        <f>"Total item "&amp;A438</f>
        <v>Total item 5.17</v>
      </c>
      <c r="H449" s="140">
        <f>SUM(H439:H448)</f>
        <v>18</v>
      </c>
    </row>
    <row r="450" spans="1:8" ht="33.75">
      <c r="A450" s="311" t="str">
        <f>'Planilha orç'!A63</f>
        <v>5.18</v>
      </c>
      <c r="B450" s="134" t="str">
        <f>'Planilha orç'!D63</f>
        <v>DIVISORIA SANITÁRIA, TIPO CABINE, EM GRANITO CINZA POLIDO, ESP = 3CM, ASSENTADO COM ARGAMASSA COLANTE AC III-E, EXCLUSIVE FERRAGENS. AF_01/2021</v>
      </c>
      <c r="C450" s="311" t="str">
        <f>'Planilha orç'!E63</f>
        <v>M2</v>
      </c>
      <c r="D450" s="312"/>
      <c r="E450" s="313"/>
      <c r="F450" s="314"/>
      <c r="G450" s="315"/>
      <c r="H450" s="316"/>
    </row>
    <row r="451" spans="1:8">
      <c r="A451" s="334"/>
      <c r="B451" s="199" t="s">
        <v>884</v>
      </c>
      <c r="C451" s="317"/>
      <c r="D451" s="333">
        <v>2</v>
      </c>
      <c r="E451" s="319">
        <v>1.1000000000000001</v>
      </c>
      <c r="F451" s="320"/>
      <c r="G451" s="323">
        <v>1.8</v>
      </c>
      <c r="H451" s="324">
        <f t="shared" ref="H451:H460" si="46">ROUND(PRODUCT(D451:G451),2)</f>
        <v>3.96</v>
      </c>
    </row>
    <row r="452" spans="1:8">
      <c r="A452" s="334"/>
      <c r="B452" s="199" t="s">
        <v>885</v>
      </c>
      <c r="C452" s="317"/>
      <c r="D452" s="333">
        <v>2</v>
      </c>
      <c r="E452" s="319">
        <v>1.1000000000000001</v>
      </c>
      <c r="F452" s="320"/>
      <c r="G452" s="323">
        <v>1.8</v>
      </c>
      <c r="H452" s="324">
        <f t="shared" si="46"/>
        <v>3.96</v>
      </c>
    </row>
    <row r="453" spans="1:8">
      <c r="A453" s="334"/>
      <c r="B453" s="199" t="s">
        <v>886</v>
      </c>
      <c r="C453" s="317"/>
      <c r="D453" s="333">
        <v>1</v>
      </c>
      <c r="E453" s="319">
        <v>1.1000000000000001</v>
      </c>
      <c r="F453" s="320"/>
      <c r="G453" s="323">
        <v>1.8</v>
      </c>
      <c r="H453" s="324">
        <f t="shared" si="46"/>
        <v>1.98</v>
      </c>
    </row>
    <row r="454" spans="1:8">
      <c r="A454" s="334"/>
      <c r="B454" s="199" t="s">
        <v>887</v>
      </c>
      <c r="C454" s="317"/>
      <c r="D454" s="333">
        <v>1</v>
      </c>
      <c r="E454" s="319">
        <v>1.1000000000000001</v>
      </c>
      <c r="F454" s="320"/>
      <c r="G454" s="323">
        <v>1.8</v>
      </c>
      <c r="H454" s="324">
        <f t="shared" si="46"/>
        <v>1.98</v>
      </c>
    </row>
    <row r="455" spans="1:8">
      <c r="A455" s="334"/>
      <c r="B455" s="199" t="s">
        <v>888</v>
      </c>
      <c r="C455" s="317"/>
      <c r="D455" s="333">
        <v>1</v>
      </c>
      <c r="E455" s="319">
        <v>1.1000000000000001</v>
      </c>
      <c r="F455" s="320"/>
      <c r="G455" s="323">
        <v>1.8</v>
      </c>
      <c r="H455" s="324">
        <f t="shared" si="46"/>
        <v>1.98</v>
      </c>
    </row>
    <row r="456" spans="1:8">
      <c r="A456" s="334"/>
      <c r="B456" s="199" t="s">
        <v>889</v>
      </c>
      <c r="C456" s="317"/>
      <c r="D456" s="333">
        <v>1</v>
      </c>
      <c r="E456" s="319">
        <v>1.1000000000000001</v>
      </c>
      <c r="F456" s="320"/>
      <c r="G456" s="323">
        <v>1.8</v>
      </c>
      <c r="H456" s="324">
        <f t="shared" si="46"/>
        <v>1.98</v>
      </c>
    </row>
    <row r="457" spans="1:8">
      <c r="A457" s="334"/>
      <c r="B457" s="120" t="s">
        <v>282</v>
      </c>
      <c r="C457" s="317"/>
      <c r="D457" s="333">
        <v>1</v>
      </c>
      <c r="E457" s="319">
        <f>0.75+1.95</f>
        <v>2.7</v>
      </c>
      <c r="F457" s="320"/>
      <c r="G457" s="323">
        <v>1.8</v>
      </c>
      <c r="H457" s="324">
        <f t="shared" si="46"/>
        <v>4.8600000000000003</v>
      </c>
    </row>
    <row r="458" spans="1:8">
      <c r="A458" s="334"/>
      <c r="B458" s="120" t="s">
        <v>283</v>
      </c>
      <c r="C458" s="317"/>
      <c r="D458" s="333">
        <v>1</v>
      </c>
      <c r="E458" s="319">
        <f t="shared" ref="E458:E460" si="47">0.75+1.95</f>
        <v>2.7</v>
      </c>
      <c r="F458" s="320"/>
      <c r="G458" s="323">
        <v>1.8</v>
      </c>
      <c r="H458" s="324">
        <f t="shared" si="46"/>
        <v>4.8600000000000003</v>
      </c>
    </row>
    <row r="459" spans="1:8">
      <c r="A459" s="334"/>
      <c r="B459" s="120" t="s">
        <v>284</v>
      </c>
      <c r="C459" s="317"/>
      <c r="D459" s="333">
        <v>1</v>
      </c>
      <c r="E459" s="319">
        <f t="shared" si="47"/>
        <v>2.7</v>
      </c>
      <c r="F459" s="320"/>
      <c r="G459" s="323">
        <v>1.8</v>
      </c>
      <c r="H459" s="324">
        <f t="shared" si="46"/>
        <v>4.8600000000000003</v>
      </c>
    </row>
    <row r="460" spans="1:8">
      <c r="A460" s="334"/>
      <c r="B460" s="120" t="s">
        <v>285</v>
      </c>
      <c r="C460" s="317"/>
      <c r="D460" s="333">
        <v>1</v>
      </c>
      <c r="E460" s="319">
        <f t="shared" si="47"/>
        <v>2.7</v>
      </c>
      <c r="F460" s="320"/>
      <c r="G460" s="323">
        <v>1.8</v>
      </c>
      <c r="H460" s="324">
        <f t="shared" si="46"/>
        <v>4.8600000000000003</v>
      </c>
    </row>
    <row r="461" spans="1:8">
      <c r="A461" s="334"/>
      <c r="B461" s="97"/>
      <c r="C461" s="317"/>
      <c r="D461" s="326"/>
      <c r="E461" s="319"/>
      <c r="F461" s="320"/>
      <c r="G461" s="139" t="str">
        <f>"Total item "&amp;A450</f>
        <v>Total item 5.18</v>
      </c>
      <c r="H461" s="140">
        <f>SUM(H451:H460)</f>
        <v>35.28</v>
      </c>
    </row>
    <row r="462" spans="1:8" ht="22.5">
      <c r="A462" s="311" t="str">
        <f>'Planilha orç'!A64</f>
        <v>5.19</v>
      </c>
      <c r="B462" s="134" t="str">
        <f>'Planilha orç'!D64</f>
        <v>CORRIMÃO EM TUBO GALVANIZADO DE 2" (FORNECIMENTO E MONTAGEM)</v>
      </c>
      <c r="C462" s="311" t="str">
        <f>'Planilha orç'!E64</f>
        <v>M</v>
      </c>
      <c r="D462" s="312"/>
      <c r="E462" s="313"/>
      <c r="F462" s="314"/>
      <c r="G462" s="315"/>
      <c r="H462" s="316"/>
    </row>
    <row r="463" spans="1:8">
      <c r="A463" s="317"/>
      <c r="B463" s="199" t="s">
        <v>832</v>
      </c>
      <c r="C463" s="317"/>
      <c r="D463" s="317">
        <v>1</v>
      </c>
      <c r="E463" s="320">
        <v>10.75</v>
      </c>
      <c r="F463" s="320"/>
      <c r="G463" s="139"/>
      <c r="H463" s="321">
        <f>ROUND(PRODUCT(D463:G463),2)</f>
        <v>10.75</v>
      </c>
    </row>
    <row r="464" spans="1:8">
      <c r="A464" s="317"/>
      <c r="B464" s="199" t="s">
        <v>832</v>
      </c>
      <c r="C464" s="317"/>
      <c r="D464" s="317">
        <v>1</v>
      </c>
      <c r="E464" s="320">
        <v>9.75</v>
      </c>
      <c r="F464" s="320"/>
      <c r="G464" s="139"/>
      <c r="H464" s="321">
        <f t="shared" ref="H464:H467" si="48">ROUND(PRODUCT(D464:G464),2)</f>
        <v>9.75</v>
      </c>
    </row>
    <row r="465" spans="1:8">
      <c r="A465" s="317"/>
      <c r="B465" s="199" t="s">
        <v>833</v>
      </c>
      <c r="C465" s="317"/>
      <c r="D465" s="317">
        <v>2</v>
      </c>
      <c r="E465" s="320">
        <v>5</v>
      </c>
      <c r="F465" s="320"/>
      <c r="G465" s="186"/>
      <c r="H465" s="321">
        <f t="shared" si="48"/>
        <v>10</v>
      </c>
    </row>
    <row r="466" spans="1:8">
      <c r="A466" s="317"/>
      <c r="B466" s="199" t="s">
        <v>906</v>
      </c>
      <c r="C466" s="317"/>
      <c r="D466" s="317">
        <v>2</v>
      </c>
      <c r="E466" s="320">
        <v>5</v>
      </c>
      <c r="F466" s="320"/>
      <c r="G466" s="186"/>
      <c r="H466" s="321">
        <f t="shared" si="48"/>
        <v>10</v>
      </c>
    </row>
    <row r="467" spans="1:8">
      <c r="A467" s="317"/>
      <c r="B467" s="199" t="s">
        <v>907</v>
      </c>
      <c r="C467" s="317"/>
      <c r="D467" s="317">
        <v>2</v>
      </c>
      <c r="E467" s="320">
        <v>5</v>
      </c>
      <c r="F467" s="320"/>
      <c r="G467" s="186"/>
      <c r="H467" s="321">
        <f t="shared" si="48"/>
        <v>10</v>
      </c>
    </row>
    <row r="468" spans="1:8">
      <c r="A468" s="317"/>
      <c r="B468" s="321"/>
      <c r="C468" s="317"/>
      <c r="D468" s="317"/>
      <c r="E468" s="317"/>
      <c r="F468" s="320"/>
      <c r="G468" s="139" t="str">
        <f>"Total item "&amp;A462</f>
        <v>Total item 5.19</v>
      </c>
      <c r="H468" s="140">
        <f>SUM(H463:H467)</f>
        <v>50.5</v>
      </c>
    </row>
    <row r="469" spans="1:8">
      <c r="A469" s="301" t="str">
        <f>'Planilha orç'!A65</f>
        <v>6.0</v>
      </c>
      <c r="B469" s="303" t="str">
        <f>'Planilha orç'!D65</f>
        <v xml:space="preserve">PINTURA </v>
      </c>
      <c r="C469" s="302"/>
      <c r="D469" s="301"/>
      <c r="E469" s="301"/>
      <c r="F469" s="301"/>
      <c r="G469" s="301"/>
      <c r="H469" s="301"/>
    </row>
    <row r="470" spans="1:8" ht="22.5">
      <c r="A470" s="311" t="str">
        <f>'Planilha orç'!A66</f>
        <v>6.1</v>
      </c>
      <c r="B470" s="134" t="str">
        <f>'Planilha orç'!D66</f>
        <v>REMOÇÃO DE PINTURA LÁTEX (RASPAGEM E/OU LIXAMENTO E/OU
ESCOVAÇÃO)</v>
      </c>
      <c r="C470" s="311" t="str">
        <f>'Planilha orç'!E66</f>
        <v>M2</v>
      </c>
      <c r="D470" s="312"/>
      <c r="E470" s="313"/>
      <c r="F470" s="314"/>
      <c r="G470" s="315"/>
      <c r="H470" s="316"/>
    </row>
    <row r="471" spans="1:8">
      <c r="A471" s="334"/>
      <c r="B471" s="115" t="s">
        <v>1005</v>
      </c>
      <c r="C471" s="317"/>
      <c r="D471" s="317">
        <v>0.2</v>
      </c>
      <c r="E471" s="319">
        <f>H520</f>
        <v>3563.44</v>
      </c>
      <c r="F471" s="320"/>
      <c r="G471" s="317"/>
      <c r="H471" s="324">
        <f t="shared" ref="H471" si="49">ROUND(PRODUCT(D471:G471),2)</f>
        <v>712.69</v>
      </c>
    </row>
    <row r="472" spans="1:8">
      <c r="A472" s="334"/>
      <c r="B472" s="115"/>
      <c r="C472" s="317"/>
      <c r="D472" s="317"/>
      <c r="E472" s="319"/>
      <c r="F472" s="320"/>
      <c r="G472" s="139" t="str">
        <f>"Total item "&amp;A470</f>
        <v>Total item 6.1</v>
      </c>
      <c r="H472" s="140">
        <f>SUM(H471:H471)</f>
        <v>712.69</v>
      </c>
    </row>
    <row r="473" spans="1:8" ht="22.5">
      <c r="A473" s="311" t="str">
        <f>'Planilha orç'!A67</f>
        <v>6.2</v>
      </c>
      <c r="B473" s="134" t="str">
        <f>'Planilha orç'!D67</f>
        <v xml:space="preserve">APLICAÇÃO DE FUNDO SELADOR ACRÍLICO EM PAREDES, UMA DEMÃO. AF_06/2014 </v>
      </c>
      <c r="C473" s="311" t="str">
        <f>'Planilha orç'!E67</f>
        <v>M2</v>
      </c>
      <c r="D473" s="312"/>
      <c r="E473" s="313"/>
      <c r="F473" s="314"/>
      <c r="G473" s="315"/>
      <c r="H473" s="316"/>
    </row>
    <row r="474" spans="1:8">
      <c r="A474" s="334"/>
      <c r="B474" s="115" t="s">
        <v>554</v>
      </c>
      <c r="C474" s="317"/>
      <c r="D474" s="317"/>
      <c r="E474" s="319">
        <f>66.08/1.6</f>
        <v>41.3</v>
      </c>
      <c r="F474" s="320"/>
      <c r="G474" s="317">
        <v>1.8</v>
      </c>
      <c r="H474" s="324">
        <f t="shared" ref="H474:H516" si="50">ROUND(PRODUCT(D474:G474),2)</f>
        <v>74.34</v>
      </c>
    </row>
    <row r="475" spans="1:8">
      <c r="A475" s="334"/>
      <c r="B475" s="115" t="s">
        <v>565</v>
      </c>
      <c r="C475" s="317"/>
      <c r="D475" s="317"/>
      <c r="E475" s="319">
        <f>46.09/1.6</f>
        <v>28.806250000000002</v>
      </c>
      <c r="F475" s="320"/>
      <c r="G475" s="317">
        <v>1.8</v>
      </c>
      <c r="H475" s="324">
        <f t="shared" si="50"/>
        <v>51.85</v>
      </c>
    </row>
    <row r="476" spans="1:8">
      <c r="A476" s="334"/>
      <c r="B476" s="115" t="s">
        <v>566</v>
      </c>
      <c r="C476" s="317"/>
      <c r="D476" s="317"/>
      <c r="E476" s="319">
        <f>46.09/1.6</f>
        <v>28.806250000000002</v>
      </c>
      <c r="F476" s="320"/>
      <c r="G476" s="317">
        <v>1.8</v>
      </c>
      <c r="H476" s="324">
        <f t="shared" si="50"/>
        <v>51.85</v>
      </c>
    </row>
    <row r="477" spans="1:8">
      <c r="A477" s="334"/>
      <c r="B477" s="115" t="s">
        <v>567</v>
      </c>
      <c r="C477" s="317"/>
      <c r="D477" s="317"/>
      <c r="E477" s="319">
        <f>45.46/1.6</f>
        <v>28.412499999999998</v>
      </c>
      <c r="F477" s="320"/>
      <c r="G477" s="317">
        <v>1.8</v>
      </c>
      <c r="H477" s="324">
        <f t="shared" si="50"/>
        <v>51.14</v>
      </c>
    </row>
    <row r="478" spans="1:8">
      <c r="A478" s="334"/>
      <c r="B478" s="115" t="s">
        <v>568</v>
      </c>
      <c r="C478" s="317"/>
      <c r="D478" s="317"/>
      <c r="E478" s="319">
        <f t="shared" ref="E478:E481" si="51">45.46/1.6</f>
        <v>28.412499999999998</v>
      </c>
      <c r="F478" s="320"/>
      <c r="G478" s="317">
        <v>1.8</v>
      </c>
      <c r="H478" s="324">
        <f t="shared" si="50"/>
        <v>51.14</v>
      </c>
    </row>
    <row r="479" spans="1:8">
      <c r="A479" s="334"/>
      <c r="B479" s="115" t="s">
        <v>578</v>
      </c>
      <c r="C479" s="317"/>
      <c r="D479" s="317"/>
      <c r="E479" s="319">
        <f t="shared" si="51"/>
        <v>28.412499999999998</v>
      </c>
      <c r="F479" s="320"/>
      <c r="G479" s="317">
        <v>1.8</v>
      </c>
      <c r="H479" s="324">
        <f t="shared" si="50"/>
        <v>51.14</v>
      </c>
    </row>
    <row r="480" spans="1:8">
      <c r="A480" s="334"/>
      <c r="B480" s="115" t="s">
        <v>569</v>
      </c>
      <c r="C480" s="317"/>
      <c r="D480" s="317"/>
      <c r="E480" s="319">
        <f t="shared" si="51"/>
        <v>28.412499999999998</v>
      </c>
      <c r="F480" s="320"/>
      <c r="G480" s="317">
        <v>1.8</v>
      </c>
      <c r="H480" s="324">
        <f t="shared" si="50"/>
        <v>51.14</v>
      </c>
    </row>
    <row r="481" spans="1:8">
      <c r="A481" s="334"/>
      <c r="B481" s="115" t="s">
        <v>570</v>
      </c>
      <c r="C481" s="317"/>
      <c r="D481" s="317"/>
      <c r="E481" s="319">
        <f t="shared" si="51"/>
        <v>28.412499999999998</v>
      </c>
      <c r="F481" s="320"/>
      <c r="G481" s="317">
        <v>1.8</v>
      </c>
      <c r="H481" s="324">
        <f t="shared" si="50"/>
        <v>51.14</v>
      </c>
    </row>
    <row r="482" spans="1:8">
      <c r="A482" s="334"/>
      <c r="B482" s="115" t="s">
        <v>571</v>
      </c>
      <c r="C482" s="317"/>
      <c r="D482" s="317"/>
      <c r="E482" s="319">
        <f>49.87/1.6</f>
        <v>31.168749999999996</v>
      </c>
      <c r="F482" s="320"/>
      <c r="G482" s="317">
        <v>1.8</v>
      </c>
      <c r="H482" s="324">
        <f t="shared" si="50"/>
        <v>56.1</v>
      </c>
    </row>
    <row r="483" spans="1:8">
      <c r="A483" s="334"/>
      <c r="B483" s="115" t="s">
        <v>572</v>
      </c>
      <c r="C483" s="317"/>
      <c r="D483" s="317"/>
      <c r="E483" s="319">
        <f>51.49/1.6</f>
        <v>32.181249999999999</v>
      </c>
      <c r="F483" s="320"/>
      <c r="G483" s="317">
        <v>1.8</v>
      </c>
      <c r="H483" s="324">
        <f t="shared" si="50"/>
        <v>57.93</v>
      </c>
    </row>
    <row r="484" spans="1:8">
      <c r="A484" s="334"/>
      <c r="B484" s="115" t="s">
        <v>573</v>
      </c>
      <c r="C484" s="317"/>
      <c r="D484" s="317"/>
      <c r="E484" s="319">
        <f t="shared" ref="E484:E486" si="52">45.46/1.6</f>
        <v>28.412499999999998</v>
      </c>
      <c r="F484" s="320"/>
      <c r="G484" s="317">
        <v>1.8</v>
      </c>
      <c r="H484" s="324">
        <f t="shared" si="50"/>
        <v>51.14</v>
      </c>
    </row>
    <row r="485" spans="1:8">
      <c r="A485" s="334"/>
      <c r="B485" s="115" t="s">
        <v>574</v>
      </c>
      <c r="C485" s="317"/>
      <c r="D485" s="317"/>
      <c r="E485" s="319">
        <f t="shared" si="52"/>
        <v>28.412499999999998</v>
      </c>
      <c r="F485" s="320"/>
      <c r="G485" s="317">
        <v>1.8</v>
      </c>
      <c r="H485" s="324">
        <f t="shared" si="50"/>
        <v>51.14</v>
      </c>
    </row>
    <row r="486" spans="1:8">
      <c r="A486" s="334"/>
      <c r="B486" s="115" t="s">
        <v>575</v>
      </c>
      <c r="C486" s="317"/>
      <c r="D486" s="317"/>
      <c r="E486" s="319">
        <f t="shared" si="52"/>
        <v>28.412499999999998</v>
      </c>
      <c r="F486" s="320"/>
      <c r="G486" s="317">
        <v>1.8</v>
      </c>
      <c r="H486" s="324">
        <f t="shared" si="50"/>
        <v>51.14</v>
      </c>
    </row>
    <row r="487" spans="1:8">
      <c r="A487" s="334"/>
      <c r="B487" s="115" t="s">
        <v>576</v>
      </c>
      <c r="C487" s="317"/>
      <c r="D487" s="317"/>
      <c r="E487" s="319">
        <f>45.04/1.6</f>
        <v>28.15</v>
      </c>
      <c r="F487" s="320"/>
      <c r="G487" s="317">
        <v>1.8</v>
      </c>
      <c r="H487" s="324">
        <f t="shared" si="50"/>
        <v>50.67</v>
      </c>
    </row>
    <row r="488" spans="1:8">
      <c r="A488" s="334"/>
      <c r="B488" s="115" t="s">
        <v>577</v>
      </c>
      <c r="C488" s="317"/>
      <c r="D488" s="317"/>
      <c r="E488" s="319">
        <f t="shared" ref="E488:E489" si="53">45.46/1.6</f>
        <v>28.412499999999998</v>
      </c>
      <c r="F488" s="320"/>
      <c r="G488" s="317">
        <v>1.8</v>
      </c>
      <c r="H488" s="324">
        <f t="shared" si="50"/>
        <v>51.14</v>
      </c>
    </row>
    <row r="489" spans="1:8">
      <c r="A489" s="334"/>
      <c r="B489" s="115" t="s">
        <v>564</v>
      </c>
      <c r="C489" s="317"/>
      <c r="D489" s="317"/>
      <c r="E489" s="319">
        <f t="shared" si="53"/>
        <v>28.412499999999998</v>
      </c>
      <c r="F489" s="320"/>
      <c r="G489" s="317">
        <v>1.8</v>
      </c>
      <c r="H489" s="324">
        <f t="shared" si="50"/>
        <v>51.14</v>
      </c>
    </row>
    <row r="490" spans="1:8">
      <c r="A490" s="334"/>
      <c r="B490" s="115" t="s">
        <v>474</v>
      </c>
      <c r="C490" s="317"/>
      <c r="D490" s="317"/>
      <c r="E490" s="319">
        <f>33.91/1.6</f>
        <v>21.193749999999998</v>
      </c>
      <c r="F490" s="320"/>
      <c r="G490" s="317">
        <v>1.8</v>
      </c>
      <c r="H490" s="324">
        <f t="shared" si="50"/>
        <v>38.15</v>
      </c>
    </row>
    <row r="491" spans="1:8">
      <c r="A491" s="334"/>
      <c r="B491" s="115" t="s">
        <v>473</v>
      </c>
      <c r="C491" s="317"/>
      <c r="D491" s="317"/>
      <c r="E491" s="319">
        <f>24.2/1.6</f>
        <v>15.124999999999998</v>
      </c>
      <c r="F491" s="320"/>
      <c r="G491" s="317">
        <v>1.8</v>
      </c>
      <c r="H491" s="324">
        <f t="shared" si="50"/>
        <v>27.23</v>
      </c>
    </row>
    <row r="492" spans="1:8">
      <c r="A492" s="334"/>
      <c r="B492" s="115" t="s">
        <v>472</v>
      </c>
      <c r="C492" s="317"/>
      <c r="D492" s="317"/>
      <c r="E492" s="319">
        <f>19.92/1.6</f>
        <v>12.450000000000001</v>
      </c>
      <c r="F492" s="320"/>
      <c r="G492" s="317">
        <v>1.8</v>
      </c>
      <c r="H492" s="324">
        <f t="shared" si="50"/>
        <v>22.41</v>
      </c>
    </row>
    <row r="493" spans="1:8">
      <c r="A493" s="334"/>
      <c r="B493" s="115" t="s">
        <v>241</v>
      </c>
      <c r="C493" s="317"/>
      <c r="D493" s="317"/>
      <c r="E493" s="319">
        <f>26.49/1.6</f>
        <v>16.556249999999999</v>
      </c>
      <c r="F493" s="320"/>
      <c r="G493" s="317">
        <v>1.8</v>
      </c>
      <c r="H493" s="324">
        <f t="shared" si="50"/>
        <v>29.8</v>
      </c>
    </row>
    <row r="494" spans="1:8">
      <c r="A494" s="334"/>
      <c r="B494" s="115" t="s">
        <v>497</v>
      </c>
      <c r="C494" s="317"/>
      <c r="D494" s="317"/>
      <c r="E494" s="319">
        <f>14.13/1.6</f>
        <v>8.8312500000000007</v>
      </c>
      <c r="F494" s="320"/>
      <c r="G494" s="317">
        <v>1.8</v>
      </c>
      <c r="H494" s="324">
        <f t="shared" si="50"/>
        <v>15.9</v>
      </c>
    </row>
    <row r="495" spans="1:8">
      <c r="A495" s="334"/>
      <c r="B495" s="115" t="s">
        <v>476</v>
      </c>
      <c r="C495" s="317"/>
      <c r="D495" s="317"/>
      <c r="E495" s="319">
        <f>61.32/1.6</f>
        <v>38.324999999999996</v>
      </c>
      <c r="F495" s="320"/>
      <c r="G495" s="317">
        <v>1.8</v>
      </c>
      <c r="H495" s="324">
        <f t="shared" si="50"/>
        <v>68.989999999999995</v>
      </c>
    </row>
    <row r="496" spans="1:8">
      <c r="A496" s="334"/>
      <c r="B496" s="115" t="s">
        <v>470</v>
      </c>
      <c r="C496" s="317"/>
      <c r="D496" s="317"/>
      <c r="E496" s="319">
        <f>22.11/1.6</f>
        <v>13.81875</v>
      </c>
      <c r="F496" s="320"/>
      <c r="G496" s="317">
        <v>1.8</v>
      </c>
      <c r="H496" s="324">
        <f t="shared" si="50"/>
        <v>24.87</v>
      </c>
    </row>
    <row r="497" spans="1:8">
      <c r="A497" s="334"/>
      <c r="B497" s="115" t="s">
        <v>483</v>
      </c>
      <c r="C497" s="317"/>
      <c r="D497" s="317"/>
      <c r="E497" s="319">
        <f>45.54/1.6</f>
        <v>28.462499999999999</v>
      </c>
      <c r="F497" s="320"/>
      <c r="G497" s="317">
        <v>1.8</v>
      </c>
      <c r="H497" s="324">
        <f t="shared" si="50"/>
        <v>51.23</v>
      </c>
    </row>
    <row r="498" spans="1:8">
      <c r="A498" s="334"/>
      <c r="B498" s="115" t="s">
        <v>579</v>
      </c>
      <c r="C498" s="317"/>
      <c r="D498" s="317"/>
      <c r="E498" s="319">
        <f>549.3/1.6</f>
        <v>343.31249999999994</v>
      </c>
      <c r="F498" s="320"/>
      <c r="G498" s="317">
        <v>1.8</v>
      </c>
      <c r="H498" s="324">
        <f t="shared" si="50"/>
        <v>617.96</v>
      </c>
    </row>
    <row r="499" spans="1:8">
      <c r="A499" s="334"/>
      <c r="B499" s="115" t="s">
        <v>580</v>
      </c>
      <c r="C499" s="317"/>
      <c r="D499" s="317"/>
      <c r="E499" s="319">
        <f>454.58/1.6</f>
        <v>284.11249999999995</v>
      </c>
      <c r="F499" s="320"/>
      <c r="G499" s="317">
        <v>1.8</v>
      </c>
      <c r="H499" s="324">
        <f t="shared" si="50"/>
        <v>511.4</v>
      </c>
    </row>
    <row r="500" spans="1:8">
      <c r="A500" s="334"/>
      <c r="B500" s="115" t="s">
        <v>581</v>
      </c>
      <c r="C500" s="317"/>
      <c r="D500" s="317"/>
      <c r="E500" s="319">
        <f>44.2/1.6</f>
        <v>27.625</v>
      </c>
      <c r="F500" s="320"/>
      <c r="G500" s="317">
        <v>1.8</v>
      </c>
      <c r="H500" s="324">
        <f t="shared" si="50"/>
        <v>49.73</v>
      </c>
    </row>
    <row r="501" spans="1:8">
      <c r="A501" s="334"/>
      <c r="B501" s="115" t="s">
        <v>496</v>
      </c>
      <c r="C501" s="317"/>
      <c r="D501" s="317"/>
      <c r="E501" s="319">
        <f>17.65/1.6</f>
        <v>11.031249999999998</v>
      </c>
      <c r="F501" s="320"/>
      <c r="G501" s="317">
        <v>1.8</v>
      </c>
      <c r="H501" s="324">
        <f t="shared" si="50"/>
        <v>19.86</v>
      </c>
    </row>
    <row r="502" spans="1:8">
      <c r="A502" s="334"/>
      <c r="B502" s="115" t="s">
        <v>582</v>
      </c>
      <c r="C502" s="317"/>
      <c r="D502" s="317"/>
      <c r="E502" s="319">
        <f>365.71/1.6</f>
        <v>228.56874999999997</v>
      </c>
      <c r="F502" s="320"/>
      <c r="G502" s="317">
        <v>1.8</v>
      </c>
      <c r="H502" s="324">
        <f t="shared" si="50"/>
        <v>411.42</v>
      </c>
    </row>
    <row r="503" spans="1:8">
      <c r="A503" s="334"/>
      <c r="B503" s="115" t="s">
        <v>583</v>
      </c>
      <c r="C503" s="317"/>
      <c r="D503" s="317"/>
      <c r="E503" s="319">
        <f>136.35/1.6</f>
        <v>85.218749999999986</v>
      </c>
      <c r="F503" s="320"/>
      <c r="G503" s="317">
        <v>1.8</v>
      </c>
      <c r="H503" s="324">
        <f t="shared" si="50"/>
        <v>153.38999999999999</v>
      </c>
    </row>
    <row r="504" spans="1:8">
      <c r="A504" s="334"/>
      <c r="B504" s="115" t="s">
        <v>584</v>
      </c>
      <c r="C504" s="317"/>
      <c r="D504" s="317"/>
      <c r="E504" s="319">
        <f>84.27/1.6</f>
        <v>52.668749999999996</v>
      </c>
      <c r="F504" s="320"/>
      <c r="G504" s="317">
        <v>1.8</v>
      </c>
      <c r="H504" s="324">
        <f t="shared" si="50"/>
        <v>94.8</v>
      </c>
    </row>
    <row r="505" spans="1:8">
      <c r="A505" s="334"/>
      <c r="B505" s="115" t="s">
        <v>585</v>
      </c>
      <c r="C505" s="317"/>
      <c r="D505" s="317"/>
      <c r="E505" s="319">
        <f>68.08/1.6</f>
        <v>42.55</v>
      </c>
      <c r="F505" s="320"/>
      <c r="G505" s="317">
        <v>1.8</v>
      </c>
      <c r="H505" s="324">
        <f t="shared" si="50"/>
        <v>76.59</v>
      </c>
    </row>
    <row r="506" spans="1:8">
      <c r="A506" s="334"/>
      <c r="B506" s="115" t="s">
        <v>586</v>
      </c>
      <c r="C506" s="317"/>
      <c r="D506" s="317"/>
      <c r="E506" s="319">
        <f>174.8/1.6</f>
        <v>109.25</v>
      </c>
      <c r="F506" s="320"/>
      <c r="G506" s="317">
        <v>1.8</v>
      </c>
      <c r="H506" s="324">
        <f t="shared" si="50"/>
        <v>196.65</v>
      </c>
    </row>
    <row r="507" spans="1:8">
      <c r="A507" s="334"/>
      <c r="B507" s="115" t="s">
        <v>587</v>
      </c>
      <c r="C507" s="317"/>
      <c r="D507" s="317"/>
      <c r="E507" s="319">
        <f>71.93/1.6</f>
        <v>44.956250000000004</v>
      </c>
      <c r="F507" s="320"/>
      <c r="G507" s="317">
        <v>1.8</v>
      </c>
      <c r="H507" s="324">
        <f t="shared" si="50"/>
        <v>80.92</v>
      </c>
    </row>
    <row r="508" spans="1:8">
      <c r="A508" s="334"/>
      <c r="B508" s="115" t="s">
        <v>588</v>
      </c>
      <c r="C508" s="317"/>
      <c r="D508" s="317"/>
      <c r="E508" s="319">
        <f>72.1/1.6</f>
        <v>45.062499999999993</v>
      </c>
      <c r="F508" s="320"/>
      <c r="G508" s="317">
        <v>1.8</v>
      </c>
      <c r="H508" s="324">
        <f t="shared" si="50"/>
        <v>81.11</v>
      </c>
    </row>
    <row r="509" spans="1:8">
      <c r="A509" s="334"/>
      <c r="B509" s="115" t="s">
        <v>589</v>
      </c>
      <c r="C509" s="317"/>
      <c r="D509" s="352"/>
      <c r="E509" s="319">
        <f>48.62/1.6</f>
        <v>30.387499999999996</v>
      </c>
      <c r="F509" s="320"/>
      <c r="G509" s="317">
        <v>1.8</v>
      </c>
      <c r="H509" s="324">
        <f t="shared" si="50"/>
        <v>54.7</v>
      </c>
    </row>
    <row r="510" spans="1:8">
      <c r="A510" s="334"/>
      <c r="B510" s="115" t="s">
        <v>590</v>
      </c>
      <c r="C510" s="317"/>
      <c r="D510" s="317"/>
      <c r="E510" s="319">
        <f>15.96/1.6</f>
        <v>9.9749999999999996</v>
      </c>
      <c r="F510" s="320"/>
      <c r="G510" s="317">
        <v>1.8</v>
      </c>
      <c r="H510" s="324">
        <f t="shared" si="50"/>
        <v>17.96</v>
      </c>
    </row>
    <row r="511" spans="1:8">
      <c r="A511" s="334"/>
      <c r="B511" s="115" t="s">
        <v>591</v>
      </c>
      <c r="C511" s="317"/>
      <c r="D511" s="317"/>
      <c r="E511" s="319">
        <f>19.11/1.6</f>
        <v>11.94375</v>
      </c>
      <c r="F511" s="320"/>
      <c r="G511" s="317">
        <v>1.8</v>
      </c>
      <c r="H511" s="324">
        <f t="shared" si="50"/>
        <v>21.5</v>
      </c>
    </row>
    <row r="512" spans="1:8">
      <c r="A512" s="334"/>
      <c r="B512" s="115" t="s">
        <v>593</v>
      </c>
      <c r="C512" s="317"/>
      <c r="D512" s="317"/>
      <c r="E512" s="319">
        <f>27.53/1.6</f>
        <v>17.206250000000001</v>
      </c>
      <c r="F512" s="320"/>
      <c r="G512" s="317">
        <v>1.8</v>
      </c>
      <c r="H512" s="324">
        <f t="shared" si="50"/>
        <v>30.97</v>
      </c>
    </row>
    <row r="513" spans="1:8" ht="22.5">
      <c r="A513" s="334"/>
      <c r="B513" s="192" t="s">
        <v>1067</v>
      </c>
      <c r="C513" s="337"/>
      <c r="D513" s="335"/>
      <c r="E513" s="335"/>
      <c r="F513" s="338"/>
      <c r="G513" s="335"/>
      <c r="H513" s="324"/>
    </row>
    <row r="514" spans="1:8">
      <c r="A514" s="334"/>
      <c r="B514" s="199" t="s">
        <v>1044</v>
      </c>
      <c r="C514" s="317"/>
      <c r="D514" s="323">
        <f>4*2</f>
        <v>8</v>
      </c>
      <c r="E514" s="323">
        <v>0.9</v>
      </c>
      <c r="F514" s="323"/>
      <c r="G514" s="323">
        <v>0.6</v>
      </c>
      <c r="H514" s="324">
        <f t="shared" si="50"/>
        <v>4.32</v>
      </c>
    </row>
    <row r="515" spans="1:8">
      <c r="A515" s="334"/>
      <c r="B515" s="199" t="s">
        <v>1044</v>
      </c>
      <c r="C515" s="317"/>
      <c r="D515" s="323">
        <f>6*2</f>
        <v>12</v>
      </c>
      <c r="E515" s="323">
        <v>0.8</v>
      </c>
      <c r="F515" s="323"/>
      <c r="G515" s="323">
        <v>0.6</v>
      </c>
      <c r="H515" s="324">
        <f t="shared" si="50"/>
        <v>5.76</v>
      </c>
    </row>
    <row r="516" spans="1:8">
      <c r="A516" s="334"/>
      <c r="B516" s="120" t="s">
        <v>1017</v>
      </c>
      <c r="C516" s="317"/>
      <c r="D516" s="323">
        <f>2*2</f>
        <v>4</v>
      </c>
      <c r="E516" s="323">
        <v>0.7</v>
      </c>
      <c r="F516" s="323"/>
      <c r="G516" s="323">
        <v>0.6</v>
      </c>
      <c r="H516" s="324">
        <f t="shared" si="50"/>
        <v>1.68</v>
      </c>
    </row>
    <row r="517" spans="1:8">
      <c r="A517" s="334"/>
      <c r="B517" s="97"/>
      <c r="C517" s="317"/>
      <c r="D517" s="326"/>
      <c r="E517" s="319"/>
      <c r="F517" s="320"/>
      <c r="G517" s="139" t="str">
        <f>"Total item "&amp;A473</f>
        <v>Total item 6.2</v>
      </c>
      <c r="H517" s="140">
        <f>SUM(H474:H516)</f>
        <v>3563.44</v>
      </c>
    </row>
    <row r="518" spans="1:8" ht="22.5">
      <c r="A518" s="311" t="str">
        <f>'Planilha orç'!A68</f>
        <v>6.3</v>
      </c>
      <c r="B518" s="134" t="str">
        <f>'Planilha orç'!D68</f>
        <v>APLICAÇÃO MANUAL DE PINTURA COM TINTA LÁTEX ACRÍLICA EM PAREDES, DUAS DEMÃOS. AF_06/2014</v>
      </c>
      <c r="C518" s="311" t="str">
        <f>'Planilha orç'!E68</f>
        <v>M2</v>
      </c>
      <c r="D518" s="312"/>
      <c r="E518" s="313"/>
      <c r="F518" s="314"/>
      <c r="G518" s="315"/>
      <c r="H518" s="316"/>
    </row>
    <row r="519" spans="1:8">
      <c r="A519" s="334"/>
      <c r="B519" s="141" t="str">
        <f>G517</f>
        <v>Total item 6.2</v>
      </c>
      <c r="C519" s="317"/>
      <c r="D519" s="317"/>
      <c r="E519" s="317"/>
      <c r="F519" s="320"/>
      <c r="G519" s="317"/>
      <c r="H519" s="327">
        <f>H517</f>
        <v>3563.44</v>
      </c>
    </row>
    <row r="520" spans="1:8">
      <c r="A520" s="334"/>
      <c r="B520" s="97"/>
      <c r="C520" s="317"/>
      <c r="D520" s="326"/>
      <c r="E520" s="319"/>
      <c r="F520" s="320"/>
      <c r="G520" s="139" t="str">
        <f>"Total item "&amp;A518</f>
        <v>Total item 6.3</v>
      </c>
      <c r="H520" s="140">
        <f>SUM(H519:H519)</f>
        <v>3563.44</v>
      </c>
    </row>
    <row r="521" spans="1:8" ht="22.5">
      <c r="A521" s="311" t="str">
        <f>'Planilha orç'!A69</f>
        <v>6.4</v>
      </c>
      <c r="B521" s="134" t="str">
        <f>'Planilha orç'!D69</f>
        <v>DEMOLIÇÃO DE ARGAMASSAS, DE FORMA MANUAL, SEM REAPROVEITAMENTO. AF_12/2017</v>
      </c>
      <c r="C521" s="311" t="str">
        <f>'Planilha orç'!E69</f>
        <v>M2</v>
      </c>
      <c r="D521" s="312"/>
      <c r="E521" s="313"/>
      <c r="F521" s="314"/>
      <c r="G521" s="315"/>
      <c r="H521" s="316"/>
    </row>
    <row r="522" spans="1:8">
      <c r="A522" s="334"/>
      <c r="B522" s="115" t="s">
        <v>592</v>
      </c>
      <c r="C522" s="317"/>
      <c r="D522" s="317"/>
      <c r="E522" s="317"/>
      <c r="F522" s="320"/>
      <c r="G522" s="317"/>
      <c r="H522" s="327">
        <f>0.3*H517</f>
        <v>1069.0319999999999</v>
      </c>
    </row>
    <row r="523" spans="1:8">
      <c r="A523" s="334"/>
      <c r="B523" s="97"/>
      <c r="C523" s="317"/>
      <c r="D523" s="326"/>
      <c r="E523" s="319"/>
      <c r="F523" s="320"/>
      <c r="G523" s="113" t="str">
        <f>"Total item "&amp;A521</f>
        <v>Total item 6.4</v>
      </c>
      <c r="H523" s="114">
        <f>SUM(H522:H522)</f>
        <v>1069.0319999999999</v>
      </c>
    </row>
    <row r="524" spans="1:8" ht="22.5">
      <c r="A524" s="311" t="str">
        <f>'Planilha orç'!A70</f>
        <v>6.5</v>
      </c>
      <c r="B524" s="134" t="str">
        <f>'Planilha orç'!D70</f>
        <v>CHAPISCO COM ARGAMASSA DE CIMENTO E AREIA NO
TRACO 1 3.</v>
      </c>
      <c r="C524" s="311" t="str">
        <f>'Planilha orç'!E70</f>
        <v>M2</v>
      </c>
      <c r="D524" s="312"/>
      <c r="E524" s="313"/>
      <c r="F524" s="314"/>
      <c r="G524" s="315"/>
      <c r="H524" s="316"/>
    </row>
    <row r="525" spans="1:8">
      <c r="A525" s="334"/>
      <c r="B525" s="141" t="str">
        <f>G523</f>
        <v>Total item 6.4</v>
      </c>
      <c r="C525" s="317"/>
      <c r="D525" s="317"/>
      <c r="E525" s="317"/>
      <c r="F525" s="320"/>
      <c r="G525" s="317"/>
      <c r="H525" s="321">
        <f>H523</f>
        <v>1069.0319999999999</v>
      </c>
    </row>
    <row r="526" spans="1:8">
      <c r="A526" s="334"/>
      <c r="B526" s="115" t="s">
        <v>578</v>
      </c>
      <c r="C526" s="317"/>
      <c r="D526" s="317">
        <v>45.46</v>
      </c>
      <c r="E526" s="317"/>
      <c r="F526" s="320"/>
      <c r="G526" s="317"/>
      <c r="H526" s="324">
        <f t="shared" ref="H526:H544" si="54">ROUND(PRODUCT(D526:G526),2)</f>
        <v>45.46</v>
      </c>
    </row>
    <row r="527" spans="1:8">
      <c r="A527" s="334"/>
      <c r="B527" s="115" t="s">
        <v>554</v>
      </c>
      <c r="C527" s="317"/>
      <c r="D527" s="317">
        <v>66.08</v>
      </c>
      <c r="E527" s="317"/>
      <c r="F527" s="320"/>
      <c r="G527" s="317"/>
      <c r="H527" s="324">
        <f t="shared" si="54"/>
        <v>66.08</v>
      </c>
    </row>
    <row r="528" spans="1:8">
      <c r="A528" s="334"/>
      <c r="B528" s="115" t="s">
        <v>571</v>
      </c>
      <c r="C528" s="317"/>
      <c r="D528" s="317">
        <v>49.87</v>
      </c>
      <c r="E528" s="317"/>
      <c r="F528" s="320"/>
      <c r="G528" s="317"/>
      <c r="H528" s="324">
        <f t="shared" si="54"/>
        <v>49.87</v>
      </c>
    </row>
    <row r="529" spans="1:8">
      <c r="A529" s="334"/>
      <c r="B529" s="115" t="s">
        <v>572</v>
      </c>
      <c r="C529" s="317"/>
      <c r="D529" s="317">
        <v>51.49</v>
      </c>
      <c r="E529" s="317"/>
      <c r="F529" s="320"/>
      <c r="G529" s="317"/>
      <c r="H529" s="324">
        <f t="shared" si="54"/>
        <v>51.49</v>
      </c>
    </row>
    <row r="530" spans="1:8">
      <c r="A530" s="334"/>
      <c r="B530" s="115" t="s">
        <v>575</v>
      </c>
      <c r="C530" s="317"/>
      <c r="D530" s="317">
        <v>45.46</v>
      </c>
      <c r="E530" s="317"/>
      <c r="F530" s="320"/>
      <c r="G530" s="317"/>
      <c r="H530" s="324">
        <f t="shared" si="54"/>
        <v>45.46</v>
      </c>
    </row>
    <row r="531" spans="1:8">
      <c r="A531" s="334"/>
      <c r="B531" s="115" t="s">
        <v>576</v>
      </c>
      <c r="C531" s="317"/>
      <c r="D531" s="317">
        <v>45.04</v>
      </c>
      <c r="E531" s="317"/>
      <c r="F531" s="320"/>
      <c r="G531" s="317"/>
      <c r="H531" s="324">
        <f t="shared" si="54"/>
        <v>45.04</v>
      </c>
    </row>
    <row r="532" spans="1:8">
      <c r="A532" s="334"/>
      <c r="B532" s="115" t="s">
        <v>474</v>
      </c>
      <c r="C532" s="317"/>
      <c r="D532" s="317">
        <v>33.909999999999997</v>
      </c>
      <c r="E532" s="317"/>
      <c r="F532" s="320"/>
      <c r="G532" s="317"/>
      <c r="H532" s="324">
        <f t="shared" si="54"/>
        <v>33.909999999999997</v>
      </c>
    </row>
    <row r="533" spans="1:8">
      <c r="A533" s="334"/>
      <c r="B533" s="115" t="s">
        <v>473</v>
      </c>
      <c r="C533" s="317"/>
      <c r="D533" s="317">
        <v>24.2</v>
      </c>
      <c r="E533" s="317"/>
      <c r="F533" s="320"/>
      <c r="G533" s="317"/>
      <c r="H533" s="324">
        <f t="shared" si="54"/>
        <v>24.2</v>
      </c>
    </row>
    <row r="534" spans="1:8">
      <c r="A534" s="334"/>
      <c r="B534" s="115" t="s">
        <v>472</v>
      </c>
      <c r="C534" s="317"/>
      <c r="D534" s="317">
        <v>19.920000000000002</v>
      </c>
      <c r="E534" s="317"/>
      <c r="F534" s="320"/>
      <c r="G534" s="317"/>
      <c r="H534" s="324">
        <f t="shared" si="54"/>
        <v>19.920000000000002</v>
      </c>
    </row>
    <row r="535" spans="1:8">
      <c r="A535" s="334"/>
      <c r="B535" s="115" t="s">
        <v>241</v>
      </c>
      <c r="C535" s="317"/>
      <c r="D535" s="317">
        <v>26.49</v>
      </c>
      <c r="E535" s="317"/>
      <c r="F535" s="320"/>
      <c r="G535" s="317"/>
      <c r="H535" s="324">
        <f t="shared" si="54"/>
        <v>26.49</v>
      </c>
    </row>
    <row r="536" spans="1:8">
      <c r="A536" s="334"/>
      <c r="B536" s="115" t="s">
        <v>497</v>
      </c>
      <c r="C536" s="317"/>
      <c r="D536" s="317">
        <v>14.13</v>
      </c>
      <c r="E536" s="317"/>
      <c r="F536" s="320"/>
      <c r="G536" s="317"/>
      <c r="H536" s="324">
        <f t="shared" si="54"/>
        <v>14.13</v>
      </c>
    </row>
    <row r="537" spans="1:8">
      <c r="A537" s="334"/>
      <c r="B537" s="115" t="s">
        <v>476</v>
      </c>
      <c r="C537" s="317"/>
      <c r="D537" s="317">
        <v>61.32</v>
      </c>
      <c r="E537" s="317"/>
      <c r="F537" s="320"/>
      <c r="G537" s="317"/>
      <c r="H537" s="324">
        <f t="shared" si="54"/>
        <v>61.32</v>
      </c>
    </row>
    <row r="538" spans="1:8">
      <c r="A538" s="334"/>
      <c r="B538" s="115" t="s">
        <v>470</v>
      </c>
      <c r="C538" s="317"/>
      <c r="D538" s="317">
        <v>22.11</v>
      </c>
      <c r="E538" s="317"/>
      <c r="F538" s="320"/>
      <c r="G538" s="317"/>
      <c r="H538" s="324">
        <f t="shared" si="54"/>
        <v>22.11</v>
      </c>
    </row>
    <row r="539" spans="1:8" ht="22.5">
      <c r="A539" s="334"/>
      <c r="B539" s="192" t="s">
        <v>1067</v>
      </c>
      <c r="C539" s="337"/>
      <c r="D539" s="335"/>
      <c r="E539" s="335"/>
      <c r="F539" s="338"/>
      <c r="G539" s="335"/>
      <c r="H539" s="324"/>
    </row>
    <row r="540" spans="1:8">
      <c r="A540" s="334"/>
      <c r="B540" s="199" t="s">
        <v>1044</v>
      </c>
      <c r="C540" s="317"/>
      <c r="D540" s="323">
        <f>4*2</f>
        <v>8</v>
      </c>
      <c r="E540" s="323">
        <v>0.9</v>
      </c>
      <c r="F540" s="323"/>
      <c r="G540" s="323">
        <v>0.6</v>
      </c>
      <c r="H540" s="324">
        <f t="shared" si="54"/>
        <v>4.32</v>
      </c>
    </row>
    <row r="541" spans="1:8">
      <c r="A541" s="334"/>
      <c r="B541" s="199" t="s">
        <v>1044</v>
      </c>
      <c r="C541" s="317"/>
      <c r="D541" s="323">
        <f>6*2</f>
        <v>12</v>
      </c>
      <c r="E541" s="323">
        <v>0.8</v>
      </c>
      <c r="F541" s="323"/>
      <c r="G541" s="323">
        <v>0.6</v>
      </c>
      <c r="H541" s="324">
        <f t="shared" si="54"/>
        <v>5.76</v>
      </c>
    </row>
    <row r="542" spans="1:8">
      <c r="A542" s="334"/>
      <c r="B542" s="120" t="s">
        <v>1017</v>
      </c>
      <c r="C542" s="317"/>
      <c r="D542" s="323">
        <f>2*2</f>
        <v>4</v>
      </c>
      <c r="E542" s="323">
        <v>0.7</v>
      </c>
      <c r="F542" s="323"/>
      <c r="G542" s="323">
        <v>0.6</v>
      </c>
      <c r="H542" s="324">
        <f t="shared" si="54"/>
        <v>1.68</v>
      </c>
    </row>
    <row r="543" spans="1:8">
      <c r="A543" s="322"/>
      <c r="B543" s="120" t="s">
        <v>298</v>
      </c>
      <c r="C543" s="317"/>
      <c r="D543" s="323"/>
      <c r="E543" s="323"/>
      <c r="F543" s="323">
        <f>70.1+10.4</f>
        <v>80.5</v>
      </c>
      <c r="G543" s="323">
        <v>0.3</v>
      </c>
      <c r="H543" s="324">
        <f t="shared" si="54"/>
        <v>24.15</v>
      </c>
    </row>
    <row r="544" spans="1:8">
      <c r="A544" s="322"/>
      <c r="B544" s="110"/>
      <c r="C544" s="317"/>
      <c r="D544" s="323"/>
      <c r="E544" s="323">
        <v>0.15</v>
      </c>
      <c r="F544" s="323">
        <f>70.1+10.4</f>
        <v>80.5</v>
      </c>
      <c r="G544" s="323"/>
      <c r="H544" s="324">
        <f t="shared" si="54"/>
        <v>12.08</v>
      </c>
    </row>
    <row r="545" spans="1:8">
      <c r="A545" s="334"/>
      <c r="B545" s="97"/>
      <c r="C545" s="317"/>
      <c r="D545" s="326"/>
      <c r="E545" s="319"/>
      <c r="F545" s="320"/>
      <c r="G545" s="139" t="str">
        <f>"Total item "&amp;A524</f>
        <v>Total item 6.5</v>
      </c>
      <c r="H545" s="140">
        <f>SUM(H525:H544)</f>
        <v>1622.502</v>
      </c>
    </row>
    <row r="546" spans="1:8" ht="22.5">
      <c r="A546" s="311" t="str">
        <f>'Planilha orç'!A71</f>
        <v>6.6</v>
      </c>
      <c r="B546" s="134" t="str">
        <f>'Planilha orç'!D71</f>
        <v>REBOCO C/ ARGAMASSA DE CIMENTO E AREIA S/ PENEIRAR, TRAÇO 1:3</v>
      </c>
      <c r="C546" s="311" t="str">
        <f>'Planilha orç'!E71</f>
        <v>M2</v>
      </c>
      <c r="D546" s="312"/>
      <c r="E546" s="313"/>
      <c r="F546" s="314"/>
      <c r="G546" s="315"/>
      <c r="H546" s="316"/>
    </row>
    <row r="547" spans="1:8">
      <c r="A547" s="334"/>
      <c r="B547" s="141" t="str">
        <f>G545</f>
        <v>Total item 6.5</v>
      </c>
      <c r="C547" s="317"/>
      <c r="D547" s="317"/>
      <c r="E547" s="317"/>
      <c r="F547" s="320"/>
      <c r="G547" s="317"/>
      <c r="H547" s="327">
        <f>H545</f>
        <v>1622.502</v>
      </c>
    </row>
    <row r="548" spans="1:8">
      <c r="A548" s="334"/>
      <c r="B548" s="141" t="s">
        <v>1079</v>
      </c>
      <c r="C548" s="317"/>
      <c r="D548" s="317">
        <v>4</v>
      </c>
      <c r="E548" s="317">
        <f>2*3.84</f>
        <v>7.68</v>
      </c>
      <c r="F548" s="320"/>
      <c r="G548" s="317">
        <v>0.4</v>
      </c>
      <c r="H548" s="324">
        <f t="shared" ref="H548:H557" si="55">ROUND(PRODUCT(D548:G548),2)</f>
        <v>12.29</v>
      </c>
    </row>
    <row r="549" spans="1:8">
      <c r="A549" s="334"/>
      <c r="B549" s="141" t="s">
        <v>1080</v>
      </c>
      <c r="C549" s="317"/>
      <c r="D549" s="317">
        <v>4</v>
      </c>
      <c r="E549" s="317">
        <f>2*3.85</f>
        <v>7.7</v>
      </c>
      <c r="F549" s="320"/>
      <c r="G549" s="317">
        <v>0.4</v>
      </c>
      <c r="H549" s="324">
        <f t="shared" si="55"/>
        <v>12.32</v>
      </c>
    </row>
    <row r="550" spans="1:8">
      <c r="A550" s="334"/>
      <c r="B550" s="141" t="s">
        <v>1081</v>
      </c>
      <c r="C550" s="317"/>
      <c r="D550" s="317">
        <v>4</v>
      </c>
      <c r="E550" s="317">
        <f>2*4</f>
        <v>8</v>
      </c>
      <c r="F550" s="320"/>
      <c r="G550" s="317">
        <v>0.4</v>
      </c>
      <c r="H550" s="324">
        <f t="shared" si="55"/>
        <v>12.8</v>
      </c>
    </row>
    <row r="551" spans="1:8">
      <c r="A551" s="334"/>
      <c r="B551" s="141" t="s">
        <v>1082</v>
      </c>
      <c r="C551" s="317"/>
      <c r="D551" s="317">
        <v>4</v>
      </c>
      <c r="E551" s="317">
        <f>2*4</f>
        <v>8</v>
      </c>
      <c r="F551" s="320"/>
      <c r="G551" s="317">
        <v>0.4</v>
      </c>
      <c r="H551" s="324">
        <f t="shared" si="55"/>
        <v>12.8</v>
      </c>
    </row>
    <row r="552" spans="1:8">
      <c r="A552" s="334"/>
      <c r="B552" s="141" t="s">
        <v>1083</v>
      </c>
      <c r="C552" s="317"/>
      <c r="D552" s="317">
        <v>4</v>
      </c>
      <c r="E552" s="317">
        <f>2*3.85</f>
        <v>7.7</v>
      </c>
      <c r="F552" s="320"/>
      <c r="G552" s="317">
        <v>0.4</v>
      </c>
      <c r="H552" s="324">
        <f t="shared" si="55"/>
        <v>12.32</v>
      </c>
    </row>
    <row r="553" spans="1:8">
      <c r="A553" s="334"/>
      <c r="B553" s="141" t="s">
        <v>1084</v>
      </c>
      <c r="C553" s="317"/>
      <c r="D553" s="317">
        <v>4</v>
      </c>
      <c r="E553" s="317">
        <f>2*3.85</f>
        <v>7.7</v>
      </c>
      <c r="F553" s="320"/>
      <c r="G553" s="317">
        <v>0.4</v>
      </c>
      <c r="H553" s="324">
        <f t="shared" si="55"/>
        <v>12.32</v>
      </c>
    </row>
    <row r="554" spans="1:8">
      <c r="A554" s="334"/>
      <c r="B554" s="141" t="s">
        <v>1085</v>
      </c>
      <c r="C554" s="317"/>
      <c r="D554" s="317">
        <v>4</v>
      </c>
      <c r="E554" s="317">
        <f>2*3.84</f>
        <v>7.68</v>
      </c>
      <c r="F554" s="320"/>
      <c r="G554" s="317">
        <v>0.4</v>
      </c>
      <c r="H554" s="324">
        <f t="shared" si="55"/>
        <v>12.29</v>
      </c>
    </row>
    <row r="555" spans="1:8">
      <c r="A555" s="334"/>
      <c r="B555" s="141" t="s">
        <v>1086</v>
      </c>
      <c r="C555" s="317"/>
      <c r="D555" s="317">
        <v>4</v>
      </c>
      <c r="E555" s="317">
        <f>2*3.85</f>
        <v>7.7</v>
      </c>
      <c r="F555" s="320"/>
      <c r="G555" s="317">
        <v>0.4</v>
      </c>
      <c r="H555" s="324">
        <f t="shared" si="55"/>
        <v>12.32</v>
      </c>
    </row>
    <row r="556" spans="1:8">
      <c r="A556" s="334"/>
      <c r="B556" s="141" t="s">
        <v>1087</v>
      </c>
      <c r="C556" s="317"/>
      <c r="D556" s="317">
        <v>4</v>
      </c>
      <c r="E556" s="317">
        <f>2*3.84</f>
        <v>7.68</v>
      </c>
      <c r="F556" s="320"/>
      <c r="G556" s="317">
        <v>0.4</v>
      </c>
      <c r="H556" s="324">
        <f t="shared" si="55"/>
        <v>12.29</v>
      </c>
    </row>
    <row r="557" spans="1:8">
      <c r="A557" s="334"/>
      <c r="B557" s="141" t="s">
        <v>1088</v>
      </c>
      <c r="C557" s="317"/>
      <c r="D557" s="317">
        <v>4</v>
      </c>
      <c r="E557" s="317">
        <f>2*3.85</f>
        <v>7.7</v>
      </c>
      <c r="F557" s="320"/>
      <c r="G557" s="317">
        <v>0.4</v>
      </c>
      <c r="H557" s="324">
        <f t="shared" si="55"/>
        <v>12.32</v>
      </c>
    </row>
    <row r="558" spans="1:8">
      <c r="A558" s="334"/>
      <c r="B558" s="97"/>
      <c r="C558" s="317"/>
      <c r="D558" s="326"/>
      <c r="E558" s="319"/>
      <c r="F558" s="320"/>
      <c r="G558" s="139" t="str">
        <f>"Total item "&amp;A546</f>
        <v>Total item 6.6</v>
      </c>
      <c r="H558" s="140">
        <f>SUM(H547:H557)</f>
        <v>1746.5719999999994</v>
      </c>
    </row>
    <row r="559" spans="1:8" ht="22.5">
      <c r="A559" s="311" t="str">
        <f>'Planilha orç'!A72</f>
        <v>6.7</v>
      </c>
      <c r="B559" s="134" t="str">
        <f>'Planilha orç'!D72</f>
        <v>APLICAÇÃO E LIXAMENTO DE MASSA LÁTEX EM PAREDES, UMA DEMÃO. AF_06/2014</v>
      </c>
      <c r="C559" s="311" t="str">
        <f>'Planilha orç'!E72</f>
        <v>M2</v>
      </c>
      <c r="D559" s="312"/>
      <c r="E559" s="313"/>
      <c r="F559" s="314"/>
      <c r="G559" s="315"/>
      <c r="H559" s="316"/>
    </row>
    <row r="560" spans="1:8">
      <c r="A560" s="334"/>
      <c r="B560" s="141" t="str">
        <f>G558</f>
        <v>Total item 6.6</v>
      </c>
      <c r="C560" s="317"/>
      <c r="D560" s="317"/>
      <c r="E560" s="317"/>
      <c r="F560" s="320"/>
      <c r="G560" s="317"/>
      <c r="H560" s="327">
        <f>H558</f>
        <v>1746.5719999999994</v>
      </c>
    </row>
    <row r="561" spans="1:8">
      <c r="A561" s="334"/>
      <c r="B561" s="97"/>
      <c r="C561" s="317"/>
      <c r="D561" s="326"/>
      <c r="E561" s="319"/>
      <c r="F561" s="320"/>
      <c r="G561" s="113" t="str">
        <f>"Total item "&amp;A559</f>
        <v>Total item 6.7</v>
      </c>
      <c r="H561" s="114">
        <f>SUM(H560:H560)</f>
        <v>1746.5719999999994</v>
      </c>
    </row>
    <row r="562" spans="1:8" ht="22.5">
      <c r="A562" s="311" t="str">
        <f>'Planilha orç'!A73</f>
        <v>6.8</v>
      </c>
      <c r="B562" s="134" t="str">
        <f>'Planilha orç'!D73</f>
        <v>APLICAÇÃO E LIXAMENTO DE MASSA LÁTEX EM TETO, UMA DEMÃO. AF_06/2014</v>
      </c>
      <c r="C562" s="311" t="str">
        <f>'Planilha orç'!E73</f>
        <v>M2</v>
      </c>
      <c r="D562" s="312"/>
      <c r="E562" s="313"/>
      <c r="F562" s="314"/>
      <c r="G562" s="315"/>
      <c r="H562" s="316"/>
    </row>
    <row r="563" spans="1:8">
      <c r="A563" s="306"/>
      <c r="B563" s="190" t="str">
        <f>G103</f>
        <v>Total item 2.15</v>
      </c>
      <c r="C563" s="306"/>
      <c r="D563" s="342"/>
      <c r="E563" s="330"/>
      <c r="F563" s="331"/>
      <c r="G563" s="332"/>
      <c r="H563" s="321">
        <f>H103</f>
        <v>865.06999999999994</v>
      </c>
    </row>
    <row r="564" spans="1:8">
      <c r="A564" s="317"/>
      <c r="B564" s="321"/>
      <c r="C564" s="317"/>
      <c r="D564" s="317"/>
      <c r="E564" s="317"/>
      <c r="F564" s="320"/>
      <c r="G564" s="139" t="str">
        <f>"Total item "&amp;A562</f>
        <v>Total item 6.8</v>
      </c>
      <c r="H564" s="140">
        <f>SUM(H563:H563)</f>
        <v>865.06999999999994</v>
      </c>
    </row>
    <row r="565" spans="1:8" ht="22.5">
      <c r="A565" s="311" t="str">
        <f>'Planilha orç'!A74</f>
        <v>6.9</v>
      </c>
      <c r="B565" s="134" t="str">
        <f>'Planilha orç'!D74</f>
        <v>APLICAÇÃO MANUAL DE PINTURA COM TINTA LÁTEX ACRÍLICA EM TETO, DUAS DEMÃOS. AF_06/2014</v>
      </c>
      <c r="C565" s="311" t="str">
        <f>'Planilha orç'!E74</f>
        <v>M2</v>
      </c>
      <c r="D565" s="312"/>
      <c r="E565" s="313"/>
      <c r="F565" s="314"/>
      <c r="G565" s="315"/>
      <c r="H565" s="316"/>
    </row>
    <row r="566" spans="1:8">
      <c r="A566" s="306"/>
      <c r="B566" s="190" t="str">
        <f>G564</f>
        <v>Total item 6.8</v>
      </c>
      <c r="C566" s="306"/>
      <c r="D566" s="342"/>
      <c r="E566" s="330"/>
      <c r="F566" s="331"/>
      <c r="G566" s="332"/>
      <c r="H566" s="321">
        <f>H564</f>
        <v>865.06999999999994</v>
      </c>
    </row>
    <row r="567" spans="1:8">
      <c r="A567" s="317"/>
      <c r="B567" s="321"/>
      <c r="C567" s="317"/>
      <c r="D567" s="317"/>
      <c r="E567" s="317"/>
      <c r="F567" s="320"/>
      <c r="G567" s="139" t="str">
        <f>"Total item "&amp;A565</f>
        <v>Total item 6.9</v>
      </c>
      <c r="H567" s="140">
        <f>SUM(H566:H566)</f>
        <v>865.06999999999994</v>
      </c>
    </row>
    <row r="568" spans="1:8" ht="22.5">
      <c r="A568" s="311" t="str">
        <f>'Planilha orç'!A75</f>
        <v>6.10</v>
      </c>
      <c r="B568" s="134" t="str">
        <f>'Planilha orç'!D75</f>
        <v>PINTURA TINTA DE ACABAMENTO (PIGMENTADA) A ÓLEO EM MADEIRA, 2 DEMÃOS. AF_01/2021</v>
      </c>
      <c r="C568" s="311" t="str">
        <f>'Planilha orç'!E75</f>
        <v>M2</v>
      </c>
      <c r="D568" s="312"/>
      <c r="E568" s="313"/>
      <c r="F568" s="314"/>
      <c r="G568" s="315"/>
      <c r="H568" s="316"/>
    </row>
    <row r="569" spans="1:8">
      <c r="A569" s="306"/>
      <c r="B569" s="120" t="s">
        <v>253</v>
      </c>
      <c r="C569" s="317"/>
      <c r="D569" s="323">
        <v>3</v>
      </c>
      <c r="E569" s="330">
        <v>0.8</v>
      </c>
      <c r="F569" s="331"/>
      <c r="G569" s="332">
        <v>2.1</v>
      </c>
      <c r="H569" s="324">
        <f t="shared" ref="H569:H599" si="56">ROUND(PRODUCT(D569:G569),2)</f>
        <v>5.04</v>
      </c>
    </row>
    <row r="570" spans="1:8">
      <c r="A570" s="306"/>
      <c r="B570" s="120" t="s">
        <v>254</v>
      </c>
      <c r="C570" s="317"/>
      <c r="D570" s="323">
        <v>3</v>
      </c>
      <c r="E570" s="330">
        <v>0.9</v>
      </c>
      <c r="F570" s="331"/>
      <c r="G570" s="332">
        <v>2.1</v>
      </c>
      <c r="H570" s="324">
        <f t="shared" si="56"/>
        <v>5.67</v>
      </c>
    </row>
    <row r="571" spans="1:8">
      <c r="A571" s="306"/>
      <c r="B571" s="120" t="s">
        <v>255</v>
      </c>
      <c r="C571" s="317"/>
      <c r="D571" s="323">
        <v>3</v>
      </c>
      <c r="E571" s="330">
        <v>0.9</v>
      </c>
      <c r="F571" s="331"/>
      <c r="G571" s="332">
        <v>2.1</v>
      </c>
      <c r="H571" s="324">
        <f t="shared" si="56"/>
        <v>5.67</v>
      </c>
    </row>
    <row r="572" spans="1:8">
      <c r="A572" s="306"/>
      <c r="B572" s="120" t="s">
        <v>256</v>
      </c>
      <c r="C572" s="317"/>
      <c r="D572" s="323">
        <v>3</v>
      </c>
      <c r="E572" s="330">
        <v>0.9</v>
      </c>
      <c r="F572" s="331"/>
      <c r="G572" s="332">
        <v>2.1</v>
      </c>
      <c r="H572" s="324">
        <f t="shared" si="56"/>
        <v>5.67</v>
      </c>
    </row>
    <row r="573" spans="1:8">
      <c r="A573" s="306"/>
      <c r="B573" s="120" t="s">
        <v>257</v>
      </c>
      <c r="C573" s="317"/>
      <c r="D573" s="323">
        <v>3</v>
      </c>
      <c r="E573" s="330">
        <v>0.9</v>
      </c>
      <c r="F573" s="331"/>
      <c r="G573" s="332">
        <v>2.1</v>
      </c>
      <c r="H573" s="324">
        <f t="shared" si="56"/>
        <v>5.67</v>
      </c>
    </row>
    <row r="574" spans="1:8">
      <c r="A574" s="306"/>
      <c r="B574" s="120" t="s">
        <v>258</v>
      </c>
      <c r="C574" s="317"/>
      <c r="D574" s="323">
        <v>3</v>
      </c>
      <c r="E574" s="330">
        <v>0.9</v>
      </c>
      <c r="F574" s="331"/>
      <c r="G574" s="332">
        <v>2.1</v>
      </c>
      <c r="H574" s="324">
        <f t="shared" si="56"/>
        <v>5.67</v>
      </c>
    </row>
    <row r="575" spans="1:8">
      <c r="A575" s="306"/>
      <c r="B575" s="120" t="s">
        <v>259</v>
      </c>
      <c r="C575" s="317"/>
      <c r="D575" s="323">
        <v>3</v>
      </c>
      <c r="E575" s="330">
        <v>0.9</v>
      </c>
      <c r="F575" s="331"/>
      <c r="G575" s="332">
        <v>2.1</v>
      </c>
      <c r="H575" s="324">
        <f t="shared" si="56"/>
        <v>5.67</v>
      </c>
    </row>
    <row r="576" spans="1:8">
      <c r="A576" s="306"/>
      <c r="B576" s="120" t="s">
        <v>260</v>
      </c>
      <c r="C576" s="317"/>
      <c r="D576" s="323">
        <v>3</v>
      </c>
      <c r="E576" s="330">
        <v>0.9</v>
      </c>
      <c r="F576" s="331"/>
      <c r="G576" s="332">
        <v>2.1</v>
      </c>
      <c r="H576" s="324">
        <f t="shared" si="56"/>
        <v>5.67</v>
      </c>
    </row>
    <row r="577" spans="1:8">
      <c r="A577" s="306"/>
      <c r="B577" s="120" t="s">
        <v>261</v>
      </c>
      <c r="C577" s="317"/>
      <c r="D577" s="323">
        <v>3</v>
      </c>
      <c r="E577" s="330">
        <v>0.9</v>
      </c>
      <c r="F577" s="331"/>
      <c r="G577" s="332">
        <v>2.1</v>
      </c>
      <c r="H577" s="324">
        <f t="shared" si="56"/>
        <v>5.67</v>
      </c>
    </row>
    <row r="578" spans="1:8">
      <c r="A578" s="306"/>
      <c r="B578" s="120" t="s">
        <v>262</v>
      </c>
      <c r="C578" s="317"/>
      <c r="D578" s="323">
        <v>3</v>
      </c>
      <c r="E578" s="330">
        <v>0.9</v>
      </c>
      <c r="F578" s="331"/>
      <c r="G578" s="332">
        <v>2.1</v>
      </c>
      <c r="H578" s="324">
        <f t="shared" si="56"/>
        <v>5.67</v>
      </c>
    </row>
    <row r="579" spans="1:8">
      <c r="A579" s="306"/>
      <c r="B579" s="120" t="s">
        <v>263</v>
      </c>
      <c r="C579" s="317"/>
      <c r="D579" s="323">
        <v>3</v>
      </c>
      <c r="E579" s="330">
        <v>0.9</v>
      </c>
      <c r="F579" s="331"/>
      <c r="G579" s="332">
        <v>2.1</v>
      </c>
      <c r="H579" s="324">
        <f t="shared" si="56"/>
        <v>5.67</v>
      </c>
    </row>
    <row r="580" spans="1:8">
      <c r="A580" s="306"/>
      <c r="B580" s="120" t="s">
        <v>264</v>
      </c>
      <c r="C580" s="317"/>
      <c r="D580" s="323">
        <v>3</v>
      </c>
      <c r="E580" s="330">
        <v>0.9</v>
      </c>
      <c r="F580" s="331"/>
      <c r="G580" s="332">
        <v>2.1</v>
      </c>
      <c r="H580" s="324">
        <f t="shared" si="56"/>
        <v>5.67</v>
      </c>
    </row>
    <row r="581" spans="1:8">
      <c r="A581" s="306"/>
      <c r="B581" s="120" t="s">
        <v>265</v>
      </c>
      <c r="C581" s="317"/>
      <c r="D581" s="323">
        <v>3</v>
      </c>
      <c r="E581" s="330">
        <v>0.9</v>
      </c>
      <c r="F581" s="331"/>
      <c r="G581" s="332">
        <v>2.1</v>
      </c>
      <c r="H581" s="324">
        <f t="shared" si="56"/>
        <v>5.67</v>
      </c>
    </row>
    <row r="582" spans="1:8">
      <c r="A582" s="306"/>
      <c r="B582" s="120" t="s">
        <v>266</v>
      </c>
      <c r="C582" s="317"/>
      <c r="D582" s="323">
        <v>3</v>
      </c>
      <c r="E582" s="330">
        <v>0.9</v>
      </c>
      <c r="F582" s="331"/>
      <c r="G582" s="332">
        <v>2.1</v>
      </c>
      <c r="H582" s="324">
        <f t="shared" si="56"/>
        <v>5.67</v>
      </c>
    </row>
    <row r="583" spans="1:8">
      <c r="A583" s="306"/>
      <c r="B583" s="120" t="s">
        <v>267</v>
      </c>
      <c r="C583" s="317"/>
      <c r="D583" s="323">
        <v>3</v>
      </c>
      <c r="E583" s="330">
        <v>0.9</v>
      </c>
      <c r="F583" s="331"/>
      <c r="G583" s="332">
        <v>2.1</v>
      </c>
      <c r="H583" s="324">
        <f t="shared" si="56"/>
        <v>5.67</v>
      </c>
    </row>
    <row r="584" spans="1:8">
      <c r="A584" s="306"/>
      <c r="B584" s="120" t="s">
        <v>269</v>
      </c>
      <c r="C584" s="317"/>
      <c r="D584" s="323">
        <v>3</v>
      </c>
      <c r="E584" s="330">
        <v>0.9</v>
      </c>
      <c r="F584" s="331"/>
      <c r="G584" s="332">
        <v>2.1</v>
      </c>
      <c r="H584" s="324">
        <f t="shared" si="56"/>
        <v>5.67</v>
      </c>
    </row>
    <row r="585" spans="1:8">
      <c r="A585" s="306"/>
      <c r="B585" s="120" t="s">
        <v>270</v>
      </c>
      <c r="C585" s="317"/>
      <c r="D585" s="323">
        <v>3</v>
      </c>
      <c r="E585" s="330">
        <v>0.9</v>
      </c>
      <c r="F585" s="331"/>
      <c r="G585" s="332">
        <v>2.1</v>
      </c>
      <c r="H585" s="324">
        <f t="shared" si="56"/>
        <v>5.67</v>
      </c>
    </row>
    <row r="586" spans="1:8">
      <c r="A586" s="306"/>
      <c r="B586" s="120" t="s">
        <v>271</v>
      </c>
      <c r="C586" s="317"/>
      <c r="D586" s="323">
        <v>3</v>
      </c>
      <c r="E586" s="330">
        <v>0.9</v>
      </c>
      <c r="F586" s="331"/>
      <c r="G586" s="332">
        <v>2.1</v>
      </c>
      <c r="H586" s="324">
        <f t="shared" si="56"/>
        <v>5.67</v>
      </c>
    </row>
    <row r="587" spans="1:8">
      <c r="A587" s="306"/>
      <c r="B587" s="120" t="s">
        <v>272</v>
      </c>
      <c r="C587" s="317"/>
      <c r="D587" s="323">
        <v>3</v>
      </c>
      <c r="E587" s="330">
        <v>0.9</v>
      </c>
      <c r="F587" s="331"/>
      <c r="G587" s="332">
        <v>2.1</v>
      </c>
      <c r="H587" s="324">
        <f t="shared" si="56"/>
        <v>5.67</v>
      </c>
    </row>
    <row r="588" spans="1:8">
      <c r="A588" s="306"/>
      <c r="B588" s="120" t="s">
        <v>546</v>
      </c>
      <c r="C588" s="317"/>
      <c r="D588" s="323">
        <v>3</v>
      </c>
      <c r="E588" s="330">
        <v>0.9</v>
      </c>
      <c r="F588" s="331"/>
      <c r="G588" s="332">
        <v>2.1</v>
      </c>
      <c r="H588" s="324">
        <f t="shared" si="56"/>
        <v>5.67</v>
      </c>
    </row>
    <row r="589" spans="1:8">
      <c r="A589" s="306"/>
      <c r="B589" s="120" t="s">
        <v>273</v>
      </c>
      <c r="C589" s="317"/>
      <c r="D589" s="323">
        <v>3</v>
      </c>
      <c r="E589" s="330">
        <v>0.9</v>
      </c>
      <c r="F589" s="331"/>
      <c r="G589" s="332">
        <v>2.1</v>
      </c>
      <c r="H589" s="324">
        <f t="shared" si="56"/>
        <v>5.67</v>
      </c>
    </row>
    <row r="590" spans="1:8">
      <c r="A590" s="306"/>
      <c r="B590" s="120" t="s">
        <v>274</v>
      </c>
      <c r="C590" s="317"/>
      <c r="D590" s="323">
        <v>3</v>
      </c>
      <c r="E590" s="330">
        <v>0.9</v>
      </c>
      <c r="F590" s="331"/>
      <c r="G590" s="332">
        <v>2.1</v>
      </c>
      <c r="H590" s="324">
        <f t="shared" si="56"/>
        <v>5.67</v>
      </c>
    </row>
    <row r="591" spans="1:8">
      <c r="A591" s="306"/>
      <c r="B591" s="120" t="s">
        <v>275</v>
      </c>
      <c r="C591" s="317"/>
      <c r="D591" s="323">
        <v>3</v>
      </c>
      <c r="E591" s="330">
        <v>0.9</v>
      </c>
      <c r="F591" s="331"/>
      <c r="G591" s="332">
        <v>2.1</v>
      </c>
      <c r="H591" s="324">
        <f t="shared" si="56"/>
        <v>5.67</v>
      </c>
    </row>
    <row r="592" spans="1:8">
      <c r="A592" s="306"/>
      <c r="B592" s="120" t="s">
        <v>276</v>
      </c>
      <c r="C592" s="317"/>
      <c r="D592" s="323">
        <v>3</v>
      </c>
      <c r="E592" s="330">
        <v>0.9</v>
      </c>
      <c r="F592" s="331"/>
      <c r="G592" s="332">
        <v>2.1</v>
      </c>
      <c r="H592" s="324">
        <f t="shared" si="56"/>
        <v>5.67</v>
      </c>
    </row>
    <row r="593" spans="1:8">
      <c r="A593" s="306"/>
      <c r="B593" s="120" t="s">
        <v>277</v>
      </c>
      <c r="C593" s="317"/>
      <c r="D593" s="323">
        <v>3</v>
      </c>
      <c r="E593" s="330">
        <v>0.9</v>
      </c>
      <c r="F593" s="331"/>
      <c r="G593" s="332">
        <v>2.1</v>
      </c>
      <c r="H593" s="324">
        <f t="shared" si="56"/>
        <v>5.67</v>
      </c>
    </row>
    <row r="594" spans="1:8">
      <c r="A594" s="306"/>
      <c r="B594" s="120" t="s">
        <v>278</v>
      </c>
      <c r="C594" s="317"/>
      <c r="D594" s="323">
        <v>3</v>
      </c>
      <c r="E594" s="330">
        <v>0.9</v>
      </c>
      <c r="F594" s="331"/>
      <c r="G594" s="332">
        <v>2.1</v>
      </c>
      <c r="H594" s="324">
        <f t="shared" si="56"/>
        <v>5.67</v>
      </c>
    </row>
    <row r="595" spans="1:8">
      <c r="A595" s="306"/>
      <c r="B595" s="120" t="s">
        <v>279</v>
      </c>
      <c r="C595" s="317"/>
      <c r="D595" s="323">
        <v>3</v>
      </c>
      <c r="E595" s="330">
        <v>0.9</v>
      </c>
      <c r="F595" s="331"/>
      <c r="G595" s="332">
        <v>2.1</v>
      </c>
      <c r="H595" s="324">
        <f t="shared" si="56"/>
        <v>5.67</v>
      </c>
    </row>
    <row r="596" spans="1:8">
      <c r="A596" s="306"/>
      <c r="B596" s="120" t="s">
        <v>280</v>
      </c>
      <c r="C596" s="317"/>
      <c r="D596" s="323">
        <v>3</v>
      </c>
      <c r="E596" s="330">
        <v>0.9</v>
      </c>
      <c r="F596" s="331"/>
      <c r="G596" s="332">
        <v>2.1</v>
      </c>
      <c r="H596" s="324">
        <f t="shared" si="56"/>
        <v>5.67</v>
      </c>
    </row>
    <row r="597" spans="1:8">
      <c r="A597" s="306"/>
      <c r="B597" s="120" t="s">
        <v>547</v>
      </c>
      <c r="C597" s="317"/>
      <c r="D597" s="323">
        <v>3</v>
      </c>
      <c r="E597" s="330">
        <v>0.9</v>
      </c>
      <c r="F597" s="331"/>
      <c r="G597" s="332">
        <v>2.1</v>
      </c>
      <c r="H597" s="324">
        <f t="shared" si="56"/>
        <v>5.67</v>
      </c>
    </row>
    <row r="598" spans="1:8">
      <c r="A598" s="306"/>
      <c r="B598" s="120" t="s">
        <v>548</v>
      </c>
      <c r="C598" s="317"/>
      <c r="D598" s="323">
        <v>3</v>
      </c>
      <c r="E598" s="330">
        <v>0.9</v>
      </c>
      <c r="F598" s="331"/>
      <c r="G598" s="332">
        <v>2.1</v>
      </c>
      <c r="H598" s="324">
        <f t="shared" si="56"/>
        <v>5.67</v>
      </c>
    </row>
    <row r="599" spans="1:8">
      <c r="A599" s="306"/>
      <c r="B599" s="120" t="s">
        <v>281</v>
      </c>
      <c r="C599" s="317"/>
      <c r="D599" s="323">
        <v>3</v>
      </c>
      <c r="E599" s="330">
        <v>0.9</v>
      </c>
      <c r="F599" s="331"/>
      <c r="G599" s="332">
        <v>2.1</v>
      </c>
      <c r="H599" s="324">
        <f t="shared" si="56"/>
        <v>5.67</v>
      </c>
    </row>
    <row r="600" spans="1:8">
      <c r="A600" s="317"/>
      <c r="B600" s="321"/>
      <c r="C600" s="317"/>
      <c r="D600" s="317"/>
      <c r="E600" s="317"/>
      <c r="F600" s="320"/>
      <c r="G600" s="139" t="str">
        <f>"Total item "&amp;A568</f>
        <v>Total item 6.10</v>
      </c>
      <c r="H600" s="140">
        <f>SUM(H569:H599)</f>
        <v>175.13999999999993</v>
      </c>
    </row>
    <row r="601" spans="1:8" ht="22.5">
      <c r="A601" s="311" t="str">
        <f>'Planilha orç'!A76</f>
        <v>6.11</v>
      </c>
      <c r="B601" s="134" t="str">
        <f>'Planilha orç'!D76</f>
        <v>LIXAMENTO DE MADEIRA PARA APLICAÇÃO DE FUNDO OU PINTURA. AF_01/2021</v>
      </c>
      <c r="C601" s="311" t="str">
        <f>'Planilha orç'!E76</f>
        <v>M2</v>
      </c>
      <c r="D601" s="312"/>
      <c r="E601" s="313"/>
      <c r="F601" s="314"/>
      <c r="G601" s="315"/>
      <c r="H601" s="316"/>
    </row>
    <row r="602" spans="1:8">
      <c r="A602" s="306"/>
      <c r="B602" s="190" t="str">
        <f>G600</f>
        <v>Total item 6.10</v>
      </c>
      <c r="C602" s="306"/>
      <c r="D602" s="342"/>
      <c r="E602" s="330"/>
      <c r="F602" s="331"/>
      <c r="G602" s="332"/>
      <c r="H602" s="321">
        <f>H600</f>
        <v>175.13999999999993</v>
      </c>
    </row>
    <row r="603" spans="1:8">
      <c r="A603" s="317"/>
      <c r="B603" s="321"/>
      <c r="C603" s="317"/>
      <c r="D603" s="317"/>
      <c r="E603" s="317"/>
      <c r="F603" s="320"/>
      <c r="G603" s="139" t="str">
        <f>"Total item "&amp;A601</f>
        <v>Total item 6.11</v>
      </c>
      <c r="H603" s="140">
        <f>SUM(H602:H602)</f>
        <v>175.13999999999993</v>
      </c>
    </row>
    <row r="604" spans="1:8">
      <c r="A604" s="301" t="str">
        <f>'Planilha orç'!A77</f>
        <v>7.0</v>
      </c>
      <c r="B604" s="303" t="str">
        <f>'Planilha orç'!D77</f>
        <v>REVESTIMENTOS</v>
      </c>
      <c r="C604" s="302"/>
      <c r="D604" s="301"/>
      <c r="E604" s="301"/>
      <c r="F604" s="301"/>
      <c r="G604" s="301"/>
      <c r="H604" s="301"/>
    </row>
    <row r="605" spans="1:8" ht="56.25">
      <c r="A605" s="311" t="str">
        <f>'Planilha orç'!A78</f>
        <v>7.1</v>
      </c>
      <c r="B605" s="134" t="str">
        <f>'Planilha orç'!D78</f>
        <v>EMBOÇO, PARA RECEBIMENTO DE CERÂMICA, EM ARGAMASSA TRAÇO 1:2:8, PREPARO MECÂNICO COM BETONEIRA 400L, APLICADO MANUALMENTE EM FACES INTERNASDE PAREDES, PARA AMBIENTE COM ÁREA MAIOR QUE 10M2, ESPESSURA DE 20MM,COM EXECUÇÃO DE TALISCAS. AF_06/2014</v>
      </c>
      <c r="C605" s="311" t="str">
        <f>'Planilha orç'!E78</f>
        <v>M2</v>
      </c>
      <c r="D605" s="312"/>
      <c r="E605" s="313"/>
      <c r="F605" s="314"/>
      <c r="G605" s="315"/>
      <c r="H605" s="316"/>
    </row>
    <row r="606" spans="1:8">
      <c r="A606" s="322"/>
      <c r="B606" s="199" t="str">
        <f>G642</f>
        <v>Total item 7.2</v>
      </c>
      <c r="C606" s="317"/>
      <c r="D606" s="317"/>
      <c r="E606" s="353">
        <f>H642</f>
        <v>1350.8</v>
      </c>
      <c r="F606" s="320"/>
      <c r="G606" s="317"/>
      <c r="H606" s="324">
        <f t="shared" ref="H606:H607" si="57">ROUND(PRODUCT(D606:G606),2)</f>
        <v>1350.8</v>
      </c>
    </row>
    <row r="607" spans="1:8">
      <c r="A607" s="322"/>
      <c r="B607" s="199" t="str">
        <f>G675</f>
        <v>Total item 7.3</v>
      </c>
      <c r="C607" s="317"/>
      <c r="D607" s="317"/>
      <c r="E607" s="353">
        <f>H675</f>
        <v>159.23000000000002</v>
      </c>
      <c r="F607" s="320"/>
      <c r="G607" s="317"/>
      <c r="H607" s="324">
        <f t="shared" si="57"/>
        <v>159.22999999999999</v>
      </c>
    </row>
    <row r="608" spans="1:8">
      <c r="A608" s="334"/>
      <c r="B608" s="97"/>
      <c r="C608" s="317"/>
      <c r="D608" s="326"/>
      <c r="E608" s="319"/>
      <c r="F608" s="320"/>
      <c r="G608" s="139" t="str">
        <f>"Total item "&amp;A605</f>
        <v>Total item 7.1</v>
      </c>
      <c r="H608" s="140">
        <f>SUM(H606:H607)</f>
        <v>1510.03</v>
      </c>
    </row>
    <row r="609" spans="1:8" ht="56.25">
      <c r="A609" s="311" t="str">
        <f>'Planilha orç'!A79</f>
        <v>7.2</v>
      </c>
      <c r="B609" s="134" t="str">
        <f>'Planilha orç'!D79</f>
        <v>REVESTIMENTO EM PAREDE COM CERAMICA ESMALTADA 45X45CM, TIPO A, PEI5, ELIANE,PORTO RICO, SA_x0002_MARSA, ELIZABETH OU SIMILAR, ASSENTADO COM AR GAMASSA PRE FABRICADA E REJUNTE DA QUARTZOLIT OU SIMILAR (ESPESSURA DA JUNTA DE 6MM) SOBRE EMBOCO PRONTO.</v>
      </c>
      <c r="C609" s="311" t="str">
        <f>'Planilha orç'!E79</f>
        <v>M2</v>
      </c>
      <c r="D609" s="312"/>
      <c r="E609" s="313"/>
      <c r="F609" s="314"/>
      <c r="G609" s="315"/>
      <c r="H609" s="316"/>
    </row>
    <row r="610" spans="1:8">
      <c r="A610" s="322"/>
      <c r="B610" s="115" t="s">
        <v>554</v>
      </c>
      <c r="C610" s="317"/>
      <c r="D610" s="317"/>
      <c r="E610" s="317"/>
      <c r="F610" s="320">
        <v>41.22</v>
      </c>
      <c r="G610" s="317">
        <v>1.1000000000000001</v>
      </c>
      <c r="H610" s="324">
        <f t="shared" ref="H610:H641" si="58">ROUND(PRODUCT(D610:G610),2)</f>
        <v>45.34</v>
      </c>
    </row>
    <row r="611" spans="1:8">
      <c r="A611" s="322"/>
      <c r="B611" s="115" t="s">
        <v>565</v>
      </c>
      <c r="C611" s="317"/>
      <c r="D611" s="317"/>
      <c r="E611" s="317"/>
      <c r="F611" s="320">
        <v>29.43</v>
      </c>
      <c r="G611" s="317">
        <v>1.1000000000000001</v>
      </c>
      <c r="H611" s="324">
        <f t="shared" si="58"/>
        <v>32.369999999999997</v>
      </c>
    </row>
    <row r="612" spans="1:8">
      <c r="A612" s="322"/>
      <c r="B612" s="115" t="s">
        <v>566</v>
      </c>
      <c r="C612" s="317"/>
      <c r="D612" s="317"/>
      <c r="E612" s="317"/>
      <c r="F612" s="320">
        <v>29.43</v>
      </c>
      <c r="G612" s="317">
        <v>1.1000000000000001</v>
      </c>
      <c r="H612" s="324">
        <f t="shared" si="58"/>
        <v>32.369999999999997</v>
      </c>
    </row>
    <row r="613" spans="1:8">
      <c r="A613" s="322"/>
      <c r="B613" s="115" t="s">
        <v>567</v>
      </c>
      <c r="C613" s="317"/>
      <c r="D613" s="317"/>
      <c r="E613" s="317"/>
      <c r="F613" s="320">
        <v>29.01</v>
      </c>
      <c r="G613" s="317">
        <v>1.1000000000000001</v>
      </c>
      <c r="H613" s="324">
        <f t="shared" si="58"/>
        <v>31.91</v>
      </c>
    </row>
    <row r="614" spans="1:8">
      <c r="A614" s="322"/>
      <c r="B614" s="115" t="s">
        <v>568</v>
      </c>
      <c r="C614" s="317"/>
      <c r="D614" s="317"/>
      <c r="E614" s="317"/>
      <c r="F614" s="320">
        <v>29.01</v>
      </c>
      <c r="G614" s="317">
        <v>1.1000000000000001</v>
      </c>
      <c r="H614" s="324">
        <f t="shared" si="58"/>
        <v>31.91</v>
      </c>
    </row>
    <row r="615" spans="1:8">
      <c r="A615" s="322"/>
      <c r="B615" s="115" t="s">
        <v>578</v>
      </c>
      <c r="C615" s="317"/>
      <c r="D615" s="317"/>
      <c r="E615" s="317"/>
      <c r="F615" s="320">
        <v>29.01</v>
      </c>
      <c r="G615" s="317">
        <v>1.1000000000000001</v>
      </c>
      <c r="H615" s="324">
        <f t="shared" si="58"/>
        <v>31.91</v>
      </c>
    </row>
    <row r="616" spans="1:8">
      <c r="A616" s="322"/>
      <c r="B616" s="115" t="s">
        <v>569</v>
      </c>
      <c r="C616" s="317"/>
      <c r="D616" s="317"/>
      <c r="E616" s="317"/>
      <c r="F616" s="320">
        <v>29.01</v>
      </c>
      <c r="G616" s="317">
        <v>1.1000000000000001</v>
      </c>
      <c r="H616" s="324">
        <f t="shared" si="58"/>
        <v>31.91</v>
      </c>
    </row>
    <row r="617" spans="1:8">
      <c r="A617" s="322"/>
      <c r="B617" s="115" t="s">
        <v>570</v>
      </c>
      <c r="C617" s="317"/>
      <c r="D617" s="317"/>
      <c r="E617" s="317"/>
      <c r="F617" s="320">
        <v>29.01</v>
      </c>
      <c r="G617" s="317">
        <v>1.1000000000000001</v>
      </c>
      <c r="H617" s="324">
        <f t="shared" si="58"/>
        <v>31.91</v>
      </c>
    </row>
    <row r="618" spans="1:8">
      <c r="A618" s="322"/>
      <c r="B618" s="115" t="s">
        <v>571</v>
      </c>
      <c r="C618" s="317"/>
      <c r="D618" s="317"/>
      <c r="E618" s="317"/>
      <c r="F618" s="320">
        <v>31.95</v>
      </c>
      <c r="G618" s="317">
        <v>1.1000000000000001</v>
      </c>
      <c r="H618" s="324">
        <f t="shared" si="58"/>
        <v>35.15</v>
      </c>
    </row>
    <row r="619" spans="1:8">
      <c r="A619" s="322"/>
      <c r="B619" s="115" t="s">
        <v>572</v>
      </c>
      <c r="C619" s="317"/>
      <c r="D619" s="317"/>
      <c r="E619" s="317"/>
      <c r="F619" s="320">
        <v>33.03</v>
      </c>
      <c r="G619" s="317">
        <v>1.1000000000000001</v>
      </c>
      <c r="H619" s="324">
        <f t="shared" si="58"/>
        <v>36.33</v>
      </c>
    </row>
    <row r="620" spans="1:8">
      <c r="A620" s="322"/>
      <c r="B620" s="115" t="s">
        <v>573</v>
      </c>
      <c r="C620" s="317"/>
      <c r="D620" s="317"/>
      <c r="E620" s="317"/>
      <c r="F620" s="320">
        <v>29.01</v>
      </c>
      <c r="G620" s="317">
        <v>1.1000000000000001</v>
      </c>
      <c r="H620" s="324">
        <f t="shared" si="58"/>
        <v>31.91</v>
      </c>
    </row>
    <row r="621" spans="1:8">
      <c r="A621" s="322"/>
      <c r="B621" s="115" t="s">
        <v>574</v>
      </c>
      <c r="C621" s="317"/>
      <c r="D621" s="317"/>
      <c r="E621" s="317"/>
      <c r="F621" s="320">
        <v>29.01</v>
      </c>
      <c r="G621" s="317">
        <v>1.1000000000000001</v>
      </c>
      <c r="H621" s="324">
        <f t="shared" si="58"/>
        <v>31.91</v>
      </c>
    </row>
    <row r="622" spans="1:8">
      <c r="A622" s="322"/>
      <c r="B622" s="115" t="s">
        <v>575</v>
      </c>
      <c r="C622" s="317"/>
      <c r="D622" s="317"/>
      <c r="E622" s="317"/>
      <c r="F622" s="320">
        <v>29.01</v>
      </c>
      <c r="G622" s="317">
        <v>1.1000000000000001</v>
      </c>
      <c r="H622" s="324">
        <f t="shared" si="58"/>
        <v>31.91</v>
      </c>
    </row>
    <row r="623" spans="1:8">
      <c r="A623" s="322"/>
      <c r="B623" s="115" t="s">
        <v>576</v>
      </c>
      <c r="C623" s="317"/>
      <c r="D623" s="317"/>
      <c r="E623" s="317"/>
      <c r="F623" s="320">
        <v>28.73</v>
      </c>
      <c r="G623" s="317">
        <v>1.1000000000000001</v>
      </c>
      <c r="H623" s="324">
        <f t="shared" si="58"/>
        <v>31.6</v>
      </c>
    </row>
    <row r="624" spans="1:8">
      <c r="A624" s="322"/>
      <c r="B624" s="115" t="s">
        <v>577</v>
      </c>
      <c r="C624" s="317"/>
      <c r="D624" s="317"/>
      <c r="E624" s="317"/>
      <c r="F624" s="320">
        <v>29.01</v>
      </c>
      <c r="G624" s="317">
        <v>1.1000000000000001</v>
      </c>
      <c r="H624" s="324">
        <f t="shared" si="58"/>
        <v>31.91</v>
      </c>
    </row>
    <row r="625" spans="1:8">
      <c r="A625" s="322"/>
      <c r="B625" s="115" t="s">
        <v>564</v>
      </c>
      <c r="C625" s="317"/>
      <c r="D625" s="317"/>
      <c r="E625" s="317"/>
      <c r="F625" s="320">
        <v>29.1</v>
      </c>
      <c r="G625" s="317">
        <v>1.1000000000000001</v>
      </c>
      <c r="H625" s="324">
        <f t="shared" si="58"/>
        <v>32.01</v>
      </c>
    </row>
    <row r="626" spans="1:8">
      <c r="A626" s="322"/>
      <c r="B626" s="115" t="s">
        <v>474</v>
      </c>
      <c r="C626" s="317"/>
      <c r="D626" s="317"/>
      <c r="E626" s="317"/>
      <c r="F626" s="320">
        <v>21.47</v>
      </c>
      <c r="G626" s="317">
        <v>1.1000000000000001</v>
      </c>
      <c r="H626" s="324">
        <f t="shared" si="58"/>
        <v>23.62</v>
      </c>
    </row>
    <row r="627" spans="1:8">
      <c r="A627" s="322"/>
      <c r="B627" s="115" t="s">
        <v>473</v>
      </c>
      <c r="C627" s="317"/>
      <c r="D627" s="317"/>
      <c r="E627" s="317"/>
      <c r="F627" s="320">
        <v>15.01</v>
      </c>
      <c r="G627" s="317">
        <v>1.1000000000000001</v>
      </c>
      <c r="H627" s="324">
        <f t="shared" si="58"/>
        <v>16.510000000000002</v>
      </c>
    </row>
    <row r="628" spans="1:8">
      <c r="A628" s="322"/>
      <c r="B628" s="115" t="s">
        <v>472</v>
      </c>
      <c r="C628" s="317"/>
      <c r="D628" s="317"/>
      <c r="E628" s="317"/>
      <c r="F628" s="320">
        <v>12.5</v>
      </c>
      <c r="G628" s="317">
        <v>1.1000000000000001</v>
      </c>
      <c r="H628" s="324">
        <f t="shared" si="58"/>
        <v>13.75</v>
      </c>
    </row>
    <row r="629" spans="1:8">
      <c r="A629" s="322"/>
      <c r="B629" s="115" t="s">
        <v>241</v>
      </c>
      <c r="C629" s="317"/>
      <c r="D629" s="317"/>
      <c r="E629" s="317"/>
      <c r="F629" s="320">
        <v>15.08</v>
      </c>
      <c r="G629" s="317">
        <v>1.1000000000000001</v>
      </c>
      <c r="H629" s="324">
        <f t="shared" si="58"/>
        <v>16.59</v>
      </c>
    </row>
    <row r="630" spans="1:8">
      <c r="A630" s="322"/>
      <c r="B630" s="115" t="s">
        <v>497</v>
      </c>
      <c r="C630" s="317"/>
      <c r="D630" s="317"/>
      <c r="E630" s="317"/>
      <c r="F630" s="320">
        <v>8.81</v>
      </c>
      <c r="G630" s="317">
        <v>1.1000000000000001</v>
      </c>
      <c r="H630" s="324">
        <f t="shared" si="58"/>
        <v>9.69</v>
      </c>
    </row>
    <row r="631" spans="1:8">
      <c r="A631" s="322"/>
      <c r="B631" s="115" t="s">
        <v>476</v>
      </c>
      <c r="C631" s="317"/>
      <c r="D631" s="317"/>
      <c r="E631" s="317"/>
      <c r="F631" s="320">
        <v>40.25</v>
      </c>
      <c r="G631" s="317">
        <v>1.1000000000000001</v>
      </c>
      <c r="H631" s="324">
        <f t="shared" si="58"/>
        <v>44.28</v>
      </c>
    </row>
    <row r="632" spans="1:8">
      <c r="A632" s="322"/>
      <c r="B632" s="115" t="s">
        <v>470</v>
      </c>
      <c r="C632" s="317"/>
      <c r="D632" s="317"/>
      <c r="E632" s="317"/>
      <c r="F632" s="320">
        <v>14.13</v>
      </c>
      <c r="G632" s="317">
        <v>1.1000000000000001</v>
      </c>
      <c r="H632" s="324">
        <f t="shared" si="58"/>
        <v>15.54</v>
      </c>
    </row>
    <row r="633" spans="1:8">
      <c r="A633" s="322"/>
      <c r="B633" s="115" t="s">
        <v>483</v>
      </c>
      <c r="C633" s="317"/>
      <c r="D633" s="317"/>
      <c r="E633" s="317"/>
      <c r="F633" s="320">
        <v>29.23</v>
      </c>
      <c r="G633" s="317">
        <v>1.1000000000000001</v>
      </c>
      <c r="H633" s="324">
        <f t="shared" si="58"/>
        <v>32.15</v>
      </c>
    </row>
    <row r="634" spans="1:8">
      <c r="A634" s="322"/>
      <c r="B634" s="115" t="s">
        <v>496</v>
      </c>
      <c r="C634" s="317"/>
      <c r="D634" s="317"/>
      <c r="E634" s="317"/>
      <c r="F634" s="320">
        <v>9.8800000000000008</v>
      </c>
      <c r="G634" s="317">
        <v>1.1000000000000001</v>
      </c>
      <c r="H634" s="324">
        <f t="shared" si="58"/>
        <v>10.87</v>
      </c>
    </row>
    <row r="635" spans="1:8">
      <c r="A635" s="322"/>
      <c r="B635" s="115" t="s">
        <v>611</v>
      </c>
      <c r="C635" s="317"/>
      <c r="D635" s="317"/>
      <c r="E635" s="317"/>
      <c r="F635" s="320">
        <v>90.9</v>
      </c>
      <c r="G635" s="317">
        <v>1.1000000000000001</v>
      </c>
      <c r="H635" s="324">
        <f t="shared" si="58"/>
        <v>99.99</v>
      </c>
    </row>
    <row r="636" spans="1:8">
      <c r="A636" s="322"/>
      <c r="B636" s="115" t="s">
        <v>612</v>
      </c>
      <c r="C636" s="317"/>
      <c r="D636" s="317"/>
      <c r="E636" s="317"/>
      <c r="F636" s="320">
        <v>45.39</v>
      </c>
      <c r="G636" s="317">
        <v>1.1000000000000001</v>
      </c>
      <c r="H636" s="324">
        <f t="shared" si="58"/>
        <v>49.93</v>
      </c>
    </row>
    <row r="637" spans="1:8">
      <c r="A637" s="322"/>
      <c r="B637" s="115" t="s">
        <v>613</v>
      </c>
      <c r="C637" s="317"/>
      <c r="D637" s="317"/>
      <c r="E637" s="317"/>
      <c r="F637" s="320">
        <v>47.95</v>
      </c>
      <c r="G637" s="317">
        <v>1.1000000000000001</v>
      </c>
      <c r="H637" s="324">
        <f t="shared" si="58"/>
        <v>52.75</v>
      </c>
    </row>
    <row r="638" spans="1:8">
      <c r="A638" s="322"/>
      <c r="B638" s="115" t="s">
        <v>614</v>
      </c>
      <c r="C638" s="317"/>
      <c r="D638" s="317"/>
      <c r="E638" s="317"/>
      <c r="F638" s="320">
        <v>32.409999999999997</v>
      </c>
      <c r="G638" s="317">
        <v>1.1000000000000001</v>
      </c>
      <c r="H638" s="324">
        <f t="shared" si="58"/>
        <v>35.65</v>
      </c>
    </row>
    <row r="639" spans="1:8">
      <c r="A639" s="322"/>
      <c r="B639" s="115" t="s">
        <v>593</v>
      </c>
      <c r="C639" s="317"/>
      <c r="D639" s="317">
        <v>19</v>
      </c>
      <c r="E639" s="317"/>
      <c r="F639" s="317">
        <v>0.69</v>
      </c>
      <c r="G639" s="317">
        <v>1.1000000000000001</v>
      </c>
      <c r="H639" s="324">
        <f t="shared" si="58"/>
        <v>14.42</v>
      </c>
    </row>
    <row r="640" spans="1:8">
      <c r="A640" s="322"/>
      <c r="B640" s="115" t="s">
        <v>1014</v>
      </c>
      <c r="C640" s="317"/>
      <c r="D640" s="317">
        <v>128</v>
      </c>
      <c r="E640" s="317"/>
      <c r="F640" s="317"/>
      <c r="G640" s="317">
        <v>2.4</v>
      </c>
      <c r="H640" s="324">
        <f t="shared" si="58"/>
        <v>307.2</v>
      </c>
    </row>
    <row r="641" spans="1:8">
      <c r="A641" s="322"/>
      <c r="B641" s="115" t="s">
        <v>1013</v>
      </c>
      <c r="C641" s="317"/>
      <c r="D641" s="317">
        <v>75.5</v>
      </c>
      <c r="E641" s="317"/>
      <c r="F641" s="317"/>
      <c r="G641" s="317"/>
      <c r="H641" s="324">
        <f t="shared" si="58"/>
        <v>75.5</v>
      </c>
    </row>
    <row r="642" spans="1:8">
      <c r="A642" s="334"/>
      <c r="B642" s="97"/>
      <c r="C642" s="317"/>
      <c r="D642" s="326"/>
      <c r="E642" s="319"/>
      <c r="F642" s="320"/>
      <c r="G642" s="139" t="str">
        <f>"Total item "&amp;A609</f>
        <v>Total item 7.2</v>
      </c>
      <c r="H642" s="140">
        <f>SUM(H610:H641)</f>
        <v>1350.8</v>
      </c>
    </row>
    <row r="643" spans="1:8" ht="56.25">
      <c r="A643" s="311" t="str">
        <f>'Planilha orç'!A80</f>
        <v>7.3</v>
      </c>
      <c r="B643" s="134" t="str">
        <f>'Planilha orç'!D80</f>
        <v>REVESTIMENTO EM PAREDE COM CERAMICA ESMALTADA 10X10CM,TIPO A, BRANCA, ELIANE,PORTO RICO,SA_x0002_MARSA, ELIZABETH OU SIMILAR, ASSENTADO COM AR GAMASSA PRE FABRICADA E REJUNTE DA QUARTZOLIT OU SIMILAR (ESPESSURA DA JUNTA DE 6MM) SOBRE EMBOCO PRONTO.</v>
      </c>
      <c r="C643" s="311" t="str">
        <f>'Planilha orç'!E80</f>
        <v>M2</v>
      </c>
      <c r="D643" s="312"/>
      <c r="E643" s="313"/>
      <c r="F643" s="314"/>
      <c r="G643" s="315"/>
      <c r="H643" s="316"/>
    </row>
    <row r="644" spans="1:8">
      <c r="A644" s="322"/>
      <c r="B644" s="115" t="s">
        <v>554</v>
      </c>
      <c r="C644" s="317"/>
      <c r="D644" s="317"/>
      <c r="E644" s="317"/>
      <c r="F644" s="320">
        <v>41.22</v>
      </c>
      <c r="G644" s="317">
        <v>0.1</v>
      </c>
      <c r="H644" s="324">
        <f t="shared" ref="H644:H674" si="59">ROUND(PRODUCT(D644:G644),2)</f>
        <v>4.12</v>
      </c>
    </row>
    <row r="645" spans="1:8">
      <c r="A645" s="322"/>
      <c r="B645" s="115" t="s">
        <v>565</v>
      </c>
      <c r="C645" s="317"/>
      <c r="D645" s="317"/>
      <c r="E645" s="317"/>
      <c r="F645" s="320">
        <v>29.43</v>
      </c>
      <c r="G645" s="317">
        <v>0.1</v>
      </c>
      <c r="H645" s="324">
        <f t="shared" si="59"/>
        <v>2.94</v>
      </c>
    </row>
    <row r="646" spans="1:8">
      <c r="A646" s="322"/>
      <c r="B646" s="115" t="s">
        <v>566</v>
      </c>
      <c r="C646" s="317"/>
      <c r="D646" s="317"/>
      <c r="E646" s="317"/>
      <c r="F646" s="320">
        <v>29.43</v>
      </c>
      <c r="G646" s="317">
        <v>0.1</v>
      </c>
      <c r="H646" s="324">
        <f t="shared" si="59"/>
        <v>2.94</v>
      </c>
    </row>
    <row r="647" spans="1:8">
      <c r="A647" s="322"/>
      <c r="B647" s="115" t="s">
        <v>567</v>
      </c>
      <c r="C647" s="317"/>
      <c r="D647" s="317"/>
      <c r="E647" s="317"/>
      <c r="F647" s="320">
        <v>29.01</v>
      </c>
      <c r="G647" s="317">
        <v>0.1</v>
      </c>
      <c r="H647" s="324">
        <f t="shared" si="59"/>
        <v>2.9</v>
      </c>
    </row>
    <row r="648" spans="1:8">
      <c r="A648" s="322"/>
      <c r="B648" s="115" t="s">
        <v>568</v>
      </c>
      <c r="C648" s="317"/>
      <c r="D648" s="317"/>
      <c r="E648" s="317"/>
      <c r="F648" s="320">
        <v>29.01</v>
      </c>
      <c r="G648" s="317">
        <v>0.1</v>
      </c>
      <c r="H648" s="324">
        <f t="shared" si="59"/>
        <v>2.9</v>
      </c>
    </row>
    <row r="649" spans="1:8">
      <c r="A649" s="322"/>
      <c r="B649" s="115" t="s">
        <v>578</v>
      </c>
      <c r="C649" s="317"/>
      <c r="D649" s="317"/>
      <c r="E649" s="317"/>
      <c r="F649" s="320">
        <v>29.01</v>
      </c>
      <c r="G649" s="317">
        <v>0.1</v>
      </c>
      <c r="H649" s="324">
        <f t="shared" si="59"/>
        <v>2.9</v>
      </c>
    </row>
    <row r="650" spans="1:8">
      <c r="A650" s="322"/>
      <c r="B650" s="115" t="s">
        <v>569</v>
      </c>
      <c r="C650" s="317"/>
      <c r="D650" s="317"/>
      <c r="E650" s="317"/>
      <c r="F650" s="320">
        <v>29.01</v>
      </c>
      <c r="G650" s="317">
        <v>0.1</v>
      </c>
      <c r="H650" s="324">
        <f t="shared" si="59"/>
        <v>2.9</v>
      </c>
    </row>
    <row r="651" spans="1:8">
      <c r="A651" s="322"/>
      <c r="B651" s="115" t="s">
        <v>570</v>
      </c>
      <c r="C651" s="317"/>
      <c r="D651" s="317"/>
      <c r="E651" s="317"/>
      <c r="F651" s="320">
        <v>29.01</v>
      </c>
      <c r="G651" s="317">
        <v>0.1</v>
      </c>
      <c r="H651" s="324">
        <f t="shared" si="59"/>
        <v>2.9</v>
      </c>
    </row>
    <row r="652" spans="1:8">
      <c r="A652" s="322"/>
      <c r="B652" s="115" t="s">
        <v>571</v>
      </c>
      <c r="C652" s="317"/>
      <c r="D652" s="317"/>
      <c r="E652" s="317"/>
      <c r="F652" s="320">
        <v>31.95</v>
      </c>
      <c r="G652" s="317">
        <v>0.1</v>
      </c>
      <c r="H652" s="324">
        <f t="shared" si="59"/>
        <v>3.2</v>
      </c>
    </row>
    <row r="653" spans="1:8">
      <c r="A653" s="322"/>
      <c r="B653" s="115" t="s">
        <v>572</v>
      </c>
      <c r="C653" s="317"/>
      <c r="D653" s="317"/>
      <c r="E653" s="317"/>
      <c r="F653" s="320">
        <v>33.03</v>
      </c>
      <c r="G653" s="317">
        <v>0.1</v>
      </c>
      <c r="H653" s="324">
        <f t="shared" si="59"/>
        <v>3.3</v>
      </c>
    </row>
    <row r="654" spans="1:8">
      <c r="A654" s="322"/>
      <c r="B654" s="115" t="s">
        <v>573</v>
      </c>
      <c r="C654" s="317"/>
      <c r="D654" s="317"/>
      <c r="E654" s="317"/>
      <c r="F654" s="320">
        <v>29.01</v>
      </c>
      <c r="G654" s="317">
        <v>0.1</v>
      </c>
      <c r="H654" s="324">
        <f t="shared" si="59"/>
        <v>2.9</v>
      </c>
    </row>
    <row r="655" spans="1:8">
      <c r="A655" s="322"/>
      <c r="B655" s="115" t="s">
        <v>574</v>
      </c>
      <c r="C655" s="317"/>
      <c r="D655" s="317"/>
      <c r="E655" s="317"/>
      <c r="F655" s="320">
        <v>29.01</v>
      </c>
      <c r="G655" s="317">
        <v>0.1</v>
      </c>
      <c r="H655" s="324">
        <f t="shared" si="59"/>
        <v>2.9</v>
      </c>
    </row>
    <row r="656" spans="1:8">
      <c r="A656" s="322"/>
      <c r="B656" s="115" t="s">
        <v>575</v>
      </c>
      <c r="C656" s="317"/>
      <c r="D656" s="317"/>
      <c r="E656" s="317"/>
      <c r="F656" s="320">
        <v>29.01</v>
      </c>
      <c r="G656" s="317">
        <v>0.1</v>
      </c>
      <c r="H656" s="324">
        <f t="shared" si="59"/>
        <v>2.9</v>
      </c>
    </row>
    <row r="657" spans="1:8">
      <c r="A657" s="322"/>
      <c r="B657" s="115" t="s">
        <v>576</v>
      </c>
      <c r="C657" s="317"/>
      <c r="D657" s="317"/>
      <c r="E657" s="317"/>
      <c r="F657" s="320">
        <v>28.73</v>
      </c>
      <c r="G657" s="317">
        <v>0.1</v>
      </c>
      <c r="H657" s="324">
        <f t="shared" si="59"/>
        <v>2.87</v>
      </c>
    </row>
    <row r="658" spans="1:8">
      <c r="A658" s="322"/>
      <c r="B658" s="115" t="s">
        <v>577</v>
      </c>
      <c r="C658" s="317"/>
      <c r="D658" s="317"/>
      <c r="E658" s="317"/>
      <c r="F658" s="320">
        <v>29.01</v>
      </c>
      <c r="G658" s="317">
        <v>0.1</v>
      </c>
      <c r="H658" s="324">
        <f t="shared" si="59"/>
        <v>2.9</v>
      </c>
    </row>
    <row r="659" spans="1:8">
      <c r="A659" s="322"/>
      <c r="B659" s="115" t="s">
        <v>564</v>
      </c>
      <c r="C659" s="317"/>
      <c r="D659" s="317"/>
      <c r="E659" s="317"/>
      <c r="F659" s="320">
        <v>29.1</v>
      </c>
      <c r="G659" s="317">
        <v>0.1</v>
      </c>
      <c r="H659" s="324">
        <f t="shared" si="59"/>
        <v>2.91</v>
      </c>
    </row>
    <row r="660" spans="1:8">
      <c r="A660" s="322"/>
      <c r="B660" s="115" t="s">
        <v>474</v>
      </c>
      <c r="C660" s="317"/>
      <c r="D660" s="317"/>
      <c r="E660" s="317"/>
      <c r="F660" s="320">
        <v>21.47</v>
      </c>
      <c r="G660" s="317">
        <v>0.1</v>
      </c>
      <c r="H660" s="324">
        <f t="shared" si="59"/>
        <v>2.15</v>
      </c>
    </row>
    <row r="661" spans="1:8">
      <c r="A661" s="322"/>
      <c r="B661" s="115" t="s">
        <v>473</v>
      </c>
      <c r="C661" s="317"/>
      <c r="D661" s="317"/>
      <c r="E661" s="317"/>
      <c r="F661" s="320">
        <v>15.01</v>
      </c>
      <c r="G661" s="317">
        <v>0.1</v>
      </c>
      <c r="H661" s="324">
        <f t="shared" si="59"/>
        <v>1.5</v>
      </c>
    </row>
    <row r="662" spans="1:8">
      <c r="A662" s="322"/>
      <c r="B662" s="115" t="s">
        <v>472</v>
      </c>
      <c r="C662" s="317"/>
      <c r="D662" s="317"/>
      <c r="E662" s="317"/>
      <c r="F662" s="320">
        <v>12.5</v>
      </c>
      <c r="G662" s="317">
        <v>0.1</v>
      </c>
      <c r="H662" s="324">
        <f t="shared" si="59"/>
        <v>1.25</v>
      </c>
    </row>
    <row r="663" spans="1:8">
      <c r="A663" s="322"/>
      <c r="B663" s="115" t="s">
        <v>241</v>
      </c>
      <c r="C663" s="317"/>
      <c r="D663" s="317"/>
      <c r="E663" s="317"/>
      <c r="F663" s="320">
        <v>15.08</v>
      </c>
      <c r="G663" s="317">
        <v>0.1</v>
      </c>
      <c r="H663" s="324">
        <f t="shared" si="59"/>
        <v>1.51</v>
      </c>
    </row>
    <row r="664" spans="1:8">
      <c r="A664" s="322"/>
      <c r="B664" s="115" t="s">
        <v>497</v>
      </c>
      <c r="C664" s="317"/>
      <c r="D664" s="317"/>
      <c r="E664" s="317"/>
      <c r="F664" s="320">
        <v>8.81</v>
      </c>
      <c r="G664" s="317">
        <v>0.1</v>
      </c>
      <c r="H664" s="324">
        <f t="shared" si="59"/>
        <v>0.88</v>
      </c>
    </row>
    <row r="665" spans="1:8">
      <c r="A665" s="322"/>
      <c r="B665" s="115" t="s">
        <v>476</v>
      </c>
      <c r="C665" s="317"/>
      <c r="D665" s="317"/>
      <c r="E665" s="317"/>
      <c r="F665" s="320">
        <v>40.25</v>
      </c>
      <c r="G665" s="317">
        <v>0.1</v>
      </c>
      <c r="H665" s="324">
        <f t="shared" si="59"/>
        <v>4.03</v>
      </c>
    </row>
    <row r="666" spans="1:8">
      <c r="A666" s="322"/>
      <c r="B666" s="115" t="s">
        <v>470</v>
      </c>
      <c r="C666" s="317"/>
      <c r="D666" s="317"/>
      <c r="E666" s="317"/>
      <c r="F666" s="320">
        <v>14.13</v>
      </c>
      <c r="G666" s="317">
        <v>0.1</v>
      </c>
      <c r="H666" s="324">
        <f t="shared" si="59"/>
        <v>1.41</v>
      </c>
    </row>
    <row r="667" spans="1:8">
      <c r="A667" s="322"/>
      <c r="B667" s="115" t="s">
        <v>483</v>
      </c>
      <c r="C667" s="317"/>
      <c r="D667" s="317"/>
      <c r="E667" s="317"/>
      <c r="F667" s="320">
        <v>29.23</v>
      </c>
      <c r="G667" s="317">
        <v>0.1</v>
      </c>
      <c r="H667" s="324">
        <f t="shared" si="59"/>
        <v>2.92</v>
      </c>
    </row>
    <row r="668" spans="1:8">
      <c r="A668" s="322"/>
      <c r="B668" s="115" t="s">
        <v>581</v>
      </c>
      <c r="C668" s="317"/>
      <c r="D668" s="317"/>
      <c r="E668" s="317"/>
      <c r="F668" s="320">
        <v>50.88</v>
      </c>
      <c r="G668" s="317">
        <v>1.4</v>
      </c>
      <c r="H668" s="324">
        <f t="shared" si="59"/>
        <v>71.23</v>
      </c>
    </row>
    <row r="669" spans="1:8">
      <c r="A669" s="322"/>
      <c r="B669" s="115" t="s">
        <v>496</v>
      </c>
      <c r="C669" s="317"/>
      <c r="D669" s="317"/>
      <c r="E669" s="317"/>
      <c r="F669" s="320">
        <v>9.8800000000000008</v>
      </c>
      <c r="G669" s="317">
        <v>0.1</v>
      </c>
      <c r="H669" s="324">
        <f t="shared" si="59"/>
        <v>0.99</v>
      </c>
    </row>
    <row r="670" spans="1:8">
      <c r="A670" s="322"/>
      <c r="B670" s="115" t="s">
        <v>611</v>
      </c>
      <c r="C670" s="317"/>
      <c r="D670" s="317"/>
      <c r="E670" s="317"/>
      <c r="F670" s="320">
        <v>90.9</v>
      </c>
      <c r="G670" s="317">
        <v>0.1</v>
      </c>
      <c r="H670" s="324">
        <f t="shared" si="59"/>
        <v>9.09</v>
      </c>
    </row>
    <row r="671" spans="1:8">
      <c r="A671" s="322"/>
      <c r="B671" s="115" t="s">
        <v>612</v>
      </c>
      <c r="C671" s="317"/>
      <c r="D671" s="317"/>
      <c r="E671" s="317"/>
      <c r="F671" s="320">
        <v>45.39</v>
      </c>
      <c r="G671" s="317">
        <v>0.1</v>
      </c>
      <c r="H671" s="324">
        <f t="shared" si="59"/>
        <v>4.54</v>
      </c>
    </row>
    <row r="672" spans="1:8">
      <c r="A672" s="322"/>
      <c r="B672" s="115" t="s">
        <v>613</v>
      </c>
      <c r="C672" s="317"/>
      <c r="D672" s="317"/>
      <c r="E672" s="317"/>
      <c r="F672" s="320">
        <v>47.95</v>
      </c>
      <c r="G672" s="317">
        <v>0.1</v>
      </c>
      <c r="H672" s="324">
        <f t="shared" si="59"/>
        <v>4.8</v>
      </c>
    </row>
    <row r="673" spans="1:8">
      <c r="A673" s="322"/>
      <c r="B673" s="115" t="s">
        <v>614</v>
      </c>
      <c r="C673" s="317"/>
      <c r="D673" s="317"/>
      <c r="E673" s="317"/>
      <c r="F673" s="320">
        <v>32.409999999999997</v>
      </c>
      <c r="G673" s="317">
        <v>0.1</v>
      </c>
      <c r="H673" s="324">
        <f t="shared" si="59"/>
        <v>3.24</v>
      </c>
    </row>
    <row r="674" spans="1:8">
      <c r="A674" s="322"/>
      <c r="B674" s="115" t="s">
        <v>593</v>
      </c>
      <c r="C674" s="317"/>
      <c r="D674" s="317">
        <v>19</v>
      </c>
      <c r="E674" s="317"/>
      <c r="F674" s="317">
        <v>0.69</v>
      </c>
      <c r="G674" s="317">
        <v>0.1</v>
      </c>
      <c r="H674" s="324">
        <f t="shared" si="59"/>
        <v>1.31</v>
      </c>
    </row>
    <row r="675" spans="1:8">
      <c r="A675" s="322"/>
      <c r="B675" s="97"/>
      <c r="C675" s="317"/>
      <c r="D675" s="326"/>
      <c r="E675" s="319"/>
      <c r="F675" s="320"/>
      <c r="G675" s="113" t="str">
        <f>"Total item "&amp;A643</f>
        <v>Total item 7.3</v>
      </c>
      <c r="H675" s="114">
        <f>SUM(H644:H674)</f>
        <v>159.23000000000002</v>
      </c>
    </row>
    <row r="676" spans="1:8" ht="45">
      <c r="A676" s="311" t="str">
        <f>'Planilha orç'!A81</f>
        <v>7.4</v>
      </c>
      <c r="B676" s="134" t="str">
        <f>'Planilha orç'!D81</f>
        <v>PISO CERAMICO ESMALTADO 45X45CM, TIPO A, PEI5 
ELIANE, PORTO RICO, SAMARSA, ELIZABETH OU SIM 
ASSENTADO COM ARGAMASSA PRE FABRICADA E REJUN 
TE DA QUARTZOLIT OU SIM. (ESP. DA JUNTA=6MM).</v>
      </c>
      <c r="C676" s="311" t="str">
        <f>'Planilha orç'!E81</f>
        <v>M2</v>
      </c>
      <c r="D676" s="312"/>
      <c r="E676" s="313"/>
      <c r="F676" s="314"/>
      <c r="G676" s="315"/>
      <c r="H676" s="316"/>
    </row>
    <row r="677" spans="1:8">
      <c r="A677" s="322"/>
      <c r="B677" s="120" t="s">
        <v>987</v>
      </c>
      <c r="C677" s="317"/>
      <c r="D677" s="323">
        <v>46.72</v>
      </c>
      <c r="E677" s="323"/>
      <c r="F677" s="323"/>
      <c r="G677" s="323"/>
      <c r="H677" s="324">
        <f t="shared" ref="H677:H680" si="60">ROUND(PRODUCT(D677:G677),2)</f>
        <v>46.72</v>
      </c>
    </row>
    <row r="678" spans="1:8">
      <c r="A678" s="322"/>
      <c r="B678" s="120" t="s">
        <v>299</v>
      </c>
      <c r="C678" s="317"/>
      <c r="D678" s="323">
        <v>22.08</v>
      </c>
      <c r="E678" s="323"/>
      <c r="F678" s="323"/>
      <c r="G678" s="323"/>
      <c r="H678" s="324">
        <f t="shared" si="60"/>
        <v>22.08</v>
      </c>
    </row>
    <row r="679" spans="1:8">
      <c r="A679" s="322"/>
      <c r="B679" s="120" t="s">
        <v>300</v>
      </c>
      <c r="C679" s="317"/>
      <c r="D679" s="323">
        <v>63.54</v>
      </c>
      <c r="E679" s="323"/>
      <c r="F679" s="323"/>
      <c r="G679" s="323"/>
      <c r="H679" s="324">
        <f t="shared" si="60"/>
        <v>63.54</v>
      </c>
    </row>
    <row r="680" spans="1:8">
      <c r="A680" s="322"/>
      <c r="B680" s="120" t="s">
        <v>253</v>
      </c>
      <c r="C680" s="317"/>
      <c r="D680" s="323">
        <v>8.85</v>
      </c>
      <c r="E680" s="323"/>
      <c r="F680" s="323"/>
      <c r="G680" s="323"/>
      <c r="H680" s="324">
        <f t="shared" si="60"/>
        <v>8.85</v>
      </c>
    </row>
    <row r="681" spans="1:8">
      <c r="A681" s="334"/>
      <c r="B681" s="97"/>
      <c r="C681" s="317"/>
      <c r="D681" s="326"/>
      <c r="E681" s="319"/>
      <c r="F681" s="320"/>
      <c r="G681" s="113" t="str">
        <f>"Total item "&amp;A676</f>
        <v>Total item 7.4</v>
      </c>
      <c r="H681" s="114">
        <f>SUM(H677:H680)</f>
        <v>141.19</v>
      </c>
    </row>
    <row r="682" spans="1:8" ht="33.75">
      <c r="A682" s="311" t="str">
        <f>'Planilha orç'!A82</f>
        <v>7.5</v>
      </c>
      <c r="B682" s="134" t="str">
        <f>'Planilha orç'!D82</f>
        <v>PISO INTERTRAVADO TIPO TIJOLINHO (20X10X6)CM 35MPA, COLORIDO -
COMPACTAÇÃO MECANIZADA</v>
      </c>
      <c r="C682" s="311" t="str">
        <f>'Planilha orç'!E82</f>
        <v>M2</v>
      </c>
      <c r="D682" s="312"/>
      <c r="E682" s="313"/>
      <c r="F682" s="314"/>
      <c r="G682" s="315"/>
      <c r="H682" s="316"/>
    </row>
    <row r="683" spans="1:8">
      <c r="A683" s="322"/>
      <c r="B683" s="120" t="s">
        <v>301</v>
      </c>
      <c r="C683" s="317"/>
      <c r="D683" s="323">
        <v>54</v>
      </c>
      <c r="E683" s="323"/>
      <c r="F683" s="323"/>
      <c r="G683" s="323"/>
      <c r="H683" s="324">
        <f>ROUND(PRODUCT(D683:G683),2)</f>
        <v>54</v>
      </c>
    </row>
    <row r="684" spans="1:8">
      <c r="A684" s="322"/>
      <c r="B684" s="120" t="s">
        <v>302</v>
      </c>
      <c r="C684" s="317"/>
      <c r="D684" s="323">
        <v>92.83</v>
      </c>
      <c r="E684" s="323"/>
      <c r="F684" s="323"/>
      <c r="G684" s="323"/>
      <c r="H684" s="324">
        <f t="shared" ref="H684:H687" si="61">ROUND(PRODUCT(D684:G684),2)</f>
        <v>92.83</v>
      </c>
    </row>
    <row r="685" spans="1:8">
      <c r="A685" s="322"/>
      <c r="B685" s="120" t="s">
        <v>303</v>
      </c>
      <c r="C685" s="317"/>
      <c r="D685" s="323">
        <f>748.4+9</f>
        <v>757.4</v>
      </c>
      <c r="E685" s="323"/>
      <c r="F685" s="323"/>
      <c r="G685" s="323"/>
      <c r="H685" s="324">
        <f t="shared" si="61"/>
        <v>757.4</v>
      </c>
    </row>
    <row r="686" spans="1:8">
      <c r="A686" s="322"/>
      <c r="B686" s="120" t="s">
        <v>304</v>
      </c>
      <c r="C686" s="317"/>
      <c r="D686" s="323">
        <v>121.6</v>
      </c>
      <c r="E686" s="323"/>
      <c r="F686" s="323"/>
      <c r="G686" s="323"/>
      <c r="H686" s="324">
        <f t="shared" si="61"/>
        <v>121.6</v>
      </c>
    </row>
    <row r="687" spans="1:8">
      <c r="A687" s="322"/>
      <c r="B687" s="120" t="s">
        <v>225</v>
      </c>
      <c r="C687" s="317"/>
      <c r="D687" s="323">
        <v>178.4</v>
      </c>
      <c r="E687" s="323"/>
      <c r="F687" s="323"/>
      <c r="G687" s="323"/>
      <c r="H687" s="324">
        <f t="shared" si="61"/>
        <v>178.4</v>
      </c>
    </row>
    <row r="688" spans="1:8">
      <c r="A688" s="334"/>
      <c r="B688" s="97"/>
      <c r="C688" s="317"/>
      <c r="D688" s="326"/>
      <c r="E688" s="319"/>
      <c r="F688" s="320"/>
      <c r="G688" s="139" t="str">
        <f>"Total item "&amp;A682</f>
        <v>Total item 7.5</v>
      </c>
      <c r="H688" s="140">
        <f>SUM(H683:H687)</f>
        <v>1204.23</v>
      </c>
    </row>
    <row r="689" spans="1:8" ht="45">
      <c r="A689" s="311" t="str">
        <f>'Planilha orç'!A83</f>
        <v>7.6</v>
      </c>
      <c r="B689" s="134" t="str">
        <f>'Planilha orç'!D83</f>
        <v>CONTRAPISO EM ARGAMASSA TRAÇO 1:4 (CIMENTO E AREIA), PREPARO MECÂNICO COM BETONEIRA 400 L, APLICADO EM ÁREAS SECAS SOBRE LAJE, ADERIDO, ACABAMENTO NÃO REFORÇADO, ESPESSURA 2CM. AF_07/2021</v>
      </c>
      <c r="C689" s="311" t="str">
        <f>'Planilha orç'!E83</f>
        <v>M2</v>
      </c>
      <c r="D689" s="312"/>
      <c r="E689" s="313"/>
      <c r="F689" s="314"/>
      <c r="G689" s="315"/>
      <c r="H689" s="316"/>
    </row>
    <row r="690" spans="1:8">
      <c r="A690" s="322"/>
      <c r="B690" s="189" t="str">
        <f>G717</f>
        <v>Total item 7.9</v>
      </c>
      <c r="C690" s="317"/>
      <c r="D690" s="323"/>
      <c r="E690" s="323"/>
      <c r="F690" s="323"/>
      <c r="G690" s="323"/>
      <c r="H690" s="324">
        <f>H717</f>
        <v>397.21999999999997</v>
      </c>
    </row>
    <row r="691" spans="1:8">
      <c r="A691" s="334"/>
      <c r="B691" s="97"/>
      <c r="C691" s="317"/>
      <c r="D691" s="326"/>
      <c r="E691" s="319"/>
      <c r="F691" s="320"/>
      <c r="G691" s="113" t="str">
        <f>"Total item "&amp;A689</f>
        <v>Total item 7.6</v>
      </c>
      <c r="H691" s="114">
        <f>SUM(H690:H690)</f>
        <v>397.21999999999997</v>
      </c>
    </row>
    <row r="692" spans="1:8" ht="45">
      <c r="A692" s="311" t="str">
        <f>'Planilha orç'!A84</f>
        <v>7.7</v>
      </c>
      <c r="B692" s="134" t="str">
        <f>'Planilha orç'!D84</f>
        <v>CONTRAPISO EM ARGAMASSA TRAÇO 1:4 (CIMENTO E AREIA), PREPARO MECÂNICO COM BETONEIRA 400 L, APLICADO EM ÁREAS MOLHADAS SOBRE IMPERMEABILIZAÇÃO, ACABAMENTO NÃO REFORÇADO, ESPESSURA 3CM. AF_07/2021</v>
      </c>
      <c r="C692" s="311" t="str">
        <f>'Planilha orç'!E84</f>
        <v>M2</v>
      </c>
      <c r="D692" s="312"/>
      <c r="E692" s="313"/>
      <c r="F692" s="314"/>
      <c r="G692" s="315"/>
      <c r="H692" s="316"/>
    </row>
    <row r="693" spans="1:8">
      <c r="A693" s="322"/>
      <c r="B693" s="189" t="str">
        <f>G681</f>
        <v>Total item 7.4</v>
      </c>
      <c r="C693" s="317"/>
      <c r="D693" s="323"/>
      <c r="E693" s="323"/>
      <c r="F693" s="323"/>
      <c r="G693" s="323"/>
      <c r="H693" s="324">
        <f>H681</f>
        <v>141.19</v>
      </c>
    </row>
    <row r="694" spans="1:8">
      <c r="A694" s="334"/>
      <c r="B694" s="97"/>
      <c r="C694" s="317"/>
      <c r="D694" s="326"/>
      <c r="E694" s="319"/>
      <c r="F694" s="320"/>
      <c r="G694" s="113" t="str">
        <f>"Total item "&amp;A692</f>
        <v>Total item 7.7</v>
      </c>
      <c r="H694" s="114">
        <f>SUM(H693:H693)</f>
        <v>141.19</v>
      </c>
    </row>
    <row r="695" spans="1:8" ht="22.5">
      <c r="A695" s="311" t="str">
        <f>'Planilha orç'!A85</f>
        <v>7.8</v>
      </c>
      <c r="B695" s="134" t="str">
        <f>'Planilha orç'!D85</f>
        <v>IMPERMEABILIZAÇÃO DE SUPERFÍCIE COM ARGAMASSA POLIMÉRICA / MEMBRANA ACRÍLICA, 3 DEMÃOS. AF_06/2018</v>
      </c>
      <c r="C695" s="311" t="str">
        <f>'Planilha orç'!E85</f>
        <v>M2</v>
      </c>
      <c r="D695" s="312"/>
      <c r="E695" s="313"/>
      <c r="F695" s="314"/>
      <c r="G695" s="315"/>
      <c r="H695" s="316"/>
    </row>
    <row r="696" spans="1:8">
      <c r="A696" s="322"/>
      <c r="B696" s="189" t="str">
        <f>G681</f>
        <v>Total item 7.4</v>
      </c>
      <c r="C696" s="317"/>
      <c r="D696" s="323"/>
      <c r="E696" s="323"/>
      <c r="F696" s="323"/>
      <c r="G696" s="323"/>
      <c r="H696" s="324">
        <f>H681</f>
        <v>141.19</v>
      </c>
    </row>
    <row r="697" spans="1:8">
      <c r="A697" s="322"/>
      <c r="B697" s="189" t="str">
        <f>G90</f>
        <v>Total item 2.14</v>
      </c>
      <c r="C697" s="317"/>
      <c r="D697" s="323"/>
      <c r="E697" s="323"/>
      <c r="F697" s="323"/>
      <c r="G697" s="323"/>
      <c r="H697" s="324">
        <f>H90</f>
        <v>43</v>
      </c>
    </row>
    <row r="698" spans="1:8">
      <c r="A698" s="334"/>
      <c r="B698" s="97"/>
      <c r="C698" s="317"/>
      <c r="D698" s="326"/>
      <c r="E698" s="319"/>
      <c r="F698" s="320"/>
      <c r="G698" s="139" t="str">
        <f>"Total item "&amp;A695</f>
        <v>Total item 7.8</v>
      </c>
      <c r="H698" s="140">
        <f>SUM(H696:H697)</f>
        <v>184.19</v>
      </c>
    </row>
    <row r="699" spans="1:8" ht="33.75">
      <c r="A699" s="311" t="str">
        <f>'Planilha orç'!A86</f>
        <v>7.9</v>
      </c>
      <c r="B699" s="134" t="str">
        <f>'Planilha orç'!D86</f>
        <v>PISO EM LENCOL DE GRANITO ARTIFICIAL ( MAR MORITE ) COM JUNTAS DE VIDRO, FORMANDO QUA DROS DE 1,0 X 1,0 M, NA COR CINZA.</v>
      </c>
      <c r="C699" s="311" t="str">
        <f>'Planilha orç'!E86</f>
        <v>M2</v>
      </c>
      <c r="D699" s="312"/>
      <c r="E699" s="313"/>
      <c r="F699" s="314"/>
      <c r="G699" s="315"/>
      <c r="H699" s="316"/>
    </row>
    <row r="700" spans="1:8">
      <c r="A700" s="322"/>
      <c r="B700" s="120" t="s">
        <v>305</v>
      </c>
      <c r="C700" s="317"/>
      <c r="D700" s="323"/>
      <c r="E700" s="323">
        <v>2.36</v>
      </c>
      <c r="F700" s="323">
        <v>8.4499999999999993</v>
      </c>
      <c r="G700" s="323"/>
      <c r="H700" s="324">
        <f t="shared" ref="H700:H716" si="62">ROUND(PRODUCT(D700:G700),2)</f>
        <v>19.940000000000001</v>
      </c>
    </row>
    <row r="701" spans="1:8">
      <c r="A701" s="322"/>
      <c r="B701" s="110"/>
      <c r="C701" s="317"/>
      <c r="D701" s="323"/>
      <c r="E701" s="323">
        <v>1.76</v>
      </c>
      <c r="F701" s="323">
        <v>8.1199999999999992</v>
      </c>
      <c r="G701" s="323"/>
      <c r="H701" s="324">
        <f t="shared" si="62"/>
        <v>14.29</v>
      </c>
    </row>
    <row r="702" spans="1:8">
      <c r="A702" s="322"/>
      <c r="B702" s="120" t="s">
        <v>257</v>
      </c>
      <c r="C702" s="317"/>
      <c r="D702" s="323"/>
      <c r="E702" s="323">
        <v>2.8</v>
      </c>
      <c r="F702" s="323">
        <v>3.8</v>
      </c>
      <c r="G702" s="323"/>
      <c r="H702" s="324">
        <f t="shared" si="62"/>
        <v>10.64</v>
      </c>
    </row>
    <row r="703" spans="1:8">
      <c r="A703" s="322"/>
      <c r="B703" s="120" t="s">
        <v>258</v>
      </c>
      <c r="C703" s="317"/>
      <c r="D703" s="323"/>
      <c r="E703" s="323">
        <v>5.05</v>
      </c>
      <c r="F703" s="323">
        <v>3.8</v>
      </c>
      <c r="G703" s="323"/>
      <c r="H703" s="324">
        <f t="shared" si="62"/>
        <v>19.190000000000001</v>
      </c>
    </row>
    <row r="704" spans="1:8">
      <c r="A704" s="322"/>
      <c r="B704" s="120" t="s">
        <v>306</v>
      </c>
      <c r="C704" s="317"/>
      <c r="D704" s="323"/>
      <c r="E704" s="323">
        <v>0.9</v>
      </c>
      <c r="F704" s="323">
        <v>8.15</v>
      </c>
      <c r="G704" s="323"/>
      <c r="H704" s="324">
        <f t="shared" si="62"/>
        <v>7.34</v>
      </c>
    </row>
    <row r="705" spans="1:8">
      <c r="A705" s="322"/>
      <c r="B705" s="120" t="s">
        <v>259</v>
      </c>
      <c r="C705" s="317"/>
      <c r="D705" s="323"/>
      <c r="E705" s="323">
        <v>2.8</v>
      </c>
      <c r="F705" s="323">
        <v>5.35</v>
      </c>
      <c r="G705" s="323"/>
      <c r="H705" s="324">
        <f t="shared" si="62"/>
        <v>14.98</v>
      </c>
    </row>
    <row r="706" spans="1:8">
      <c r="A706" s="322"/>
      <c r="B706" s="120" t="s">
        <v>260</v>
      </c>
      <c r="C706" s="317"/>
      <c r="D706" s="323"/>
      <c r="E706" s="323">
        <v>2.5</v>
      </c>
      <c r="F706" s="323">
        <v>2.8</v>
      </c>
      <c r="G706" s="323"/>
      <c r="H706" s="324">
        <f t="shared" si="62"/>
        <v>7</v>
      </c>
    </row>
    <row r="707" spans="1:8">
      <c r="A707" s="322"/>
      <c r="B707" s="120" t="s">
        <v>286</v>
      </c>
      <c r="C707" s="317"/>
      <c r="D707" s="323">
        <v>60.36</v>
      </c>
      <c r="E707" s="323"/>
      <c r="F707" s="323"/>
      <c r="G707" s="323"/>
      <c r="H707" s="324">
        <f t="shared" si="62"/>
        <v>60.36</v>
      </c>
    </row>
    <row r="708" spans="1:8">
      <c r="A708" s="322"/>
      <c r="B708" s="120" t="s">
        <v>307</v>
      </c>
      <c r="C708" s="317"/>
      <c r="D708" s="323">
        <v>21.72</v>
      </c>
      <c r="E708" s="323"/>
      <c r="F708" s="323"/>
      <c r="G708" s="323"/>
      <c r="H708" s="324">
        <f t="shared" si="62"/>
        <v>21.72</v>
      </c>
    </row>
    <row r="709" spans="1:8">
      <c r="A709" s="322"/>
      <c r="B709" s="120" t="s">
        <v>308</v>
      </c>
      <c r="C709" s="317"/>
      <c r="D709" s="323">
        <v>4.1399999999999997</v>
      </c>
      <c r="E709" s="323"/>
      <c r="F709" s="323"/>
      <c r="G709" s="323"/>
      <c r="H709" s="324">
        <f t="shared" si="62"/>
        <v>4.1399999999999997</v>
      </c>
    </row>
    <row r="710" spans="1:8">
      <c r="A710" s="322"/>
      <c r="B710" s="120" t="s">
        <v>309</v>
      </c>
      <c r="C710" s="317"/>
      <c r="D710" s="323">
        <v>7.6</v>
      </c>
      <c r="E710" s="323"/>
      <c r="F710" s="323"/>
      <c r="G710" s="323"/>
      <c r="H710" s="324">
        <f t="shared" si="62"/>
        <v>7.6</v>
      </c>
    </row>
    <row r="711" spans="1:8">
      <c r="A711" s="322"/>
      <c r="B711" s="120" t="s">
        <v>310</v>
      </c>
      <c r="C711" s="317"/>
      <c r="D711" s="323">
        <v>39.5</v>
      </c>
      <c r="E711" s="323"/>
      <c r="F711" s="323"/>
      <c r="G711" s="323"/>
      <c r="H711" s="324">
        <f t="shared" si="62"/>
        <v>39.5</v>
      </c>
    </row>
    <row r="712" spans="1:8">
      <c r="A712" s="322"/>
      <c r="B712" s="120" t="s">
        <v>268</v>
      </c>
      <c r="C712" s="317"/>
      <c r="D712" s="323">
        <v>30.42</v>
      </c>
      <c r="E712" s="323"/>
      <c r="F712" s="323"/>
      <c r="G712" s="323"/>
      <c r="H712" s="324">
        <f t="shared" si="62"/>
        <v>30.42</v>
      </c>
    </row>
    <row r="713" spans="1:8">
      <c r="A713" s="322"/>
      <c r="B713" s="120" t="s">
        <v>311</v>
      </c>
      <c r="C713" s="317"/>
      <c r="D713" s="323">
        <v>38.71</v>
      </c>
      <c r="E713" s="323"/>
      <c r="F713" s="323"/>
      <c r="G713" s="323"/>
      <c r="H713" s="324">
        <f t="shared" si="62"/>
        <v>38.71</v>
      </c>
    </row>
    <row r="714" spans="1:8">
      <c r="A714" s="322"/>
      <c r="B714" s="120" t="s">
        <v>311</v>
      </c>
      <c r="C714" s="317"/>
      <c r="D714" s="323">
        <v>41.74</v>
      </c>
      <c r="E714" s="323"/>
      <c r="F714" s="323"/>
      <c r="G714" s="323"/>
      <c r="H714" s="324">
        <f t="shared" si="62"/>
        <v>41.74</v>
      </c>
    </row>
    <row r="715" spans="1:8">
      <c r="A715" s="322"/>
      <c r="B715" s="120" t="s">
        <v>280</v>
      </c>
      <c r="C715" s="317"/>
      <c r="D715" s="323">
        <v>28.84</v>
      </c>
      <c r="E715" s="323"/>
      <c r="F715" s="323"/>
      <c r="G715" s="323"/>
      <c r="H715" s="324">
        <f t="shared" si="62"/>
        <v>28.84</v>
      </c>
    </row>
    <row r="716" spans="1:8">
      <c r="A716" s="322"/>
      <c r="B716" s="120" t="s">
        <v>547</v>
      </c>
      <c r="C716" s="317"/>
      <c r="D716" s="323">
        <v>30.81</v>
      </c>
      <c r="E716" s="323"/>
      <c r="F716" s="323"/>
      <c r="G716" s="323"/>
      <c r="H716" s="324">
        <f t="shared" si="62"/>
        <v>30.81</v>
      </c>
    </row>
    <row r="717" spans="1:8">
      <c r="A717" s="334"/>
      <c r="B717" s="97"/>
      <c r="C717" s="317"/>
      <c r="D717" s="326"/>
      <c r="E717" s="319"/>
      <c r="F717" s="320"/>
      <c r="G717" s="113" t="str">
        <f>"Total item "&amp;A699</f>
        <v>Total item 7.9</v>
      </c>
      <c r="H717" s="114">
        <f>SUM(H700:H716)</f>
        <v>397.21999999999997</v>
      </c>
    </row>
    <row r="718" spans="1:8" ht="45">
      <c r="A718" s="311" t="str">
        <f>'Planilha orç'!A87</f>
        <v>7.10</v>
      </c>
      <c r="B718" s="134" t="str">
        <f>'Planilha orç'!D87</f>
        <v>SOLEIRA DE GRANITO NATURAL POLIDO CINZA ANDO RINHA, ASSENTADA COM ARGAMASSA MISTA DE CIMENTO, CAL HIDRATADA E AREIA TRACO 1:1:4, LARGU RA DE 15CM E ESPESSURA DE 2CM</v>
      </c>
      <c r="C718" s="311" t="str">
        <f>'Planilha orç'!E87</f>
        <v>M</v>
      </c>
      <c r="D718" s="312"/>
      <c r="E718" s="313"/>
      <c r="F718" s="314"/>
      <c r="G718" s="315"/>
      <c r="H718" s="316"/>
    </row>
    <row r="719" spans="1:8">
      <c r="A719" s="322"/>
      <c r="B719" s="321" t="s">
        <v>688</v>
      </c>
      <c r="C719" s="317"/>
      <c r="D719" s="323"/>
      <c r="E719" s="323">
        <v>0.9</v>
      </c>
      <c r="F719" s="323"/>
      <c r="G719" s="323"/>
      <c r="H719" s="324">
        <f t="shared" ref="H719:H724" si="63">ROUND(PRODUCT(D719:G719),2)</f>
        <v>0.9</v>
      </c>
    </row>
    <row r="720" spans="1:8">
      <c r="A720" s="322"/>
      <c r="B720" s="321" t="s">
        <v>689</v>
      </c>
      <c r="C720" s="317"/>
      <c r="D720" s="323"/>
      <c r="E720" s="323">
        <v>0.9</v>
      </c>
      <c r="F720" s="323"/>
      <c r="G720" s="323"/>
      <c r="H720" s="324">
        <f t="shared" si="63"/>
        <v>0.9</v>
      </c>
    </row>
    <row r="721" spans="1:8">
      <c r="A721" s="322"/>
      <c r="B721" s="321" t="s">
        <v>690</v>
      </c>
      <c r="C721" s="317"/>
      <c r="D721" s="323"/>
      <c r="E721" s="323">
        <v>0.9</v>
      </c>
      <c r="F721" s="323"/>
      <c r="G721" s="323"/>
      <c r="H721" s="324">
        <f t="shared" si="63"/>
        <v>0.9</v>
      </c>
    </row>
    <row r="722" spans="1:8">
      <c r="A722" s="322"/>
      <c r="B722" s="321" t="s">
        <v>691</v>
      </c>
      <c r="C722" s="317"/>
      <c r="D722" s="323"/>
      <c r="E722" s="323">
        <v>0.9</v>
      </c>
      <c r="F722" s="323"/>
      <c r="G722" s="323"/>
      <c r="H722" s="324">
        <f t="shared" si="63"/>
        <v>0.9</v>
      </c>
    </row>
    <row r="723" spans="1:8">
      <c r="A723" s="334"/>
      <c r="B723" s="321" t="s">
        <v>692</v>
      </c>
      <c r="C723" s="317"/>
      <c r="D723" s="326"/>
      <c r="E723" s="319">
        <v>0.8</v>
      </c>
      <c r="F723" s="320"/>
      <c r="G723" s="139"/>
      <c r="H723" s="324">
        <f t="shared" si="63"/>
        <v>0.8</v>
      </c>
    </row>
    <row r="724" spans="1:8">
      <c r="A724" s="334"/>
      <c r="B724" s="321" t="s">
        <v>693</v>
      </c>
      <c r="C724" s="317"/>
      <c r="D724" s="326"/>
      <c r="E724" s="319">
        <v>0.8</v>
      </c>
      <c r="F724" s="320"/>
      <c r="G724" s="139"/>
      <c r="H724" s="324">
        <f t="shared" si="63"/>
        <v>0.8</v>
      </c>
    </row>
    <row r="725" spans="1:8">
      <c r="A725" s="334"/>
      <c r="B725" s="97"/>
      <c r="C725" s="317"/>
      <c r="D725" s="326"/>
      <c r="E725" s="319"/>
      <c r="F725" s="320"/>
      <c r="G725" s="139" t="str">
        <f>"Total item "&amp;A718</f>
        <v>Total item 7.10</v>
      </c>
      <c r="H725" s="140">
        <f>SUM(H719:H724)</f>
        <v>5.2</v>
      </c>
    </row>
    <row r="726" spans="1:8">
      <c r="A726" s="301" t="str">
        <f>'Planilha orç'!A88</f>
        <v>8.0</v>
      </c>
      <c r="B726" s="303" t="str">
        <f>'Planilha orç'!D88</f>
        <v>PAISAGISMO</v>
      </c>
      <c r="C726" s="302"/>
      <c r="D726" s="301"/>
      <c r="E726" s="301"/>
      <c r="F726" s="301"/>
      <c r="G726" s="301"/>
      <c r="H726" s="301"/>
    </row>
    <row r="727" spans="1:8">
      <c r="A727" s="311" t="str">
        <f>'Planilha orç'!A89</f>
        <v>8.1</v>
      </c>
      <c r="B727" s="134" t="str">
        <f>'Planilha orç'!D89</f>
        <v>RETIRADA DE ÁRVORES</v>
      </c>
      <c r="C727" s="311" t="str">
        <f>'Planilha orç'!E89</f>
        <v>UN</v>
      </c>
      <c r="D727" s="312"/>
      <c r="E727" s="313"/>
      <c r="F727" s="314"/>
      <c r="G727" s="315"/>
      <c r="H727" s="316"/>
    </row>
    <row r="728" spans="1:8">
      <c r="A728" s="317"/>
      <c r="B728" s="324" t="s">
        <v>335</v>
      </c>
      <c r="C728" s="317"/>
      <c r="D728" s="323">
        <v>1</v>
      </c>
      <c r="E728" s="323"/>
      <c r="F728" s="323"/>
      <c r="G728" s="323"/>
      <c r="H728" s="324">
        <f t="shared" ref="H728:H730" si="64">ROUND(PRODUCT(D728:G728),2)</f>
        <v>1</v>
      </c>
    </row>
    <row r="729" spans="1:8">
      <c r="A729" s="317"/>
      <c r="B729" s="324" t="s">
        <v>336</v>
      </c>
      <c r="C729" s="317"/>
      <c r="D729" s="323">
        <v>2</v>
      </c>
      <c r="E729" s="323"/>
      <c r="F729" s="323"/>
      <c r="G729" s="323"/>
      <c r="H729" s="324">
        <f t="shared" si="64"/>
        <v>2</v>
      </c>
    </row>
    <row r="730" spans="1:8">
      <c r="A730" s="317"/>
      <c r="B730" s="324" t="s">
        <v>337</v>
      </c>
      <c r="C730" s="317"/>
      <c r="D730" s="323">
        <v>2</v>
      </c>
      <c r="E730" s="323"/>
      <c r="F730" s="323"/>
      <c r="G730" s="323"/>
      <c r="H730" s="324">
        <f t="shared" si="64"/>
        <v>2</v>
      </c>
    </row>
    <row r="731" spans="1:8">
      <c r="A731" s="334"/>
      <c r="B731" s="97"/>
      <c r="C731" s="317"/>
      <c r="D731" s="326"/>
      <c r="E731" s="319"/>
      <c r="F731" s="320"/>
      <c r="G731" s="113" t="str">
        <f>"Total item "&amp;A727</f>
        <v>Total item 8.1</v>
      </c>
      <c r="H731" s="114">
        <f>SUM(H728:H730)</f>
        <v>5</v>
      </c>
    </row>
    <row r="732" spans="1:8">
      <c r="A732" s="311" t="str">
        <f>'Planilha orç'!A90</f>
        <v>8.2</v>
      </c>
      <c r="B732" s="134" t="str">
        <f>'Planilha orç'!D90</f>
        <v>GRAMA EM PLACAS E=6 CM FORNECIMENTO E PLANTIO</v>
      </c>
      <c r="C732" s="311" t="str">
        <f>'Planilha orç'!E90</f>
        <v>M2</v>
      </c>
      <c r="D732" s="312"/>
      <c r="E732" s="313"/>
      <c r="F732" s="314"/>
      <c r="G732" s="315"/>
      <c r="H732" s="316"/>
    </row>
    <row r="733" spans="1:8">
      <c r="A733" s="317"/>
      <c r="B733" s="321"/>
      <c r="C733" s="317"/>
      <c r="D733" s="323">
        <v>60</v>
      </c>
      <c r="E733" s="323"/>
      <c r="F733" s="323"/>
      <c r="G733" s="323"/>
      <c r="H733" s="324">
        <f t="shared" ref="H733" si="65">ROUND(PRODUCT(D733:G733),2)</f>
        <v>60</v>
      </c>
    </row>
    <row r="734" spans="1:8">
      <c r="A734" s="334"/>
      <c r="B734" s="97"/>
      <c r="C734" s="317"/>
      <c r="D734" s="326"/>
      <c r="E734" s="319"/>
      <c r="F734" s="320"/>
      <c r="G734" s="113" t="str">
        <f>"Total item "&amp;A732</f>
        <v>Total item 8.2</v>
      </c>
      <c r="H734" s="114">
        <f>SUM(H733)</f>
        <v>60</v>
      </c>
    </row>
    <row r="735" spans="1:8">
      <c r="A735" s="311" t="str">
        <f>'Planilha orç'!A91</f>
        <v>8.3</v>
      </c>
      <c r="B735" s="134" t="str">
        <f>'Planilha orç'!D91</f>
        <v xml:space="preserve">APLICAÇÃO DE ADUBO EM SOLO. AF_05/2018 </v>
      </c>
      <c r="C735" s="311" t="str">
        <f>'Planilha orç'!E91</f>
        <v>M2</v>
      </c>
      <c r="D735" s="312"/>
      <c r="E735" s="313"/>
      <c r="F735" s="314"/>
      <c r="G735" s="315"/>
      <c r="H735" s="316"/>
    </row>
    <row r="736" spans="1:8">
      <c r="A736" s="317"/>
      <c r="B736" s="324" t="s">
        <v>338</v>
      </c>
      <c r="C736" s="317"/>
      <c r="D736" s="323">
        <v>87.47</v>
      </c>
      <c r="E736" s="323"/>
      <c r="F736" s="323"/>
      <c r="G736" s="323"/>
      <c r="H736" s="324">
        <f t="shared" ref="H736" si="66">ROUND(PRODUCT(D736:G736),2)</f>
        <v>87.47</v>
      </c>
    </row>
    <row r="737" spans="1:8">
      <c r="A737" s="334"/>
      <c r="B737" s="97"/>
      <c r="C737" s="317"/>
      <c r="D737" s="326"/>
      <c r="E737" s="319"/>
      <c r="F737" s="320"/>
      <c r="G737" s="113" t="str">
        <f>"Total item "&amp;A735</f>
        <v>Total item 8.3</v>
      </c>
      <c r="H737" s="114">
        <f>SUM(H736)</f>
        <v>87.47</v>
      </c>
    </row>
    <row r="738" spans="1:8" ht="22.5">
      <c r="A738" s="311" t="str">
        <f>'Planilha orç'!A92</f>
        <v>8.4</v>
      </c>
      <c r="B738" s="134" t="str">
        <f>'Planilha orç'!D92</f>
        <v>PLANTIO DE PALMEIRA COM ALTURA DE MUDA MENOR OU IGUAL A 2,00 M. AF_05/2018</v>
      </c>
      <c r="C738" s="311" t="str">
        <f>'Planilha orç'!E92</f>
        <v>UN</v>
      </c>
      <c r="D738" s="312"/>
      <c r="E738" s="313"/>
      <c r="F738" s="314"/>
      <c r="G738" s="315"/>
      <c r="H738" s="316"/>
    </row>
    <row r="739" spans="1:8">
      <c r="A739" s="317"/>
      <c r="B739" s="321"/>
      <c r="C739" s="317"/>
      <c r="D739" s="323">
        <v>20</v>
      </c>
      <c r="E739" s="323"/>
      <c r="F739" s="323"/>
      <c r="G739" s="323"/>
      <c r="H739" s="324">
        <f t="shared" ref="H739" si="67">ROUND(PRODUCT(D739:G739),2)</f>
        <v>20</v>
      </c>
    </row>
    <row r="740" spans="1:8">
      <c r="A740" s="334"/>
      <c r="B740" s="97"/>
      <c r="C740" s="317"/>
      <c r="D740" s="326"/>
      <c r="E740" s="319"/>
      <c r="F740" s="320"/>
      <c r="G740" s="113" t="str">
        <f>"Total item "&amp;A738</f>
        <v>Total item 8.4</v>
      </c>
      <c r="H740" s="114">
        <f>SUM(H739)</f>
        <v>20</v>
      </c>
    </row>
    <row r="741" spans="1:8">
      <c r="A741" s="311" t="str">
        <f>'Planilha orç'!A93</f>
        <v>8.5</v>
      </c>
      <c r="B741" s="134" t="str">
        <f>'Planilha orç'!D93</f>
        <v>ÁRVORE PATA DE VACA (FORNECIMENTO E PLANTIO)</v>
      </c>
      <c r="C741" s="311" t="str">
        <f>'Planilha orç'!E93</f>
        <v>UN</v>
      </c>
      <c r="D741" s="312"/>
      <c r="E741" s="313"/>
      <c r="F741" s="314"/>
      <c r="G741" s="315"/>
      <c r="H741" s="316"/>
    </row>
    <row r="742" spans="1:8">
      <c r="A742" s="317"/>
      <c r="B742" s="321"/>
      <c r="C742" s="317"/>
      <c r="D742" s="323">
        <v>3</v>
      </c>
      <c r="E742" s="323"/>
      <c r="F742" s="323"/>
      <c r="G742" s="323"/>
      <c r="H742" s="324">
        <f t="shared" ref="H742" si="68">ROUND(PRODUCT(D742:G742),2)</f>
        <v>3</v>
      </c>
    </row>
    <row r="743" spans="1:8">
      <c r="A743" s="334"/>
      <c r="B743" s="97"/>
      <c r="C743" s="317"/>
      <c r="D743" s="326"/>
      <c r="E743" s="319"/>
      <c r="F743" s="320"/>
      <c r="G743" s="113" t="str">
        <f>"Total item "&amp;A741</f>
        <v>Total item 8.5</v>
      </c>
      <c r="H743" s="114">
        <f>SUM(H742)</f>
        <v>3</v>
      </c>
    </row>
    <row r="744" spans="1:8">
      <c r="A744" s="311" t="str">
        <f>'Planilha orç'!A94</f>
        <v>8.6</v>
      </c>
      <c r="B744" s="134" t="str">
        <f>'Planilha orç'!D94</f>
        <v>ÁRVORE QUARESMEIRA (FORNECIMENTO E PLANTIO)</v>
      </c>
      <c r="C744" s="311" t="str">
        <f>'Planilha orç'!E94</f>
        <v>UN</v>
      </c>
      <c r="D744" s="312"/>
      <c r="E744" s="313"/>
      <c r="F744" s="314"/>
      <c r="G744" s="315"/>
      <c r="H744" s="316"/>
    </row>
    <row r="745" spans="1:8">
      <c r="A745" s="317"/>
      <c r="B745" s="321"/>
      <c r="C745" s="317"/>
      <c r="D745" s="323">
        <v>2</v>
      </c>
      <c r="E745" s="323"/>
      <c r="F745" s="323"/>
      <c r="G745" s="323"/>
      <c r="H745" s="324">
        <f t="shared" ref="H745" si="69">ROUND(PRODUCT(D745:G745),2)</f>
        <v>2</v>
      </c>
    </row>
    <row r="746" spans="1:8">
      <c r="A746" s="334"/>
      <c r="B746" s="97"/>
      <c r="C746" s="317"/>
      <c r="D746" s="326"/>
      <c r="E746" s="319"/>
      <c r="F746" s="320"/>
      <c r="G746" s="113" t="str">
        <f>"Total item "&amp;A744</f>
        <v>Total item 8.6</v>
      </c>
      <c r="H746" s="114">
        <f>SUM(H745)</f>
        <v>2</v>
      </c>
    </row>
    <row r="747" spans="1:8">
      <c r="A747" s="311" t="str">
        <f>'Planilha orç'!A95</f>
        <v>8.7</v>
      </c>
      <c r="B747" s="134" t="str">
        <f>'Planilha orç'!D95</f>
        <v>ÁRVORE PAU-FERRO (FORNECIMENTO E PLANTIO)</v>
      </c>
      <c r="C747" s="311" t="str">
        <f>'Planilha orç'!E95</f>
        <v>UN</v>
      </c>
      <c r="D747" s="312"/>
      <c r="E747" s="313"/>
      <c r="F747" s="314"/>
      <c r="G747" s="315"/>
      <c r="H747" s="316"/>
    </row>
    <row r="748" spans="1:8">
      <c r="A748" s="317"/>
      <c r="B748" s="321"/>
      <c r="C748" s="317"/>
      <c r="D748" s="323">
        <v>2</v>
      </c>
      <c r="E748" s="323"/>
      <c r="F748" s="323"/>
      <c r="G748" s="323"/>
      <c r="H748" s="324">
        <f t="shared" ref="H748" si="70">ROUND(PRODUCT(D748:G748),2)</f>
        <v>2</v>
      </c>
    </row>
    <row r="749" spans="1:8">
      <c r="A749" s="334"/>
      <c r="B749" s="97"/>
      <c r="C749" s="317"/>
      <c r="D749" s="326"/>
      <c r="E749" s="319"/>
      <c r="F749" s="320"/>
      <c r="G749" s="113" t="str">
        <f>"Total item "&amp;A747</f>
        <v>Total item 8.7</v>
      </c>
      <c r="H749" s="114">
        <f>SUM(H748)</f>
        <v>2</v>
      </c>
    </row>
    <row r="750" spans="1:8">
      <c r="A750" s="311" t="str">
        <f>'Planilha orç'!A96</f>
        <v>8.8</v>
      </c>
      <c r="B750" s="134" t="str">
        <f>'Planilha orç'!D96</f>
        <v>PALMEIRA AZUL (FORNECIMENTO E PLANTIO)</v>
      </c>
      <c r="C750" s="311" t="str">
        <f>'Planilha orç'!E96</f>
        <v>UN</v>
      </c>
      <c r="D750" s="312"/>
      <c r="E750" s="313"/>
      <c r="F750" s="314"/>
      <c r="G750" s="315"/>
      <c r="H750" s="316"/>
    </row>
    <row r="751" spans="1:8">
      <c r="A751" s="317"/>
      <c r="B751" s="321"/>
      <c r="C751" s="317"/>
      <c r="D751" s="323">
        <v>4</v>
      </c>
      <c r="E751" s="323"/>
      <c r="F751" s="323"/>
      <c r="G751" s="323"/>
      <c r="H751" s="324">
        <f t="shared" ref="H751" si="71">ROUND(PRODUCT(D751:G751),2)</f>
        <v>4</v>
      </c>
    </row>
    <row r="752" spans="1:8">
      <c r="A752" s="334"/>
      <c r="B752" s="97"/>
      <c r="C752" s="317"/>
      <c r="D752" s="326"/>
      <c r="E752" s="319"/>
      <c r="F752" s="320"/>
      <c r="G752" s="113" t="str">
        <f>"Total item "&amp;A750</f>
        <v>Total item 8.8</v>
      </c>
      <c r="H752" s="114">
        <f>SUM(H751)</f>
        <v>4</v>
      </c>
    </row>
    <row r="753" spans="1:8">
      <c r="A753" s="311" t="str">
        <f>'Planilha orç'!A97</f>
        <v>8.9</v>
      </c>
      <c r="B753" s="134" t="str">
        <f>'Planilha orç'!D97</f>
        <v>VEGETAÇÃO MOREIA (FORNECIMENTO E PLANTIO)</v>
      </c>
      <c r="C753" s="311" t="str">
        <f>'Planilha orç'!E97</f>
        <v>UN</v>
      </c>
      <c r="D753" s="312"/>
      <c r="E753" s="313"/>
      <c r="F753" s="314"/>
      <c r="G753" s="315"/>
      <c r="H753" s="316"/>
    </row>
    <row r="754" spans="1:8">
      <c r="A754" s="317"/>
      <c r="B754" s="321"/>
      <c r="C754" s="317"/>
      <c r="D754" s="323">
        <v>30</v>
      </c>
      <c r="E754" s="323"/>
      <c r="F754" s="323"/>
      <c r="G754" s="323"/>
      <c r="H754" s="324">
        <f t="shared" ref="H754" si="72">ROUND(PRODUCT(D754:G754),2)</f>
        <v>30</v>
      </c>
    </row>
    <row r="755" spans="1:8">
      <c r="A755" s="334"/>
      <c r="B755" s="97"/>
      <c r="C755" s="317"/>
      <c r="D755" s="326"/>
      <c r="E755" s="319"/>
      <c r="F755" s="320"/>
      <c r="G755" s="113" t="str">
        <f>"Total item "&amp;A753</f>
        <v>Total item 8.9</v>
      </c>
      <c r="H755" s="114">
        <f>SUM(H754)</f>
        <v>30</v>
      </c>
    </row>
    <row r="756" spans="1:8">
      <c r="A756" s="311" t="str">
        <f>'Planilha orç'!A98</f>
        <v>8.10</v>
      </c>
      <c r="B756" s="134" t="str">
        <f>'Planilha orç'!D98</f>
        <v>VEGETAÇÃO YUCCA (FORNECIMENTO E PLANTIO)</v>
      </c>
      <c r="C756" s="311" t="str">
        <f>'Planilha orç'!E98</f>
        <v>UN</v>
      </c>
      <c r="D756" s="312"/>
      <c r="E756" s="313"/>
      <c r="F756" s="314"/>
      <c r="G756" s="315"/>
      <c r="H756" s="316"/>
    </row>
    <row r="757" spans="1:8">
      <c r="A757" s="317"/>
      <c r="B757" s="321"/>
      <c r="C757" s="317"/>
      <c r="D757" s="323">
        <v>29</v>
      </c>
      <c r="E757" s="323"/>
      <c r="F757" s="323"/>
      <c r="G757" s="323"/>
      <c r="H757" s="324">
        <f t="shared" ref="H757" si="73">ROUND(PRODUCT(D757:G757),2)</f>
        <v>29</v>
      </c>
    </row>
    <row r="758" spans="1:8">
      <c r="A758" s="334"/>
      <c r="B758" s="97"/>
      <c r="C758" s="317"/>
      <c r="D758" s="326"/>
      <c r="E758" s="319"/>
      <c r="F758" s="320"/>
      <c r="G758" s="113" t="str">
        <f>"Total item "&amp;A756</f>
        <v>Total item 8.10</v>
      </c>
      <c r="H758" s="114">
        <f>SUM(H757)</f>
        <v>29</v>
      </c>
    </row>
    <row r="759" spans="1:8">
      <c r="A759" s="311" t="str">
        <f>'Planilha orç'!A99</f>
        <v>8.11</v>
      </c>
      <c r="B759" s="134" t="str">
        <f>'Planilha orç'!D99</f>
        <v>VEGETAÇÃO GERÂNIO (FORNECIMENTO E PLANTIO)</v>
      </c>
      <c r="C759" s="311" t="str">
        <f>'Planilha orç'!E99</f>
        <v>UN</v>
      </c>
      <c r="D759" s="312"/>
      <c r="E759" s="313"/>
      <c r="F759" s="314"/>
      <c r="G759" s="315"/>
      <c r="H759" s="316"/>
    </row>
    <row r="760" spans="1:8">
      <c r="A760" s="317"/>
      <c r="B760" s="321"/>
      <c r="C760" s="317"/>
      <c r="D760" s="323">
        <v>40</v>
      </c>
      <c r="E760" s="323"/>
      <c r="F760" s="323"/>
      <c r="G760" s="323"/>
      <c r="H760" s="324">
        <f t="shared" ref="H760" si="74">ROUND(PRODUCT(D760:G760),2)</f>
        <v>40</v>
      </c>
    </row>
    <row r="761" spans="1:8">
      <c r="A761" s="334"/>
      <c r="B761" s="97"/>
      <c r="C761" s="317"/>
      <c r="D761" s="326"/>
      <c r="E761" s="319"/>
      <c r="F761" s="320"/>
      <c r="G761" s="113" t="str">
        <f>"Total item "&amp;A759</f>
        <v>Total item 8.11</v>
      </c>
      <c r="H761" s="114">
        <f>SUM(H760)</f>
        <v>40</v>
      </c>
    </row>
    <row r="762" spans="1:8">
      <c r="A762" s="311" t="str">
        <f>'Planilha orç'!A100</f>
        <v>8.12</v>
      </c>
      <c r="B762" s="134" t="str">
        <f>'Planilha orç'!D100</f>
        <v>VEGETAÇÃO IRESINE (FORNECIMENTO E PLANTIO)</v>
      </c>
      <c r="C762" s="311" t="str">
        <f>'Planilha orç'!E100</f>
        <v>UN</v>
      </c>
      <c r="D762" s="312"/>
      <c r="E762" s="313"/>
      <c r="F762" s="314"/>
      <c r="G762" s="315"/>
      <c r="H762" s="316"/>
    </row>
    <row r="763" spans="1:8">
      <c r="A763" s="317"/>
      <c r="B763" s="321"/>
      <c r="C763" s="317"/>
      <c r="D763" s="323">
        <v>25</v>
      </c>
      <c r="E763" s="323"/>
      <c r="F763" s="323"/>
      <c r="G763" s="323"/>
      <c r="H763" s="324">
        <f t="shared" ref="H763" si="75">ROUND(PRODUCT(D763:G763),2)</f>
        <v>25</v>
      </c>
    </row>
    <row r="764" spans="1:8">
      <c r="A764" s="334"/>
      <c r="B764" s="97"/>
      <c r="C764" s="317"/>
      <c r="D764" s="326"/>
      <c r="E764" s="319"/>
      <c r="F764" s="320"/>
      <c r="G764" s="113" t="str">
        <f>"Total item "&amp;A762</f>
        <v>Total item 8.12</v>
      </c>
      <c r="H764" s="114">
        <f>SUM(H763)</f>
        <v>25</v>
      </c>
    </row>
    <row r="765" spans="1:8">
      <c r="A765" s="311" t="str">
        <f>'Planilha orç'!A101</f>
        <v>8.13</v>
      </c>
      <c r="B765" s="134" t="str">
        <f>'Planilha orç'!D101</f>
        <v>VEGETAÇÃO IXÓRA (FORNECIMENTO E PLANTIO)</v>
      </c>
      <c r="C765" s="311" t="str">
        <f>'Planilha orç'!E101</f>
        <v>UN</v>
      </c>
      <c r="D765" s="312"/>
      <c r="E765" s="313"/>
      <c r="F765" s="314"/>
      <c r="G765" s="315"/>
      <c r="H765" s="316"/>
    </row>
    <row r="766" spans="1:8">
      <c r="A766" s="317"/>
      <c r="B766" s="321"/>
      <c r="C766" s="317"/>
      <c r="D766" s="323">
        <v>25</v>
      </c>
      <c r="E766" s="323"/>
      <c r="F766" s="323"/>
      <c r="G766" s="323"/>
      <c r="H766" s="324">
        <f t="shared" ref="H766" si="76">ROUND(PRODUCT(D766:G766),2)</f>
        <v>25</v>
      </c>
    </row>
    <row r="767" spans="1:8">
      <c r="A767" s="334"/>
      <c r="B767" s="97"/>
      <c r="C767" s="317"/>
      <c r="D767" s="326"/>
      <c r="E767" s="319"/>
      <c r="F767" s="320"/>
      <c r="G767" s="139" t="str">
        <f>"Total item "&amp;A765</f>
        <v>Total item 8.13</v>
      </c>
      <c r="H767" s="140">
        <f>SUM(H766)</f>
        <v>25</v>
      </c>
    </row>
    <row r="768" spans="1:8">
      <c r="A768" s="311" t="str">
        <f>'Planilha orç'!A102</f>
        <v>8.14</v>
      </c>
      <c r="B768" s="134" t="str">
        <f>'Planilha orç'!D102</f>
        <v>BICICLETÁRIO (FORNECIMENTO E INSTALAÇÃO)</v>
      </c>
      <c r="C768" s="354">
        <f>'Planilha orç'!F102</f>
        <v>2</v>
      </c>
      <c r="D768" s="312"/>
      <c r="E768" s="313"/>
      <c r="F768" s="314"/>
      <c r="G768" s="315"/>
      <c r="H768" s="316"/>
    </row>
    <row r="769" spans="1:8">
      <c r="A769" s="317"/>
      <c r="B769" s="321" t="s">
        <v>715</v>
      </c>
      <c r="C769" s="317"/>
      <c r="D769" s="323">
        <v>2</v>
      </c>
      <c r="E769" s="323"/>
      <c r="F769" s="323"/>
      <c r="G769" s="323"/>
      <c r="H769" s="324">
        <f t="shared" ref="H769" si="77">ROUND(PRODUCT(D769:G769),2)</f>
        <v>2</v>
      </c>
    </row>
    <row r="770" spans="1:8">
      <c r="A770" s="334"/>
      <c r="B770" s="97"/>
      <c r="C770" s="317"/>
      <c r="D770" s="326"/>
      <c r="E770" s="319"/>
      <c r="F770" s="320"/>
      <c r="G770" s="139" t="str">
        <f>"Total item "&amp;A768</f>
        <v>Total item 8.14</v>
      </c>
      <c r="H770" s="140">
        <f>SUM(H769)</f>
        <v>2</v>
      </c>
    </row>
    <row r="771" spans="1:8">
      <c r="A771" s="301" t="str">
        <f>'Planilha orç'!A103</f>
        <v>9.0</v>
      </c>
      <c r="B771" s="303" t="str">
        <f>'Planilha orç'!D103</f>
        <v>PLAYGROUND</v>
      </c>
      <c r="C771" s="302"/>
      <c r="D771" s="301"/>
      <c r="E771" s="301"/>
      <c r="F771" s="301"/>
      <c r="G771" s="301"/>
      <c r="H771" s="301"/>
    </row>
    <row r="772" spans="1:8" ht="33.75">
      <c r="A772" s="311" t="str">
        <f>'Planilha orç'!A104</f>
        <v>9.1</v>
      </c>
      <c r="B772" s="134" t="str">
        <f>'Planilha orç'!D104</f>
        <v>PLAYGROUND DE EUCALIPTO COMPLETO: CASINHA SUSPENSA, 1 BALANÇO DUPLO, 1 ESCORREGADOR, 2 GANGORRAS TRIPLAS, 4 MESAS PICNIC, 10 BANCOS, 8 LIXEIRAS</v>
      </c>
      <c r="C772" s="311" t="str">
        <f>'Planilha orç'!E104</f>
        <v>UN</v>
      </c>
      <c r="D772" s="312"/>
      <c r="E772" s="313"/>
      <c r="F772" s="314"/>
      <c r="G772" s="315"/>
      <c r="H772" s="316"/>
    </row>
    <row r="773" spans="1:8">
      <c r="A773" s="317"/>
      <c r="B773" s="321"/>
      <c r="C773" s="317"/>
      <c r="D773" s="323">
        <v>1</v>
      </c>
      <c r="E773" s="323"/>
      <c r="F773" s="323"/>
      <c r="G773" s="323"/>
      <c r="H773" s="324">
        <f t="shared" ref="H773" si="78">ROUND(PRODUCT(D773:G773),2)</f>
        <v>1</v>
      </c>
    </row>
    <row r="774" spans="1:8">
      <c r="A774" s="317"/>
      <c r="B774" s="321"/>
      <c r="C774" s="317"/>
      <c r="D774" s="317"/>
      <c r="E774" s="317"/>
      <c r="F774" s="320"/>
      <c r="G774" s="113" t="str">
        <f>"Total item "&amp;A772</f>
        <v>Total item 9.1</v>
      </c>
      <c r="H774" s="114">
        <f>SUM(H773)</f>
        <v>1</v>
      </c>
    </row>
    <row r="775" spans="1:8">
      <c r="A775" s="301" t="str">
        <f>'Planilha orç'!A105</f>
        <v>10.0</v>
      </c>
      <c r="B775" s="303" t="str">
        <f>'Planilha orç'!D105</f>
        <v>INSTALAÇÕES ELÉTRICAS</v>
      </c>
      <c r="C775" s="302"/>
      <c r="D775" s="301"/>
      <c r="E775" s="301"/>
      <c r="F775" s="301"/>
      <c r="G775" s="301"/>
      <c r="H775" s="301"/>
    </row>
    <row r="776" spans="1:8" ht="22.5">
      <c r="A776" s="311" t="str">
        <f>'Planilha orç'!A106</f>
        <v>10.1</v>
      </c>
      <c r="B776" s="134" t="str">
        <f>'Planilha orç'!D106</f>
        <v>LUMINÁRIA TIPO CALHA, DE SOBREPOR, COM 1 LÂMPADA TUBULAR LED 18/20 W - FORNECIMENTO E INSTALAÇÃO</v>
      </c>
      <c r="C776" s="311" t="str">
        <f>'Planilha orç'!E106</f>
        <v>UN</v>
      </c>
      <c r="D776" s="312"/>
      <c r="E776" s="313"/>
      <c r="F776" s="314"/>
      <c r="G776" s="315"/>
      <c r="H776" s="316"/>
    </row>
    <row r="777" spans="1:8">
      <c r="A777" s="317"/>
      <c r="B777" s="321" t="s">
        <v>461</v>
      </c>
      <c r="C777" s="317"/>
      <c r="D777" s="323">
        <v>2</v>
      </c>
      <c r="E777" s="323"/>
      <c r="F777" s="323"/>
      <c r="G777" s="323"/>
      <c r="H777" s="321">
        <f t="shared" ref="H777:H788" si="79">ROUND(PRODUCT(D777:G777),2)</f>
        <v>2</v>
      </c>
    </row>
    <row r="778" spans="1:8">
      <c r="A778" s="317"/>
      <c r="B778" s="321" t="s">
        <v>462</v>
      </c>
      <c r="C778" s="317"/>
      <c r="D778" s="323">
        <v>4</v>
      </c>
      <c r="E778" s="323"/>
      <c r="F778" s="323"/>
      <c r="G778" s="323"/>
      <c r="H778" s="321">
        <f t="shared" si="79"/>
        <v>4</v>
      </c>
    </row>
    <row r="779" spans="1:8">
      <c r="A779" s="317"/>
      <c r="B779" s="321" t="s">
        <v>463</v>
      </c>
      <c r="C779" s="317"/>
      <c r="D779" s="323">
        <v>4</v>
      </c>
      <c r="E779" s="323"/>
      <c r="F779" s="323"/>
      <c r="G779" s="323"/>
      <c r="H779" s="321">
        <f t="shared" si="79"/>
        <v>4</v>
      </c>
    </row>
    <row r="780" spans="1:8">
      <c r="A780" s="317"/>
      <c r="B780" s="321" t="s">
        <v>464</v>
      </c>
      <c r="C780" s="317"/>
      <c r="D780" s="323">
        <v>6</v>
      </c>
      <c r="E780" s="323"/>
      <c r="F780" s="323"/>
      <c r="G780" s="323"/>
      <c r="H780" s="321">
        <f t="shared" si="79"/>
        <v>6</v>
      </c>
    </row>
    <row r="781" spans="1:8">
      <c r="A781" s="317"/>
      <c r="B781" s="321" t="s">
        <v>465</v>
      </c>
      <c r="C781" s="317"/>
      <c r="D781" s="323">
        <v>6</v>
      </c>
      <c r="E781" s="323"/>
      <c r="F781" s="323"/>
      <c r="G781" s="323"/>
      <c r="H781" s="321">
        <f t="shared" si="79"/>
        <v>6</v>
      </c>
    </row>
    <row r="782" spans="1:8">
      <c r="A782" s="317"/>
      <c r="B782" s="321" t="s">
        <v>466</v>
      </c>
      <c r="C782" s="317"/>
      <c r="D782" s="323">
        <v>11</v>
      </c>
      <c r="E782" s="323"/>
      <c r="F782" s="323"/>
      <c r="G782" s="323"/>
      <c r="H782" s="321">
        <f t="shared" si="79"/>
        <v>11</v>
      </c>
    </row>
    <row r="783" spans="1:8">
      <c r="A783" s="317"/>
      <c r="B783" s="355" t="s">
        <v>467</v>
      </c>
      <c r="C783" s="317"/>
      <c r="D783" s="323">
        <v>8</v>
      </c>
      <c r="E783" s="323"/>
      <c r="F783" s="323"/>
      <c r="G783" s="323"/>
      <c r="H783" s="321">
        <f t="shared" si="79"/>
        <v>8</v>
      </c>
    </row>
    <row r="784" spans="1:8">
      <c r="A784" s="317"/>
      <c r="B784" s="321" t="s">
        <v>468</v>
      </c>
      <c r="C784" s="317"/>
      <c r="D784" s="323">
        <v>4</v>
      </c>
      <c r="E784" s="323"/>
      <c r="F784" s="323"/>
      <c r="G784" s="323"/>
      <c r="H784" s="321">
        <f t="shared" si="79"/>
        <v>4</v>
      </c>
    </row>
    <row r="785" spans="1:8">
      <c r="A785" s="317"/>
      <c r="B785" s="321" t="s">
        <v>309</v>
      </c>
      <c r="C785" s="317"/>
      <c r="D785" s="323">
        <v>1</v>
      </c>
      <c r="E785" s="323"/>
      <c r="F785" s="323"/>
      <c r="G785" s="323"/>
      <c r="H785" s="321">
        <f t="shared" si="79"/>
        <v>1</v>
      </c>
    </row>
    <row r="786" spans="1:8">
      <c r="A786" s="317"/>
      <c r="B786" s="355" t="s">
        <v>469</v>
      </c>
      <c r="C786" s="317"/>
      <c r="D786" s="323">
        <v>6</v>
      </c>
      <c r="E786" s="323"/>
      <c r="F786" s="323"/>
      <c r="G786" s="323"/>
      <c r="H786" s="321">
        <f t="shared" si="79"/>
        <v>6</v>
      </c>
    </row>
    <row r="787" spans="1:8">
      <c r="A787" s="317"/>
      <c r="B787" s="355" t="s">
        <v>470</v>
      </c>
      <c r="C787" s="317"/>
      <c r="D787" s="323">
        <v>1</v>
      </c>
      <c r="E787" s="323"/>
      <c r="F787" s="323"/>
      <c r="G787" s="323"/>
      <c r="H787" s="321">
        <f t="shared" si="79"/>
        <v>1</v>
      </c>
    </row>
    <row r="788" spans="1:8">
      <c r="A788" s="317"/>
      <c r="B788" s="321" t="s">
        <v>471</v>
      </c>
      <c r="C788" s="317"/>
      <c r="D788" s="323">
        <v>1</v>
      </c>
      <c r="E788" s="323"/>
      <c r="F788" s="323"/>
      <c r="G788" s="323"/>
      <c r="H788" s="321">
        <f t="shared" si="79"/>
        <v>1</v>
      </c>
    </row>
    <row r="789" spans="1:8">
      <c r="A789" s="317"/>
      <c r="B789" s="321"/>
      <c r="C789" s="317"/>
      <c r="D789" s="317"/>
      <c r="E789" s="317"/>
      <c r="F789" s="320"/>
      <c r="G789" s="113" t="str">
        <f>"Total item "&amp;A776</f>
        <v>Total item 10.1</v>
      </c>
      <c r="H789" s="114">
        <f>SUM(H777:H788)</f>
        <v>54</v>
      </c>
    </row>
    <row r="790" spans="1:8" ht="22.5">
      <c r="A790" s="311" t="str">
        <f>'Planilha orç'!A107</f>
        <v>10.2</v>
      </c>
      <c r="B790" s="134" t="str">
        <f>'Planilha orç'!D107</f>
        <v>LUMINÁRIA TIPO CALHA, DE SOBREPOR, COM 2 LÂMPADAS TUBULARES LED 18/20W - FORNECIMENTO E INSTALAÇÃO</v>
      </c>
      <c r="C790" s="311" t="str">
        <f>'Planilha orç'!E107</f>
        <v>UN</v>
      </c>
      <c r="D790" s="312"/>
      <c r="E790" s="313"/>
      <c r="F790" s="314"/>
      <c r="G790" s="315"/>
      <c r="H790" s="316"/>
    </row>
    <row r="791" spans="1:8">
      <c r="A791" s="317"/>
      <c r="B791" s="321" t="s">
        <v>241</v>
      </c>
      <c r="C791" s="317"/>
      <c r="D791" s="323">
        <v>2</v>
      </c>
      <c r="E791" s="323"/>
      <c r="F791" s="323"/>
      <c r="G791" s="323"/>
      <c r="H791" s="321">
        <f t="shared" ref="H791:H817" si="80">ROUND(PRODUCT(D791:G791),2)</f>
        <v>2</v>
      </c>
    </row>
    <row r="792" spans="1:8">
      <c r="A792" s="317"/>
      <c r="B792" s="321" t="s">
        <v>472</v>
      </c>
      <c r="C792" s="317"/>
      <c r="D792" s="323">
        <v>1</v>
      </c>
      <c r="E792" s="323"/>
      <c r="F792" s="323"/>
      <c r="G792" s="323"/>
      <c r="H792" s="321">
        <f t="shared" si="80"/>
        <v>1</v>
      </c>
    </row>
    <row r="793" spans="1:8">
      <c r="A793" s="317"/>
      <c r="B793" s="355" t="s">
        <v>473</v>
      </c>
      <c r="C793" s="317"/>
      <c r="D793" s="323">
        <v>1</v>
      </c>
      <c r="E793" s="323"/>
      <c r="F793" s="323"/>
      <c r="G793" s="323"/>
      <c r="H793" s="321">
        <f t="shared" si="80"/>
        <v>1</v>
      </c>
    </row>
    <row r="794" spans="1:8">
      <c r="A794" s="317"/>
      <c r="B794" s="321" t="s">
        <v>474</v>
      </c>
      <c r="C794" s="317"/>
      <c r="D794" s="323">
        <v>2</v>
      </c>
      <c r="E794" s="323"/>
      <c r="F794" s="323"/>
      <c r="G794" s="323"/>
      <c r="H794" s="321">
        <f t="shared" si="80"/>
        <v>2</v>
      </c>
    </row>
    <row r="795" spans="1:8">
      <c r="A795" s="317"/>
      <c r="B795" s="321" t="s">
        <v>461</v>
      </c>
      <c r="C795" s="317"/>
      <c r="D795" s="323">
        <v>6</v>
      </c>
      <c r="E795" s="323"/>
      <c r="F795" s="323"/>
      <c r="G795" s="323"/>
      <c r="H795" s="321">
        <f t="shared" si="80"/>
        <v>6</v>
      </c>
    </row>
    <row r="796" spans="1:8">
      <c r="A796" s="317"/>
      <c r="B796" s="321" t="s">
        <v>475</v>
      </c>
      <c r="C796" s="317"/>
      <c r="D796" s="323">
        <v>4</v>
      </c>
      <c r="E796" s="323"/>
      <c r="F796" s="323"/>
      <c r="G796" s="323"/>
      <c r="H796" s="321">
        <f t="shared" si="80"/>
        <v>4</v>
      </c>
    </row>
    <row r="797" spans="1:8">
      <c r="A797" s="317"/>
      <c r="B797" s="321" t="s">
        <v>476</v>
      </c>
      <c r="C797" s="317"/>
      <c r="D797" s="323">
        <v>5</v>
      </c>
      <c r="E797" s="323"/>
      <c r="F797" s="323"/>
      <c r="G797" s="323"/>
      <c r="H797" s="321">
        <f t="shared" si="80"/>
        <v>5</v>
      </c>
    </row>
    <row r="798" spans="1:8">
      <c r="A798" s="317"/>
      <c r="B798" s="321" t="s">
        <v>477</v>
      </c>
      <c r="C798" s="317"/>
      <c r="D798" s="323">
        <v>4</v>
      </c>
      <c r="E798" s="323"/>
      <c r="F798" s="323"/>
      <c r="G798" s="323"/>
      <c r="H798" s="321">
        <f t="shared" si="80"/>
        <v>4</v>
      </c>
    </row>
    <row r="799" spans="1:8">
      <c r="A799" s="317"/>
      <c r="B799" s="355" t="s">
        <v>478</v>
      </c>
      <c r="C799" s="317"/>
      <c r="D799" s="323">
        <v>4</v>
      </c>
      <c r="E799" s="323"/>
      <c r="F799" s="323"/>
      <c r="G799" s="323"/>
      <c r="H799" s="321">
        <f t="shared" si="80"/>
        <v>4</v>
      </c>
    </row>
    <row r="800" spans="1:8">
      <c r="A800" s="317"/>
      <c r="B800" s="355" t="s">
        <v>475</v>
      </c>
      <c r="C800" s="317"/>
      <c r="D800" s="323">
        <v>8</v>
      </c>
      <c r="E800" s="323"/>
      <c r="F800" s="323"/>
      <c r="G800" s="323"/>
      <c r="H800" s="321">
        <f t="shared" si="80"/>
        <v>8</v>
      </c>
    </row>
    <row r="801" spans="1:8">
      <c r="A801" s="317"/>
      <c r="B801" s="355" t="s">
        <v>479</v>
      </c>
      <c r="C801" s="317"/>
      <c r="D801" s="323">
        <v>3</v>
      </c>
      <c r="E801" s="323"/>
      <c r="F801" s="323"/>
      <c r="G801" s="323"/>
      <c r="H801" s="321">
        <f t="shared" si="80"/>
        <v>3</v>
      </c>
    </row>
    <row r="802" spans="1:8">
      <c r="A802" s="341"/>
      <c r="B802" s="138" t="s">
        <v>480</v>
      </c>
      <c r="C802" s="317"/>
      <c r="D802" s="323">
        <v>3</v>
      </c>
      <c r="E802" s="323"/>
      <c r="F802" s="323"/>
      <c r="G802" s="323"/>
      <c r="H802" s="321">
        <f t="shared" si="80"/>
        <v>3</v>
      </c>
    </row>
    <row r="803" spans="1:8">
      <c r="A803" s="317"/>
      <c r="B803" s="355" t="s">
        <v>481</v>
      </c>
      <c r="C803" s="356"/>
      <c r="D803" s="323">
        <v>3</v>
      </c>
      <c r="E803" s="323"/>
      <c r="F803" s="323"/>
      <c r="G803" s="323"/>
      <c r="H803" s="321">
        <f t="shared" si="80"/>
        <v>3</v>
      </c>
    </row>
    <row r="804" spans="1:8">
      <c r="A804" s="317"/>
      <c r="B804" s="321" t="s">
        <v>482</v>
      </c>
      <c r="C804" s="317"/>
      <c r="D804" s="323">
        <v>3</v>
      </c>
      <c r="E804" s="323"/>
      <c r="F804" s="323"/>
      <c r="G804" s="323"/>
      <c r="H804" s="321">
        <f t="shared" si="80"/>
        <v>3</v>
      </c>
    </row>
    <row r="805" spans="1:8">
      <c r="A805" s="317"/>
      <c r="B805" s="321" t="s">
        <v>483</v>
      </c>
      <c r="C805" s="317"/>
      <c r="D805" s="323">
        <v>3</v>
      </c>
      <c r="E805" s="323"/>
      <c r="F805" s="323"/>
      <c r="G805" s="323"/>
      <c r="H805" s="321">
        <f t="shared" si="80"/>
        <v>3</v>
      </c>
    </row>
    <row r="806" spans="1:8">
      <c r="A806" s="317"/>
      <c r="B806" s="321" t="s">
        <v>484</v>
      </c>
      <c r="C806" s="317"/>
      <c r="D806" s="323">
        <v>3</v>
      </c>
      <c r="E806" s="323"/>
      <c r="F806" s="323"/>
      <c r="G806" s="323"/>
      <c r="H806" s="321">
        <f t="shared" si="80"/>
        <v>3</v>
      </c>
    </row>
    <row r="807" spans="1:8">
      <c r="A807" s="317"/>
      <c r="B807" s="355" t="s">
        <v>485</v>
      </c>
      <c r="C807" s="317"/>
      <c r="D807" s="323">
        <v>3</v>
      </c>
      <c r="E807" s="323"/>
      <c r="F807" s="323"/>
      <c r="G807" s="323"/>
      <c r="H807" s="321">
        <f t="shared" si="80"/>
        <v>3</v>
      </c>
    </row>
    <row r="808" spans="1:8">
      <c r="A808" s="317"/>
      <c r="B808" s="355" t="s">
        <v>486</v>
      </c>
      <c r="C808" s="357"/>
      <c r="D808" s="323">
        <v>4</v>
      </c>
      <c r="E808" s="323"/>
      <c r="F808" s="323"/>
      <c r="G808" s="323"/>
      <c r="H808" s="321">
        <f t="shared" si="80"/>
        <v>4</v>
      </c>
    </row>
    <row r="809" spans="1:8">
      <c r="A809" s="317"/>
      <c r="B809" s="321" t="s">
        <v>487</v>
      </c>
      <c r="C809" s="317"/>
      <c r="D809" s="323">
        <v>4</v>
      </c>
      <c r="E809" s="323"/>
      <c r="F809" s="323"/>
      <c r="G809" s="323"/>
      <c r="H809" s="321">
        <f t="shared" si="80"/>
        <v>4</v>
      </c>
    </row>
    <row r="810" spans="1:8">
      <c r="A810" s="317"/>
      <c r="B810" s="321" t="s">
        <v>488</v>
      </c>
      <c r="C810" s="317"/>
      <c r="D810" s="323">
        <v>3</v>
      </c>
      <c r="E810" s="323"/>
      <c r="F810" s="323"/>
      <c r="G810" s="323"/>
      <c r="H810" s="321">
        <f t="shared" si="80"/>
        <v>3</v>
      </c>
    </row>
    <row r="811" spans="1:8">
      <c r="A811" s="317"/>
      <c r="B811" s="321" t="s">
        <v>489</v>
      </c>
      <c r="C811" s="317"/>
      <c r="D811" s="323">
        <v>3</v>
      </c>
      <c r="E811" s="323"/>
      <c r="F811" s="323"/>
      <c r="G811" s="323"/>
      <c r="H811" s="321">
        <f t="shared" si="80"/>
        <v>3</v>
      </c>
    </row>
    <row r="812" spans="1:8">
      <c r="A812" s="317"/>
      <c r="B812" s="355" t="s">
        <v>490</v>
      </c>
      <c r="C812" s="317"/>
      <c r="D812" s="323">
        <v>3</v>
      </c>
      <c r="E812" s="323"/>
      <c r="F812" s="323"/>
      <c r="G812" s="323"/>
      <c r="H812" s="321">
        <f t="shared" si="80"/>
        <v>3</v>
      </c>
    </row>
    <row r="813" spans="1:8">
      <c r="A813" s="317"/>
      <c r="B813" s="355" t="s">
        <v>491</v>
      </c>
      <c r="C813" s="357"/>
      <c r="D813" s="323">
        <v>3</v>
      </c>
      <c r="E813" s="323"/>
      <c r="F813" s="323"/>
      <c r="G813" s="323"/>
      <c r="H813" s="321">
        <f t="shared" si="80"/>
        <v>3</v>
      </c>
    </row>
    <row r="814" spans="1:8">
      <c r="A814" s="317"/>
      <c r="B814" s="321" t="s">
        <v>492</v>
      </c>
      <c r="C814" s="317"/>
      <c r="D814" s="323">
        <v>3</v>
      </c>
      <c r="E814" s="323"/>
      <c r="F814" s="323"/>
      <c r="G814" s="323"/>
      <c r="H814" s="321">
        <f t="shared" si="80"/>
        <v>3</v>
      </c>
    </row>
    <row r="815" spans="1:8">
      <c r="A815" s="317"/>
      <c r="B815" s="321" t="s">
        <v>493</v>
      </c>
      <c r="C815" s="317"/>
      <c r="D815" s="323">
        <v>2</v>
      </c>
      <c r="E815" s="323"/>
      <c r="F815" s="323"/>
      <c r="G815" s="323"/>
      <c r="H815" s="321">
        <f t="shared" si="80"/>
        <v>2</v>
      </c>
    </row>
    <row r="816" spans="1:8">
      <c r="A816" s="317"/>
      <c r="B816" s="355" t="s">
        <v>494</v>
      </c>
      <c r="C816" s="356"/>
      <c r="D816" s="323">
        <v>3</v>
      </c>
      <c r="E816" s="323"/>
      <c r="F816" s="323"/>
      <c r="G816" s="323"/>
      <c r="H816" s="321">
        <f t="shared" si="80"/>
        <v>3</v>
      </c>
    </row>
    <row r="817" spans="1:8">
      <c r="A817" s="317"/>
      <c r="B817" s="321" t="s">
        <v>495</v>
      </c>
      <c r="C817" s="317"/>
      <c r="D817" s="323">
        <v>3</v>
      </c>
      <c r="E817" s="323"/>
      <c r="F817" s="323"/>
      <c r="G817" s="323"/>
      <c r="H817" s="321">
        <f t="shared" si="80"/>
        <v>3</v>
      </c>
    </row>
    <row r="818" spans="1:8">
      <c r="A818" s="317"/>
      <c r="B818" s="321"/>
      <c r="C818" s="317"/>
      <c r="D818" s="317"/>
      <c r="E818" s="317"/>
      <c r="F818" s="320"/>
      <c r="G818" s="113" t="str">
        <f>"Total item "&amp;A790</f>
        <v>Total item 10.2</v>
      </c>
      <c r="H818" s="114">
        <f>SUM(H791:H817)</f>
        <v>89</v>
      </c>
    </row>
    <row r="819" spans="1:8" ht="22.5">
      <c r="A819" s="311" t="str">
        <f>'Planilha orç'!A108</f>
        <v>10.3</v>
      </c>
      <c r="B819" s="134" t="str">
        <f>'Planilha orç'!D108</f>
        <v>TOMADA BAIXA DE EMBUTIR (1 MÓDULO), 2P+T 10 A, INCLUINDO SUPORTE E PLACA - FORNECIMENTO E INSTALAÇÃO. AF_12/2015</v>
      </c>
      <c r="C819" s="311" t="str">
        <f>'Planilha orç'!E108</f>
        <v>UN</v>
      </c>
      <c r="D819" s="312"/>
      <c r="E819" s="313"/>
      <c r="F819" s="314"/>
      <c r="G819" s="315"/>
      <c r="H819" s="316"/>
    </row>
    <row r="820" spans="1:8">
      <c r="A820" s="317"/>
      <c r="B820" s="321" t="s">
        <v>470</v>
      </c>
      <c r="C820" s="317"/>
      <c r="D820" s="323">
        <v>1</v>
      </c>
      <c r="E820" s="323"/>
      <c r="F820" s="323"/>
      <c r="G820" s="323"/>
      <c r="H820" s="321">
        <f t="shared" ref="H820:H823" si="81">ROUND(PRODUCT(D820:G820),2)</f>
        <v>1</v>
      </c>
    </row>
    <row r="821" spans="1:8">
      <c r="A821" s="317"/>
      <c r="B821" s="321" t="s">
        <v>554</v>
      </c>
      <c r="C821" s="317"/>
      <c r="D821" s="323">
        <v>5</v>
      </c>
      <c r="E821" s="323"/>
      <c r="F821" s="323"/>
      <c r="G821" s="323"/>
      <c r="H821" s="321">
        <f t="shared" si="81"/>
        <v>5</v>
      </c>
    </row>
    <row r="822" spans="1:8">
      <c r="A822" s="317"/>
      <c r="B822" s="321" t="s">
        <v>309</v>
      </c>
      <c r="C822" s="317"/>
      <c r="D822" s="323">
        <v>1</v>
      </c>
      <c r="E822" s="323"/>
      <c r="F822" s="323"/>
      <c r="G822" s="323"/>
      <c r="H822" s="321">
        <f t="shared" si="81"/>
        <v>1</v>
      </c>
    </row>
    <row r="823" spans="1:8">
      <c r="A823" s="317"/>
      <c r="B823" s="321" t="s">
        <v>497</v>
      </c>
      <c r="C823" s="317"/>
      <c r="D823" s="323">
        <v>1</v>
      </c>
      <c r="E823" s="323"/>
      <c r="F823" s="323"/>
      <c r="G823" s="323"/>
      <c r="H823" s="321">
        <f t="shared" si="81"/>
        <v>1</v>
      </c>
    </row>
    <row r="824" spans="1:8">
      <c r="A824" s="317"/>
      <c r="B824" s="321"/>
      <c r="C824" s="317"/>
      <c r="D824" s="317"/>
      <c r="E824" s="317"/>
      <c r="F824" s="320"/>
      <c r="G824" s="113" t="str">
        <f>"Total item "&amp;A819</f>
        <v>Total item 10.3</v>
      </c>
      <c r="H824" s="114">
        <f>SUM(H820:H823)</f>
        <v>8</v>
      </c>
    </row>
    <row r="825" spans="1:8" ht="22.5">
      <c r="A825" s="311" t="str">
        <f>'Planilha orç'!A109</f>
        <v>10.4</v>
      </c>
      <c r="B825" s="134" t="str">
        <f>'Planilha orç'!D109</f>
        <v>TOMADA MÉDIA DE EMBUTIR (1 MÓDULO), 2P+T 10 A, INCLUINDO SUPORTE E PLACA - FORNECIMENTO E INSTALAÇÃO. AF_12/2015</v>
      </c>
      <c r="C825" s="311" t="str">
        <f>'Planilha orç'!E109</f>
        <v>UN</v>
      </c>
      <c r="D825" s="312"/>
      <c r="E825" s="313"/>
      <c r="F825" s="314"/>
      <c r="G825" s="315"/>
      <c r="H825" s="316"/>
    </row>
    <row r="826" spans="1:8">
      <c r="A826" s="317"/>
      <c r="B826" s="321" t="s">
        <v>476</v>
      </c>
      <c r="C826" s="317"/>
      <c r="D826" s="323">
        <v>5</v>
      </c>
      <c r="E826" s="323"/>
      <c r="F826" s="323"/>
      <c r="G826" s="323"/>
      <c r="H826" s="321">
        <f t="shared" ref="H826:H828" si="82">ROUND(PRODUCT(D826:G826),2)</f>
        <v>5</v>
      </c>
    </row>
    <row r="827" spans="1:8">
      <c r="A827" s="317"/>
      <c r="B827" s="321" t="s">
        <v>555</v>
      </c>
      <c r="C827" s="317"/>
      <c r="D827" s="323">
        <v>1</v>
      </c>
      <c r="E827" s="323"/>
      <c r="F827" s="323"/>
      <c r="G827" s="323"/>
      <c r="H827" s="321">
        <f t="shared" si="82"/>
        <v>1</v>
      </c>
    </row>
    <row r="828" spans="1:8">
      <c r="A828" s="317"/>
      <c r="B828" s="321" t="s">
        <v>556</v>
      </c>
      <c r="C828" s="317"/>
      <c r="D828" s="323">
        <v>1</v>
      </c>
      <c r="E828" s="323"/>
      <c r="F828" s="323"/>
      <c r="G828" s="323"/>
      <c r="H828" s="321">
        <f t="shared" si="82"/>
        <v>1</v>
      </c>
    </row>
    <row r="829" spans="1:8">
      <c r="A829" s="317"/>
      <c r="B829" s="321"/>
      <c r="C829" s="317"/>
      <c r="D829" s="317"/>
      <c r="E829" s="317"/>
      <c r="F829" s="320"/>
      <c r="G829" s="113" t="str">
        <f>"Total item "&amp;A825</f>
        <v>Total item 10.4</v>
      </c>
      <c r="H829" s="114">
        <f>SUM(H826:H828)</f>
        <v>7</v>
      </c>
    </row>
    <row r="830" spans="1:8" ht="22.5">
      <c r="A830" s="311" t="str">
        <f>'Planilha orç'!A110</f>
        <v>10.5</v>
      </c>
      <c r="B830" s="134" t="str">
        <f>'Planilha orç'!D110</f>
        <v>TOMADA ALTA DE EMBUTIR (1 MÓDULO), 2P+T 10 A, INCLUINDO SUPORTE E PLACA - FORNECIMENTO E INSTALAÇÃO. AF_12/2015</v>
      </c>
      <c r="C830" s="311" t="str">
        <f>'Planilha orç'!E110</f>
        <v>UN</v>
      </c>
      <c r="D830" s="312"/>
      <c r="E830" s="313"/>
      <c r="F830" s="314"/>
      <c r="G830" s="315"/>
      <c r="H830" s="316"/>
    </row>
    <row r="831" spans="1:8">
      <c r="A831" s="317"/>
      <c r="B831" s="115" t="s">
        <v>473</v>
      </c>
      <c r="C831" s="341"/>
      <c r="D831" s="358">
        <v>1</v>
      </c>
      <c r="E831" s="319"/>
      <c r="F831" s="320"/>
      <c r="G831" s="322"/>
      <c r="H831" s="321">
        <f t="shared" ref="H831:H852" si="83">ROUND(PRODUCT(D831:G831),2)</f>
        <v>1</v>
      </c>
    </row>
    <row r="832" spans="1:8">
      <c r="A832" s="317"/>
      <c r="B832" s="115" t="s">
        <v>474</v>
      </c>
      <c r="C832" s="341"/>
      <c r="D832" s="358">
        <v>2</v>
      </c>
      <c r="E832" s="319"/>
      <c r="F832" s="320"/>
      <c r="G832" s="322"/>
      <c r="H832" s="321">
        <f t="shared" si="83"/>
        <v>2</v>
      </c>
    </row>
    <row r="833" spans="1:8">
      <c r="A833" s="317"/>
      <c r="B833" s="115" t="s">
        <v>241</v>
      </c>
      <c r="C833" s="341"/>
      <c r="D833" s="358">
        <v>2</v>
      </c>
      <c r="E833" s="319"/>
      <c r="F833" s="320"/>
      <c r="G833" s="322"/>
      <c r="H833" s="321">
        <f t="shared" si="83"/>
        <v>2</v>
      </c>
    </row>
    <row r="834" spans="1:8">
      <c r="A834" s="317"/>
      <c r="B834" s="115" t="s">
        <v>472</v>
      </c>
      <c r="C834" s="341"/>
      <c r="D834" s="358">
        <v>1</v>
      </c>
      <c r="E834" s="319"/>
      <c r="F834" s="320"/>
      <c r="G834" s="322"/>
      <c r="H834" s="321">
        <f t="shared" si="83"/>
        <v>1</v>
      </c>
    </row>
    <row r="835" spans="1:8">
      <c r="A835" s="317"/>
      <c r="B835" s="115" t="s">
        <v>554</v>
      </c>
      <c r="C835" s="341"/>
      <c r="D835" s="358">
        <v>6</v>
      </c>
      <c r="E835" s="319"/>
      <c r="F835" s="320"/>
      <c r="G835" s="322"/>
      <c r="H835" s="321">
        <f t="shared" si="83"/>
        <v>6</v>
      </c>
    </row>
    <row r="836" spans="1:8">
      <c r="A836" s="317"/>
      <c r="B836" s="115" t="s">
        <v>531</v>
      </c>
      <c r="C836" s="341"/>
      <c r="D836" s="358">
        <v>4</v>
      </c>
      <c r="E836" s="319"/>
      <c r="F836" s="320"/>
      <c r="G836" s="322"/>
      <c r="H836" s="321">
        <f t="shared" si="83"/>
        <v>4</v>
      </c>
    </row>
    <row r="837" spans="1:8">
      <c r="A837" s="317"/>
      <c r="B837" s="115" t="s">
        <v>532</v>
      </c>
      <c r="C837" s="341"/>
      <c r="D837" s="358">
        <v>4</v>
      </c>
      <c r="E837" s="319"/>
      <c r="F837" s="320"/>
      <c r="G837" s="322"/>
      <c r="H837" s="321">
        <f t="shared" si="83"/>
        <v>4</v>
      </c>
    </row>
    <row r="838" spans="1:8">
      <c r="A838" s="317"/>
      <c r="B838" s="115" t="s">
        <v>533</v>
      </c>
      <c r="C838" s="341"/>
      <c r="D838" s="358">
        <v>4</v>
      </c>
      <c r="E838" s="319"/>
      <c r="F838" s="320"/>
      <c r="G838" s="322"/>
      <c r="H838" s="321">
        <f t="shared" si="83"/>
        <v>4</v>
      </c>
    </row>
    <row r="839" spans="1:8">
      <c r="A839" s="317"/>
      <c r="B839" s="115" t="s">
        <v>534</v>
      </c>
      <c r="C839" s="341"/>
      <c r="D839" s="358">
        <v>4</v>
      </c>
      <c r="E839" s="319"/>
      <c r="F839" s="320"/>
      <c r="G839" s="322"/>
      <c r="H839" s="321">
        <f t="shared" si="83"/>
        <v>4</v>
      </c>
    </row>
    <row r="840" spans="1:8">
      <c r="A840" s="317"/>
      <c r="B840" s="115" t="s">
        <v>557</v>
      </c>
      <c r="C840" s="341"/>
      <c r="D840" s="358">
        <v>4</v>
      </c>
      <c r="E840" s="319"/>
      <c r="F840" s="320"/>
      <c r="G840" s="322"/>
      <c r="H840" s="321">
        <f t="shared" si="83"/>
        <v>4</v>
      </c>
    </row>
    <row r="841" spans="1:8">
      <c r="A841" s="317"/>
      <c r="B841" s="115" t="s">
        <v>535</v>
      </c>
      <c r="C841" s="341"/>
      <c r="D841" s="358">
        <v>4</v>
      </c>
      <c r="E841" s="319"/>
      <c r="F841" s="320"/>
      <c r="G841" s="322"/>
      <c r="H841" s="321">
        <f t="shared" si="83"/>
        <v>4</v>
      </c>
    </row>
    <row r="842" spans="1:8">
      <c r="A842" s="317"/>
      <c r="B842" s="115" t="s">
        <v>536</v>
      </c>
      <c r="C842" s="341"/>
      <c r="D842" s="358">
        <v>4</v>
      </c>
      <c r="E842" s="319"/>
      <c r="F842" s="320"/>
      <c r="G842" s="322"/>
      <c r="H842" s="321">
        <f t="shared" si="83"/>
        <v>4</v>
      </c>
    </row>
    <row r="843" spans="1:8">
      <c r="A843" s="317"/>
      <c r="B843" s="115" t="s">
        <v>537</v>
      </c>
      <c r="C843" s="341"/>
      <c r="D843" s="358">
        <v>4</v>
      </c>
      <c r="E843" s="319"/>
      <c r="F843" s="320"/>
      <c r="G843" s="322"/>
      <c r="H843" s="321">
        <f t="shared" si="83"/>
        <v>4</v>
      </c>
    </row>
    <row r="844" spans="1:8">
      <c r="A844" s="317"/>
      <c r="B844" s="115" t="s">
        <v>538</v>
      </c>
      <c r="C844" s="341"/>
      <c r="D844" s="358">
        <v>4</v>
      </c>
      <c r="E844" s="319"/>
      <c r="F844" s="320"/>
      <c r="G844" s="322"/>
      <c r="H844" s="321">
        <f t="shared" si="83"/>
        <v>4</v>
      </c>
    </row>
    <row r="845" spans="1:8">
      <c r="A845" s="317"/>
      <c r="B845" s="115" t="s">
        <v>539</v>
      </c>
      <c r="C845" s="341"/>
      <c r="D845" s="358">
        <v>4</v>
      </c>
      <c r="E845" s="319"/>
      <c r="F845" s="320"/>
      <c r="G845" s="322"/>
      <c r="H845" s="321">
        <f t="shared" si="83"/>
        <v>4</v>
      </c>
    </row>
    <row r="846" spans="1:8">
      <c r="A846" s="317"/>
      <c r="B846" s="115" t="s">
        <v>540</v>
      </c>
      <c r="C846" s="341"/>
      <c r="D846" s="358">
        <v>4</v>
      </c>
      <c r="E846" s="319"/>
      <c r="F846" s="320"/>
      <c r="G846" s="322"/>
      <c r="H846" s="321">
        <f t="shared" si="83"/>
        <v>4</v>
      </c>
    </row>
    <row r="847" spans="1:8">
      <c r="A847" s="317"/>
      <c r="B847" s="115" t="s">
        <v>541</v>
      </c>
      <c r="C847" s="341"/>
      <c r="D847" s="358">
        <v>4</v>
      </c>
      <c r="E847" s="319"/>
      <c r="F847" s="320"/>
      <c r="G847" s="322"/>
      <c r="H847" s="321">
        <f t="shared" si="83"/>
        <v>4</v>
      </c>
    </row>
    <row r="848" spans="1:8">
      <c r="A848" s="317"/>
      <c r="B848" s="115" t="s">
        <v>542</v>
      </c>
      <c r="C848" s="341"/>
      <c r="D848" s="358">
        <v>4</v>
      </c>
      <c r="E848" s="319"/>
      <c r="F848" s="320"/>
      <c r="G848" s="322"/>
      <c r="H848" s="321">
        <f t="shared" si="83"/>
        <v>4</v>
      </c>
    </row>
    <row r="849" spans="1:8">
      <c r="A849" s="317"/>
      <c r="B849" s="115" t="s">
        <v>543</v>
      </c>
      <c r="C849" s="341"/>
      <c r="D849" s="358">
        <v>4</v>
      </c>
      <c r="E849" s="319"/>
      <c r="F849" s="320"/>
      <c r="G849" s="322"/>
      <c r="H849" s="321">
        <f t="shared" si="83"/>
        <v>4</v>
      </c>
    </row>
    <row r="850" spans="1:8">
      <c r="A850" s="317"/>
      <c r="B850" s="115" t="s">
        <v>558</v>
      </c>
      <c r="C850" s="341"/>
      <c r="D850" s="358">
        <v>4</v>
      </c>
      <c r="E850" s="319"/>
      <c r="F850" s="320"/>
      <c r="G850" s="322"/>
      <c r="H850" s="321">
        <f t="shared" si="83"/>
        <v>4</v>
      </c>
    </row>
    <row r="851" spans="1:8">
      <c r="A851" s="317"/>
      <c r="B851" s="115" t="s">
        <v>504</v>
      </c>
      <c r="C851" s="341"/>
      <c r="D851" s="358">
        <v>2</v>
      </c>
      <c r="E851" s="319"/>
      <c r="F851" s="320"/>
      <c r="G851" s="322"/>
      <c r="H851" s="321">
        <f t="shared" si="83"/>
        <v>2</v>
      </c>
    </row>
    <row r="852" spans="1:8">
      <c r="A852" s="317"/>
      <c r="B852" s="115" t="s">
        <v>496</v>
      </c>
      <c r="C852" s="341"/>
      <c r="D852" s="358">
        <v>2</v>
      </c>
      <c r="E852" s="319"/>
      <c r="F852" s="320"/>
      <c r="G852" s="359"/>
      <c r="H852" s="321">
        <f t="shared" si="83"/>
        <v>2</v>
      </c>
    </row>
    <row r="853" spans="1:8">
      <c r="A853" s="317"/>
      <c r="B853" s="321"/>
      <c r="C853" s="317"/>
      <c r="D853" s="317"/>
      <c r="E853" s="317"/>
      <c r="F853" s="320"/>
      <c r="G853" s="113" t="str">
        <f>"Total item "&amp;A830</f>
        <v>Total item 10.5</v>
      </c>
      <c r="H853" s="114">
        <f>SUM(H831:H852)</f>
        <v>76</v>
      </c>
    </row>
    <row r="854" spans="1:8" ht="22.5">
      <c r="A854" s="311" t="str">
        <f>'Planilha orç'!A111</f>
        <v>10.6</v>
      </c>
      <c r="B854" s="134" t="str">
        <f>'Planilha orç'!D111</f>
        <v>TOMADA ALTA DE EMBUTIR (1 MÓDULO), 2P+T 20 A, INCLUINDO SUPORTE E PLACA - FORNECIMENTO E INSTALAÇÃO. AF_12/2015</v>
      </c>
      <c r="C854" s="311" t="str">
        <f>'Planilha orç'!E111</f>
        <v>UN</v>
      </c>
      <c r="D854" s="312"/>
      <c r="E854" s="313"/>
      <c r="F854" s="314"/>
      <c r="G854" s="315"/>
      <c r="H854" s="316"/>
    </row>
    <row r="855" spans="1:8">
      <c r="A855" s="317"/>
      <c r="B855" s="355" t="s">
        <v>498</v>
      </c>
      <c r="C855" s="317"/>
      <c r="D855" s="323"/>
      <c r="E855" s="323"/>
      <c r="F855" s="323"/>
      <c r="G855" s="323"/>
      <c r="H855" s="321"/>
    </row>
    <row r="856" spans="1:8">
      <c r="A856" s="317"/>
      <c r="B856" s="321" t="s">
        <v>499</v>
      </c>
      <c r="C856" s="317"/>
      <c r="D856" s="323">
        <v>2</v>
      </c>
      <c r="E856" s="323"/>
      <c r="F856" s="323"/>
      <c r="G856" s="323"/>
      <c r="H856" s="321">
        <f t="shared" ref="H856:H860" si="84">ROUND(PRODUCT(D856:G856),2)</f>
        <v>2</v>
      </c>
    </row>
    <row r="857" spans="1:8">
      <c r="A857" s="317"/>
      <c r="B857" s="321" t="s">
        <v>500</v>
      </c>
      <c r="C857" s="317"/>
      <c r="D857" s="323">
        <v>1</v>
      </c>
      <c r="E857" s="323"/>
      <c r="F857" s="323"/>
      <c r="G857" s="323"/>
      <c r="H857" s="321">
        <f t="shared" si="84"/>
        <v>1</v>
      </c>
    </row>
    <row r="858" spans="1:8">
      <c r="A858" s="317"/>
      <c r="B858" s="321" t="s">
        <v>501</v>
      </c>
      <c r="C858" s="317"/>
      <c r="D858" s="323">
        <v>1</v>
      </c>
      <c r="E858" s="323"/>
      <c r="F858" s="323"/>
      <c r="G858" s="323"/>
      <c r="H858" s="321">
        <f t="shared" si="84"/>
        <v>1</v>
      </c>
    </row>
    <row r="859" spans="1:8">
      <c r="A859" s="317"/>
      <c r="B859" s="321" t="s">
        <v>502</v>
      </c>
      <c r="C859" s="317"/>
      <c r="D859" s="323">
        <v>3</v>
      </c>
      <c r="E859" s="323"/>
      <c r="F859" s="323"/>
      <c r="G859" s="323"/>
      <c r="H859" s="321">
        <f t="shared" si="84"/>
        <v>3</v>
      </c>
    </row>
    <row r="860" spans="1:8">
      <c r="A860" s="317"/>
      <c r="B860" s="321" t="s">
        <v>504</v>
      </c>
      <c r="C860" s="317"/>
      <c r="D860" s="323">
        <v>2</v>
      </c>
      <c r="E860" s="323"/>
      <c r="F860" s="323"/>
      <c r="G860" s="323"/>
      <c r="H860" s="321">
        <f t="shared" si="84"/>
        <v>2</v>
      </c>
    </row>
    <row r="861" spans="1:8">
      <c r="A861" s="317"/>
      <c r="B861" s="321" t="s">
        <v>505</v>
      </c>
      <c r="C861" s="317"/>
      <c r="D861" s="323"/>
      <c r="E861" s="323"/>
      <c r="F861" s="323"/>
      <c r="G861" s="323"/>
      <c r="H861" s="321"/>
    </row>
    <row r="862" spans="1:8">
      <c r="A862" s="317"/>
      <c r="B862" s="321" t="s">
        <v>503</v>
      </c>
      <c r="C862" s="317"/>
      <c r="D862" s="323">
        <v>1</v>
      </c>
      <c r="E862" s="323"/>
      <c r="F862" s="323"/>
      <c r="G862" s="323"/>
      <c r="H862" s="321">
        <f t="shared" ref="H862:H877" si="85">ROUND(PRODUCT(D862:G862),2)</f>
        <v>1</v>
      </c>
    </row>
    <row r="863" spans="1:8">
      <c r="A863" s="317"/>
      <c r="B863" s="321" t="s">
        <v>531</v>
      </c>
      <c r="C863" s="317"/>
      <c r="D863" s="323">
        <v>1</v>
      </c>
      <c r="E863" s="323"/>
      <c r="F863" s="323"/>
      <c r="G863" s="323"/>
      <c r="H863" s="321">
        <f t="shared" si="85"/>
        <v>1</v>
      </c>
    </row>
    <row r="864" spans="1:8">
      <c r="A864" s="317"/>
      <c r="B864" s="321" t="s">
        <v>532</v>
      </c>
      <c r="C864" s="317"/>
      <c r="D864" s="323">
        <v>1</v>
      </c>
      <c r="E864" s="323"/>
      <c r="F864" s="323"/>
      <c r="G864" s="323"/>
      <c r="H864" s="321">
        <f t="shared" si="85"/>
        <v>1</v>
      </c>
    </row>
    <row r="865" spans="1:8">
      <c r="A865" s="317"/>
      <c r="B865" s="321" t="s">
        <v>533</v>
      </c>
      <c r="C865" s="317"/>
      <c r="D865" s="323">
        <v>1</v>
      </c>
      <c r="E865" s="323"/>
      <c r="F865" s="323"/>
      <c r="G865" s="323"/>
      <c r="H865" s="321">
        <f t="shared" si="85"/>
        <v>1</v>
      </c>
    </row>
    <row r="866" spans="1:8">
      <c r="A866" s="317"/>
      <c r="B866" s="321" t="s">
        <v>534</v>
      </c>
      <c r="C866" s="317"/>
      <c r="D866" s="323">
        <v>1</v>
      </c>
      <c r="E866" s="323"/>
      <c r="F866" s="323"/>
      <c r="G866" s="323"/>
      <c r="H866" s="321">
        <f t="shared" si="85"/>
        <v>1</v>
      </c>
    </row>
    <row r="867" spans="1:8">
      <c r="A867" s="317"/>
      <c r="B867" s="321" t="s">
        <v>545</v>
      </c>
      <c r="C867" s="317"/>
      <c r="D867" s="323">
        <v>1</v>
      </c>
      <c r="E867" s="323"/>
      <c r="F867" s="323"/>
      <c r="G867" s="323"/>
      <c r="H867" s="321">
        <f t="shared" si="85"/>
        <v>1</v>
      </c>
    </row>
    <row r="868" spans="1:8">
      <c r="A868" s="317"/>
      <c r="B868" s="321" t="s">
        <v>535</v>
      </c>
      <c r="C868" s="317"/>
      <c r="D868" s="323">
        <v>1</v>
      </c>
      <c r="E868" s="323"/>
      <c r="F868" s="323"/>
      <c r="G868" s="323"/>
      <c r="H868" s="321">
        <f t="shared" si="85"/>
        <v>1</v>
      </c>
    </row>
    <row r="869" spans="1:8">
      <c r="A869" s="317"/>
      <c r="B869" s="321" t="s">
        <v>536</v>
      </c>
      <c r="C869" s="317"/>
      <c r="D869" s="323">
        <v>1</v>
      </c>
      <c r="E869" s="323"/>
      <c r="F869" s="323"/>
      <c r="G869" s="323"/>
      <c r="H869" s="321">
        <f t="shared" si="85"/>
        <v>1</v>
      </c>
    </row>
    <row r="870" spans="1:8">
      <c r="A870" s="317"/>
      <c r="B870" s="321" t="s">
        <v>537</v>
      </c>
      <c r="C870" s="317"/>
      <c r="D870" s="323">
        <v>1</v>
      </c>
      <c r="E870" s="323"/>
      <c r="F870" s="323"/>
      <c r="G870" s="323"/>
      <c r="H870" s="321">
        <f t="shared" si="85"/>
        <v>1</v>
      </c>
    </row>
    <row r="871" spans="1:8">
      <c r="A871" s="317"/>
      <c r="B871" s="321" t="s">
        <v>538</v>
      </c>
      <c r="C871" s="317"/>
      <c r="D871" s="323">
        <v>1</v>
      </c>
      <c r="E871" s="323"/>
      <c r="F871" s="323"/>
      <c r="G871" s="323"/>
      <c r="H871" s="321">
        <f t="shared" si="85"/>
        <v>1</v>
      </c>
    </row>
    <row r="872" spans="1:8">
      <c r="A872" s="317"/>
      <c r="B872" s="321" t="s">
        <v>539</v>
      </c>
      <c r="C872" s="317"/>
      <c r="D872" s="323">
        <v>1</v>
      </c>
      <c r="E872" s="323"/>
      <c r="F872" s="323"/>
      <c r="G872" s="323"/>
      <c r="H872" s="321">
        <f t="shared" si="85"/>
        <v>1</v>
      </c>
    </row>
    <row r="873" spans="1:8">
      <c r="A873" s="317"/>
      <c r="B873" s="321" t="s">
        <v>540</v>
      </c>
      <c r="C873" s="317"/>
      <c r="D873" s="323">
        <v>1</v>
      </c>
      <c r="E873" s="323"/>
      <c r="F873" s="323"/>
      <c r="G873" s="323"/>
      <c r="H873" s="321">
        <f t="shared" si="85"/>
        <v>1</v>
      </c>
    </row>
    <row r="874" spans="1:8">
      <c r="A874" s="317"/>
      <c r="B874" s="321" t="s">
        <v>541</v>
      </c>
      <c r="C874" s="317"/>
      <c r="D874" s="323">
        <v>1</v>
      </c>
      <c r="E874" s="323"/>
      <c r="F874" s="323"/>
      <c r="G874" s="323"/>
      <c r="H874" s="321">
        <f t="shared" si="85"/>
        <v>1</v>
      </c>
    </row>
    <row r="875" spans="1:8">
      <c r="A875" s="317"/>
      <c r="B875" s="321" t="s">
        <v>542</v>
      </c>
      <c r="C875" s="317"/>
      <c r="D875" s="323">
        <v>1</v>
      </c>
      <c r="E875" s="323"/>
      <c r="F875" s="323"/>
      <c r="G875" s="323"/>
      <c r="H875" s="321">
        <f t="shared" si="85"/>
        <v>1</v>
      </c>
    </row>
    <row r="876" spans="1:8">
      <c r="A876" s="317"/>
      <c r="B876" s="321" t="s">
        <v>543</v>
      </c>
      <c r="C876" s="317"/>
      <c r="D876" s="323">
        <v>1</v>
      </c>
      <c r="E876" s="323"/>
      <c r="F876" s="323"/>
      <c r="G876" s="323"/>
      <c r="H876" s="321">
        <f t="shared" si="85"/>
        <v>1</v>
      </c>
    </row>
    <row r="877" spans="1:8">
      <c r="A877" s="317"/>
      <c r="B877" s="321" t="s">
        <v>544</v>
      </c>
      <c r="C877" s="317"/>
      <c r="D877" s="323">
        <v>1</v>
      </c>
      <c r="E877" s="323"/>
      <c r="F877" s="323"/>
      <c r="G877" s="323"/>
      <c r="H877" s="321">
        <f t="shared" si="85"/>
        <v>1</v>
      </c>
    </row>
    <row r="878" spans="1:8">
      <c r="A878" s="317"/>
      <c r="B878" s="321"/>
      <c r="C878" s="317"/>
      <c r="D878" s="317"/>
      <c r="E878" s="317"/>
      <c r="F878" s="320"/>
      <c r="G878" s="139" t="str">
        <f>"Total item "&amp;A854</f>
        <v>Total item 10.6</v>
      </c>
      <c r="H878" s="140">
        <f>SUM(H855:H877)</f>
        <v>25</v>
      </c>
    </row>
    <row r="879" spans="1:8" ht="22.5">
      <c r="A879" s="311" t="str">
        <f>'Planilha orç'!A112</f>
        <v>10.7</v>
      </c>
      <c r="B879" s="134" t="str">
        <f>'Planilha orç'!D112</f>
        <v>TOMADA BAIXA DE EMBUTIR (2 MÓDULOS), 2P+T 10 A, INCLUINDO SUPORTE E PLACA - FORNECIMENTO E INSTALAÇÃO. AF_12/2015</v>
      </c>
      <c r="C879" s="311" t="str">
        <f>'Planilha orç'!E112</f>
        <v>UN</v>
      </c>
      <c r="D879" s="312"/>
      <c r="E879" s="313"/>
      <c r="F879" s="314"/>
      <c r="G879" s="315"/>
      <c r="H879" s="316"/>
    </row>
    <row r="880" spans="1:8">
      <c r="A880" s="317"/>
      <c r="B880" s="321" t="s">
        <v>473</v>
      </c>
      <c r="C880" s="317"/>
      <c r="D880" s="323">
        <v>2</v>
      </c>
      <c r="E880" s="323"/>
      <c r="F880" s="323"/>
      <c r="G880" s="323"/>
      <c r="H880" s="321">
        <f t="shared" ref="H880:H900" si="86">ROUND(PRODUCT(D880:G880),2)</f>
        <v>2</v>
      </c>
    </row>
    <row r="881" spans="1:8">
      <c r="A881" s="317"/>
      <c r="B881" s="321" t="s">
        <v>560</v>
      </c>
      <c r="C881" s="317"/>
      <c r="D881" s="323">
        <v>3</v>
      </c>
      <c r="E881" s="323"/>
      <c r="F881" s="323"/>
      <c r="G881" s="323"/>
      <c r="H881" s="321">
        <f t="shared" si="86"/>
        <v>3</v>
      </c>
    </row>
    <row r="882" spans="1:8">
      <c r="A882" s="317"/>
      <c r="B882" s="321" t="s">
        <v>241</v>
      </c>
      <c r="C882" s="317"/>
      <c r="D882" s="323">
        <v>4</v>
      </c>
      <c r="E882" s="323"/>
      <c r="F882" s="323"/>
      <c r="G882" s="323"/>
      <c r="H882" s="321">
        <f t="shared" si="86"/>
        <v>4</v>
      </c>
    </row>
    <row r="883" spans="1:8">
      <c r="A883" s="317"/>
      <c r="B883" s="321" t="s">
        <v>472</v>
      </c>
      <c r="C883" s="317"/>
      <c r="D883" s="323">
        <v>2</v>
      </c>
      <c r="E883" s="323"/>
      <c r="F883" s="323"/>
      <c r="G883" s="323"/>
      <c r="H883" s="321">
        <f t="shared" si="86"/>
        <v>2</v>
      </c>
    </row>
    <row r="884" spans="1:8">
      <c r="A884" s="317"/>
      <c r="B884" s="321" t="s">
        <v>554</v>
      </c>
      <c r="C884" s="317"/>
      <c r="D884" s="323">
        <v>6</v>
      </c>
      <c r="E884" s="323"/>
      <c r="F884" s="323"/>
      <c r="G884" s="323"/>
      <c r="H884" s="321">
        <f t="shared" si="86"/>
        <v>6</v>
      </c>
    </row>
    <row r="885" spans="1:8">
      <c r="A885" s="317"/>
      <c r="B885" s="321" t="s">
        <v>531</v>
      </c>
      <c r="C885" s="317"/>
      <c r="D885" s="323">
        <v>1</v>
      </c>
      <c r="E885" s="323"/>
      <c r="F885" s="323"/>
      <c r="G885" s="323"/>
      <c r="H885" s="321">
        <f t="shared" si="86"/>
        <v>1</v>
      </c>
    </row>
    <row r="886" spans="1:8">
      <c r="A886" s="317"/>
      <c r="B886" s="321" t="s">
        <v>532</v>
      </c>
      <c r="C886" s="317"/>
      <c r="D886" s="323">
        <v>1</v>
      </c>
      <c r="E886" s="323"/>
      <c r="F886" s="323"/>
      <c r="G886" s="323"/>
      <c r="H886" s="321">
        <f t="shared" si="86"/>
        <v>1</v>
      </c>
    </row>
    <row r="887" spans="1:8">
      <c r="A887" s="317"/>
      <c r="B887" s="321" t="s">
        <v>533</v>
      </c>
      <c r="C887" s="317"/>
      <c r="D887" s="323">
        <v>1</v>
      </c>
      <c r="E887" s="323"/>
      <c r="F887" s="323"/>
      <c r="G887" s="323"/>
      <c r="H887" s="321">
        <f t="shared" si="86"/>
        <v>1</v>
      </c>
    </row>
    <row r="888" spans="1:8">
      <c r="A888" s="317"/>
      <c r="B888" s="321" t="s">
        <v>534</v>
      </c>
      <c r="C888" s="317"/>
      <c r="D888" s="323">
        <v>1</v>
      </c>
      <c r="E888" s="323"/>
      <c r="F888" s="323"/>
      <c r="G888" s="323"/>
      <c r="H888" s="321">
        <f t="shared" si="86"/>
        <v>1</v>
      </c>
    </row>
    <row r="889" spans="1:8">
      <c r="A889" s="317"/>
      <c r="B889" s="321" t="s">
        <v>562</v>
      </c>
      <c r="C889" s="317"/>
      <c r="D889" s="323">
        <v>1</v>
      </c>
      <c r="E889" s="323"/>
      <c r="F889" s="323"/>
      <c r="G889" s="323"/>
      <c r="H889" s="321">
        <f t="shared" si="86"/>
        <v>1</v>
      </c>
    </row>
    <row r="890" spans="1:8">
      <c r="A890" s="317"/>
      <c r="B890" s="321" t="s">
        <v>535</v>
      </c>
      <c r="C890" s="317"/>
      <c r="D890" s="323">
        <v>1</v>
      </c>
      <c r="E890" s="323"/>
      <c r="F890" s="323"/>
      <c r="G890" s="323"/>
      <c r="H890" s="321">
        <f t="shared" si="86"/>
        <v>1</v>
      </c>
    </row>
    <row r="891" spans="1:8">
      <c r="A891" s="317"/>
      <c r="B891" s="321" t="s">
        <v>536</v>
      </c>
      <c r="C891" s="317"/>
      <c r="D891" s="323">
        <v>1</v>
      </c>
      <c r="E891" s="323"/>
      <c r="F891" s="323"/>
      <c r="G891" s="323"/>
      <c r="H891" s="321">
        <f t="shared" si="86"/>
        <v>1</v>
      </c>
    </row>
    <row r="892" spans="1:8">
      <c r="A892" s="317"/>
      <c r="B892" s="321" t="s">
        <v>537</v>
      </c>
      <c r="C892" s="317"/>
      <c r="D892" s="323">
        <v>1</v>
      </c>
      <c r="E892" s="323"/>
      <c r="F892" s="323"/>
      <c r="G892" s="323"/>
      <c r="H892" s="321">
        <f t="shared" si="86"/>
        <v>1</v>
      </c>
    </row>
    <row r="893" spans="1:8">
      <c r="A893" s="317"/>
      <c r="B893" s="321" t="s">
        <v>538</v>
      </c>
      <c r="C893" s="317"/>
      <c r="D893" s="323">
        <v>1</v>
      </c>
      <c r="E893" s="323"/>
      <c r="F893" s="323"/>
      <c r="G893" s="323"/>
      <c r="H893" s="321">
        <f t="shared" si="86"/>
        <v>1</v>
      </c>
    </row>
    <row r="894" spans="1:8">
      <c r="A894" s="317"/>
      <c r="B894" s="321" t="s">
        <v>539</v>
      </c>
      <c r="C894" s="317"/>
      <c r="D894" s="323">
        <v>1</v>
      </c>
      <c r="E894" s="323"/>
      <c r="F894" s="323"/>
      <c r="G894" s="323"/>
      <c r="H894" s="321">
        <f t="shared" si="86"/>
        <v>1</v>
      </c>
    </row>
    <row r="895" spans="1:8">
      <c r="A895" s="317"/>
      <c r="B895" s="321" t="s">
        <v>540</v>
      </c>
      <c r="C895" s="317"/>
      <c r="D895" s="323">
        <v>1</v>
      </c>
      <c r="E895" s="323"/>
      <c r="F895" s="323"/>
      <c r="G895" s="323"/>
      <c r="H895" s="321">
        <f t="shared" si="86"/>
        <v>1</v>
      </c>
    </row>
    <row r="896" spans="1:8">
      <c r="A896" s="317"/>
      <c r="B896" s="321" t="s">
        <v>541</v>
      </c>
      <c r="C896" s="317"/>
      <c r="D896" s="323">
        <v>1</v>
      </c>
      <c r="E896" s="323"/>
      <c r="F896" s="323"/>
      <c r="G896" s="323"/>
      <c r="H896" s="321">
        <f t="shared" si="86"/>
        <v>1</v>
      </c>
    </row>
    <row r="897" spans="1:8">
      <c r="A897" s="317"/>
      <c r="B897" s="321" t="s">
        <v>542</v>
      </c>
      <c r="C897" s="317"/>
      <c r="D897" s="323">
        <v>1</v>
      </c>
      <c r="E897" s="323"/>
      <c r="F897" s="323"/>
      <c r="G897" s="323"/>
      <c r="H897" s="321">
        <f t="shared" si="86"/>
        <v>1</v>
      </c>
    </row>
    <row r="898" spans="1:8">
      <c r="A898" s="317"/>
      <c r="B898" s="321" t="s">
        <v>543</v>
      </c>
      <c r="C898" s="317"/>
      <c r="D898" s="323">
        <v>1</v>
      </c>
      <c r="E898" s="323"/>
      <c r="F898" s="323"/>
      <c r="G898" s="323"/>
      <c r="H898" s="321">
        <f t="shared" si="86"/>
        <v>1</v>
      </c>
    </row>
    <row r="899" spans="1:8">
      <c r="A899" s="317"/>
      <c r="B899" s="321" t="s">
        <v>558</v>
      </c>
      <c r="C899" s="317"/>
      <c r="D899" s="323">
        <v>1</v>
      </c>
      <c r="E899" s="323"/>
      <c r="F899" s="323"/>
      <c r="G899" s="323"/>
      <c r="H899" s="321">
        <f t="shared" si="86"/>
        <v>1</v>
      </c>
    </row>
    <row r="900" spans="1:8">
      <c r="A900" s="317"/>
      <c r="B900" s="321" t="s">
        <v>561</v>
      </c>
      <c r="C900" s="317"/>
      <c r="D900" s="323">
        <v>9</v>
      </c>
      <c r="E900" s="323"/>
      <c r="F900" s="323"/>
      <c r="G900" s="323"/>
      <c r="H900" s="321">
        <f t="shared" si="86"/>
        <v>9</v>
      </c>
    </row>
    <row r="901" spans="1:8">
      <c r="A901" s="317"/>
      <c r="B901" s="321"/>
      <c r="C901" s="317"/>
      <c r="D901" s="317"/>
      <c r="E901" s="317"/>
      <c r="F901" s="320"/>
      <c r="G901" s="139" t="str">
        <f>"Total item "&amp;A879</f>
        <v>Total item 10.7</v>
      </c>
      <c r="H901" s="140">
        <f>SUM(H880:H900)</f>
        <v>41</v>
      </c>
    </row>
    <row r="902" spans="1:8">
      <c r="A902" s="311" t="str">
        <f>'Planilha orç'!A113</f>
        <v>10.8</v>
      </c>
      <c r="B902" s="134" t="str">
        <f>'Planilha orç'!D113</f>
        <v>BUCHA E ARRUELA DE AÇO GALV. D= 25mm (1")</v>
      </c>
      <c r="C902" s="311" t="str">
        <f>'Planilha orç'!E113</f>
        <v>UN</v>
      </c>
      <c r="D902" s="312"/>
      <c r="E902" s="313"/>
      <c r="F902" s="314"/>
      <c r="G902" s="315"/>
      <c r="H902" s="316"/>
    </row>
    <row r="903" spans="1:8">
      <c r="A903" s="317"/>
      <c r="B903" s="321" t="s">
        <v>745</v>
      </c>
      <c r="C903" s="317"/>
      <c r="D903" s="323">
        <v>2</v>
      </c>
      <c r="E903" s="323"/>
      <c r="F903" s="323"/>
      <c r="G903" s="323"/>
      <c r="H903" s="321">
        <f t="shared" ref="H903" si="87">ROUND(PRODUCT(D903:G903),2)</f>
        <v>2</v>
      </c>
    </row>
    <row r="904" spans="1:8">
      <c r="A904" s="317"/>
      <c r="B904" s="355"/>
      <c r="C904" s="317"/>
      <c r="D904" s="317"/>
      <c r="E904" s="317"/>
      <c r="F904" s="320"/>
      <c r="G904" s="113" t="str">
        <f>"Total item "&amp;A902</f>
        <v>Total item 10.8</v>
      </c>
      <c r="H904" s="114">
        <f>SUM(H903:H903)</f>
        <v>2</v>
      </c>
    </row>
    <row r="905" spans="1:8">
      <c r="A905" s="311" t="str">
        <f>'Planilha orç'!A114</f>
        <v>10.9</v>
      </c>
      <c r="B905" s="134" t="str">
        <f>'Planilha orç'!D114</f>
        <v>BUCHA E ARRUELA DE AÇO GALV. D= 20mm (3/4")</v>
      </c>
      <c r="C905" s="311" t="str">
        <f>'Planilha orç'!E114</f>
        <v>UN</v>
      </c>
      <c r="D905" s="312"/>
      <c r="E905" s="313"/>
      <c r="F905" s="314"/>
      <c r="G905" s="315"/>
      <c r="H905" s="316"/>
    </row>
    <row r="906" spans="1:8">
      <c r="A906" s="317"/>
      <c r="B906" s="321" t="s">
        <v>745</v>
      </c>
      <c r="C906" s="317"/>
      <c r="D906" s="323">
        <v>1</v>
      </c>
      <c r="E906" s="323"/>
      <c r="F906" s="323"/>
      <c r="G906" s="323"/>
      <c r="H906" s="321">
        <f t="shared" ref="H906" si="88">ROUND(PRODUCT(D906:G906),2)</f>
        <v>1</v>
      </c>
    </row>
    <row r="907" spans="1:8">
      <c r="A907" s="341"/>
      <c r="B907" s="74"/>
      <c r="C907" s="317"/>
      <c r="D907" s="322"/>
      <c r="E907" s="322"/>
      <c r="F907" s="320"/>
      <c r="G907" s="113" t="str">
        <f>"Total item "&amp;A905</f>
        <v>Total item 10.9</v>
      </c>
      <c r="H907" s="114">
        <f>SUM(H906:H906)</f>
        <v>1</v>
      </c>
    </row>
    <row r="908" spans="1:8">
      <c r="A908" s="311" t="str">
        <f>'Planilha orç'!A115</f>
        <v>10.10</v>
      </c>
      <c r="B908" s="134" t="str">
        <f>'Planilha orç'!D115</f>
        <v>CAIXA DE LIGAÇÃO PVC 4" X 2"</v>
      </c>
      <c r="C908" s="311" t="str">
        <f>'Planilha orç'!E115</f>
        <v>UN</v>
      </c>
      <c r="D908" s="312"/>
      <c r="E908" s="313"/>
      <c r="F908" s="314"/>
      <c r="G908" s="315"/>
      <c r="H908" s="316"/>
    </row>
    <row r="909" spans="1:8">
      <c r="A909" s="317"/>
      <c r="B909" s="321" t="s">
        <v>746</v>
      </c>
      <c r="C909" s="317"/>
      <c r="D909" s="323">
        <v>163</v>
      </c>
      <c r="E909" s="323"/>
      <c r="F909" s="323"/>
      <c r="G909" s="323"/>
      <c r="H909" s="321">
        <f t="shared" ref="H909" si="89">ROUND(PRODUCT(D909:G909),2)</f>
        <v>163</v>
      </c>
    </row>
    <row r="910" spans="1:8">
      <c r="A910" s="317"/>
      <c r="B910" s="321"/>
      <c r="C910" s="317"/>
      <c r="D910" s="317"/>
      <c r="E910" s="317"/>
      <c r="F910" s="317"/>
      <c r="G910" s="113" t="str">
        <f>"Total item "&amp;A908</f>
        <v>Total item 10.10</v>
      </c>
      <c r="H910" s="114">
        <f>SUM(H909:H909)</f>
        <v>163</v>
      </c>
    </row>
    <row r="911" spans="1:8">
      <c r="A911" s="311" t="str">
        <f>'Planilha orç'!A116</f>
        <v>10.11</v>
      </c>
      <c r="B911" s="134" t="str">
        <f>'Planilha orç'!D116</f>
        <v>CAIXA DE LIGAÇÃO PVC 4" X 4"</v>
      </c>
      <c r="C911" s="311" t="str">
        <f>'Planilha orç'!E116</f>
        <v>UN</v>
      </c>
      <c r="D911" s="312"/>
      <c r="E911" s="313"/>
      <c r="F911" s="314"/>
      <c r="G911" s="315"/>
      <c r="H911" s="316"/>
    </row>
    <row r="912" spans="1:8">
      <c r="A912" s="317"/>
      <c r="B912" s="321" t="s">
        <v>746</v>
      </c>
      <c r="C912" s="317"/>
      <c r="D912" s="323">
        <v>41</v>
      </c>
      <c r="E912" s="323"/>
      <c r="F912" s="323"/>
      <c r="G912" s="323"/>
      <c r="H912" s="321">
        <f t="shared" ref="H912" si="90">ROUND(PRODUCT(D912:G912),2)</f>
        <v>41</v>
      </c>
    </row>
    <row r="913" spans="1:8">
      <c r="A913" s="317"/>
      <c r="B913" s="355"/>
      <c r="C913" s="357"/>
      <c r="D913" s="360"/>
      <c r="E913" s="360"/>
      <c r="F913" s="360"/>
      <c r="G913" s="113" t="str">
        <f>"Total item "&amp;A911</f>
        <v>Total item 10.11</v>
      </c>
      <c r="H913" s="114">
        <f>SUM(H912:H912)</f>
        <v>41</v>
      </c>
    </row>
    <row r="914" spans="1:8" ht="22.5">
      <c r="A914" s="311" t="str">
        <f>'Planilha orç'!A117</f>
        <v>10.12</v>
      </c>
      <c r="B914" s="134" t="str">
        <f>'Planilha orç'!D117</f>
        <v>CAIXA OCTOGONAL 3" X 3", PVC, INSTALADA EM LAJE - FORNECIMENTO E INSTALAÇÃO. AF_12/2015</v>
      </c>
      <c r="C914" s="311" t="str">
        <f>'Planilha orç'!E117</f>
        <v>UN</v>
      </c>
      <c r="D914" s="312"/>
      <c r="E914" s="313"/>
      <c r="F914" s="314"/>
      <c r="G914" s="315"/>
      <c r="H914" s="316"/>
    </row>
    <row r="915" spans="1:8">
      <c r="A915" s="317"/>
      <c r="B915" s="321" t="s">
        <v>746</v>
      </c>
      <c r="C915" s="317"/>
      <c r="D915" s="323">
        <v>127</v>
      </c>
      <c r="E915" s="323"/>
      <c r="F915" s="323"/>
      <c r="G915" s="323"/>
      <c r="H915" s="321">
        <f t="shared" ref="H915" si="91">ROUND(PRODUCT(D915:G915),2)</f>
        <v>127</v>
      </c>
    </row>
    <row r="916" spans="1:8">
      <c r="A916" s="317"/>
      <c r="B916" s="321"/>
      <c r="C916" s="317"/>
      <c r="D916" s="317"/>
      <c r="E916" s="317"/>
      <c r="F916" s="320"/>
      <c r="G916" s="113" t="str">
        <f>"Total item "&amp;A914</f>
        <v>Total item 10.12</v>
      </c>
      <c r="H916" s="114">
        <f>SUM(H915:H915)</f>
        <v>127</v>
      </c>
    </row>
    <row r="917" spans="1:8">
      <c r="A917" s="311" t="str">
        <f>'Planilha orç'!A118</f>
        <v>10.13</v>
      </c>
      <c r="B917" s="134" t="str">
        <f>'Planilha orç'!D118</f>
        <v>JOELHO OU CURVA PVC ROSC. D=1" (32mm)</v>
      </c>
      <c r="C917" s="311" t="str">
        <f>'Planilha orç'!E118</f>
        <v>UN</v>
      </c>
      <c r="D917" s="312"/>
      <c r="E917" s="313"/>
      <c r="F917" s="314"/>
      <c r="G917" s="315"/>
      <c r="H917" s="316"/>
    </row>
    <row r="918" spans="1:8">
      <c r="A918" s="317"/>
      <c r="B918" s="355"/>
      <c r="C918" s="357"/>
      <c r="D918" s="323">
        <v>3</v>
      </c>
      <c r="E918" s="323"/>
      <c r="F918" s="323"/>
      <c r="G918" s="323"/>
      <c r="H918" s="361">
        <f t="shared" ref="H918" si="92">ROUND(PRODUCT(D918:G918),2)</f>
        <v>3</v>
      </c>
    </row>
    <row r="919" spans="1:8">
      <c r="A919" s="317"/>
      <c r="B919" s="321"/>
      <c r="C919" s="317"/>
      <c r="D919" s="317"/>
      <c r="E919" s="317"/>
      <c r="F919" s="317"/>
      <c r="G919" s="113" t="str">
        <f>"Total item "&amp;A917</f>
        <v>Total item 10.13</v>
      </c>
      <c r="H919" s="114">
        <f>SUM(H918:H918)</f>
        <v>3</v>
      </c>
    </row>
    <row r="920" spans="1:8">
      <c r="A920" s="311" t="str">
        <f>'Planilha orç'!A119</f>
        <v>10.14</v>
      </c>
      <c r="B920" s="134" t="str">
        <f>'Planilha orç'!D119</f>
        <v>LUVA PVC BRANCO ROSC. D=1" (32mm)</v>
      </c>
      <c r="C920" s="311" t="str">
        <f>'Planilha orç'!E119</f>
        <v>UN</v>
      </c>
      <c r="D920" s="312"/>
      <c r="E920" s="313"/>
      <c r="F920" s="314"/>
      <c r="G920" s="315"/>
      <c r="H920" s="316"/>
    </row>
    <row r="921" spans="1:8">
      <c r="A921" s="317"/>
      <c r="B921" s="355"/>
      <c r="C921" s="356"/>
      <c r="D921" s="323">
        <v>61</v>
      </c>
      <c r="E921" s="323"/>
      <c r="F921" s="323"/>
      <c r="G921" s="323"/>
      <c r="H921" s="362">
        <f t="shared" ref="H921" si="93">ROUND(PRODUCT(D921:G921),2)</f>
        <v>61</v>
      </c>
    </row>
    <row r="922" spans="1:8">
      <c r="A922" s="317"/>
      <c r="B922" s="321"/>
      <c r="C922" s="317"/>
      <c r="D922" s="317"/>
      <c r="E922" s="317"/>
      <c r="F922" s="320"/>
      <c r="G922" s="113" t="str">
        <f>"Total item "&amp;A920</f>
        <v>Total item 10.14</v>
      </c>
      <c r="H922" s="114">
        <f>SUM(H921:H921)</f>
        <v>61</v>
      </c>
    </row>
    <row r="923" spans="1:8">
      <c r="A923" s="311" t="str">
        <f>'Planilha orç'!A120</f>
        <v>10.15</v>
      </c>
      <c r="B923" s="134" t="str">
        <f>'Planilha orç'!D120</f>
        <v>LUVA PVC BRANCO ROSC. D=1 1/2" (50mm)</v>
      </c>
      <c r="C923" s="311" t="str">
        <f>'Planilha orç'!E120</f>
        <v>UN</v>
      </c>
      <c r="D923" s="312"/>
      <c r="E923" s="313"/>
      <c r="F923" s="314"/>
      <c r="G923" s="315"/>
      <c r="H923" s="316"/>
    </row>
    <row r="924" spans="1:8">
      <c r="A924" s="317"/>
      <c r="B924" s="355"/>
      <c r="C924" s="317"/>
      <c r="D924" s="323">
        <v>11</v>
      </c>
      <c r="E924" s="323"/>
      <c r="F924" s="323"/>
      <c r="G924" s="323"/>
      <c r="H924" s="321">
        <f t="shared" ref="H924" si="94">ROUND(PRODUCT(D924:G924),2)</f>
        <v>11</v>
      </c>
    </row>
    <row r="925" spans="1:8">
      <c r="A925" s="317"/>
      <c r="B925" s="355"/>
      <c r="C925" s="327"/>
      <c r="D925" s="363"/>
      <c r="E925" s="363"/>
      <c r="F925" s="363"/>
      <c r="G925" s="139" t="str">
        <f>"Total item "&amp;A923</f>
        <v>Total item 10.15</v>
      </c>
      <c r="H925" s="140">
        <f>SUM(H924:H924)</f>
        <v>11</v>
      </c>
    </row>
    <row r="926" spans="1:8">
      <c r="A926" s="311" t="str">
        <f>'Planilha orç'!A121</f>
        <v>10.16</v>
      </c>
      <c r="B926" s="134" t="str">
        <f>'Planilha orç'!D121</f>
        <v>LUVA PVC BRANCO ROSC. D=1 1/4" (40mm)</v>
      </c>
      <c r="C926" s="311" t="str">
        <f>'Planilha orç'!E121</f>
        <v>UN</v>
      </c>
      <c r="D926" s="312"/>
      <c r="E926" s="313"/>
      <c r="F926" s="314"/>
      <c r="G926" s="315"/>
      <c r="H926" s="316"/>
    </row>
    <row r="927" spans="1:8">
      <c r="A927" s="317"/>
      <c r="B927" s="321"/>
      <c r="C927" s="317"/>
      <c r="D927" s="323">
        <v>25</v>
      </c>
      <c r="E927" s="323"/>
      <c r="F927" s="323"/>
      <c r="G927" s="323"/>
      <c r="H927" s="321">
        <f t="shared" ref="H927" si="95">ROUND(PRODUCT(D927:G927),2)</f>
        <v>25</v>
      </c>
    </row>
    <row r="928" spans="1:8">
      <c r="A928" s="317"/>
      <c r="B928" s="355"/>
      <c r="C928" s="317"/>
      <c r="D928" s="317"/>
      <c r="E928" s="317"/>
      <c r="F928" s="320"/>
      <c r="G928" s="113" t="str">
        <f>"Total item "&amp;A926</f>
        <v>Total item 10.16</v>
      </c>
      <c r="H928" s="114">
        <f>SUM(H927:H927)</f>
        <v>25</v>
      </c>
    </row>
    <row r="929" spans="1:10">
      <c r="A929" s="311" t="str">
        <f>'Planilha orç'!A122</f>
        <v>10.17</v>
      </c>
      <c r="B929" s="134" t="str">
        <f>'Planilha orç'!D122</f>
        <v>LUVA PVC BRANCO ROSC. D=2 1/2" (75mm)</v>
      </c>
      <c r="C929" s="311" t="str">
        <f>'Planilha orç'!E122</f>
        <v>UN</v>
      </c>
      <c r="D929" s="312"/>
      <c r="E929" s="313"/>
      <c r="F929" s="314"/>
      <c r="G929" s="315"/>
      <c r="H929" s="316"/>
    </row>
    <row r="930" spans="1:10">
      <c r="A930" s="317"/>
      <c r="B930" s="355"/>
      <c r="C930" s="356"/>
      <c r="D930" s="323">
        <v>1</v>
      </c>
      <c r="E930" s="323"/>
      <c r="F930" s="323"/>
      <c r="G930" s="323"/>
      <c r="H930" s="321">
        <f t="shared" ref="H930" si="96">ROUND(PRODUCT(D930:G930),2)</f>
        <v>1</v>
      </c>
    </row>
    <row r="931" spans="1:10">
      <c r="A931" s="317"/>
      <c r="B931" s="321"/>
      <c r="C931" s="317"/>
      <c r="D931" s="317"/>
      <c r="E931" s="317"/>
      <c r="F931" s="320"/>
      <c r="G931" s="113" t="str">
        <f>"Total item "&amp;A929</f>
        <v>Total item 10.17</v>
      </c>
      <c r="H931" s="114">
        <f>SUM(H930:H930)</f>
        <v>1</v>
      </c>
    </row>
    <row r="932" spans="1:10">
      <c r="A932" s="311" t="str">
        <f>'Planilha orç'!A123</f>
        <v>10.18</v>
      </c>
      <c r="B932" s="134" t="str">
        <f>'Planilha orç'!D123</f>
        <v>LUVA PVC BRANCO ROSC. D=3/4" (25mm)</v>
      </c>
      <c r="C932" s="311" t="str">
        <f>'Planilha orç'!E123</f>
        <v>UN</v>
      </c>
      <c r="D932" s="312"/>
      <c r="E932" s="313"/>
      <c r="F932" s="314"/>
      <c r="G932" s="315"/>
      <c r="H932" s="316"/>
    </row>
    <row r="933" spans="1:10">
      <c r="A933" s="317"/>
      <c r="B933" s="321"/>
      <c r="C933" s="317"/>
      <c r="D933" s="323">
        <v>139</v>
      </c>
      <c r="E933" s="323"/>
      <c r="F933" s="323"/>
      <c r="G933" s="323"/>
      <c r="H933" s="321">
        <f t="shared" ref="H933" si="97">ROUND(PRODUCT(D933:G933),2)</f>
        <v>139</v>
      </c>
    </row>
    <row r="934" spans="1:10">
      <c r="A934" s="317"/>
      <c r="B934" s="355"/>
      <c r="C934" s="356"/>
      <c r="D934" s="364"/>
      <c r="E934" s="364"/>
      <c r="F934" s="364"/>
      <c r="G934" s="113" t="str">
        <f>"Total item "&amp;A932</f>
        <v>Total item 10.18</v>
      </c>
      <c r="H934" s="114">
        <f>SUM(H933:H933)</f>
        <v>139</v>
      </c>
    </row>
    <row r="935" spans="1:10">
      <c r="A935" s="311" t="str">
        <f>'Planilha orç'!A124</f>
        <v>10.19</v>
      </c>
      <c r="B935" s="134" t="str">
        <f>'Planilha orç'!D124</f>
        <v>LUVA PVC BRANCO ROSC. D=4" (110mm)</v>
      </c>
      <c r="C935" s="311" t="str">
        <f>'Planilha orç'!E124</f>
        <v>UN</v>
      </c>
      <c r="D935" s="312"/>
      <c r="E935" s="313"/>
      <c r="F935" s="314"/>
      <c r="G935" s="315"/>
      <c r="H935" s="316"/>
    </row>
    <row r="936" spans="1:10">
      <c r="A936" s="317"/>
      <c r="B936" s="321"/>
      <c r="C936" s="317"/>
      <c r="D936" s="323">
        <v>45</v>
      </c>
      <c r="E936" s="323"/>
      <c r="F936" s="323"/>
      <c r="G936" s="323"/>
      <c r="H936" s="321">
        <f t="shared" ref="H936" si="98">ROUND(PRODUCT(D936:G936),2)</f>
        <v>45</v>
      </c>
    </row>
    <row r="937" spans="1:10">
      <c r="A937" s="341"/>
      <c r="B937" s="68"/>
      <c r="C937" s="341"/>
      <c r="D937" s="319"/>
      <c r="E937" s="317"/>
      <c r="F937" s="323"/>
      <c r="G937" s="113" t="str">
        <f>"Total item "&amp;A935</f>
        <v>Total item 10.19</v>
      </c>
      <c r="H937" s="114">
        <f>SUM(H936:H936)</f>
        <v>45</v>
      </c>
      <c r="I937" s="64"/>
      <c r="J937" s="64"/>
    </row>
    <row r="938" spans="1:10">
      <c r="A938" s="311" t="str">
        <f>'Planilha orç'!A125</f>
        <v>10.20</v>
      </c>
      <c r="B938" s="134" t="str">
        <f>'Planilha orç'!D125</f>
        <v>CAIXA DE PASSAGEM COM TAMPA PARAFUSADA 150X150X80mm</v>
      </c>
      <c r="C938" s="311" t="str">
        <f>'Planilha orç'!E125</f>
        <v>UN</v>
      </c>
      <c r="D938" s="312"/>
      <c r="E938" s="313"/>
      <c r="F938" s="314"/>
      <c r="G938" s="315"/>
      <c r="H938" s="316"/>
      <c r="I938" s="64"/>
      <c r="J938" s="64"/>
    </row>
    <row r="939" spans="1:10">
      <c r="A939" s="341"/>
      <c r="B939" s="68"/>
      <c r="C939" s="341"/>
      <c r="D939" s="323">
        <v>5</v>
      </c>
      <c r="E939" s="323"/>
      <c r="F939" s="323"/>
      <c r="G939" s="323"/>
      <c r="H939" s="321">
        <f t="shared" ref="H939" si="99">ROUND(PRODUCT(D939:G939),2)</f>
        <v>5</v>
      </c>
      <c r="I939" s="64"/>
      <c r="J939" s="64"/>
    </row>
    <row r="940" spans="1:10">
      <c r="A940" s="341"/>
      <c r="B940" s="68"/>
      <c r="C940" s="341"/>
      <c r="D940" s="319"/>
      <c r="E940" s="317"/>
      <c r="F940" s="323"/>
      <c r="G940" s="113" t="str">
        <f>"Total item "&amp;A938</f>
        <v>Total item 10.20</v>
      </c>
      <c r="H940" s="114">
        <f>SUM(H939:H939)</f>
        <v>5</v>
      </c>
      <c r="I940" s="64"/>
      <c r="J940" s="64"/>
    </row>
    <row r="941" spans="1:10">
      <c r="A941" s="311" t="str">
        <f>'Planilha orç'!A126</f>
        <v>10.21</v>
      </c>
      <c r="B941" s="134" t="str">
        <f>'Planilha orç'!D126</f>
        <v>CAIXA DE PASSAGEM COM TAMPA PARAFUSADA 200X200X100mm</v>
      </c>
      <c r="C941" s="311" t="str">
        <f>'Planilha orç'!E126</f>
        <v>UN</v>
      </c>
      <c r="D941" s="312"/>
      <c r="E941" s="313"/>
      <c r="F941" s="314"/>
      <c r="G941" s="315"/>
      <c r="H941" s="316"/>
      <c r="I941" s="64"/>
      <c r="J941" s="64"/>
    </row>
    <row r="942" spans="1:10">
      <c r="A942" s="341"/>
      <c r="B942" s="68"/>
      <c r="C942" s="341"/>
      <c r="D942" s="323">
        <v>4</v>
      </c>
      <c r="E942" s="323"/>
      <c r="F942" s="323"/>
      <c r="G942" s="323"/>
      <c r="H942" s="321">
        <f t="shared" ref="H942" si="100">ROUND(PRODUCT(D942:G942),2)</f>
        <v>4</v>
      </c>
      <c r="I942" s="64"/>
      <c r="J942" s="64"/>
    </row>
    <row r="943" spans="1:10">
      <c r="A943" s="341"/>
      <c r="B943" s="68"/>
      <c r="C943" s="341"/>
      <c r="D943" s="319"/>
      <c r="E943" s="317"/>
      <c r="F943" s="323"/>
      <c r="G943" s="113" t="str">
        <f>"Total item "&amp;A941</f>
        <v>Total item 10.21</v>
      </c>
      <c r="H943" s="114">
        <f>SUM(H942:H942)</f>
        <v>4</v>
      </c>
      <c r="I943" s="64"/>
      <c r="J943" s="64"/>
    </row>
    <row r="944" spans="1:10">
      <c r="A944" s="311" t="str">
        <f>'Planilha orç'!A127</f>
        <v>10.22</v>
      </c>
      <c r="B944" s="134" t="str">
        <f>'Planilha orç'!D127</f>
        <v>INTERRUPTOR UMA TECLA SIMPLES 10A 250V</v>
      </c>
      <c r="C944" s="311" t="str">
        <f>'Planilha orç'!E127</f>
        <v>UN</v>
      </c>
      <c r="D944" s="312"/>
      <c r="E944" s="313"/>
      <c r="F944" s="314"/>
      <c r="G944" s="315"/>
      <c r="H944" s="316"/>
      <c r="I944" s="64"/>
      <c r="J944" s="64"/>
    </row>
    <row r="945" spans="1:10">
      <c r="A945" s="341"/>
      <c r="B945" s="68"/>
      <c r="C945" s="341"/>
      <c r="D945" s="323">
        <v>14</v>
      </c>
      <c r="E945" s="323"/>
      <c r="F945" s="323"/>
      <c r="G945" s="323"/>
      <c r="H945" s="321">
        <f t="shared" ref="H945" si="101">ROUND(PRODUCT(D945:G945),2)</f>
        <v>14</v>
      </c>
      <c r="I945" s="64"/>
      <c r="J945" s="64"/>
    </row>
    <row r="946" spans="1:10">
      <c r="A946" s="341"/>
      <c r="B946" s="68"/>
      <c r="C946" s="341"/>
      <c r="D946" s="319"/>
      <c r="E946" s="317"/>
      <c r="F946" s="323"/>
      <c r="G946" s="113" t="str">
        <f>"Total item "&amp;A944</f>
        <v>Total item 10.22</v>
      </c>
      <c r="H946" s="114">
        <f>SUM(H945:H945)</f>
        <v>14</v>
      </c>
      <c r="I946" s="64"/>
      <c r="J946" s="64"/>
    </row>
    <row r="947" spans="1:10">
      <c r="A947" s="311" t="str">
        <f>'Planilha orç'!A128</f>
        <v>10.23</v>
      </c>
      <c r="B947" s="134" t="str">
        <f>'Planilha orç'!D128</f>
        <v>INTERRUPTOR DUAS TECLAS SIMPLES 10A 250V</v>
      </c>
      <c r="C947" s="311" t="str">
        <f>'Planilha orç'!E128</f>
        <v>UN</v>
      </c>
      <c r="D947" s="312"/>
      <c r="E947" s="313"/>
      <c r="F947" s="314"/>
      <c r="G947" s="315"/>
      <c r="H947" s="316"/>
      <c r="I947" s="64"/>
      <c r="J947" s="64"/>
    </row>
    <row r="948" spans="1:10">
      <c r="A948" s="341"/>
      <c r="B948" s="68"/>
      <c r="C948" s="341"/>
      <c r="D948" s="323">
        <v>15</v>
      </c>
      <c r="E948" s="323"/>
      <c r="F948" s="323"/>
      <c r="G948" s="323"/>
      <c r="H948" s="321">
        <f t="shared" ref="H948" si="102">ROUND(PRODUCT(D948:G948),2)</f>
        <v>15</v>
      </c>
      <c r="I948" s="64"/>
      <c r="J948" s="64"/>
    </row>
    <row r="949" spans="1:10">
      <c r="A949" s="341"/>
      <c r="B949" s="68"/>
      <c r="C949" s="341"/>
      <c r="D949" s="319"/>
      <c r="E949" s="317"/>
      <c r="F949" s="323"/>
      <c r="G949" s="113" t="str">
        <f>"Total item "&amp;A947</f>
        <v>Total item 10.23</v>
      </c>
      <c r="H949" s="114">
        <f>SUM(H948:H948)</f>
        <v>15</v>
      </c>
      <c r="I949" s="64"/>
      <c r="J949" s="64"/>
    </row>
    <row r="950" spans="1:10">
      <c r="A950" s="311" t="str">
        <f>'Planilha orç'!A129</f>
        <v>10.24</v>
      </c>
      <c r="B950" s="134" t="str">
        <f>'Planilha orç'!D129</f>
        <v>INTERRUPTOR TRES TECLAS SIMPLES 10A 250V</v>
      </c>
      <c r="C950" s="311" t="str">
        <f>'Planilha orç'!E129</f>
        <v>UN</v>
      </c>
      <c r="D950" s="312"/>
      <c r="E950" s="313"/>
      <c r="F950" s="314"/>
      <c r="G950" s="315"/>
      <c r="H950" s="316"/>
      <c r="I950" s="64"/>
      <c r="J950" s="64"/>
    </row>
    <row r="951" spans="1:10">
      <c r="A951" s="341"/>
      <c r="B951" s="68"/>
      <c r="C951" s="341"/>
      <c r="D951" s="323">
        <v>18</v>
      </c>
      <c r="E951" s="323"/>
      <c r="F951" s="323"/>
      <c r="G951" s="323"/>
      <c r="H951" s="321">
        <f t="shared" ref="H951" si="103">ROUND(PRODUCT(D951:G951),2)</f>
        <v>18</v>
      </c>
      <c r="I951" s="64"/>
      <c r="J951" s="64"/>
    </row>
    <row r="952" spans="1:10">
      <c r="A952" s="341"/>
      <c r="B952" s="68"/>
      <c r="C952" s="341"/>
      <c r="D952" s="319"/>
      <c r="E952" s="317"/>
      <c r="F952" s="323"/>
      <c r="G952" s="113" t="str">
        <f>"Total item "&amp;A950</f>
        <v>Total item 10.24</v>
      </c>
      <c r="H952" s="114">
        <f>SUM(H951:H951)</f>
        <v>18</v>
      </c>
      <c r="I952" s="64"/>
      <c r="J952" s="64"/>
    </row>
    <row r="953" spans="1:10">
      <c r="A953" s="311" t="str">
        <f>'Planilha orç'!A130</f>
        <v>10.25</v>
      </c>
      <c r="B953" s="134" t="str">
        <f>'Planilha orç'!D130</f>
        <v xml:space="preserve">BRAÇADEIRA TIPO "D", METÁLICA ATE 1" </v>
      </c>
      <c r="C953" s="311" t="str">
        <f>'Planilha orç'!E130</f>
        <v>UN</v>
      </c>
      <c r="D953" s="312"/>
      <c r="E953" s="313"/>
      <c r="F953" s="314"/>
      <c r="G953" s="315"/>
      <c r="H953" s="316"/>
      <c r="I953" s="64"/>
      <c r="J953" s="64"/>
    </row>
    <row r="954" spans="1:10">
      <c r="A954" s="341"/>
      <c r="B954" s="68" t="s">
        <v>506</v>
      </c>
      <c r="C954" s="341"/>
      <c r="D954" s="323">
        <v>253</v>
      </c>
      <c r="E954" s="323"/>
      <c r="F954" s="323"/>
      <c r="G954" s="323"/>
      <c r="H954" s="321">
        <f t="shared" ref="H954:H955" si="104">ROUND(PRODUCT(D954:G954),2)</f>
        <v>253</v>
      </c>
      <c r="I954" s="64"/>
      <c r="J954" s="64"/>
    </row>
    <row r="955" spans="1:10">
      <c r="A955" s="341"/>
      <c r="B955" s="68" t="s">
        <v>507</v>
      </c>
      <c r="C955" s="341"/>
      <c r="D955" s="323">
        <v>738</v>
      </c>
      <c r="E955" s="323"/>
      <c r="F955" s="323"/>
      <c r="G955" s="323"/>
      <c r="H955" s="321">
        <f t="shared" si="104"/>
        <v>738</v>
      </c>
      <c r="I955" s="64"/>
      <c r="J955" s="64"/>
    </row>
    <row r="956" spans="1:10">
      <c r="A956" s="341"/>
      <c r="B956" s="68"/>
      <c r="C956" s="341"/>
      <c r="D956" s="319"/>
      <c r="E956" s="317"/>
      <c r="F956" s="323"/>
      <c r="G956" s="113" t="str">
        <f>"Total item "&amp;A953</f>
        <v>Total item 10.25</v>
      </c>
      <c r="H956" s="114">
        <f>SUM(H954:H955)</f>
        <v>991</v>
      </c>
      <c r="I956" s="64"/>
      <c r="J956" s="64"/>
    </row>
    <row r="957" spans="1:10">
      <c r="A957" s="311" t="str">
        <f>'Planilha orç'!A131</f>
        <v>10.26</v>
      </c>
      <c r="B957" s="134" t="str">
        <f>'Planilha orç'!D131</f>
        <v>BRAÇADEIRA TIPO "D", METÁLICA ATE 2"</v>
      </c>
      <c r="C957" s="311" t="str">
        <f>'Planilha orç'!E131</f>
        <v>UN</v>
      </c>
      <c r="D957" s="312"/>
      <c r="E957" s="313"/>
      <c r="F957" s="314"/>
      <c r="G957" s="315"/>
      <c r="H957" s="316"/>
      <c r="I957" s="64"/>
      <c r="J957" s="64"/>
    </row>
    <row r="958" spans="1:10">
      <c r="A958" s="341"/>
      <c r="B958" s="68" t="s">
        <v>508</v>
      </c>
      <c r="C958" s="341"/>
      <c r="D958" s="323">
        <v>40</v>
      </c>
      <c r="E958" s="323"/>
      <c r="F958" s="323"/>
      <c r="G958" s="323"/>
      <c r="H958" s="321">
        <f t="shared" ref="H958:H960" si="105">ROUND(PRODUCT(D958:G958),2)</f>
        <v>40</v>
      </c>
      <c r="I958" s="64"/>
      <c r="J958" s="64"/>
    </row>
    <row r="959" spans="1:10">
      <c r="A959" s="341"/>
      <c r="B959" s="68" t="s">
        <v>509</v>
      </c>
      <c r="C959" s="341"/>
      <c r="D959" s="323">
        <v>102</v>
      </c>
      <c r="E959" s="323"/>
      <c r="F959" s="323"/>
      <c r="G959" s="323"/>
      <c r="H959" s="321">
        <f t="shared" si="105"/>
        <v>102</v>
      </c>
      <c r="I959" s="64"/>
      <c r="J959" s="64"/>
    </row>
    <row r="960" spans="1:10">
      <c r="A960" s="341"/>
      <c r="B960" s="68" t="s">
        <v>510</v>
      </c>
      <c r="C960" s="341"/>
      <c r="D960" s="323">
        <v>40</v>
      </c>
      <c r="E960" s="323"/>
      <c r="F960" s="323"/>
      <c r="G960" s="323"/>
      <c r="H960" s="321">
        <f t="shared" si="105"/>
        <v>40</v>
      </c>
      <c r="I960" s="64"/>
      <c r="J960" s="64"/>
    </row>
    <row r="961" spans="1:10">
      <c r="A961" s="341"/>
      <c r="B961" s="68"/>
      <c r="C961" s="341"/>
      <c r="D961" s="319"/>
      <c r="E961" s="317"/>
      <c r="F961" s="323"/>
      <c r="G961" s="113" t="str">
        <f>"Total item "&amp;A957</f>
        <v>Total item 10.26</v>
      </c>
      <c r="H961" s="114">
        <f>SUM(H958:H960)</f>
        <v>182</v>
      </c>
      <c r="I961" s="64"/>
      <c r="J961" s="64"/>
    </row>
    <row r="962" spans="1:10">
      <c r="A962" s="311" t="str">
        <f>'Planilha orç'!A132</f>
        <v>10.27</v>
      </c>
      <c r="B962" s="134" t="str">
        <f>'Planilha orç'!D132</f>
        <v>BRAÇADEIRA TIPO "D", METÁLICA ATE 3"</v>
      </c>
      <c r="C962" s="311" t="str">
        <f>'Planilha orç'!E132</f>
        <v>UN</v>
      </c>
      <c r="D962" s="312"/>
      <c r="E962" s="313"/>
      <c r="F962" s="314"/>
      <c r="G962" s="315"/>
      <c r="H962" s="316"/>
      <c r="I962" s="64"/>
      <c r="J962" s="64"/>
    </row>
    <row r="963" spans="1:10">
      <c r="A963" s="341"/>
      <c r="B963" s="68" t="s">
        <v>511</v>
      </c>
      <c r="C963" s="341"/>
      <c r="D963" s="323">
        <v>6</v>
      </c>
      <c r="E963" s="323"/>
      <c r="F963" s="323"/>
      <c r="G963" s="323"/>
      <c r="H963" s="321">
        <f t="shared" ref="H963" si="106">ROUND(PRODUCT(D963:G963),2)</f>
        <v>6</v>
      </c>
      <c r="I963" s="64"/>
      <c r="J963" s="64"/>
    </row>
    <row r="964" spans="1:10">
      <c r="A964" s="341"/>
      <c r="B964" s="68"/>
      <c r="C964" s="341"/>
      <c r="D964" s="319"/>
      <c r="E964" s="317"/>
      <c r="F964" s="323"/>
      <c r="G964" s="113" t="str">
        <f>"Total item "&amp;A962</f>
        <v>Total item 10.27</v>
      </c>
      <c r="H964" s="114">
        <f>SUM(H963:H963)</f>
        <v>6</v>
      </c>
      <c r="I964" s="64"/>
      <c r="J964" s="64"/>
    </row>
    <row r="965" spans="1:10">
      <c r="A965" s="311" t="str">
        <f>'Planilha orç'!A133</f>
        <v>10.28</v>
      </c>
      <c r="B965" s="134" t="str">
        <f>'Planilha orç'!D133</f>
        <v>BRAÇADEIRA TIPO "D", METÁLICA ATE 4"</v>
      </c>
      <c r="C965" s="311" t="str">
        <f>'Planilha orç'!E133</f>
        <v>UN</v>
      </c>
      <c r="D965" s="312"/>
      <c r="E965" s="313"/>
      <c r="F965" s="314"/>
      <c r="G965" s="315"/>
      <c r="H965" s="316"/>
      <c r="I965" s="64"/>
      <c r="J965" s="64"/>
    </row>
    <row r="966" spans="1:10">
      <c r="A966" s="341"/>
      <c r="B966" s="68" t="s">
        <v>747</v>
      </c>
      <c r="C966" s="341"/>
      <c r="D966" s="323">
        <v>45</v>
      </c>
      <c r="E966" s="323"/>
      <c r="F966" s="323"/>
      <c r="G966" s="323"/>
      <c r="H966" s="321">
        <f t="shared" ref="H966" si="107">ROUND(PRODUCT(D966:G966),2)</f>
        <v>45</v>
      </c>
      <c r="I966" s="64"/>
      <c r="J966" s="64"/>
    </row>
    <row r="967" spans="1:10">
      <c r="A967" s="341"/>
      <c r="B967" s="68"/>
      <c r="C967" s="341"/>
      <c r="D967" s="319"/>
      <c r="E967" s="317"/>
      <c r="F967" s="323"/>
      <c r="G967" s="113" t="str">
        <f>"Total item "&amp;A965</f>
        <v>Total item 10.28</v>
      </c>
      <c r="H967" s="114">
        <f>SUM(H966:H966)</f>
        <v>45</v>
      </c>
      <c r="I967" s="64"/>
      <c r="J967" s="64"/>
    </row>
    <row r="968" spans="1:10">
      <c r="A968" s="311" t="str">
        <f>'Planilha orç'!A134</f>
        <v>10.29</v>
      </c>
      <c r="B968" s="134" t="str">
        <f>'Planilha orç'!D134</f>
        <v>ELETRODUTO PVC ROSC. D= 32mm (1")</v>
      </c>
      <c r="C968" s="311" t="str">
        <f>'Planilha orç'!E134</f>
        <v>M</v>
      </c>
      <c r="D968" s="312"/>
      <c r="E968" s="313"/>
      <c r="F968" s="314"/>
      <c r="G968" s="315"/>
      <c r="H968" s="316"/>
      <c r="I968" s="64"/>
      <c r="J968" s="64"/>
    </row>
    <row r="969" spans="1:10">
      <c r="A969" s="341"/>
      <c r="B969" s="68"/>
      <c r="C969" s="341"/>
      <c r="D969" s="323">
        <v>306</v>
      </c>
      <c r="E969" s="323"/>
      <c r="F969" s="323"/>
      <c r="G969" s="323"/>
      <c r="H969" s="321">
        <f t="shared" ref="H969" si="108">ROUND(PRODUCT(D969:G969),2)</f>
        <v>306</v>
      </c>
      <c r="I969" s="64"/>
      <c r="J969" s="64"/>
    </row>
    <row r="970" spans="1:10">
      <c r="A970" s="341"/>
      <c r="B970" s="68"/>
      <c r="C970" s="341"/>
      <c r="D970" s="319"/>
      <c r="E970" s="317"/>
      <c r="F970" s="323"/>
      <c r="G970" s="113" t="str">
        <f>"Total item "&amp;A968</f>
        <v>Total item 10.29</v>
      </c>
      <c r="H970" s="114">
        <f>SUM(H969:H969)</f>
        <v>306</v>
      </c>
      <c r="I970" s="64"/>
      <c r="J970" s="64"/>
    </row>
    <row r="971" spans="1:10">
      <c r="A971" s="311" t="str">
        <f>'Planilha orç'!A135</f>
        <v>10.30</v>
      </c>
      <c r="B971" s="134" t="str">
        <f>'Planilha orç'!D135</f>
        <v>ELETRODUTO PVC ROSC. D= 50mm (1 1/2")</v>
      </c>
      <c r="C971" s="311" t="str">
        <f>'Planilha orç'!E135</f>
        <v>M</v>
      </c>
      <c r="D971" s="312"/>
      <c r="E971" s="313"/>
      <c r="F971" s="314"/>
      <c r="G971" s="315"/>
      <c r="H971" s="316"/>
      <c r="I971" s="64"/>
      <c r="J971" s="64"/>
    </row>
    <row r="972" spans="1:10">
      <c r="A972" s="341"/>
      <c r="B972" s="68"/>
      <c r="C972" s="341"/>
      <c r="D972" s="323">
        <v>45</v>
      </c>
      <c r="E972" s="323"/>
      <c r="F972" s="323"/>
      <c r="G972" s="323"/>
      <c r="H972" s="321">
        <f t="shared" ref="H972" si="109">ROUND(PRODUCT(D972:G972),2)</f>
        <v>45</v>
      </c>
      <c r="I972" s="64"/>
      <c r="J972" s="64"/>
    </row>
    <row r="973" spans="1:10">
      <c r="A973" s="341"/>
      <c r="B973" s="68"/>
      <c r="C973" s="341"/>
      <c r="D973" s="319"/>
      <c r="E973" s="317"/>
      <c r="F973" s="323"/>
      <c r="G973" s="113" t="str">
        <f>"Total item "&amp;A971</f>
        <v>Total item 10.30</v>
      </c>
      <c r="H973" s="114">
        <f>SUM(H972:H972)</f>
        <v>45</v>
      </c>
      <c r="I973" s="64"/>
      <c r="J973" s="64"/>
    </row>
    <row r="974" spans="1:10">
      <c r="A974" s="311" t="str">
        <f>'Planilha orç'!A136</f>
        <v>10.31</v>
      </c>
      <c r="B974" s="134" t="str">
        <f>'Planilha orç'!D136</f>
        <v>ELETRODUTO PVC ROSC. D= 40mm (1 1/4")</v>
      </c>
      <c r="C974" s="311" t="str">
        <f>'Planilha orç'!E136</f>
        <v>M</v>
      </c>
      <c r="D974" s="312"/>
      <c r="E974" s="313"/>
      <c r="F974" s="314"/>
      <c r="G974" s="315"/>
      <c r="H974" s="316"/>
      <c r="I974" s="64"/>
      <c r="J974" s="64"/>
    </row>
    <row r="975" spans="1:10">
      <c r="A975" s="341"/>
      <c r="B975" s="68"/>
      <c r="C975" s="341"/>
      <c r="D975" s="323">
        <v>117</v>
      </c>
      <c r="E975" s="323"/>
      <c r="F975" s="323"/>
      <c r="G975" s="323"/>
      <c r="H975" s="321">
        <f t="shared" ref="H975" si="110">ROUND(PRODUCT(D975:G975),2)</f>
        <v>117</v>
      </c>
      <c r="I975" s="64"/>
      <c r="J975" s="64"/>
    </row>
    <row r="976" spans="1:10">
      <c r="A976" s="341"/>
      <c r="B976" s="68"/>
      <c r="C976" s="341"/>
      <c r="D976" s="319"/>
      <c r="E976" s="317"/>
      <c r="F976" s="323"/>
      <c r="G976" s="113" t="str">
        <f>"Total item "&amp;A974</f>
        <v>Total item 10.31</v>
      </c>
      <c r="H976" s="114">
        <f>SUM(H975:H975)</f>
        <v>117</v>
      </c>
      <c r="I976" s="64"/>
      <c r="J976" s="64"/>
    </row>
    <row r="977" spans="1:10">
      <c r="A977" s="311" t="str">
        <f>'Planilha orç'!A137</f>
        <v>10.32</v>
      </c>
      <c r="B977" s="134" t="str">
        <f>'Planilha orç'!D137</f>
        <v>ELETRODUTO PVC ROSC. D= 60mm (2")</v>
      </c>
      <c r="C977" s="311" t="str">
        <f>'Planilha orç'!E137</f>
        <v>M</v>
      </c>
      <c r="D977" s="312"/>
      <c r="E977" s="313"/>
      <c r="F977" s="314"/>
      <c r="G977" s="315"/>
      <c r="H977" s="316"/>
      <c r="I977" s="64"/>
      <c r="J977" s="64"/>
    </row>
    <row r="978" spans="1:10">
      <c r="A978" s="341"/>
      <c r="B978" s="68"/>
      <c r="C978" s="341"/>
      <c r="D978" s="323">
        <v>45</v>
      </c>
      <c r="E978" s="323"/>
      <c r="F978" s="323"/>
      <c r="G978" s="323"/>
      <c r="H978" s="321">
        <f t="shared" ref="H978" si="111">ROUND(PRODUCT(D978:G978),2)</f>
        <v>45</v>
      </c>
      <c r="I978" s="64"/>
      <c r="J978" s="64"/>
    </row>
    <row r="979" spans="1:10">
      <c r="A979" s="341"/>
      <c r="B979" s="68"/>
      <c r="C979" s="341"/>
      <c r="D979" s="319"/>
      <c r="E979" s="317"/>
      <c r="F979" s="323"/>
      <c r="G979" s="113" t="str">
        <f>"Total item "&amp;A977</f>
        <v>Total item 10.32</v>
      </c>
      <c r="H979" s="114">
        <f>SUM(H978:H978)</f>
        <v>45</v>
      </c>
      <c r="I979" s="64"/>
      <c r="J979" s="64"/>
    </row>
    <row r="980" spans="1:10">
      <c r="A980" s="311" t="str">
        <f>'Planilha orç'!A138</f>
        <v>10.33</v>
      </c>
      <c r="B980" s="134" t="str">
        <f>'Planilha orç'!D138</f>
        <v>ELETRODUTO PVC ROSC. D= 75mm (2 1/2")</v>
      </c>
      <c r="C980" s="311" t="str">
        <f>'Planilha orç'!E138</f>
        <v>M</v>
      </c>
      <c r="D980" s="312"/>
      <c r="E980" s="313"/>
      <c r="F980" s="314"/>
      <c r="G980" s="315"/>
      <c r="H980" s="316"/>
      <c r="I980" s="64"/>
      <c r="J980" s="64"/>
    </row>
    <row r="981" spans="1:10">
      <c r="A981" s="341"/>
      <c r="B981" s="68"/>
      <c r="C981" s="341"/>
      <c r="D981" s="323">
        <v>9</v>
      </c>
      <c r="E981" s="323"/>
      <c r="F981" s="323"/>
      <c r="G981" s="323"/>
      <c r="H981" s="321">
        <f t="shared" ref="H981" si="112">ROUND(PRODUCT(D981:G981),2)</f>
        <v>9</v>
      </c>
      <c r="I981" s="64"/>
      <c r="J981" s="64"/>
    </row>
    <row r="982" spans="1:10">
      <c r="A982" s="341"/>
      <c r="B982" s="68"/>
      <c r="C982" s="341"/>
      <c r="D982" s="319"/>
      <c r="E982" s="317"/>
      <c r="F982" s="323"/>
      <c r="G982" s="113" t="str">
        <f>"Total item "&amp;A980</f>
        <v>Total item 10.33</v>
      </c>
      <c r="H982" s="114">
        <f>SUM(H981:H981)</f>
        <v>9</v>
      </c>
      <c r="I982" s="64"/>
      <c r="J982" s="64"/>
    </row>
    <row r="983" spans="1:10">
      <c r="A983" s="311" t="str">
        <f>'Planilha orç'!A139</f>
        <v>10.34</v>
      </c>
      <c r="B983" s="134" t="str">
        <f>'Planilha orç'!D139</f>
        <v>ELETRODUTO PVC ROSC. D= 25mm (3/4")</v>
      </c>
      <c r="C983" s="311" t="str">
        <f>'Planilha orç'!E139</f>
        <v>M</v>
      </c>
      <c r="D983" s="312"/>
      <c r="E983" s="313"/>
      <c r="F983" s="314"/>
      <c r="G983" s="315"/>
      <c r="H983" s="316"/>
      <c r="I983" s="64"/>
      <c r="J983" s="64"/>
    </row>
    <row r="984" spans="1:10">
      <c r="A984" s="341"/>
      <c r="B984" s="68"/>
      <c r="C984" s="341"/>
      <c r="D984" s="323">
        <v>885</v>
      </c>
      <c r="E984" s="323"/>
      <c r="F984" s="323"/>
      <c r="G984" s="323"/>
      <c r="H984" s="321">
        <f t="shared" ref="H984" si="113">ROUND(PRODUCT(D984:G984),2)</f>
        <v>885</v>
      </c>
      <c r="I984" s="64"/>
      <c r="J984" s="64"/>
    </row>
    <row r="985" spans="1:10">
      <c r="A985" s="341"/>
      <c r="B985" s="68"/>
      <c r="C985" s="341"/>
      <c r="D985" s="319"/>
      <c r="E985" s="317"/>
      <c r="F985" s="323"/>
      <c r="G985" s="113" t="str">
        <f>"Total item "&amp;A983</f>
        <v>Total item 10.34</v>
      </c>
      <c r="H985" s="114">
        <f>SUM(H984:H984)</f>
        <v>885</v>
      </c>
      <c r="I985" s="64"/>
      <c r="J985" s="64"/>
    </row>
    <row r="986" spans="1:10">
      <c r="A986" s="311" t="str">
        <f>'Planilha orç'!A140</f>
        <v>10.35</v>
      </c>
      <c r="B986" s="134" t="str">
        <f>'Planilha orç'!D140</f>
        <v>ELETRODUTO PVC ROSC. D=110mm (4")</v>
      </c>
      <c r="C986" s="311" t="str">
        <f>'Planilha orç'!E140</f>
        <v>M</v>
      </c>
      <c r="D986" s="312"/>
      <c r="E986" s="313"/>
      <c r="F986" s="314"/>
      <c r="G986" s="315"/>
      <c r="H986" s="316"/>
      <c r="I986" s="64"/>
      <c r="J986" s="64"/>
    </row>
    <row r="987" spans="1:10">
      <c r="A987" s="322"/>
      <c r="B987" s="365"/>
      <c r="C987" s="317"/>
      <c r="D987" s="323">
        <v>48</v>
      </c>
      <c r="E987" s="323"/>
      <c r="F987" s="323"/>
      <c r="G987" s="323"/>
      <c r="H987" s="321">
        <f t="shared" ref="H987" si="114">ROUND(PRODUCT(D987:G987),2)</f>
        <v>48</v>
      </c>
      <c r="I987" s="64"/>
      <c r="J987" s="64"/>
    </row>
    <row r="988" spans="1:10">
      <c r="A988" s="322"/>
      <c r="B988" s="365"/>
      <c r="C988" s="317"/>
      <c r="D988" s="319"/>
      <c r="E988" s="317"/>
      <c r="F988" s="323"/>
      <c r="G988" s="113" t="str">
        <f>"Total item "&amp;A986</f>
        <v>Total item 10.35</v>
      </c>
      <c r="H988" s="114">
        <f>SUM(H987:H987)</f>
        <v>48</v>
      </c>
      <c r="I988" s="64"/>
      <c r="J988" s="64"/>
    </row>
    <row r="989" spans="1:10" ht="33.75">
      <c r="A989" s="311" t="str">
        <f>'Planilha orç'!A141</f>
        <v>10.36</v>
      </c>
      <c r="B989" s="134" t="str">
        <f>'Planilha orç'!D141</f>
        <v>CABO DE COBRE FLEXÍVEL ISOLADO, 1,5 MM², ANTI-CHAMA 0,6/1,0 KV, PARA CIRCUITOS TERMINAIS - FORNECIMENTO E INSTALAÇÃO. AF_12/2015</v>
      </c>
      <c r="C989" s="311" t="str">
        <f>'Planilha orç'!E141</f>
        <v>M</v>
      </c>
      <c r="D989" s="312"/>
      <c r="E989" s="313"/>
      <c r="F989" s="314"/>
      <c r="G989" s="315"/>
      <c r="H989" s="316"/>
      <c r="I989" s="64"/>
      <c r="J989" s="64"/>
    </row>
    <row r="990" spans="1:10">
      <c r="A990" s="322"/>
      <c r="B990" s="365" t="s">
        <v>512</v>
      </c>
      <c r="C990" s="317"/>
      <c r="D990" s="323">
        <v>839.5</v>
      </c>
      <c r="E990" s="323"/>
      <c r="F990" s="323"/>
      <c r="G990" s="323"/>
      <c r="H990" s="321">
        <f t="shared" ref="H990:H994" si="115">ROUND(PRODUCT(D990:G990),2)</f>
        <v>839.5</v>
      </c>
      <c r="I990" s="57"/>
      <c r="J990" s="64"/>
    </row>
    <row r="991" spans="1:10">
      <c r="A991" s="322"/>
      <c r="B991" s="365" t="s">
        <v>513</v>
      </c>
      <c r="C991" s="317"/>
      <c r="D991" s="323">
        <v>19.899999999999999</v>
      </c>
      <c r="E991" s="323"/>
      <c r="F991" s="323"/>
      <c r="G991" s="323"/>
      <c r="H991" s="321">
        <f t="shared" si="115"/>
        <v>19.899999999999999</v>
      </c>
      <c r="I991" s="57"/>
      <c r="J991" s="64"/>
    </row>
    <row r="992" spans="1:10">
      <c r="A992" s="132"/>
      <c r="B992" s="365" t="s">
        <v>514</v>
      </c>
      <c r="C992" s="317"/>
      <c r="D992" s="323">
        <v>899.7</v>
      </c>
      <c r="E992" s="323"/>
      <c r="F992" s="323"/>
      <c r="G992" s="323"/>
      <c r="H992" s="321">
        <f t="shared" si="115"/>
        <v>899.7</v>
      </c>
      <c r="I992" s="57"/>
      <c r="J992" s="64"/>
    </row>
    <row r="993" spans="1:10">
      <c r="A993" s="132"/>
      <c r="B993" s="365" t="s">
        <v>515</v>
      </c>
      <c r="C993" s="317"/>
      <c r="D993" s="323">
        <v>422.1</v>
      </c>
      <c r="E993" s="323"/>
      <c r="F993" s="323"/>
      <c r="G993" s="323"/>
      <c r="H993" s="321">
        <f t="shared" si="115"/>
        <v>422.1</v>
      </c>
      <c r="I993" s="57"/>
      <c r="J993" s="64"/>
    </row>
    <row r="994" spans="1:10">
      <c r="A994" s="132"/>
      <c r="B994" s="365" t="s">
        <v>516</v>
      </c>
      <c r="C994" s="135"/>
      <c r="D994" s="323">
        <v>239.8</v>
      </c>
      <c r="E994" s="323"/>
      <c r="F994" s="323"/>
      <c r="G994" s="323"/>
      <c r="H994" s="321">
        <f t="shared" si="115"/>
        <v>239.8</v>
      </c>
      <c r="I994" s="57"/>
      <c r="J994" s="64"/>
    </row>
    <row r="995" spans="1:10">
      <c r="A995" s="132"/>
      <c r="B995" s="133"/>
      <c r="C995" s="135"/>
      <c r="D995" s="57"/>
      <c r="E995" s="57"/>
      <c r="F995" s="57"/>
      <c r="G995" s="113" t="str">
        <f>"Total item "&amp;A989</f>
        <v>Total item 10.36</v>
      </c>
      <c r="H995" s="114">
        <f>SUM(H990:H994)</f>
        <v>2421</v>
      </c>
      <c r="I995" s="57"/>
      <c r="J995" s="64"/>
    </row>
    <row r="996" spans="1:10" ht="33.75">
      <c r="A996" s="311" t="str">
        <f>'Planilha orç'!A142</f>
        <v>10.37</v>
      </c>
      <c r="B996" s="134" t="str">
        <f>'Planilha orç'!D142</f>
        <v>CABO DE COBRE FLEXÍVEL ISOLADO, 10 MM², ANTI-CHAMA 0,6/1,0 KV, PARA CIRCUITOS TERMINAIS - FORNECIMENTO E INSTALAÇÃO. AF_12/2015</v>
      </c>
      <c r="C996" s="311" t="str">
        <f>'Planilha orç'!E142</f>
        <v>M</v>
      </c>
      <c r="D996" s="312"/>
      <c r="E996" s="313"/>
      <c r="F996" s="314"/>
      <c r="G996" s="315"/>
      <c r="H996" s="316"/>
      <c r="I996" s="57"/>
      <c r="J996" s="64"/>
    </row>
    <row r="997" spans="1:10">
      <c r="A997" s="132"/>
      <c r="B997" s="365" t="s">
        <v>512</v>
      </c>
      <c r="C997" s="135"/>
      <c r="D997" s="323">
        <v>125.6</v>
      </c>
      <c r="E997" s="323"/>
      <c r="F997" s="323"/>
      <c r="G997" s="323"/>
      <c r="H997" s="321">
        <f t="shared" ref="H997:H1001" si="116">ROUND(PRODUCT(D997:G997),2)</f>
        <v>125.6</v>
      </c>
      <c r="I997" s="57"/>
      <c r="J997" s="64"/>
    </row>
    <row r="998" spans="1:10">
      <c r="A998" s="132"/>
      <c r="B998" s="365" t="s">
        <v>513</v>
      </c>
      <c r="C998" s="135"/>
      <c r="D998" s="323">
        <v>125.6</v>
      </c>
      <c r="E998" s="323"/>
      <c r="F998" s="323"/>
      <c r="G998" s="323"/>
      <c r="H998" s="321">
        <f t="shared" si="116"/>
        <v>125.6</v>
      </c>
      <c r="I998" s="57"/>
      <c r="J998" s="64"/>
    </row>
    <row r="999" spans="1:10">
      <c r="A999" s="132"/>
      <c r="B999" s="365" t="s">
        <v>515</v>
      </c>
      <c r="C999" s="135"/>
      <c r="D999" s="323">
        <v>125.6</v>
      </c>
      <c r="E999" s="323"/>
      <c r="F999" s="323"/>
      <c r="G999" s="323"/>
      <c r="H999" s="321">
        <f t="shared" si="116"/>
        <v>125.6</v>
      </c>
      <c r="I999" s="57"/>
      <c r="J999" s="64"/>
    </row>
    <row r="1000" spans="1:10">
      <c r="A1000" s="132"/>
      <c r="B1000" s="365" t="s">
        <v>517</v>
      </c>
      <c r="C1000" s="135"/>
      <c r="D1000" s="323">
        <v>125.6</v>
      </c>
      <c r="E1000" s="323"/>
      <c r="F1000" s="323"/>
      <c r="G1000" s="323"/>
      <c r="H1000" s="321">
        <f t="shared" si="116"/>
        <v>125.6</v>
      </c>
      <c r="I1000" s="57"/>
      <c r="J1000" s="64"/>
    </row>
    <row r="1001" spans="1:10">
      <c r="A1001" s="132"/>
      <c r="B1001" s="365" t="s">
        <v>516</v>
      </c>
      <c r="C1001" s="135"/>
      <c r="D1001" s="323">
        <v>125.6</v>
      </c>
      <c r="E1001" s="323"/>
      <c r="F1001" s="323"/>
      <c r="G1001" s="323"/>
      <c r="H1001" s="321">
        <f t="shared" si="116"/>
        <v>125.6</v>
      </c>
      <c r="I1001" s="57"/>
      <c r="J1001" s="64"/>
    </row>
    <row r="1002" spans="1:10">
      <c r="A1002" s="132"/>
      <c r="B1002" s="133"/>
      <c r="C1002" s="135"/>
      <c r="D1002" s="57"/>
      <c r="E1002" s="57"/>
      <c r="F1002" s="57"/>
      <c r="G1002" s="113" t="str">
        <f>"Total item "&amp;A996</f>
        <v>Total item 10.37</v>
      </c>
      <c r="H1002" s="114">
        <f>SUM(H997:H1001)</f>
        <v>628</v>
      </c>
      <c r="I1002" s="57"/>
      <c r="J1002" s="64"/>
    </row>
    <row r="1003" spans="1:10" ht="33.75">
      <c r="A1003" s="311" t="str">
        <f>'Planilha orç'!A143</f>
        <v>10.38</v>
      </c>
      <c r="B1003" s="134" t="str">
        <f>'Planilha orç'!D143</f>
        <v>CABO DE COBRE FLEXÍVEL ISOLADO, 2,5 MM², ANTI-CHAMA 0,6/1,0 KV, PARA CIRCUITOS TERMINAIS - FORNECIMENTO E INSTALAÇÃO. AF_12/2015</v>
      </c>
      <c r="C1003" s="311" t="str">
        <f>'Planilha orç'!E143</f>
        <v>M</v>
      </c>
      <c r="D1003" s="312"/>
      <c r="E1003" s="313"/>
      <c r="F1003" s="314"/>
      <c r="G1003" s="315"/>
      <c r="H1003" s="316"/>
      <c r="I1003" s="57"/>
      <c r="J1003" s="64"/>
    </row>
    <row r="1004" spans="1:10">
      <c r="A1004" s="132"/>
      <c r="B1004" s="365" t="s">
        <v>512</v>
      </c>
      <c r="C1004" s="135"/>
      <c r="D1004" s="323">
        <v>1046</v>
      </c>
      <c r="E1004" s="323"/>
      <c r="F1004" s="323"/>
      <c r="G1004" s="323"/>
      <c r="H1004" s="321">
        <f t="shared" ref="H1004:H1008" si="117">ROUND(PRODUCT(D1004:G1004),2)</f>
        <v>1046</v>
      </c>
      <c r="I1004" s="57"/>
      <c r="J1004" s="64"/>
    </row>
    <row r="1005" spans="1:10">
      <c r="A1005" s="132"/>
      <c r="B1005" s="365" t="s">
        <v>513</v>
      </c>
      <c r="C1005" s="135"/>
      <c r="D1005" s="323">
        <v>480.1</v>
      </c>
      <c r="E1005" s="323"/>
      <c r="F1005" s="323"/>
      <c r="G1005" s="323"/>
      <c r="H1005" s="321">
        <f t="shared" si="117"/>
        <v>480.1</v>
      </c>
      <c r="I1005" s="57"/>
      <c r="J1005" s="64"/>
    </row>
    <row r="1006" spans="1:10">
      <c r="A1006" s="132"/>
      <c r="B1006" s="365" t="s">
        <v>515</v>
      </c>
      <c r="C1006" s="135"/>
      <c r="D1006" s="323">
        <v>231.5</v>
      </c>
      <c r="E1006" s="323"/>
      <c r="F1006" s="323"/>
      <c r="G1006" s="323"/>
      <c r="H1006" s="321">
        <f t="shared" si="117"/>
        <v>231.5</v>
      </c>
      <c r="I1006" s="57"/>
      <c r="J1006" s="64"/>
    </row>
    <row r="1007" spans="1:10">
      <c r="A1007" s="132"/>
      <c r="B1007" s="365" t="s">
        <v>517</v>
      </c>
      <c r="C1007" s="135"/>
      <c r="D1007" s="323">
        <v>593.20000000000005</v>
      </c>
      <c r="E1007" s="323"/>
      <c r="F1007" s="323"/>
      <c r="G1007" s="323"/>
      <c r="H1007" s="321">
        <f t="shared" si="117"/>
        <v>593.20000000000005</v>
      </c>
      <c r="I1007" s="57"/>
      <c r="J1007" s="64"/>
    </row>
    <row r="1008" spans="1:10">
      <c r="A1008" s="132"/>
      <c r="B1008" s="365" t="s">
        <v>516</v>
      </c>
      <c r="C1008" s="135"/>
      <c r="D1008" s="323">
        <v>334.5</v>
      </c>
      <c r="E1008" s="323"/>
      <c r="F1008" s="323"/>
      <c r="G1008" s="323"/>
      <c r="H1008" s="321">
        <f t="shared" si="117"/>
        <v>334.5</v>
      </c>
      <c r="I1008" s="57"/>
      <c r="J1008" s="64"/>
    </row>
    <row r="1009" spans="1:10">
      <c r="A1009" s="132"/>
      <c r="B1009" s="133"/>
      <c r="C1009" s="135"/>
      <c r="D1009" s="57"/>
      <c r="E1009" s="57"/>
      <c r="F1009" s="57"/>
      <c r="G1009" s="113" t="str">
        <f>"Total item "&amp;A1003</f>
        <v>Total item 10.38</v>
      </c>
      <c r="H1009" s="114">
        <f>SUM(H1004:H1008)</f>
        <v>2685.3</v>
      </c>
      <c r="I1009" s="57"/>
      <c r="J1009" s="64"/>
    </row>
    <row r="1010" spans="1:10" ht="33.75">
      <c r="A1010" s="311" t="str">
        <f>'Planilha orç'!A144</f>
        <v>10.39</v>
      </c>
      <c r="B1010" s="134" t="str">
        <f>'Planilha orç'!D144</f>
        <v>CABO DE COBRE FLEXÍVEL ISOLADO, 4 MM², ANTI-CHAMA 0,6/1,0 KV, PARA CIRCUITOS TERMINAIS - FORNECIMENTO E INSTALAÇÃO. AF_12/2015</v>
      </c>
      <c r="C1010" s="311" t="str">
        <f>'Planilha orç'!E144</f>
        <v>M</v>
      </c>
      <c r="D1010" s="312"/>
      <c r="E1010" s="313"/>
      <c r="F1010" s="314"/>
      <c r="G1010" s="315"/>
      <c r="H1010" s="316"/>
      <c r="I1010" s="57"/>
      <c r="J1010" s="64"/>
    </row>
    <row r="1011" spans="1:10">
      <c r="A1011" s="132"/>
      <c r="B1011" s="365" t="s">
        <v>512</v>
      </c>
      <c r="C1011" s="135"/>
      <c r="D1011" s="323">
        <v>598.20000000000005</v>
      </c>
      <c r="E1011" s="323"/>
      <c r="F1011" s="323"/>
      <c r="G1011" s="323"/>
      <c r="H1011" s="321">
        <f t="shared" ref="H1011:H1015" si="118">ROUND(PRODUCT(D1011:G1011),2)</f>
        <v>598.20000000000005</v>
      </c>
      <c r="I1011" s="57"/>
      <c r="J1011" s="64"/>
    </row>
    <row r="1012" spans="1:10">
      <c r="A1012" s="132"/>
      <c r="B1012" s="365" t="s">
        <v>513</v>
      </c>
      <c r="C1012" s="135"/>
      <c r="D1012" s="323">
        <v>413.1</v>
      </c>
      <c r="E1012" s="323"/>
      <c r="F1012" s="323"/>
      <c r="G1012" s="323"/>
      <c r="H1012" s="321">
        <f t="shared" si="118"/>
        <v>413.1</v>
      </c>
      <c r="I1012" s="57"/>
      <c r="J1012" s="64"/>
    </row>
    <row r="1013" spans="1:10">
      <c r="A1013" s="132"/>
      <c r="B1013" s="365" t="s">
        <v>515</v>
      </c>
      <c r="C1013" s="135"/>
      <c r="D1013" s="323">
        <v>83.2</v>
      </c>
      <c r="E1013" s="323"/>
      <c r="F1013" s="323"/>
      <c r="G1013" s="323"/>
      <c r="H1013" s="321">
        <f t="shared" si="118"/>
        <v>83.2</v>
      </c>
      <c r="I1013" s="57"/>
      <c r="J1013" s="64"/>
    </row>
    <row r="1014" spans="1:10">
      <c r="A1014" s="132"/>
      <c r="B1014" s="365" t="s">
        <v>517</v>
      </c>
      <c r="C1014" s="135"/>
      <c r="D1014" s="323">
        <v>278.89999999999998</v>
      </c>
      <c r="E1014" s="323"/>
      <c r="F1014" s="323"/>
      <c r="G1014" s="323"/>
      <c r="H1014" s="321">
        <f t="shared" si="118"/>
        <v>278.89999999999998</v>
      </c>
      <c r="I1014" s="57"/>
      <c r="J1014" s="64"/>
    </row>
    <row r="1015" spans="1:10">
      <c r="A1015" s="132"/>
      <c r="B1015" s="365" t="s">
        <v>516</v>
      </c>
      <c r="C1015" s="135"/>
      <c r="D1015" s="323">
        <v>102</v>
      </c>
      <c r="E1015" s="323"/>
      <c r="F1015" s="323"/>
      <c r="G1015" s="323"/>
      <c r="H1015" s="321">
        <f t="shared" si="118"/>
        <v>102</v>
      </c>
      <c r="I1015" s="57"/>
      <c r="J1015" s="64"/>
    </row>
    <row r="1016" spans="1:10">
      <c r="A1016" s="132"/>
      <c r="B1016" s="133"/>
      <c r="C1016" s="135"/>
      <c r="D1016" s="57"/>
      <c r="E1016" s="57"/>
      <c r="F1016" s="57"/>
      <c r="G1016" s="113" t="str">
        <f>"Total item "&amp;A1010</f>
        <v>Total item 10.39</v>
      </c>
      <c r="H1016" s="114">
        <f>SUM(H1011:H1015)</f>
        <v>1475.4</v>
      </c>
      <c r="I1016" s="57"/>
      <c r="J1016" s="64"/>
    </row>
    <row r="1017" spans="1:10" ht="22.5">
      <c r="A1017" s="311" t="str">
        <f>'Planilha orç'!A145</f>
        <v>10.40</v>
      </c>
      <c r="B1017" s="134" t="str">
        <f>'Planilha orç'!D145</f>
        <v>DISJUNTOR MONOPOLAR TIPO DIN, CORRENTE NOMINAL DE 16A - FORNECIMENTO E INSTALAÇÃO. AF_10/2020</v>
      </c>
      <c r="C1017" s="311" t="str">
        <f>'Planilha orç'!E145</f>
        <v>UN</v>
      </c>
      <c r="D1017" s="312"/>
      <c r="E1017" s="313"/>
      <c r="F1017" s="314"/>
      <c r="G1017" s="315"/>
      <c r="H1017" s="316"/>
      <c r="I1017" s="57"/>
      <c r="J1017" s="64"/>
    </row>
    <row r="1018" spans="1:10">
      <c r="A1018" s="132"/>
      <c r="B1018" s="133"/>
      <c r="C1018" s="135"/>
      <c r="D1018" s="323">
        <v>31</v>
      </c>
      <c r="E1018" s="323"/>
      <c r="F1018" s="323"/>
      <c r="G1018" s="323"/>
      <c r="H1018" s="321">
        <f t="shared" ref="H1018" si="119">ROUND(PRODUCT(D1018:G1018),2)</f>
        <v>31</v>
      </c>
      <c r="I1018" s="57"/>
      <c r="J1018" s="64"/>
    </row>
    <row r="1019" spans="1:10">
      <c r="A1019" s="132"/>
      <c r="B1019" s="133"/>
      <c r="C1019" s="135"/>
      <c r="D1019" s="57"/>
      <c r="E1019" s="57"/>
      <c r="F1019" s="57"/>
      <c r="G1019" s="113" t="str">
        <f>"Total item "&amp;A1017</f>
        <v>Total item 10.40</v>
      </c>
      <c r="H1019" s="114">
        <f>SUM(H1018:H1018)</f>
        <v>31</v>
      </c>
      <c r="I1019" s="57"/>
      <c r="J1019" s="64"/>
    </row>
    <row r="1020" spans="1:10" ht="22.5">
      <c r="A1020" s="311" t="str">
        <f>'Planilha orç'!A146</f>
        <v>10.41</v>
      </c>
      <c r="B1020" s="134" t="str">
        <f>'Planilha orç'!D146</f>
        <v>DISJUNTOR MONOPOLAR TIPO DIN, CORRENTE NOMINAL DE 20A - FORNECIMENTO E INSTALAÇÃO. AF_10/2020</v>
      </c>
      <c r="C1020" s="311" t="str">
        <f>'Planilha orç'!E146</f>
        <v>UN</v>
      </c>
      <c r="D1020" s="312"/>
      <c r="E1020" s="313"/>
      <c r="F1020" s="314"/>
      <c r="G1020" s="315"/>
      <c r="H1020" s="316"/>
      <c r="I1020" s="57"/>
      <c r="J1020" s="64"/>
    </row>
    <row r="1021" spans="1:10">
      <c r="A1021" s="132"/>
      <c r="B1021" s="133"/>
      <c r="C1021" s="135"/>
      <c r="D1021" s="323">
        <v>61</v>
      </c>
      <c r="E1021" s="323"/>
      <c r="F1021" s="323"/>
      <c r="G1021" s="323"/>
      <c r="H1021" s="321">
        <f t="shared" ref="H1021" si="120">ROUND(PRODUCT(D1021:G1021),2)</f>
        <v>61</v>
      </c>
      <c r="I1021" s="57"/>
      <c r="J1021" s="64"/>
    </row>
    <row r="1022" spans="1:10">
      <c r="A1022" s="132"/>
      <c r="B1022" s="133"/>
      <c r="C1022" s="135"/>
      <c r="D1022" s="57"/>
      <c r="E1022" s="57"/>
      <c r="F1022" s="57"/>
      <c r="G1022" s="113" t="str">
        <f>"Total item "&amp;A1020</f>
        <v>Total item 10.41</v>
      </c>
      <c r="H1022" s="114">
        <f>SUM(H1021:H1021)</f>
        <v>61</v>
      </c>
      <c r="I1022" s="57"/>
      <c r="J1022" s="64"/>
    </row>
    <row r="1023" spans="1:10" ht="22.5">
      <c r="A1023" s="311" t="str">
        <f>'Planilha orç'!A147</f>
        <v>10.42</v>
      </c>
      <c r="B1023" s="134" t="str">
        <f>'Planilha orç'!D147</f>
        <v>DISJUNTOR MONOPOLAR TIPO DIN, CORRENTE NOMINAL DE 25A - FORNECIMENTO E INSTALAÇÃO. AF_10/2020</v>
      </c>
      <c r="C1023" s="311" t="str">
        <f>'Planilha orç'!E147</f>
        <v>UN</v>
      </c>
      <c r="D1023" s="312"/>
      <c r="E1023" s="313"/>
      <c r="F1023" s="314"/>
      <c r="G1023" s="315"/>
      <c r="H1023" s="316"/>
      <c r="I1023" s="57"/>
      <c r="J1023" s="64"/>
    </row>
    <row r="1024" spans="1:10">
      <c r="A1024" s="132"/>
      <c r="B1024" s="133"/>
      <c r="C1024" s="135"/>
      <c r="D1024" s="323">
        <v>3</v>
      </c>
      <c r="E1024" s="323"/>
      <c r="F1024" s="323"/>
      <c r="G1024" s="323"/>
      <c r="H1024" s="321">
        <f t="shared" ref="H1024" si="121">ROUND(PRODUCT(D1024:G1024),2)</f>
        <v>3</v>
      </c>
      <c r="I1024" s="57"/>
      <c r="J1024" s="64"/>
    </row>
    <row r="1025" spans="1:10">
      <c r="A1025" s="132"/>
      <c r="B1025" s="133"/>
      <c r="C1025" s="135"/>
      <c r="D1025" s="57"/>
      <c r="E1025" s="57"/>
      <c r="F1025" s="57"/>
      <c r="G1025" s="113" t="str">
        <f>"Total item "&amp;A1023</f>
        <v>Total item 10.42</v>
      </c>
      <c r="H1025" s="114">
        <f>SUM(H1024:H1024)</f>
        <v>3</v>
      </c>
      <c r="I1025" s="57"/>
      <c r="J1025" s="64"/>
    </row>
    <row r="1026" spans="1:10" ht="18.600000000000001" customHeight="1">
      <c r="A1026" s="311" t="str">
        <f>'Planilha orç'!A148</f>
        <v>10.43</v>
      </c>
      <c r="B1026" s="134" t="str">
        <f>'Planilha orç'!D148</f>
        <v>QUADRO DE DISTRIBUIÇÃO EMBUTIR ATE 6 DIVISÕES, S/BARRAMENTO</v>
      </c>
      <c r="C1026" s="311" t="str">
        <f>'Planilha orç'!E148</f>
        <v>UN</v>
      </c>
      <c r="D1026" s="312"/>
      <c r="E1026" s="313"/>
      <c r="F1026" s="314"/>
      <c r="G1026" s="315"/>
      <c r="H1026" s="316"/>
      <c r="I1026" s="57"/>
      <c r="J1026" s="64"/>
    </row>
    <row r="1027" spans="1:10">
      <c r="A1027" s="132"/>
      <c r="B1027" s="133"/>
      <c r="C1027" s="135"/>
      <c r="D1027" s="323">
        <v>1</v>
      </c>
      <c r="E1027" s="323"/>
      <c r="F1027" s="323"/>
      <c r="G1027" s="323"/>
      <c r="H1027" s="321">
        <f t="shared" ref="H1027" si="122">ROUND(PRODUCT(D1027:G1027),2)</f>
        <v>1</v>
      </c>
      <c r="I1027" s="57"/>
      <c r="J1027" s="64"/>
    </row>
    <row r="1028" spans="1:10">
      <c r="A1028" s="132"/>
      <c r="B1028" s="133"/>
      <c r="C1028" s="135"/>
      <c r="D1028" s="57"/>
      <c r="E1028" s="57"/>
      <c r="F1028" s="57"/>
      <c r="G1028" s="113" t="str">
        <f>"Total item "&amp;A1026</f>
        <v>Total item 10.43</v>
      </c>
      <c r="H1028" s="114">
        <f>SUM(H1027:H1027)</f>
        <v>1</v>
      </c>
      <c r="I1028" s="57"/>
      <c r="J1028" s="64"/>
    </row>
    <row r="1029" spans="1:10" ht="22.5">
      <c r="A1029" s="311" t="str">
        <f>'Planilha orç'!A149</f>
        <v>10.44</v>
      </c>
      <c r="B1029" s="134" t="str">
        <f>'Planilha orç'!D149</f>
        <v>QUADRO DE DISTRIBUIÇÃO DE LUZ.SOBREPOR ATE 64 DIVISÕES
650X440X205mm, C/BARRAMENTO</v>
      </c>
      <c r="C1029" s="311" t="str">
        <f>'Planilha orç'!E149</f>
        <v>UN</v>
      </c>
      <c r="D1029" s="312"/>
      <c r="E1029" s="313"/>
      <c r="F1029" s="314"/>
      <c r="G1029" s="315"/>
      <c r="H1029" s="316"/>
      <c r="I1029" s="57"/>
      <c r="J1029" s="64"/>
    </row>
    <row r="1030" spans="1:10">
      <c r="A1030" s="132"/>
      <c r="B1030" s="133"/>
      <c r="C1030" s="135"/>
      <c r="D1030" s="323">
        <v>2</v>
      </c>
      <c r="E1030" s="323"/>
      <c r="F1030" s="323"/>
      <c r="G1030" s="323"/>
      <c r="H1030" s="321">
        <f t="shared" ref="H1030" si="123">ROUND(PRODUCT(D1030:G1030),2)</f>
        <v>2</v>
      </c>
      <c r="I1030" s="57"/>
      <c r="J1030" s="64"/>
    </row>
    <row r="1031" spans="1:10">
      <c r="A1031" s="132"/>
      <c r="B1031" s="133"/>
      <c r="C1031" s="135"/>
      <c r="D1031" s="57"/>
      <c r="E1031" s="57"/>
      <c r="F1031" s="57"/>
      <c r="G1031" s="113" t="str">
        <f>"Total item "&amp;A1029</f>
        <v>Total item 10.44</v>
      </c>
      <c r="H1031" s="114">
        <f>SUM(H1030:H1030)</f>
        <v>2</v>
      </c>
      <c r="I1031" s="57"/>
      <c r="J1031" s="64"/>
    </row>
    <row r="1032" spans="1:10" ht="22.5">
      <c r="A1032" s="311" t="str">
        <f>'Planilha orç'!A150</f>
        <v>10.45</v>
      </c>
      <c r="B1032" s="134" t="str">
        <f>'Planilha orç'!D150</f>
        <v>ELETRODUTO RÍGIDO ROSCÁVEL, PVC, DN 85 MM (3") - FORNECIMENTO E INSTALAÇÃO. AF_12/2015</v>
      </c>
      <c r="C1032" s="311" t="str">
        <f>'Planilha orç'!E150</f>
        <v>UN</v>
      </c>
      <c r="D1032" s="312"/>
      <c r="E1032" s="313"/>
      <c r="F1032" s="314"/>
      <c r="G1032" s="315"/>
      <c r="H1032" s="316"/>
      <c r="I1032" s="57"/>
      <c r="J1032" s="64"/>
    </row>
    <row r="1033" spans="1:10">
      <c r="A1033" s="132"/>
      <c r="B1033" s="133"/>
      <c r="C1033" s="135"/>
      <c r="D1033" s="323">
        <v>1</v>
      </c>
      <c r="E1033" s="323"/>
      <c r="F1033" s="323"/>
      <c r="G1033" s="323"/>
      <c r="H1033" s="321">
        <f t="shared" ref="H1033" si="124">ROUND(PRODUCT(D1033:G1033),2)</f>
        <v>1</v>
      </c>
      <c r="I1033" s="57"/>
      <c r="J1033" s="64"/>
    </row>
    <row r="1034" spans="1:10">
      <c r="A1034" s="132"/>
      <c r="B1034" s="133"/>
      <c r="C1034" s="135"/>
      <c r="D1034" s="57"/>
      <c r="E1034" s="57"/>
      <c r="F1034" s="57"/>
      <c r="G1034" s="113" t="str">
        <f>"Total item "&amp;A1032</f>
        <v>Total item 10.45</v>
      </c>
      <c r="H1034" s="114">
        <f>SUM(H1033:H1033)</f>
        <v>1</v>
      </c>
      <c r="I1034" s="57"/>
      <c r="J1034" s="64"/>
    </row>
    <row r="1035" spans="1:10" ht="22.5">
      <c r="A1035" s="311" t="str">
        <f>'Planilha orç'!A151</f>
        <v>10.46</v>
      </c>
      <c r="B1035" s="134" t="str">
        <f>'Planilha orç'!D151</f>
        <v>DISPOSITIVO DE PROTEÇÃO CONTRA SURTOS DE TENSÃO - DPS's - 40 KA/440V</v>
      </c>
      <c r="C1035" s="311" t="str">
        <f>'Planilha orç'!E151</f>
        <v>UN</v>
      </c>
      <c r="D1035" s="312"/>
      <c r="E1035" s="313"/>
      <c r="F1035" s="314"/>
      <c r="G1035" s="315"/>
      <c r="H1035" s="316"/>
      <c r="I1035" s="57"/>
      <c r="J1035" s="64"/>
    </row>
    <row r="1036" spans="1:10">
      <c r="A1036" s="132"/>
      <c r="B1036" s="133"/>
      <c r="C1036" s="135"/>
      <c r="D1036" s="323">
        <v>18</v>
      </c>
      <c r="E1036" s="323"/>
      <c r="F1036" s="323"/>
      <c r="G1036" s="323"/>
      <c r="H1036" s="321">
        <f t="shared" ref="H1036" si="125">ROUND(PRODUCT(D1036:G1036),2)</f>
        <v>18</v>
      </c>
      <c r="I1036" s="57"/>
      <c r="J1036" s="64"/>
    </row>
    <row r="1037" spans="1:10">
      <c r="A1037" s="132"/>
      <c r="B1037" s="133"/>
      <c r="C1037" s="135"/>
      <c r="D1037" s="57"/>
      <c r="E1037" s="57"/>
      <c r="F1037" s="57"/>
      <c r="G1037" s="113" t="str">
        <f>"Total item "&amp;A1035</f>
        <v>Total item 10.46</v>
      </c>
      <c r="H1037" s="114">
        <f>SUM(H1036:H1036)</f>
        <v>18</v>
      </c>
      <c r="I1037" s="57"/>
      <c r="J1037" s="64"/>
    </row>
    <row r="1038" spans="1:10">
      <c r="A1038" s="311" t="str">
        <f>'Planilha orç'!A152</f>
        <v>10.47</v>
      </c>
      <c r="B1038" s="134" t="str">
        <f>'Planilha orç'!D152</f>
        <v>DISJUNTOR DIFERENCIAL DR-80A, 30mA</v>
      </c>
      <c r="C1038" s="311" t="str">
        <f>'Planilha orç'!E152</f>
        <v>UN</v>
      </c>
      <c r="D1038" s="312"/>
      <c r="E1038" s="313"/>
      <c r="F1038" s="314"/>
      <c r="G1038" s="315"/>
      <c r="H1038" s="316"/>
      <c r="I1038" s="57"/>
      <c r="J1038" s="64"/>
    </row>
    <row r="1039" spans="1:10">
      <c r="A1039" s="132"/>
      <c r="B1039" s="365" t="s">
        <v>518</v>
      </c>
      <c r="C1039" s="135"/>
      <c r="D1039" s="323">
        <v>1</v>
      </c>
      <c r="E1039" s="323"/>
      <c r="F1039" s="323"/>
      <c r="G1039" s="323"/>
      <c r="H1039" s="321">
        <f t="shared" ref="H1039:H1040" si="126">ROUND(PRODUCT(D1039:G1039),2)</f>
        <v>1</v>
      </c>
      <c r="I1039" s="57"/>
      <c r="J1039" s="64"/>
    </row>
    <row r="1040" spans="1:10">
      <c r="A1040" s="132"/>
      <c r="B1040" s="365" t="s">
        <v>519</v>
      </c>
      <c r="C1040" s="135"/>
      <c r="D1040" s="323">
        <v>3</v>
      </c>
      <c r="E1040" s="323"/>
      <c r="F1040" s="323"/>
      <c r="G1040" s="323"/>
      <c r="H1040" s="321">
        <f t="shared" si="126"/>
        <v>3</v>
      </c>
      <c r="I1040" s="57"/>
      <c r="J1040" s="64"/>
    </row>
    <row r="1041" spans="1:10">
      <c r="A1041" s="132"/>
      <c r="B1041" s="133"/>
      <c r="C1041" s="135"/>
      <c r="D1041" s="57"/>
      <c r="E1041" s="57"/>
      <c r="F1041" s="57"/>
      <c r="G1041" s="113" t="str">
        <f>"Total item "&amp;A1038</f>
        <v>Total item 10.47</v>
      </c>
      <c r="H1041" s="114">
        <f>SUM(H1039:H1040)</f>
        <v>4</v>
      </c>
      <c r="I1041" s="57"/>
      <c r="J1041" s="64"/>
    </row>
    <row r="1042" spans="1:10" ht="22.5">
      <c r="A1042" s="311" t="str">
        <f>'Planilha orç'!A153</f>
        <v>10.48</v>
      </c>
      <c r="B1042" s="134" t="str">
        <f>'Planilha orç'!D153</f>
        <v>POSTE DE FERRO P/ JARDIM H=2.80M, C/GLOBO E LÂMPADA VAPOR DE SÓDIO 70W</v>
      </c>
      <c r="C1042" s="311" t="str">
        <f>'Planilha orç'!E153</f>
        <v>UN</v>
      </c>
      <c r="D1042" s="312"/>
      <c r="E1042" s="313"/>
      <c r="F1042" s="314"/>
      <c r="G1042" s="315"/>
      <c r="H1042" s="316"/>
      <c r="I1042" s="57"/>
      <c r="J1042" s="64"/>
    </row>
    <row r="1043" spans="1:10">
      <c r="A1043" s="132"/>
      <c r="B1043" s="133"/>
      <c r="C1043" s="135"/>
      <c r="D1043" s="323">
        <v>2</v>
      </c>
      <c r="E1043" s="323"/>
      <c r="F1043" s="323"/>
      <c r="G1043" s="323"/>
      <c r="H1043" s="321">
        <f t="shared" ref="H1043" si="127">ROUND(PRODUCT(D1043:G1043),2)</f>
        <v>2</v>
      </c>
      <c r="I1043" s="57"/>
      <c r="J1043" s="64"/>
    </row>
    <row r="1044" spans="1:10">
      <c r="A1044" s="132"/>
      <c r="B1044" s="133"/>
      <c r="C1044" s="135"/>
      <c r="D1044" s="57"/>
      <c r="E1044" s="57"/>
      <c r="F1044" s="57"/>
      <c r="G1044" s="113" t="str">
        <f>"Total item "&amp;A1042</f>
        <v>Total item 10.48</v>
      </c>
      <c r="H1044" s="114">
        <f>SUM(H1043:H1043)</f>
        <v>2</v>
      </c>
      <c r="I1044" s="57"/>
      <c r="J1044" s="64"/>
    </row>
    <row r="1045" spans="1:10">
      <c r="A1045" s="311" t="str">
        <f>'Planilha orç'!A154</f>
        <v>10.49</v>
      </c>
      <c r="B1045" s="134" t="str">
        <f>'Planilha orç'!D154</f>
        <v>HASTE DE ATERRAMENTO COPPERWELD 5/8"X 2.40M</v>
      </c>
      <c r="C1045" s="311" t="str">
        <f>'Planilha orç'!E154</f>
        <v>UN</v>
      </c>
      <c r="D1045" s="312"/>
      <c r="E1045" s="313"/>
      <c r="F1045" s="314"/>
      <c r="G1045" s="315"/>
      <c r="H1045" s="316"/>
      <c r="I1045" s="57"/>
      <c r="J1045" s="64"/>
    </row>
    <row r="1046" spans="1:10">
      <c r="A1046" s="132"/>
      <c r="B1046" s="133"/>
      <c r="C1046" s="135"/>
      <c r="D1046" s="323">
        <v>3</v>
      </c>
      <c r="E1046" s="323"/>
      <c r="F1046" s="323"/>
      <c r="G1046" s="323"/>
      <c r="H1046" s="321">
        <f t="shared" ref="H1046" si="128">ROUND(PRODUCT(D1046:G1046),2)</f>
        <v>3</v>
      </c>
      <c r="I1046" s="57"/>
      <c r="J1046" s="64"/>
    </row>
    <row r="1047" spans="1:10">
      <c r="A1047" s="132"/>
      <c r="B1047" s="133"/>
      <c r="C1047" s="135"/>
      <c r="D1047" s="57"/>
      <c r="E1047" s="57"/>
      <c r="F1047" s="57"/>
      <c r="G1047" s="113" t="str">
        <f>"Total item "&amp;A1045</f>
        <v>Total item 10.49</v>
      </c>
      <c r="H1047" s="114">
        <f>SUM(H1046:H1046)</f>
        <v>3</v>
      </c>
      <c r="I1047" s="57"/>
      <c r="J1047" s="64"/>
    </row>
    <row r="1048" spans="1:10" ht="22.5">
      <c r="A1048" s="311" t="str">
        <f>'Planilha orç'!A155</f>
        <v>10.50</v>
      </c>
      <c r="B1048" s="134" t="str">
        <f>'Planilha orç'!D155</f>
        <v>CAIXA DE PROTEÇÃO PARA MEDIDOR MONOFÁSICO DE EMBUTIR - FORNECIMENTO E INSTALAÇÃO. AF_10/2020</v>
      </c>
      <c r="C1048" s="311" t="str">
        <f>'Planilha orç'!E155</f>
        <v>UN</v>
      </c>
      <c r="D1048" s="312"/>
      <c r="E1048" s="313"/>
      <c r="F1048" s="314"/>
      <c r="G1048" s="315"/>
      <c r="H1048" s="316"/>
      <c r="I1048" s="57"/>
      <c r="J1048" s="64"/>
    </row>
    <row r="1049" spans="1:10">
      <c r="A1049" s="132"/>
      <c r="B1049" s="133"/>
      <c r="C1049" s="135"/>
      <c r="D1049" s="323">
        <v>1</v>
      </c>
      <c r="E1049" s="323"/>
      <c r="F1049" s="323"/>
      <c r="G1049" s="323"/>
      <c r="H1049" s="321">
        <f t="shared" ref="H1049" si="129">ROUND(PRODUCT(D1049:G1049),2)</f>
        <v>1</v>
      </c>
      <c r="I1049" s="57"/>
      <c r="J1049" s="64"/>
    </row>
    <row r="1050" spans="1:10">
      <c r="A1050" s="132"/>
      <c r="B1050" s="133"/>
      <c r="C1050" s="135"/>
      <c r="D1050" s="57"/>
      <c r="E1050" s="57"/>
      <c r="F1050" s="57"/>
      <c r="G1050" s="113" t="str">
        <f>"Total item "&amp;A1048</f>
        <v>Total item 10.50</v>
      </c>
      <c r="H1050" s="114">
        <f>SUM(H1049:H1049)</f>
        <v>1</v>
      </c>
      <c r="I1050" s="57"/>
      <c r="J1050" s="64"/>
    </row>
    <row r="1051" spans="1:10" ht="22.5">
      <c r="A1051" s="311" t="str">
        <f>'Planilha orç'!A156</f>
        <v>10.51</v>
      </c>
      <c r="B1051" s="134" t="str">
        <f>'Planilha orç'!D156</f>
        <v>FITA ISOLANTE ADESIVA ANTICHAMA, USO ATE 750 V, EM ROLO DE 19 MM X 20 M</v>
      </c>
      <c r="C1051" s="311" t="str">
        <f>'Planilha orç'!E156</f>
        <v>UN</v>
      </c>
      <c r="D1051" s="312"/>
      <c r="E1051" s="313"/>
      <c r="F1051" s="314"/>
      <c r="G1051" s="315"/>
      <c r="H1051" s="316"/>
      <c r="I1051" s="57"/>
      <c r="J1051" s="64"/>
    </row>
    <row r="1052" spans="1:10">
      <c r="A1052" s="132"/>
      <c r="B1052" s="133"/>
      <c r="C1052" s="135"/>
      <c r="D1052" s="323">
        <v>10</v>
      </c>
      <c r="E1052" s="323"/>
      <c r="F1052" s="323"/>
      <c r="G1052" s="323"/>
      <c r="H1052" s="321">
        <f t="shared" ref="H1052" si="130">ROUND(PRODUCT(D1052:G1052),2)</f>
        <v>10</v>
      </c>
      <c r="I1052" s="57"/>
      <c r="J1052" s="64"/>
    </row>
    <row r="1053" spans="1:10">
      <c r="A1053" s="132"/>
      <c r="B1053" s="133"/>
      <c r="C1053" s="135"/>
      <c r="D1053" s="57"/>
      <c r="E1053" s="57"/>
      <c r="F1053" s="57"/>
      <c r="G1053" s="113" t="str">
        <f>"Total item "&amp;A1051</f>
        <v>Total item 10.51</v>
      </c>
      <c r="H1053" s="114">
        <f>SUM(H1052:H1052)</f>
        <v>10</v>
      </c>
      <c r="I1053" s="57"/>
      <c r="J1053" s="64"/>
    </row>
    <row r="1054" spans="1:10" ht="22.5">
      <c r="A1054" s="311" t="str">
        <f>'Planilha orç'!A157</f>
        <v>10.52</v>
      </c>
      <c r="B1054" s="134" t="str">
        <f>'Planilha orç'!D157</f>
        <v>ISOLADOR DE PORCELANA SUSPENSO, DISCO TIPO GARFO OLHAL, DIAMETRO DE 152 MM, PARA TENSAO DE *15* KV</v>
      </c>
      <c r="C1054" s="311" t="str">
        <f>'Planilha orç'!E157</f>
        <v>UN</v>
      </c>
      <c r="D1054" s="312"/>
      <c r="E1054" s="313"/>
      <c r="F1054" s="314"/>
      <c r="G1054" s="315"/>
      <c r="H1054" s="316"/>
      <c r="I1054" s="57"/>
      <c r="J1054" s="64"/>
    </row>
    <row r="1055" spans="1:10">
      <c r="A1055" s="132"/>
      <c r="B1055" s="133"/>
      <c r="C1055" s="135"/>
      <c r="D1055" s="323">
        <v>1</v>
      </c>
      <c r="E1055" s="323"/>
      <c r="F1055" s="323"/>
      <c r="G1055" s="323"/>
      <c r="H1055" s="321">
        <f t="shared" ref="H1055" si="131">ROUND(PRODUCT(D1055:G1055),2)</f>
        <v>1</v>
      </c>
      <c r="I1055" s="57"/>
      <c r="J1055" s="64"/>
    </row>
    <row r="1056" spans="1:10">
      <c r="A1056" s="132"/>
      <c r="B1056" s="133"/>
      <c r="C1056" s="135"/>
      <c r="D1056" s="57"/>
      <c r="E1056" s="57"/>
      <c r="F1056" s="57"/>
      <c r="G1056" s="113" t="str">
        <f>"Total item "&amp;A1054</f>
        <v>Total item 10.52</v>
      </c>
      <c r="H1056" s="114">
        <f>SUM(H1055:H1055)</f>
        <v>1</v>
      </c>
      <c r="I1056" s="57"/>
      <c r="J1056" s="64"/>
    </row>
    <row r="1057" spans="1:10" ht="33.75">
      <c r="A1057" s="311" t="str">
        <f>'Planilha orç'!A158</f>
        <v>10.53</v>
      </c>
      <c r="B1057" s="134" t="str">
        <f>'Planilha orç'!D158</f>
        <v>PARAFUSO NIQUELADO 3 1/2" COM ACABAMENTO CROMADO PARA FIXAR PECA SANITARIA, INCLUI PORCA CEGA, ARRUELA E BUCHA DE NYLON TAMANHO S-8</v>
      </c>
      <c r="C1057" s="311" t="str">
        <f>'Planilha orç'!E158</f>
        <v>UN</v>
      </c>
      <c r="D1057" s="312"/>
      <c r="E1057" s="313"/>
      <c r="F1057" s="314"/>
      <c r="G1057" s="315"/>
      <c r="H1057" s="316"/>
      <c r="I1057" s="57"/>
      <c r="J1057" s="64"/>
    </row>
    <row r="1058" spans="1:10">
      <c r="A1058" s="132"/>
      <c r="B1058" s="133"/>
      <c r="C1058" s="135"/>
      <c r="D1058" s="323">
        <v>738</v>
      </c>
      <c r="E1058" s="323"/>
      <c r="F1058" s="323"/>
      <c r="G1058" s="323"/>
      <c r="H1058" s="321">
        <f t="shared" ref="H1058:H1060" si="132">ROUND(PRODUCT(D1058:G1058),2)</f>
        <v>738</v>
      </c>
      <c r="I1058" s="57"/>
      <c r="J1058" s="64"/>
    </row>
    <row r="1059" spans="1:10">
      <c r="A1059" s="132"/>
      <c r="B1059" s="133"/>
      <c r="C1059" s="135"/>
      <c r="D1059" s="323">
        <v>441</v>
      </c>
      <c r="E1059" s="323"/>
      <c r="F1059" s="323"/>
      <c r="G1059" s="323"/>
      <c r="H1059" s="321">
        <f t="shared" si="132"/>
        <v>441</v>
      </c>
      <c r="I1059" s="57"/>
      <c r="J1059" s="64"/>
    </row>
    <row r="1060" spans="1:10">
      <c r="A1060" s="132"/>
      <c r="B1060" s="133"/>
      <c r="C1060" s="135"/>
      <c r="D1060" s="323">
        <v>45</v>
      </c>
      <c r="E1060" s="323"/>
      <c r="F1060" s="323"/>
      <c r="G1060" s="323"/>
      <c r="H1060" s="321">
        <f t="shared" si="132"/>
        <v>45</v>
      </c>
      <c r="I1060" s="57"/>
      <c r="J1060" s="64"/>
    </row>
    <row r="1061" spans="1:10">
      <c r="A1061" s="132"/>
      <c r="B1061" s="133"/>
      <c r="C1061" s="135"/>
      <c r="D1061" s="57"/>
      <c r="E1061" s="57"/>
      <c r="F1061" s="57"/>
      <c r="G1061" s="139" t="str">
        <f>"Total item "&amp;A1057</f>
        <v>Total item 10.53</v>
      </c>
      <c r="H1061" s="140">
        <f>SUM(H1058:H1060)</f>
        <v>1224</v>
      </c>
      <c r="I1061" s="57"/>
      <c r="J1061" s="64"/>
    </row>
    <row r="1062" spans="1:10">
      <c r="A1062" s="311" t="str">
        <f>'Planilha orç'!A159</f>
        <v>10.54</v>
      </c>
      <c r="B1062" s="134" t="str">
        <f>'Planilha orç'!D159</f>
        <v>DISJUNTOR TRIPOLAR EM QUADRO DE DISTRIBUIÇÃO 100A</v>
      </c>
      <c r="C1062" s="311" t="str">
        <f>'Planilha orç'!E159</f>
        <v>UN</v>
      </c>
      <c r="D1062" s="312"/>
      <c r="E1062" s="313"/>
      <c r="F1062" s="314"/>
      <c r="G1062" s="315"/>
      <c r="H1062" s="316"/>
      <c r="I1062" s="57"/>
      <c r="J1062" s="64"/>
    </row>
    <row r="1063" spans="1:10">
      <c r="A1063" s="132"/>
      <c r="B1063" s="133"/>
      <c r="C1063" s="135"/>
      <c r="D1063" s="323">
        <v>1</v>
      </c>
      <c r="E1063" s="323"/>
      <c r="F1063" s="323"/>
      <c r="G1063" s="323"/>
      <c r="H1063" s="321">
        <f t="shared" ref="H1063" si="133">ROUND(PRODUCT(D1063:G1063),2)</f>
        <v>1</v>
      </c>
      <c r="I1063" s="57"/>
      <c r="J1063" s="64"/>
    </row>
    <row r="1064" spans="1:10">
      <c r="A1064" s="132"/>
      <c r="B1064" s="133"/>
      <c r="C1064" s="135"/>
      <c r="D1064" s="57"/>
      <c r="E1064" s="57"/>
      <c r="F1064" s="57"/>
      <c r="G1064" s="139" t="str">
        <f>"Total item "&amp;A1062</f>
        <v>Total item 10.54</v>
      </c>
      <c r="H1064" s="140">
        <f>SUM(H1063:H1063)</f>
        <v>1</v>
      </c>
      <c r="I1064" s="57"/>
      <c r="J1064" s="64"/>
    </row>
    <row r="1065" spans="1:10">
      <c r="A1065" s="311" t="str">
        <f>'Planilha orç'!A160</f>
        <v>10.55</v>
      </c>
      <c r="B1065" s="134" t="str">
        <f>'Planilha orç'!D160</f>
        <v>DISJUNTOR TRIPOLAR C/ACIONAMENTO NA PORTA DO Q.D.ATE 63A</v>
      </c>
      <c r="C1065" s="311" t="str">
        <f>'Planilha orç'!E160</f>
        <v>UN</v>
      </c>
      <c r="D1065" s="312"/>
      <c r="E1065" s="313"/>
      <c r="F1065" s="314"/>
      <c r="G1065" s="315"/>
      <c r="H1065" s="316"/>
      <c r="I1065" s="57"/>
      <c r="J1065" s="64"/>
    </row>
    <row r="1066" spans="1:10">
      <c r="A1066" s="132"/>
      <c r="B1066" s="133"/>
      <c r="C1066" s="135"/>
      <c r="D1066" s="323">
        <v>6</v>
      </c>
      <c r="E1066" s="323"/>
      <c r="F1066" s="323"/>
      <c r="G1066" s="323"/>
      <c r="H1066" s="321">
        <f t="shared" ref="H1066" si="134">ROUND(PRODUCT(D1066:G1066),2)</f>
        <v>6</v>
      </c>
      <c r="I1066" s="57"/>
      <c r="J1066" s="64"/>
    </row>
    <row r="1067" spans="1:10">
      <c r="A1067" s="132"/>
      <c r="B1067" s="133"/>
      <c r="C1067" s="135"/>
      <c r="D1067" s="57"/>
      <c r="E1067" s="57"/>
      <c r="F1067" s="57"/>
      <c r="G1067" s="139" t="str">
        <f>"Total item "&amp;A1065</f>
        <v>Total item 10.55</v>
      </c>
      <c r="H1067" s="140">
        <f>SUM(H1066:H1066)</f>
        <v>6</v>
      </c>
      <c r="I1067" s="57"/>
      <c r="J1067" s="64"/>
    </row>
    <row r="1068" spans="1:10" ht="45">
      <c r="A1068" s="311" t="str">
        <f>'Planilha orç'!A161</f>
        <v>10.56</v>
      </c>
      <c r="B1068" s="134" t="str">
        <f>'Planilha orç'!D161</f>
        <v>QUADRO DE DISTRIBUIÇÃO DE ENERGIA EM CHAPA DE AÇO GALVANIZADO, DE EMBUTIR, COM BARRAMENTO TRIFÁSICO, PARA 24 DISJUNTORES DIN 100A - FORNECIMENTO E INSTALAÇÃO. AF_10/2020</v>
      </c>
      <c r="C1068" s="311" t="str">
        <f>'Planilha orç'!E161</f>
        <v>UN</v>
      </c>
      <c r="D1068" s="312"/>
      <c r="E1068" s="313"/>
      <c r="F1068" s="314"/>
      <c r="G1068" s="315"/>
      <c r="H1068" s="316"/>
      <c r="I1068" s="57"/>
      <c r="J1068" s="64"/>
    </row>
    <row r="1069" spans="1:10">
      <c r="A1069" s="132"/>
      <c r="B1069" s="133"/>
      <c r="C1069" s="135"/>
      <c r="D1069" s="323">
        <v>1</v>
      </c>
      <c r="E1069" s="323"/>
      <c r="F1069" s="323"/>
      <c r="G1069" s="323"/>
      <c r="H1069" s="321">
        <f t="shared" ref="H1069" si="135">ROUND(PRODUCT(D1069:G1069),2)</f>
        <v>1</v>
      </c>
      <c r="I1069" s="57"/>
      <c r="J1069" s="64"/>
    </row>
    <row r="1070" spans="1:10">
      <c r="A1070" s="132"/>
      <c r="B1070" s="133"/>
      <c r="C1070" s="135"/>
      <c r="D1070" s="57"/>
      <c r="E1070" s="57"/>
      <c r="F1070" s="57"/>
      <c r="G1070" s="139" t="str">
        <f>"Total item "&amp;A1068</f>
        <v>Total item 10.56</v>
      </c>
      <c r="H1070" s="140">
        <f>SUM(H1069:H1069)</f>
        <v>1</v>
      </c>
      <c r="I1070" s="57"/>
      <c r="J1070" s="64"/>
    </row>
    <row r="1071" spans="1:10">
      <c r="A1071" s="301" t="str">
        <f>'Planilha orç'!A162</f>
        <v>11.0</v>
      </c>
      <c r="B1071" s="303" t="str">
        <f>'Planilha orç'!D162</f>
        <v>INSTALAÇÕES SANITÁRIAS</v>
      </c>
      <c r="C1071" s="302"/>
      <c r="D1071" s="301"/>
      <c r="E1071" s="301"/>
      <c r="F1071" s="301"/>
      <c r="G1071" s="301"/>
      <c r="H1071" s="301"/>
      <c r="I1071" s="57"/>
      <c r="J1071" s="64"/>
    </row>
    <row r="1072" spans="1:10" ht="22.5">
      <c r="A1072" s="311" t="str">
        <f>'Planilha orç'!A163</f>
        <v>11.1</v>
      </c>
      <c r="B1072" s="134" t="str">
        <f>'Planilha orç'!D163</f>
        <v xml:space="preserve">REMOÇÃO DE LOUÇAS, DE FORMA MANUAL, SEM REAPROVEITAMENTO. AF_12/2017 </v>
      </c>
      <c r="C1072" s="311" t="str">
        <f>'Planilha orç'!E163</f>
        <v>UN</v>
      </c>
      <c r="D1072" s="312"/>
      <c r="E1072" s="313"/>
      <c r="F1072" s="314"/>
      <c r="G1072" s="315"/>
      <c r="H1072" s="316"/>
      <c r="I1072" s="57"/>
      <c r="J1072" s="64"/>
    </row>
    <row r="1073" spans="1:10">
      <c r="A1073" s="317"/>
      <c r="B1073" s="318" t="s">
        <v>1017</v>
      </c>
      <c r="C1073" s="317"/>
      <c r="D1073" s="319">
        <v>12</v>
      </c>
      <c r="E1073" s="320"/>
      <c r="F1073" s="320"/>
      <c r="G1073" s="319"/>
      <c r="H1073" s="321">
        <f>ROUND(PRODUCT(D1073:G1073),2)</f>
        <v>12</v>
      </c>
      <c r="I1073" s="57"/>
      <c r="J1073" s="64"/>
    </row>
    <row r="1074" spans="1:10">
      <c r="A1074" s="317"/>
      <c r="B1074" s="321"/>
      <c r="C1074" s="317"/>
      <c r="D1074" s="317"/>
      <c r="E1074" s="317"/>
      <c r="F1074" s="320"/>
      <c r="G1074" s="139" t="str">
        <f>"Total item "&amp;A1072</f>
        <v>Total item 11.1</v>
      </c>
      <c r="H1074" s="140">
        <f>SUM(H1073:H1073)</f>
        <v>12</v>
      </c>
      <c r="I1074" s="57"/>
      <c r="J1074" s="64"/>
    </row>
    <row r="1075" spans="1:10">
      <c r="A1075" s="311" t="str">
        <f>'Planilha orç'!A164</f>
        <v>11.2</v>
      </c>
      <c r="B1075" s="134" t="str">
        <f>'Planilha orç'!D164</f>
        <v>RASGO EM ALVENARIA P/TUBULAÇÕES D=15 A 25mm (1/2" A 1")</v>
      </c>
      <c r="C1075" s="311" t="str">
        <f>'Planilha orç'!E164</f>
        <v>M</v>
      </c>
      <c r="D1075" s="312"/>
      <c r="E1075" s="313"/>
      <c r="F1075" s="314"/>
      <c r="G1075" s="315"/>
      <c r="H1075" s="316"/>
      <c r="I1075" s="57"/>
      <c r="J1075" s="64"/>
    </row>
    <row r="1076" spans="1:10">
      <c r="A1076" s="317"/>
      <c r="B1076" s="318"/>
      <c r="C1076" s="317"/>
      <c r="D1076" s="319">
        <f>(20*2.8)+(11*2.8)</f>
        <v>86.8</v>
      </c>
      <c r="E1076" s="320"/>
      <c r="F1076" s="320"/>
      <c r="G1076" s="319"/>
      <c r="H1076" s="321">
        <f>ROUND(PRODUCT(D1076:G1076),2)</f>
        <v>86.8</v>
      </c>
      <c r="I1076" s="57"/>
      <c r="J1076" s="64"/>
    </row>
    <row r="1077" spans="1:10">
      <c r="A1077" s="317"/>
      <c r="B1077" s="321"/>
      <c r="C1077" s="317"/>
      <c r="D1077" s="317"/>
      <c r="E1077" s="317"/>
      <c r="F1077" s="320"/>
      <c r="G1077" s="139" t="str">
        <f>"Total item "&amp;A1075</f>
        <v>Total item 11.2</v>
      </c>
      <c r="H1077" s="140">
        <f>SUM(H1076:H1076)</f>
        <v>86.8</v>
      </c>
      <c r="I1077" s="57"/>
      <c r="J1077" s="64"/>
    </row>
    <row r="1078" spans="1:10">
      <c r="A1078" s="311" t="str">
        <f>'Planilha orç'!A165</f>
        <v>11.3</v>
      </c>
      <c r="B1078" s="134" t="str">
        <f>'Planilha orç'!D165</f>
        <v>RASGO EM ALVENARIA P/TUBULAÇÕES D=65 A 100mm (2 1/2" A 4")</v>
      </c>
      <c r="C1078" s="311" t="str">
        <f>'Planilha orç'!E165</f>
        <v>M</v>
      </c>
      <c r="D1078" s="312"/>
      <c r="E1078" s="313"/>
      <c r="F1078" s="314"/>
      <c r="G1078" s="315"/>
      <c r="H1078" s="316"/>
      <c r="I1078" s="57"/>
      <c r="J1078" s="64"/>
    </row>
    <row r="1079" spans="1:10">
      <c r="A1079" s="317"/>
      <c r="B1079" s="318"/>
      <c r="C1079" s="317"/>
      <c r="D1079" s="319">
        <f>2.8*2</f>
        <v>5.6</v>
      </c>
      <c r="E1079" s="320"/>
      <c r="F1079" s="320"/>
      <c r="G1079" s="319"/>
      <c r="H1079" s="321">
        <f>ROUND(PRODUCT(D1079:G1079),2)</f>
        <v>5.6</v>
      </c>
      <c r="I1079" s="57"/>
      <c r="J1079" s="64"/>
    </row>
    <row r="1080" spans="1:10">
      <c r="A1080" s="317"/>
      <c r="B1080" s="321"/>
      <c r="C1080" s="317"/>
      <c r="D1080" s="317"/>
      <c r="E1080" s="317"/>
      <c r="F1080" s="320"/>
      <c r="G1080" s="139" t="str">
        <f>"Total item "&amp;A1078</f>
        <v>Total item 11.3</v>
      </c>
      <c r="H1080" s="140">
        <f>SUM(H1079:H1079)</f>
        <v>5.6</v>
      </c>
      <c r="I1080" s="57"/>
      <c r="J1080" s="64"/>
    </row>
    <row r="1081" spans="1:10" ht="33.75">
      <c r="A1081" s="311" t="str">
        <f>'Planilha orç'!A166</f>
        <v>11.4</v>
      </c>
      <c r="B1081" s="134" t="str">
        <f>'Planilha orç'!D166</f>
        <v>CAIXA EM ALVENARIA (80X80X60cm) DE 1/2 TIJOLO COMUM, LASTRO DE
CONCRETO E TAMPA DE CONCRETO</v>
      </c>
      <c r="C1081" s="311" t="str">
        <f>'Planilha orç'!E166</f>
        <v>UN</v>
      </c>
      <c r="D1081" s="312"/>
      <c r="E1081" s="313"/>
      <c r="F1081" s="314"/>
      <c r="G1081" s="315"/>
      <c r="H1081" s="316"/>
      <c r="I1081" s="57"/>
      <c r="J1081" s="64"/>
    </row>
    <row r="1082" spans="1:10">
      <c r="A1082" s="317"/>
      <c r="B1082" s="321"/>
      <c r="C1082" s="317"/>
      <c r="D1082" s="323">
        <v>7</v>
      </c>
      <c r="E1082" s="323"/>
      <c r="F1082" s="323"/>
      <c r="G1082" s="323"/>
      <c r="H1082" s="321">
        <f t="shared" ref="H1082" si="136">ROUND(PRODUCT(D1082:G1082),2)</f>
        <v>7</v>
      </c>
      <c r="I1082" s="57"/>
      <c r="J1082" s="64"/>
    </row>
    <row r="1083" spans="1:10">
      <c r="A1083" s="317"/>
      <c r="B1083" s="321"/>
      <c r="C1083" s="317"/>
      <c r="D1083" s="317"/>
      <c r="E1083" s="317"/>
      <c r="F1083" s="320"/>
      <c r="G1083" s="113" t="str">
        <f>"Total item "&amp;A1081</f>
        <v>Total item 11.4</v>
      </c>
      <c r="H1083" s="114">
        <f>SUM(H1082:H1082)</f>
        <v>7</v>
      </c>
      <c r="I1083" s="57"/>
      <c r="J1083" s="64"/>
    </row>
    <row r="1084" spans="1:10">
      <c r="A1084" s="311" t="str">
        <f>'Planilha orç'!A167</f>
        <v>11.5</v>
      </c>
      <c r="B1084" s="134" t="str">
        <f>'Planilha orç'!D167</f>
        <v>LUVA DUPLA PVC P/ESGOTO D=150mm -C/ANÉIS - UN</v>
      </c>
      <c r="C1084" s="311" t="str">
        <f>'Planilha orç'!E167</f>
        <v>UN</v>
      </c>
      <c r="D1084" s="312"/>
      <c r="E1084" s="313"/>
      <c r="F1084" s="314"/>
      <c r="G1084" s="315"/>
      <c r="H1084" s="316"/>
      <c r="I1084" s="57"/>
      <c r="J1084" s="64"/>
    </row>
    <row r="1085" spans="1:10">
      <c r="A1085" s="317"/>
      <c r="B1085" s="321"/>
      <c r="C1085" s="317"/>
      <c r="D1085" s="323">
        <v>29</v>
      </c>
      <c r="E1085" s="323"/>
      <c r="F1085" s="323"/>
      <c r="G1085" s="323"/>
      <c r="H1085" s="321">
        <f t="shared" ref="H1085" si="137">ROUND(PRODUCT(D1085:G1085),2)</f>
        <v>29</v>
      </c>
      <c r="I1085" s="57"/>
      <c r="J1085" s="64"/>
    </row>
    <row r="1086" spans="1:10">
      <c r="A1086" s="317"/>
      <c r="B1086" s="321"/>
      <c r="C1086" s="317"/>
      <c r="D1086" s="317"/>
      <c r="E1086" s="317"/>
      <c r="F1086" s="320"/>
      <c r="G1086" s="113" t="str">
        <f>"Total item "&amp;A1084</f>
        <v>Total item 11.5</v>
      </c>
      <c r="H1086" s="114">
        <f>SUM(H1085:H1085)</f>
        <v>29</v>
      </c>
      <c r="I1086" s="57"/>
      <c r="J1086" s="64"/>
    </row>
    <row r="1087" spans="1:10" ht="45">
      <c r="A1087" s="311" t="str">
        <f>'Planilha orç'!A168</f>
        <v>11.6</v>
      </c>
      <c r="B1087" s="134" t="str">
        <f>'Planilha orç'!D168</f>
        <v>CAIXA DE GORDURA ESPECIAL (CAPACIDADE: 312 L - PARA ATÉ 146 PESSOAS SERVIDAS NO PICO), RETANGULAR, EM ALVENARIA COM BLOCOS DE CONCRETO, DIMENSÕES INTERNAS = 0,4X1,2 M, ALTURA INTERNA = 1 M. AF_12/2020</v>
      </c>
      <c r="C1087" s="311" t="str">
        <f>'Planilha orç'!E168</f>
        <v>UN</v>
      </c>
      <c r="D1087" s="312"/>
      <c r="E1087" s="313"/>
      <c r="F1087" s="314"/>
      <c r="G1087" s="315"/>
      <c r="H1087" s="316"/>
      <c r="I1087" s="57"/>
      <c r="J1087" s="64"/>
    </row>
    <row r="1088" spans="1:10">
      <c r="A1088" s="317"/>
      <c r="B1088" s="355"/>
      <c r="C1088" s="357"/>
      <c r="D1088" s="323">
        <v>2</v>
      </c>
      <c r="E1088" s="323"/>
      <c r="F1088" s="323"/>
      <c r="G1088" s="323"/>
      <c r="H1088" s="361">
        <f t="shared" ref="H1088" si="138">ROUND(PRODUCT(D1088:G1088),2)</f>
        <v>2</v>
      </c>
      <c r="I1088" s="57"/>
      <c r="J1088" s="64"/>
    </row>
    <row r="1089" spans="1:10">
      <c r="A1089" s="317"/>
      <c r="B1089" s="321"/>
      <c r="C1089" s="317"/>
      <c r="D1089" s="317"/>
      <c r="E1089" s="317"/>
      <c r="F1089" s="320"/>
      <c r="G1089" s="113" t="str">
        <f>"Total item "&amp;A1087</f>
        <v>Total item 11.6</v>
      </c>
      <c r="H1089" s="114">
        <f>SUM(H1088:H1088)</f>
        <v>2</v>
      </c>
      <c r="I1089" s="57"/>
      <c r="J1089" s="64"/>
    </row>
    <row r="1090" spans="1:10" ht="22.5">
      <c r="A1090" s="311" t="str">
        <f>'Planilha orç'!A169</f>
        <v>11.7</v>
      </c>
      <c r="B1090" s="134" t="str">
        <f>'Planilha orç'!D169</f>
        <v>JUNÇÃO SIMPLES DE REDUÇÃO PVC P/ESGOTO 100X50mm (4"X2")-C/ANÉIS</v>
      </c>
      <c r="C1090" s="311" t="str">
        <f>'Planilha orç'!E169</f>
        <v>UN</v>
      </c>
      <c r="D1090" s="312"/>
      <c r="E1090" s="313"/>
      <c r="F1090" s="314"/>
      <c r="G1090" s="315"/>
      <c r="H1090" s="316"/>
      <c r="I1090" s="57"/>
      <c r="J1090" s="64"/>
    </row>
    <row r="1091" spans="1:10">
      <c r="A1091" s="317"/>
      <c r="B1091" s="321"/>
      <c r="C1091" s="317"/>
      <c r="D1091" s="323">
        <v>19</v>
      </c>
      <c r="E1091" s="323"/>
      <c r="F1091" s="323"/>
      <c r="G1091" s="323"/>
      <c r="H1091" s="321">
        <f t="shared" ref="H1091" si="139">ROUND(PRODUCT(D1091:G1091),2)</f>
        <v>19</v>
      </c>
      <c r="I1091" s="57"/>
      <c r="J1091" s="64"/>
    </row>
    <row r="1092" spans="1:10">
      <c r="A1092" s="317"/>
      <c r="B1092" s="321"/>
      <c r="C1092" s="317"/>
      <c r="D1092" s="317"/>
      <c r="E1092" s="317"/>
      <c r="F1092" s="320"/>
      <c r="G1092" s="113" t="str">
        <f>"Total item "&amp;A1090</f>
        <v>Total item 11.7</v>
      </c>
      <c r="H1092" s="114">
        <f>SUM(H1091:H1091)</f>
        <v>19</v>
      </c>
      <c r="I1092" s="57"/>
      <c r="J1092" s="64"/>
    </row>
    <row r="1093" spans="1:10" ht="22.5">
      <c r="A1093" s="311" t="str">
        <f>'Planilha orç'!A170</f>
        <v>11.8</v>
      </c>
      <c r="B1093" s="134" t="str">
        <f>'Planilha orç'!D170</f>
        <v>JUNÇÃO SIMPLES DE REDUÇÃO PVC P/ESGOTO 150X100mm (6"X4")-C/ANÉIS</v>
      </c>
      <c r="C1093" s="311" t="str">
        <f>'Planilha orç'!E170</f>
        <v>UN</v>
      </c>
      <c r="D1093" s="312"/>
      <c r="E1093" s="313"/>
      <c r="F1093" s="314"/>
      <c r="G1093" s="315"/>
      <c r="H1093" s="316"/>
      <c r="I1093" s="57"/>
      <c r="J1093" s="64"/>
    </row>
    <row r="1094" spans="1:10">
      <c r="A1094" s="317"/>
      <c r="B1094" s="321"/>
      <c r="C1094" s="317"/>
      <c r="D1094" s="323">
        <v>8</v>
      </c>
      <c r="E1094" s="323"/>
      <c r="F1094" s="323"/>
      <c r="G1094" s="323"/>
      <c r="H1094" s="321">
        <f t="shared" ref="H1094" si="140">ROUND(PRODUCT(D1094:G1094),2)</f>
        <v>8</v>
      </c>
      <c r="I1094" s="57"/>
      <c r="J1094" s="64"/>
    </row>
    <row r="1095" spans="1:10">
      <c r="A1095" s="317"/>
      <c r="B1095" s="321"/>
      <c r="C1095" s="317"/>
      <c r="D1095" s="317"/>
      <c r="E1095" s="317"/>
      <c r="F1095" s="320"/>
      <c r="G1095" s="113" t="str">
        <f>"Total item "&amp;A1093</f>
        <v>Total item 11.8</v>
      </c>
      <c r="H1095" s="114">
        <f>SUM(H1094:H1094)</f>
        <v>8</v>
      </c>
      <c r="I1095" s="57"/>
      <c r="J1095" s="64"/>
    </row>
    <row r="1096" spans="1:10" ht="33.75">
      <c r="A1096" s="311" t="str">
        <f>'Planilha orç'!A171</f>
        <v>11.9</v>
      </c>
      <c r="B1096" s="134" t="str">
        <f>'Planilha orç'!D171</f>
        <v>REDUÇÃO EXCÊNTRICA, PVC, P/ ESGOTO PREDIAL DN 100 X 50 MM, JUNTA ELÁSTICA, FORNECIDO E INSTALADO EM RAMAL DE ENCAMINHAMENTO. AF_12/2014</v>
      </c>
      <c r="C1096" s="311" t="str">
        <f>'Planilha orç'!E171</f>
        <v>UN</v>
      </c>
      <c r="D1096" s="312"/>
      <c r="E1096" s="313"/>
      <c r="F1096" s="314"/>
      <c r="G1096" s="315"/>
      <c r="H1096" s="316"/>
      <c r="I1096" s="57"/>
      <c r="J1096" s="64"/>
    </row>
    <row r="1097" spans="1:10">
      <c r="A1097" s="317"/>
      <c r="B1097" s="115"/>
      <c r="C1097" s="341"/>
      <c r="D1097" s="358">
        <v>8</v>
      </c>
      <c r="E1097" s="319"/>
      <c r="F1097" s="320"/>
      <c r="G1097" s="322"/>
      <c r="H1097" s="321">
        <f t="shared" ref="H1097" si="141">ROUND(PRODUCT(D1097:G1097),2)</f>
        <v>8</v>
      </c>
      <c r="I1097" s="57"/>
      <c r="J1097" s="64"/>
    </row>
    <row r="1098" spans="1:10">
      <c r="A1098" s="317"/>
      <c r="B1098" s="321"/>
      <c r="C1098" s="317"/>
      <c r="D1098" s="317"/>
      <c r="E1098" s="317"/>
      <c r="F1098" s="320"/>
      <c r="G1098" s="113" t="str">
        <f>"Total item "&amp;A1096</f>
        <v>Total item 11.9</v>
      </c>
      <c r="H1098" s="114">
        <f>SUM(H1097:H1097)</f>
        <v>8</v>
      </c>
    </row>
    <row r="1099" spans="1:10" ht="22.5">
      <c r="A1099" s="311" t="str">
        <f>'Planilha orç'!A172</f>
        <v>11.10</v>
      </c>
      <c r="B1099" s="134" t="str">
        <f>'Planilha orç'!D172</f>
        <v>CAP (TAMPÃO) OU PLUG (BUJÃO) PVC P/ESGOTO D=100mm C/ANÉIS</v>
      </c>
      <c r="C1099" s="311" t="str">
        <f>'Planilha orç'!E172</f>
        <v>UN</v>
      </c>
      <c r="D1099" s="312"/>
      <c r="E1099" s="313"/>
      <c r="F1099" s="314"/>
      <c r="G1099" s="315"/>
      <c r="H1099" s="316"/>
    </row>
    <row r="1100" spans="1:10">
      <c r="A1100" s="317"/>
      <c r="B1100" s="355"/>
      <c r="C1100" s="317"/>
      <c r="D1100" s="323">
        <v>1</v>
      </c>
      <c r="E1100" s="323"/>
      <c r="F1100" s="323"/>
      <c r="G1100" s="323"/>
      <c r="H1100" s="321">
        <f t="shared" ref="H1100" si="142">ROUND(PRODUCT(D1100:G1100),2)</f>
        <v>1</v>
      </c>
    </row>
    <row r="1101" spans="1:10">
      <c r="A1101" s="317"/>
      <c r="B1101" s="321"/>
      <c r="C1101" s="317"/>
      <c r="D1101" s="317"/>
      <c r="E1101" s="317"/>
      <c r="F1101" s="320"/>
      <c r="G1101" s="139" t="str">
        <f>"Total item "&amp;A1099</f>
        <v>Total item 11.10</v>
      </c>
      <c r="H1101" s="140">
        <f>SUM(H1100:H1100)</f>
        <v>1</v>
      </c>
    </row>
    <row r="1102" spans="1:10" ht="22.5">
      <c r="A1102" s="311" t="str">
        <f>'Planilha orç'!A173</f>
        <v>11.11</v>
      </c>
      <c r="B1102" s="134" t="str">
        <f>'Planilha orç'!D173</f>
        <v>CAP (TAMPÃO) OU PLUG (BUJÃO) PVC P/ESGOTO D=150mm C/ANÉIS - UN</v>
      </c>
      <c r="C1102" s="311" t="str">
        <f>'Planilha orç'!E173</f>
        <v>UN</v>
      </c>
      <c r="D1102" s="312"/>
      <c r="E1102" s="313"/>
      <c r="F1102" s="314"/>
      <c r="G1102" s="315"/>
      <c r="H1102" s="316"/>
    </row>
    <row r="1103" spans="1:10">
      <c r="A1103" s="317"/>
      <c r="B1103" s="321"/>
      <c r="C1103" s="317"/>
      <c r="D1103" s="323">
        <v>3</v>
      </c>
      <c r="E1103" s="323"/>
      <c r="F1103" s="323"/>
      <c r="G1103" s="323"/>
      <c r="H1103" s="321">
        <f t="shared" ref="H1103" si="143">ROUND(PRODUCT(D1103:G1103),2)</f>
        <v>3</v>
      </c>
    </row>
    <row r="1104" spans="1:10">
      <c r="A1104" s="317"/>
      <c r="B1104" s="321"/>
      <c r="C1104" s="317"/>
      <c r="D1104" s="317"/>
      <c r="E1104" s="317"/>
      <c r="F1104" s="320"/>
      <c r="G1104" s="139" t="str">
        <f>"Total item "&amp;A1102</f>
        <v>Total item 11.11</v>
      </c>
      <c r="H1104" s="140">
        <f>SUM(H1103:H1103)</f>
        <v>3</v>
      </c>
    </row>
    <row r="1105" spans="1:8" ht="33.75">
      <c r="A1105" s="311" t="str">
        <f>'Planilha orç'!A174</f>
        <v>11.12</v>
      </c>
      <c r="B1105" s="134" t="str">
        <f>'Planilha orç'!D174</f>
        <v>CAIXA SIFONADA, PVC, DN 100 X 100 X 50 MM, JUNTA ELÁSTICA, FORNECIDA E INSTALADA EM RAMAL DE DESCARGA OU EM RAMAL DE ESGOTO SANITÁRIO. AF_12/2014</v>
      </c>
      <c r="C1105" s="311" t="str">
        <f>'Planilha orç'!E174</f>
        <v>UN</v>
      </c>
      <c r="D1105" s="312"/>
      <c r="E1105" s="313"/>
      <c r="F1105" s="314"/>
      <c r="G1105" s="315"/>
      <c r="H1105" s="316"/>
    </row>
    <row r="1106" spans="1:8">
      <c r="A1106" s="317"/>
      <c r="B1106" s="355"/>
      <c r="C1106" s="357"/>
      <c r="D1106" s="323">
        <v>18</v>
      </c>
      <c r="E1106" s="323"/>
      <c r="F1106" s="323"/>
      <c r="G1106" s="323"/>
      <c r="H1106" s="361">
        <f t="shared" ref="H1106" si="144">ROUND(PRODUCT(D1106:G1106),2)</f>
        <v>18</v>
      </c>
    </row>
    <row r="1107" spans="1:8">
      <c r="A1107" s="317"/>
      <c r="B1107" s="321"/>
      <c r="C1107" s="317"/>
      <c r="D1107" s="317"/>
      <c r="E1107" s="317"/>
      <c r="F1107" s="320"/>
      <c r="G1107" s="113" t="str">
        <f>"Total item "&amp;A1105</f>
        <v>Total item 11.12</v>
      </c>
      <c r="H1107" s="114">
        <f>SUM(H1106:H1106)</f>
        <v>18</v>
      </c>
    </row>
    <row r="1108" spans="1:8">
      <c r="A1108" s="311" t="str">
        <f>'Planilha orç'!A175</f>
        <v>11.13</v>
      </c>
      <c r="B1108" s="134" t="str">
        <f>'Planilha orç'!D175</f>
        <v>CAIXA SIFONADA 150X150X50cm COM GRELHA - PADRÃO POPULAR</v>
      </c>
      <c r="C1108" s="311" t="str">
        <f>'Planilha orç'!E175</f>
        <v>UN</v>
      </c>
      <c r="D1108" s="312"/>
      <c r="E1108" s="313"/>
      <c r="F1108" s="314"/>
      <c r="G1108" s="315"/>
      <c r="H1108" s="316"/>
    </row>
    <row r="1109" spans="1:8">
      <c r="A1109" s="317"/>
      <c r="B1109" s="321"/>
      <c r="C1109" s="317"/>
      <c r="D1109" s="323">
        <v>7</v>
      </c>
      <c r="E1109" s="323"/>
      <c r="F1109" s="323"/>
      <c r="G1109" s="323"/>
      <c r="H1109" s="321">
        <f t="shared" ref="H1109" si="145">ROUND(PRODUCT(D1109:G1109),2)</f>
        <v>7</v>
      </c>
    </row>
    <row r="1110" spans="1:8">
      <c r="A1110" s="317"/>
      <c r="B1110" s="321"/>
      <c r="C1110" s="317"/>
      <c r="D1110" s="317"/>
      <c r="E1110" s="317"/>
      <c r="F1110" s="320"/>
      <c r="G1110" s="113" t="str">
        <f>"Total item "&amp;A1108</f>
        <v>Total item 11.13</v>
      </c>
      <c r="H1110" s="114">
        <f>SUM(H1109:H1109)</f>
        <v>7</v>
      </c>
    </row>
    <row r="1111" spans="1:8" ht="22.5">
      <c r="A1111" s="311" t="str">
        <f>'Planilha orç'!A176</f>
        <v>11.14</v>
      </c>
      <c r="B1111" s="134" t="str">
        <f>'Planilha orç'!D176</f>
        <v>SIFÃO DO TIPO GARRAFA EM METAL CROMADO 1 X 1.1/2 - FORNECIMENTO E INSTALAÇÃO. AF_01/2020</v>
      </c>
      <c r="C1111" s="311" t="str">
        <f>'Planilha orç'!E176</f>
        <v>UN</v>
      </c>
      <c r="D1111" s="312"/>
      <c r="E1111" s="313"/>
      <c r="F1111" s="314"/>
      <c r="G1111" s="315"/>
      <c r="H1111" s="316"/>
    </row>
    <row r="1112" spans="1:8">
      <c r="A1112" s="317"/>
      <c r="B1112" s="321"/>
      <c r="C1112" s="317"/>
      <c r="D1112" s="323">
        <v>20</v>
      </c>
      <c r="E1112" s="323"/>
      <c r="F1112" s="323"/>
      <c r="G1112" s="323"/>
      <c r="H1112" s="321">
        <f t="shared" ref="H1112" si="146">ROUND(PRODUCT(D1112:G1112),2)</f>
        <v>20</v>
      </c>
    </row>
    <row r="1113" spans="1:8">
      <c r="A1113" s="317"/>
      <c r="B1113" s="321"/>
      <c r="C1113" s="317"/>
      <c r="D1113" s="317"/>
      <c r="E1113" s="317"/>
      <c r="F1113" s="320"/>
      <c r="G1113" s="113" t="str">
        <f>"Total item "&amp;A1111</f>
        <v>Total item 11.14</v>
      </c>
      <c r="H1113" s="114">
        <f>SUM(H1112:H1112)</f>
        <v>20</v>
      </c>
    </row>
    <row r="1114" spans="1:8" ht="33.75">
      <c r="A1114" s="311" t="str">
        <f>'Planilha orç'!A177</f>
        <v>11.15</v>
      </c>
      <c r="B1114" s="134" t="str">
        <f>'Planilha orç'!D177</f>
        <v>VÁLVULA EM METAL CROMADO 1.1/2 X 1.1/2 PARA TANQUE OU LAVATÓRIO, COM OU SEM LADRÃO - FORNECIMENTO E INSTALAÇÃO. AF_01/2020</v>
      </c>
      <c r="C1114" s="311" t="str">
        <f>'Planilha orç'!E177</f>
        <v>UN</v>
      </c>
      <c r="D1114" s="312"/>
      <c r="E1114" s="313"/>
      <c r="F1114" s="314"/>
      <c r="G1114" s="315"/>
      <c r="H1114" s="316"/>
    </row>
    <row r="1115" spans="1:8">
      <c r="A1115" s="317"/>
      <c r="B1115" s="321" t="s">
        <v>476</v>
      </c>
      <c r="C1115" s="317"/>
      <c r="D1115" s="323">
        <v>2</v>
      </c>
      <c r="E1115" s="323"/>
      <c r="F1115" s="323"/>
      <c r="G1115" s="323"/>
      <c r="H1115" s="321">
        <f t="shared" ref="H1115:H1121" si="147">ROUND(PRODUCT(D1115:G1115),2)</f>
        <v>2</v>
      </c>
    </row>
    <row r="1116" spans="1:8">
      <c r="A1116" s="317"/>
      <c r="B1116" s="321" t="s">
        <v>688</v>
      </c>
      <c r="C1116" s="317"/>
      <c r="D1116" s="323">
        <v>3</v>
      </c>
      <c r="E1116" s="323"/>
      <c r="F1116" s="323"/>
      <c r="G1116" s="323"/>
      <c r="H1116" s="321">
        <f t="shared" si="147"/>
        <v>3</v>
      </c>
    </row>
    <row r="1117" spans="1:8">
      <c r="A1117" s="317"/>
      <c r="B1117" s="321" t="s">
        <v>689</v>
      </c>
      <c r="C1117" s="317"/>
      <c r="D1117" s="323">
        <v>3</v>
      </c>
      <c r="E1117" s="323"/>
      <c r="F1117" s="323"/>
      <c r="G1117" s="323"/>
      <c r="H1117" s="321">
        <f t="shared" si="147"/>
        <v>3</v>
      </c>
    </row>
    <row r="1118" spans="1:8">
      <c r="A1118" s="317"/>
      <c r="B1118" s="321" t="s">
        <v>690</v>
      </c>
      <c r="C1118" s="317"/>
      <c r="D1118" s="323">
        <v>3</v>
      </c>
      <c r="E1118" s="323"/>
      <c r="F1118" s="323"/>
      <c r="G1118" s="323"/>
      <c r="H1118" s="321">
        <f t="shared" si="147"/>
        <v>3</v>
      </c>
    </row>
    <row r="1119" spans="1:8">
      <c r="A1119" s="317"/>
      <c r="B1119" s="321" t="s">
        <v>691</v>
      </c>
      <c r="C1119" s="317"/>
      <c r="D1119" s="323">
        <v>3</v>
      </c>
      <c r="E1119" s="323"/>
      <c r="F1119" s="323"/>
      <c r="G1119" s="323"/>
      <c r="H1119" s="321">
        <f t="shared" si="147"/>
        <v>3</v>
      </c>
    </row>
    <row r="1120" spans="1:8">
      <c r="A1120" s="317"/>
      <c r="B1120" s="321" t="s">
        <v>692</v>
      </c>
      <c r="C1120" s="317"/>
      <c r="D1120" s="323">
        <v>3</v>
      </c>
      <c r="E1120" s="323"/>
      <c r="F1120" s="323"/>
      <c r="G1120" s="323"/>
      <c r="H1120" s="321">
        <f t="shared" si="147"/>
        <v>3</v>
      </c>
    </row>
    <row r="1121" spans="1:8">
      <c r="A1121" s="317"/>
      <c r="B1121" s="321" t="s">
        <v>693</v>
      </c>
      <c r="C1121" s="317"/>
      <c r="D1121" s="323">
        <v>3</v>
      </c>
      <c r="E1121" s="323"/>
      <c r="F1121" s="323"/>
      <c r="G1121" s="323"/>
      <c r="H1121" s="321">
        <f t="shared" si="147"/>
        <v>3</v>
      </c>
    </row>
    <row r="1122" spans="1:8">
      <c r="A1122" s="317"/>
      <c r="B1122" s="321"/>
      <c r="C1122" s="317"/>
      <c r="D1122" s="317"/>
      <c r="E1122" s="317"/>
      <c r="F1122" s="320"/>
      <c r="G1122" s="139" t="str">
        <f>"Total item "&amp;A1114</f>
        <v>Total item 11.15</v>
      </c>
      <c r="H1122" s="140">
        <f>SUM(H1115:H1121)</f>
        <v>20</v>
      </c>
    </row>
    <row r="1123" spans="1:8" ht="33.75">
      <c r="A1123" s="311" t="str">
        <f>'Planilha orç'!A178</f>
        <v>11.16</v>
      </c>
      <c r="B1123" s="134" t="str">
        <f>'Planilha orç'!D178</f>
        <v>CURVA CURTA 90 GRAUS, PVC, SERIE NORMAL, ESGOTO PREDIAL, DN 40 MM, JUNTA SOLDÁVEL, FORNECIDO E INSTALADO EM RAMAL DE DESCARGA OU RAMAL DE ESGOTO SANITÁRIO. AF_12/2014</v>
      </c>
      <c r="C1123" s="311" t="str">
        <f>'Planilha orç'!E178</f>
        <v>UN</v>
      </c>
      <c r="D1123" s="312"/>
      <c r="E1123" s="313"/>
      <c r="F1123" s="314"/>
      <c r="G1123" s="315"/>
      <c r="H1123" s="316"/>
    </row>
    <row r="1124" spans="1:8">
      <c r="A1124" s="317"/>
      <c r="B1124" s="115"/>
      <c r="C1124" s="341"/>
      <c r="D1124" s="358">
        <v>18</v>
      </c>
      <c r="E1124" s="319"/>
      <c r="F1124" s="320"/>
      <c r="G1124" s="322"/>
      <c r="H1124" s="321">
        <f t="shared" ref="H1124" si="148">ROUND(PRODUCT(D1124:G1124),2)</f>
        <v>18</v>
      </c>
    </row>
    <row r="1125" spans="1:8">
      <c r="A1125" s="317"/>
      <c r="B1125" s="321"/>
      <c r="C1125" s="317"/>
      <c r="D1125" s="317"/>
      <c r="E1125" s="317"/>
      <c r="F1125" s="320"/>
      <c r="G1125" s="113" t="str">
        <f>"Total item "&amp;A1123</f>
        <v>Total item 11.16</v>
      </c>
      <c r="H1125" s="114">
        <f>SUM(H1124:H1124)</f>
        <v>18</v>
      </c>
    </row>
    <row r="1126" spans="1:8" ht="33.75">
      <c r="A1126" s="311" t="str">
        <f>'Planilha orç'!A179</f>
        <v>11.17</v>
      </c>
      <c r="B1126" s="134" t="str">
        <f>'Planilha orç'!D179</f>
        <v>JOELHO 45 GRAUS, PVC, SERIE NORMAL, ESGOTO PREDIAL, DN 50 MM, JUNTA ELÁSTICA, FORNECIDO E INSTALADO EM RAMAL DE DESCARGA OU RAMAL DE ESGOTO SANITÁRIO. AF_12/2014</v>
      </c>
      <c r="C1126" s="366" t="str">
        <f>'Planilha orç'!E179</f>
        <v>UN</v>
      </c>
      <c r="D1126" s="312"/>
      <c r="E1126" s="313"/>
      <c r="F1126" s="314"/>
      <c r="G1126" s="315"/>
      <c r="H1126" s="316"/>
    </row>
    <row r="1127" spans="1:8">
      <c r="A1127" s="317"/>
      <c r="B1127" s="355"/>
      <c r="C1127" s="317"/>
      <c r="D1127" s="323">
        <v>19</v>
      </c>
      <c r="E1127" s="323"/>
      <c r="F1127" s="323"/>
      <c r="G1127" s="323"/>
      <c r="H1127" s="321">
        <f t="shared" ref="H1127" si="149">ROUND(PRODUCT(D1127:G1127),2)</f>
        <v>19</v>
      </c>
    </row>
    <row r="1128" spans="1:8">
      <c r="A1128" s="317"/>
      <c r="B1128" s="321"/>
      <c r="C1128" s="317"/>
      <c r="D1128" s="317"/>
      <c r="E1128" s="317"/>
      <c r="F1128" s="320"/>
      <c r="G1128" s="139" t="str">
        <f>"Total item "&amp;A1126</f>
        <v>Total item 11.17</v>
      </c>
      <c r="H1128" s="140">
        <f>SUM(H1127:H1127)</f>
        <v>19</v>
      </c>
    </row>
    <row r="1129" spans="1:8" ht="33.75">
      <c r="A1129" s="311" t="str">
        <f>'Planilha orç'!A180</f>
        <v>11.18</v>
      </c>
      <c r="B1129" s="134" t="str">
        <f>'Planilha orç'!D180</f>
        <v>JOELHO 45 GRAUS, PVC, SERIE NORMAL, ESGOTO PREDIAL, DN 40 MM, JUNTA SOLDÁVEL, FORNECIDO E INSTALADO EM RAMAL DE DESCARGA OU RAMAL DE ESGOTO SANITÁRIO. AF_12/2014</v>
      </c>
      <c r="C1129" s="366" t="str">
        <f>'Planilha orç'!E180</f>
        <v>UN</v>
      </c>
      <c r="D1129" s="312"/>
      <c r="E1129" s="313"/>
      <c r="F1129" s="314"/>
      <c r="G1129" s="315"/>
      <c r="H1129" s="316"/>
    </row>
    <row r="1130" spans="1:8">
      <c r="A1130" s="317"/>
      <c r="B1130" s="321"/>
      <c r="C1130" s="317"/>
      <c r="D1130" s="323">
        <v>10</v>
      </c>
      <c r="E1130" s="323"/>
      <c r="F1130" s="323"/>
      <c r="G1130" s="323"/>
      <c r="H1130" s="321">
        <f t="shared" ref="H1130" si="150">ROUND(PRODUCT(D1130:G1130),2)</f>
        <v>10</v>
      </c>
    </row>
    <row r="1131" spans="1:8">
      <c r="A1131" s="317"/>
      <c r="B1131" s="321"/>
      <c r="C1131" s="317"/>
      <c r="D1131" s="317"/>
      <c r="E1131" s="317"/>
      <c r="F1131" s="320"/>
      <c r="G1131" s="139" t="str">
        <f>"Total item "&amp;A1129</f>
        <v>Total item 11.18</v>
      </c>
      <c r="H1131" s="140">
        <f>SUM(H1130:H1130)</f>
        <v>10</v>
      </c>
    </row>
    <row r="1132" spans="1:8" ht="33.75">
      <c r="A1132" s="311" t="str">
        <f>'Planilha orç'!A181</f>
        <v>11.19</v>
      </c>
      <c r="B1132" s="134" t="str">
        <f>'Planilha orç'!D181</f>
        <v>JOELHO 45 GRAUS, PVC, SERIE NORMAL, ESGOTO PREDIAL, DN 150 MM, JUNTA E LÁSTICA, FORNECIDO E INSTALADO EM SUBCOLETOR AÉREO DE ESGOTO SANITÁRIO. AF_12/2014</v>
      </c>
      <c r="C1132" s="366" t="str">
        <f>'Planilha orç'!E181</f>
        <v>UN</v>
      </c>
      <c r="D1132" s="312"/>
      <c r="E1132" s="313"/>
      <c r="F1132" s="314"/>
      <c r="G1132" s="315"/>
      <c r="H1132" s="316"/>
    </row>
    <row r="1133" spans="1:8">
      <c r="A1133" s="317"/>
      <c r="B1133" s="321"/>
      <c r="C1133" s="317"/>
      <c r="D1133" s="323">
        <v>2</v>
      </c>
      <c r="E1133" s="323"/>
      <c r="F1133" s="323"/>
      <c r="G1133" s="323"/>
      <c r="H1133" s="321">
        <f t="shared" ref="H1133" si="151">ROUND(PRODUCT(D1133:G1133),2)</f>
        <v>2</v>
      </c>
    </row>
    <row r="1134" spans="1:8">
      <c r="A1134" s="317"/>
      <c r="B1134" s="321"/>
      <c r="C1134" s="317"/>
      <c r="D1134" s="317"/>
      <c r="E1134" s="317"/>
      <c r="F1134" s="320"/>
      <c r="G1134" s="113" t="str">
        <f>"Total item "&amp;A1132</f>
        <v>Total item 11.19</v>
      </c>
      <c r="H1134" s="114">
        <f>SUM(H1133:H1133)</f>
        <v>2</v>
      </c>
    </row>
    <row r="1135" spans="1:8" ht="33.75">
      <c r="A1135" s="311" t="str">
        <f>'Planilha orç'!A182</f>
        <v>11.20</v>
      </c>
      <c r="B1135" s="134" t="str">
        <f>'Planilha orç'!D182</f>
        <v>LUVA SIMPLES, PVC, SERIE NORMAL, ESGOTO PREDIAL, DN 50 MM, JUNTA ELÁSTICA, FORNECIDO E INSTALADO EM RAMAL DE DESCARGA OU RAMAL DE ESGOTO SANITÁRIO. AF_12/2014</v>
      </c>
      <c r="C1135" s="311" t="str">
        <f>'Planilha orç'!E182</f>
        <v>UN</v>
      </c>
      <c r="D1135" s="312"/>
      <c r="E1135" s="313"/>
      <c r="F1135" s="314"/>
      <c r="G1135" s="315"/>
      <c r="H1135" s="316"/>
    </row>
    <row r="1136" spans="1:8">
      <c r="A1136" s="317"/>
      <c r="B1136" s="321"/>
      <c r="C1136" s="317"/>
      <c r="D1136" s="323">
        <v>21</v>
      </c>
      <c r="E1136" s="323"/>
      <c r="F1136" s="323"/>
      <c r="G1136" s="323"/>
      <c r="H1136" s="321">
        <f t="shared" ref="H1136" si="152">ROUND(PRODUCT(D1136:G1136),2)</f>
        <v>21</v>
      </c>
    </row>
    <row r="1137" spans="1:8">
      <c r="A1137" s="317"/>
      <c r="B1137" s="321"/>
      <c r="C1137" s="317"/>
      <c r="D1137" s="317"/>
      <c r="E1137" s="317"/>
      <c r="F1137" s="320"/>
      <c r="G1137" s="113" t="str">
        <f>"Total item "&amp;A1135</f>
        <v>Total item 11.20</v>
      </c>
      <c r="H1137" s="114">
        <f>SUM(H1136:H1136)</f>
        <v>21</v>
      </c>
    </row>
    <row r="1138" spans="1:8" ht="33.75">
      <c r="A1138" s="311" t="str">
        <f>'Planilha orç'!A183</f>
        <v>11.21</v>
      </c>
      <c r="B1138" s="134" t="str">
        <f>'Planilha orç'!D183</f>
        <v>LUVA SIMPLES, PVC, SERIE NORMAL, ESGOTO PREDIAL, DN 100 MM, JUNTA ELÁSTICA, FORNECIDO E INSTALADO EM RAMAL DE DESCARGA OU RAMAL DE ESGOTO SANITÁRIO. AF_12/2014</v>
      </c>
      <c r="C1138" s="311" t="str">
        <f>'Planilha orç'!E183</f>
        <v>UN</v>
      </c>
      <c r="D1138" s="312"/>
      <c r="E1138" s="313"/>
      <c r="F1138" s="314"/>
      <c r="G1138" s="315"/>
      <c r="H1138" s="316"/>
    </row>
    <row r="1139" spans="1:8">
      <c r="A1139" s="317"/>
      <c r="B1139" s="321"/>
      <c r="C1139" s="317"/>
      <c r="D1139" s="323">
        <v>28</v>
      </c>
      <c r="E1139" s="323"/>
      <c r="F1139" s="323"/>
      <c r="G1139" s="323"/>
      <c r="H1139" s="321">
        <f t="shared" ref="H1139" si="153">ROUND(PRODUCT(D1139:G1139),2)</f>
        <v>28</v>
      </c>
    </row>
    <row r="1140" spans="1:8">
      <c r="A1140" s="317"/>
      <c r="B1140" s="321"/>
      <c r="C1140" s="317"/>
      <c r="D1140" s="317"/>
      <c r="E1140" s="317"/>
      <c r="F1140" s="320"/>
      <c r="G1140" s="113" t="str">
        <f>"Total item "&amp;A1138</f>
        <v>Total item 11.21</v>
      </c>
      <c r="H1140" s="114">
        <f>SUM(H1139:H1139)</f>
        <v>28</v>
      </c>
    </row>
    <row r="1141" spans="1:8" ht="56.25">
      <c r="A1141" s="311" t="str">
        <f>'Planilha orç'!A184</f>
        <v>11.22</v>
      </c>
      <c r="B1141" s="134" t="str">
        <f>'Planilha orç'!D184</f>
        <v>(COMPOSIÇÃO REPRESENTATIVA) DO SERVIÇO DE INSTALAÇÃO DE TUBO DE PVC, SÉRIE NORMAL, ESGOTO PREDIAL, DN 40 MM (INSTALADO EM RAMAL DE DESCARGA OU RAMAL DE ESGOTO SANITÁRIO), INCLUSIVE CONEXÕES, CORTES E FIXAÇÕES, PARA PRÉDIOS. AF_10/2015</v>
      </c>
      <c r="C1141" s="311" t="str">
        <f>'Planilha orç'!E184</f>
        <v>M</v>
      </c>
      <c r="D1141" s="312"/>
      <c r="E1141" s="313"/>
      <c r="F1141" s="314"/>
      <c r="G1141" s="315"/>
      <c r="H1141" s="316"/>
    </row>
    <row r="1142" spans="1:8">
      <c r="A1142" s="317"/>
      <c r="B1142" s="321"/>
      <c r="C1142" s="317"/>
      <c r="D1142" s="323">
        <f>1.1*22.11</f>
        <v>24.321000000000002</v>
      </c>
      <c r="E1142" s="323"/>
      <c r="F1142" s="323"/>
      <c r="G1142" s="323"/>
      <c r="H1142" s="321">
        <f t="shared" ref="H1142" si="154">ROUND(PRODUCT(D1142:G1142),2)</f>
        <v>24.32</v>
      </c>
    </row>
    <row r="1143" spans="1:8">
      <c r="A1143" s="317"/>
      <c r="B1143" s="321"/>
      <c r="C1143" s="317"/>
      <c r="D1143" s="317"/>
      <c r="E1143" s="317"/>
      <c r="F1143" s="320"/>
      <c r="G1143" s="139" t="str">
        <f>"Total item "&amp;A1141</f>
        <v>Total item 11.22</v>
      </c>
      <c r="H1143" s="140">
        <f>SUM(H1142:H1142)</f>
        <v>24.32</v>
      </c>
    </row>
    <row r="1144" spans="1:8" ht="56.25">
      <c r="A1144" s="311" t="str">
        <f>'Planilha orç'!A185</f>
        <v>11.23</v>
      </c>
      <c r="B1144" s="134" t="str">
        <f>'Planilha orç'!D185</f>
        <v>(COMPOSIÇÃO REPRESENTATIVA) DO SERVIÇO DE INSTALAÇÃO DE TUBO DE PVC, SÉRIE NORMAL, ESGOTO PREDIAL, DN 50 MM (INSTALADO EM RAMAL DE DESCARGA OU RAMAL DE ESGOTO SANITÁRIO), INCLUSIVE CONEXÕES, CORTES E FIXAÇÕES PARA, PRÉDIOS. AF_10/2015</v>
      </c>
      <c r="C1144" s="311" t="str">
        <f>'Planilha orç'!E185</f>
        <v>M</v>
      </c>
      <c r="D1144" s="312"/>
      <c r="E1144" s="313"/>
      <c r="F1144" s="314"/>
      <c r="G1144" s="315"/>
      <c r="H1144" s="316"/>
    </row>
    <row r="1145" spans="1:8">
      <c r="A1145" s="317"/>
      <c r="B1145" s="321"/>
      <c r="C1145" s="317"/>
      <c r="D1145" s="323">
        <f>1.1*29.73</f>
        <v>32.703000000000003</v>
      </c>
      <c r="E1145" s="323"/>
      <c r="F1145" s="323"/>
      <c r="G1145" s="323"/>
      <c r="H1145" s="321">
        <f t="shared" ref="H1145" si="155">ROUND(PRODUCT(D1145:G1145),2)</f>
        <v>32.700000000000003</v>
      </c>
    </row>
    <row r="1146" spans="1:8">
      <c r="A1146" s="317"/>
      <c r="B1146" s="321"/>
      <c r="C1146" s="317"/>
      <c r="D1146" s="317"/>
      <c r="E1146" s="317"/>
      <c r="F1146" s="320"/>
      <c r="G1146" s="139" t="str">
        <f>"Total item "&amp;A1144</f>
        <v>Total item 11.23</v>
      </c>
      <c r="H1146" s="140">
        <f>SUM(H1145:H1145)</f>
        <v>32.700000000000003</v>
      </c>
    </row>
    <row r="1147" spans="1:8" ht="56.25">
      <c r="A1147" s="311" t="str">
        <f>'Planilha orç'!A186</f>
        <v>11.24</v>
      </c>
      <c r="B1147" s="134" t="str">
        <f>'Planilha orç'!D186</f>
        <v>(COMPOSIÇÃO REPRESENTATIVA) DO SERVIÇO DE INST. TUBO PVC, SÉRIE N, ESGOTO PREDIAL, 100 MM (INST. RAMAL DESCARGA, RAMAL DE ESG. SANIT., PRUMA DA ESG. SANIT., VENTILAÇÃO OU SUB-COLETOR AÉREO), INCL. CONEXÕES E CORTES, FIXAÇÕES, P/ PRÉDIOS. AF_10/2015</v>
      </c>
      <c r="C1147" s="311" t="str">
        <f>'Planilha orç'!E186</f>
        <v>M</v>
      </c>
      <c r="D1147" s="312"/>
      <c r="E1147" s="313"/>
      <c r="F1147" s="314"/>
      <c r="G1147" s="315"/>
      <c r="H1147" s="316"/>
    </row>
    <row r="1148" spans="1:8">
      <c r="A1148" s="317"/>
      <c r="B1148" s="321"/>
      <c r="C1148" s="317"/>
      <c r="D1148" s="323">
        <f>1.1*5.97</f>
        <v>6.5670000000000002</v>
      </c>
      <c r="E1148" s="323"/>
      <c r="F1148" s="323"/>
      <c r="G1148" s="323"/>
      <c r="H1148" s="321">
        <f t="shared" ref="H1148:H1149" si="156">ROUND(PRODUCT(D1148:G1148),2)</f>
        <v>6.57</v>
      </c>
    </row>
    <row r="1149" spans="1:8">
      <c r="A1149" s="317"/>
      <c r="B1149" s="321"/>
      <c r="C1149" s="317"/>
      <c r="D1149" s="323">
        <f>1.1*58.13</f>
        <v>63.943000000000005</v>
      </c>
      <c r="E1149" s="323"/>
      <c r="F1149" s="323"/>
      <c r="G1149" s="323"/>
      <c r="H1149" s="321">
        <f t="shared" si="156"/>
        <v>63.94</v>
      </c>
    </row>
    <row r="1150" spans="1:8">
      <c r="A1150" s="317"/>
      <c r="B1150" s="321"/>
      <c r="C1150" s="317"/>
      <c r="D1150" s="317"/>
      <c r="E1150" s="317"/>
      <c r="F1150" s="320"/>
      <c r="G1150" s="139" t="str">
        <f>"Total item "&amp;A1147</f>
        <v>Total item 11.24</v>
      </c>
      <c r="H1150" s="140">
        <f>SUM(H1148:H1149)</f>
        <v>70.509999999999991</v>
      </c>
    </row>
    <row r="1151" spans="1:8" ht="45">
      <c r="A1151" s="311" t="str">
        <f>'Planilha orç'!A187</f>
        <v>11.25</v>
      </c>
      <c r="B1151" s="134" t="str">
        <f>'Planilha orç'!D187</f>
        <v>(COMPOSIÇÃO REPRESENTATIVA) DO SERVIÇO DE INSTALAÇÃO DE TUBO DE PVC, SÉRIE NORMAL, ESGOTO PREDIAL, DN 150 MM (INSTALADO EM SUB-COLETOR AÉREO), INCLUSIVE CONEXÕES, CORTES E FIXAÇÕES, PARA PRÉDIOS. AF_10/2015</v>
      </c>
      <c r="C1151" s="311" t="str">
        <f>'Planilha orç'!E187</f>
        <v>M</v>
      </c>
      <c r="D1151" s="312"/>
      <c r="E1151" s="313"/>
      <c r="F1151" s="314"/>
      <c r="G1151" s="315"/>
      <c r="H1151" s="316"/>
    </row>
    <row r="1152" spans="1:8">
      <c r="A1152" s="317"/>
      <c r="B1152" s="321"/>
      <c r="C1152" s="317"/>
      <c r="D1152" s="323">
        <f>1.25*82.07</f>
        <v>102.58749999999999</v>
      </c>
      <c r="E1152" s="323"/>
      <c r="F1152" s="323"/>
      <c r="G1152" s="323"/>
      <c r="H1152" s="321">
        <f t="shared" ref="H1152" si="157">ROUND(PRODUCT(D1152:G1152),2)</f>
        <v>102.59</v>
      </c>
    </row>
    <row r="1153" spans="1:8">
      <c r="A1153" s="317"/>
      <c r="B1153" s="321"/>
      <c r="C1153" s="317"/>
      <c r="D1153" s="317"/>
      <c r="E1153" s="317"/>
      <c r="F1153" s="320"/>
      <c r="G1153" s="139" t="str">
        <f>"Total item "&amp;A1151</f>
        <v>Total item 11.25</v>
      </c>
      <c r="H1153" s="140">
        <f>SUM(H1152:H1152)</f>
        <v>102.59</v>
      </c>
    </row>
    <row r="1154" spans="1:8" ht="33.75">
      <c r="A1154" s="311" t="str">
        <f>'Planilha orç'!A188</f>
        <v>11.26</v>
      </c>
      <c r="B1154" s="134" t="str">
        <f>'Planilha orç'!D188</f>
        <v>TE, PVC, SERIE NORMAL, ESGOTO PREDIAL, DN 40 X 40 MM, JUNTA SOLDÁVEL, FORNECIDO E INSTALADO EM RAMAL DE DESCARGA OU RAMAL DE ESGOTO SANITÁRIO. AF_12/2014</v>
      </c>
      <c r="C1154" s="311" t="str">
        <f>'Planilha orç'!E188</f>
        <v>UN</v>
      </c>
      <c r="D1154" s="312"/>
      <c r="E1154" s="313"/>
      <c r="F1154" s="314"/>
      <c r="G1154" s="315"/>
      <c r="H1154" s="316"/>
    </row>
    <row r="1155" spans="1:8">
      <c r="A1155" s="317"/>
      <c r="B1155" s="321"/>
      <c r="C1155" s="317"/>
      <c r="D1155" s="323">
        <v>8</v>
      </c>
      <c r="E1155" s="323"/>
      <c r="F1155" s="323"/>
      <c r="G1155" s="323"/>
      <c r="H1155" s="321">
        <f t="shared" ref="H1155" si="158">ROUND(PRODUCT(D1155:G1155),2)</f>
        <v>8</v>
      </c>
    </row>
    <row r="1156" spans="1:8">
      <c r="A1156" s="317"/>
      <c r="B1156" s="321"/>
      <c r="C1156" s="317"/>
      <c r="D1156" s="317"/>
      <c r="E1156" s="317"/>
      <c r="F1156" s="320"/>
      <c r="G1156" s="139" t="str">
        <f>"Total item "&amp;A1154</f>
        <v>Total item 11.26</v>
      </c>
      <c r="H1156" s="140">
        <f>SUM(H1155:H1155)</f>
        <v>8</v>
      </c>
    </row>
    <row r="1157" spans="1:8" ht="33.75">
      <c r="A1157" s="311" t="str">
        <f>'Planilha orç'!A189</f>
        <v>11.27</v>
      </c>
      <c r="B1157" s="134" t="str">
        <f>'Planilha orç'!D189</f>
        <v>JOELHO 90 GRAUS, PVC, SERIE NORMAL, ESGOTO PREDIAL, DN 100 MM, JUNTA ELÁSTICA, FORNECIDO E INSTALADO EM RAMAL DE DESCARGA OU RAMAL DE ESGOTO SANITÁRIO. AF_12/2014</v>
      </c>
      <c r="C1157" s="311" t="str">
        <f>'Planilha orç'!E189</f>
        <v>UN</v>
      </c>
      <c r="D1157" s="312"/>
      <c r="E1157" s="313"/>
      <c r="F1157" s="314"/>
      <c r="G1157" s="315"/>
      <c r="H1157" s="316"/>
    </row>
    <row r="1158" spans="1:8">
      <c r="A1158" s="317"/>
      <c r="B1158" s="321"/>
      <c r="C1158" s="317"/>
      <c r="D1158" s="323">
        <v>16</v>
      </c>
      <c r="E1158" s="323"/>
      <c r="F1158" s="323"/>
      <c r="G1158" s="323"/>
      <c r="H1158" s="321">
        <f t="shared" ref="H1158" si="159">ROUND(PRODUCT(D1158:G1158),2)</f>
        <v>16</v>
      </c>
    </row>
    <row r="1159" spans="1:8">
      <c r="A1159" s="317"/>
      <c r="B1159" s="321"/>
      <c r="C1159" s="317"/>
      <c r="D1159" s="317"/>
      <c r="E1159" s="317"/>
      <c r="F1159" s="320"/>
      <c r="G1159" s="139" t="str">
        <f>"Total item "&amp;A1157</f>
        <v>Total item 11.27</v>
      </c>
      <c r="H1159" s="140">
        <f>SUM(H1158:H1158)</f>
        <v>16</v>
      </c>
    </row>
    <row r="1160" spans="1:8" ht="22.5">
      <c r="A1160" s="311" t="str">
        <f>'Planilha orç'!A190</f>
        <v>11.28</v>
      </c>
      <c r="B1160" s="134" t="str">
        <f>'Planilha orç'!D190</f>
        <v>FILTRO ANAERÓBIO RETANGULAR, EM ALVENARIA COM TIJOLOS CERÂMICOS, DIMENSÕES INTERNAS: 4,4 X 4,4 X 1,90 M</v>
      </c>
      <c r="C1160" s="311" t="str">
        <f>'Planilha orç'!E190</f>
        <v>M3</v>
      </c>
      <c r="D1160" s="312"/>
      <c r="E1160" s="313"/>
      <c r="F1160" s="314"/>
      <c r="G1160" s="315"/>
      <c r="H1160" s="316"/>
    </row>
    <row r="1161" spans="1:8">
      <c r="A1161" s="317"/>
      <c r="B1161" s="321"/>
      <c r="C1161" s="317"/>
      <c r="D1161" s="323">
        <v>1</v>
      </c>
      <c r="E1161" s="323"/>
      <c r="F1161" s="323"/>
      <c r="G1161" s="323"/>
      <c r="H1161" s="321">
        <f t="shared" ref="H1161" si="160">ROUND(PRODUCT(D1161:G1161),2)</f>
        <v>1</v>
      </c>
    </row>
    <row r="1162" spans="1:8">
      <c r="A1162" s="317"/>
      <c r="B1162" s="321"/>
      <c r="C1162" s="317"/>
      <c r="D1162" s="317"/>
      <c r="E1162" s="317"/>
      <c r="F1162" s="320"/>
      <c r="G1162" s="139" t="str">
        <f>"Total item "&amp;A1160</f>
        <v>Total item 11.28</v>
      </c>
      <c r="H1162" s="140">
        <f>SUM(H1161:H1161)</f>
        <v>1</v>
      </c>
    </row>
    <row r="1163" spans="1:8" ht="33.75">
      <c r="A1163" s="311" t="str">
        <f>'Planilha orç'!A191</f>
        <v>11.29</v>
      </c>
      <c r="B1163" s="134" t="str">
        <f>'Planilha orç'!D191</f>
        <v>JOELHO 90 GRAUS, PVC, SERIE NORMAL, ESGOTO PREDIAL, DN 40 MM, JUNTA SOLDÁVEL, FORNECIDO E INSTALADO EM RAMAL DE DESCARGA OU RAMAL DE ESGOTO SANITÁRIO. AF_12/2014</v>
      </c>
      <c r="C1163" s="311" t="str">
        <f>'Planilha orç'!E191</f>
        <v>UN</v>
      </c>
      <c r="D1163" s="312"/>
      <c r="E1163" s="313"/>
      <c r="F1163" s="314"/>
      <c r="G1163" s="315"/>
      <c r="H1163" s="316"/>
    </row>
    <row r="1164" spans="1:8">
      <c r="A1164" s="317"/>
      <c r="B1164" s="321"/>
      <c r="C1164" s="317"/>
      <c r="D1164" s="323">
        <v>18</v>
      </c>
      <c r="E1164" s="323"/>
      <c r="F1164" s="323"/>
      <c r="G1164" s="323"/>
      <c r="H1164" s="321">
        <f t="shared" ref="H1164" si="161">ROUND(PRODUCT(D1164:G1164),2)</f>
        <v>18</v>
      </c>
    </row>
    <row r="1165" spans="1:8">
      <c r="A1165" s="317"/>
      <c r="B1165" s="321"/>
      <c r="C1165" s="317"/>
      <c r="D1165" s="317"/>
      <c r="E1165" s="317"/>
      <c r="F1165" s="320"/>
      <c r="G1165" s="139" t="str">
        <f>"Total item "&amp;A1163</f>
        <v>Total item 11.29</v>
      </c>
      <c r="H1165" s="140">
        <f>SUM(H1164:H1164)</f>
        <v>18</v>
      </c>
    </row>
    <row r="1166" spans="1:8" ht="33.75">
      <c r="A1166" s="311" t="str">
        <f>'Planilha orç'!A192</f>
        <v>11.30</v>
      </c>
      <c r="B1166" s="134" t="str">
        <f>'Planilha orç'!D192</f>
        <v>TE, PVC, SERIE NORMAL, ESGOTO PREDIAL, DN 150 X 100 MM, JUNTA ELÁSTICA, FORNECIDO E INSTALADO EM RAMAL DE DESCARGA OU RAMAL DE ESGOTO SANITÁRIO. AF_12/2014</v>
      </c>
      <c r="C1166" s="311" t="str">
        <f>'Planilha orç'!E192</f>
        <v>UN</v>
      </c>
      <c r="D1166" s="312"/>
      <c r="E1166" s="313"/>
      <c r="F1166" s="314"/>
      <c r="G1166" s="315"/>
      <c r="H1166" s="316"/>
    </row>
    <row r="1167" spans="1:8">
      <c r="A1167" s="317"/>
      <c r="B1167" s="321" t="s">
        <v>688</v>
      </c>
      <c r="C1167" s="317"/>
      <c r="D1167" s="323">
        <v>3</v>
      </c>
      <c r="E1167" s="323"/>
      <c r="F1167" s="323"/>
      <c r="G1167" s="323"/>
      <c r="H1167" s="321">
        <f t="shared" ref="H1167:H1172" si="162">ROUND(PRODUCT(D1167:G1167),2)</f>
        <v>3</v>
      </c>
    </row>
    <row r="1168" spans="1:8">
      <c r="A1168" s="317"/>
      <c r="B1168" s="321" t="s">
        <v>689</v>
      </c>
      <c r="C1168" s="317"/>
      <c r="D1168" s="323">
        <v>3</v>
      </c>
      <c r="E1168" s="323"/>
      <c r="F1168" s="323"/>
      <c r="G1168" s="323"/>
      <c r="H1168" s="321">
        <f t="shared" si="162"/>
        <v>3</v>
      </c>
    </row>
    <row r="1169" spans="1:8">
      <c r="A1169" s="317"/>
      <c r="B1169" s="321" t="s">
        <v>690</v>
      </c>
      <c r="C1169" s="317"/>
      <c r="D1169" s="323">
        <v>3</v>
      </c>
      <c r="E1169" s="323"/>
      <c r="F1169" s="323"/>
      <c r="G1169" s="323"/>
      <c r="H1169" s="321">
        <f t="shared" si="162"/>
        <v>3</v>
      </c>
    </row>
    <row r="1170" spans="1:8">
      <c r="A1170" s="317"/>
      <c r="B1170" s="321" t="s">
        <v>691</v>
      </c>
      <c r="C1170" s="317"/>
      <c r="D1170" s="323">
        <v>3</v>
      </c>
      <c r="E1170" s="323"/>
      <c r="F1170" s="323"/>
      <c r="G1170" s="323"/>
      <c r="H1170" s="321">
        <f t="shared" si="162"/>
        <v>3</v>
      </c>
    </row>
    <row r="1171" spans="1:8">
      <c r="A1171" s="317"/>
      <c r="B1171" s="321" t="s">
        <v>692</v>
      </c>
      <c r="C1171" s="317"/>
      <c r="D1171" s="323">
        <v>2</v>
      </c>
      <c r="E1171" s="323"/>
      <c r="F1171" s="323"/>
      <c r="G1171" s="323"/>
      <c r="H1171" s="321">
        <f t="shared" si="162"/>
        <v>2</v>
      </c>
    </row>
    <row r="1172" spans="1:8">
      <c r="A1172" s="317"/>
      <c r="B1172" s="321" t="s">
        <v>693</v>
      </c>
      <c r="C1172" s="317"/>
      <c r="D1172" s="323">
        <v>2</v>
      </c>
      <c r="E1172" s="323"/>
      <c r="F1172" s="323"/>
      <c r="G1172" s="323"/>
      <c r="H1172" s="321">
        <f t="shared" si="162"/>
        <v>2</v>
      </c>
    </row>
    <row r="1173" spans="1:8">
      <c r="A1173" s="317"/>
      <c r="B1173" s="321"/>
      <c r="C1173" s="317"/>
      <c r="D1173" s="317"/>
      <c r="E1173" s="317"/>
      <c r="F1173" s="320"/>
      <c r="G1173" s="139" t="str">
        <f>"Total item "&amp;A1166</f>
        <v>Total item 11.30</v>
      </c>
      <c r="H1173" s="140">
        <f>SUM(H1167:H1172)</f>
        <v>16</v>
      </c>
    </row>
    <row r="1174" spans="1:8" ht="33.75">
      <c r="A1174" s="311" t="str">
        <f>'Planilha orç'!A193</f>
        <v>11.31</v>
      </c>
      <c r="B1174" s="134" t="str">
        <f>'Planilha orç'!D193</f>
        <v>JOELHO 90 GRAUS, PVC, SERIE NORMAL, ESGOTO PREDIAL, DN 50 MM, JUNTA ELÁSTICA, FORNECIDO E INSTALADO EM RAMAL DE DESCARGA OU RAMAL DE ESGOTO SANITÁRIO. AF_12/2014</v>
      </c>
      <c r="C1174" s="311" t="str">
        <f>'Planilha orç'!E193</f>
        <v>UN</v>
      </c>
      <c r="D1174" s="312"/>
      <c r="E1174" s="313"/>
      <c r="F1174" s="314"/>
      <c r="G1174" s="315"/>
      <c r="H1174" s="316"/>
    </row>
    <row r="1175" spans="1:8">
      <c r="A1175" s="317"/>
      <c r="B1175" s="321"/>
      <c r="C1175" s="317"/>
      <c r="D1175" s="323">
        <v>4</v>
      </c>
      <c r="E1175" s="323"/>
      <c r="F1175" s="323"/>
      <c r="G1175" s="323"/>
      <c r="H1175" s="321">
        <f t="shared" ref="H1175" si="163">ROUND(PRODUCT(D1175:G1175),2)</f>
        <v>4</v>
      </c>
    </row>
    <row r="1176" spans="1:8">
      <c r="A1176" s="317"/>
      <c r="B1176" s="321"/>
      <c r="C1176" s="317"/>
      <c r="D1176" s="317"/>
      <c r="E1176" s="317"/>
      <c r="F1176" s="320"/>
      <c r="G1176" s="139" t="str">
        <f>"Total item "&amp;A1174</f>
        <v>Total item 11.31</v>
      </c>
      <c r="H1176" s="140">
        <f>SUM(H1175:H1175)</f>
        <v>4</v>
      </c>
    </row>
    <row r="1177" spans="1:8" ht="33.75">
      <c r="A1177" s="311" t="str">
        <f>'Planilha orç'!A194</f>
        <v>11.32</v>
      </c>
      <c r="B1177" s="134" t="str">
        <f>'Planilha orç'!D194</f>
        <v>TANQUE SÉPTICO RETANGULAR, EM ALVENARIA COM TIJOLOS CERÂMICOS MACIÇOS, DIMENSÕES INTERNAS: 2,8 X 5,30 X 2,8 M,  LAJE DE FUNDO COM 20CM E LAJE DE TAMPA COM 20CM.</v>
      </c>
      <c r="C1177" s="311" t="str">
        <f>'Planilha orç'!E194</f>
        <v>UN</v>
      </c>
      <c r="D1177" s="312"/>
      <c r="E1177" s="313"/>
      <c r="F1177" s="314"/>
      <c r="G1177" s="315"/>
      <c r="H1177" s="316"/>
    </row>
    <row r="1178" spans="1:8">
      <c r="A1178" s="317"/>
      <c r="B1178" s="321"/>
      <c r="C1178" s="317"/>
      <c r="D1178" s="323">
        <v>1</v>
      </c>
      <c r="E1178" s="323"/>
      <c r="F1178" s="323"/>
      <c r="G1178" s="323"/>
      <c r="H1178" s="321">
        <f t="shared" ref="H1178" si="164">ROUND(PRODUCT(D1178:G1178),2)</f>
        <v>1</v>
      </c>
    </row>
    <row r="1179" spans="1:8">
      <c r="A1179" s="317"/>
      <c r="B1179" s="321"/>
      <c r="C1179" s="317"/>
      <c r="D1179" s="317"/>
      <c r="E1179" s="317"/>
      <c r="F1179" s="320"/>
      <c r="G1179" s="139" t="str">
        <f>"Total item "&amp;A1177</f>
        <v>Total item 11.32</v>
      </c>
      <c r="H1179" s="140">
        <f>SUM(H1178:H1178)</f>
        <v>1</v>
      </c>
    </row>
    <row r="1180" spans="1:8">
      <c r="A1180" s="301" t="str">
        <f>'Planilha orç'!A195</f>
        <v>12.0</v>
      </c>
      <c r="B1180" s="303" t="str">
        <f>'Planilha orç'!D195</f>
        <v xml:space="preserve">INSTALAÇÕES HIDRÁULICAS </v>
      </c>
      <c r="C1180" s="302"/>
      <c r="D1180" s="301"/>
      <c r="E1180" s="301"/>
      <c r="F1180" s="301"/>
      <c r="G1180" s="301"/>
      <c r="H1180" s="301"/>
    </row>
    <row r="1181" spans="1:8">
      <c r="A1181" s="311" t="str">
        <f>'Planilha orç'!A196</f>
        <v>12.1</v>
      </c>
      <c r="B1181" s="134" t="str">
        <f>'Planilha orç'!D196</f>
        <v>CHUVEIRO PLÁSTICO (INSTALADO)</v>
      </c>
      <c r="C1181" s="311"/>
      <c r="D1181" s="312"/>
      <c r="E1181" s="313"/>
      <c r="F1181" s="314"/>
      <c r="G1181" s="315"/>
      <c r="H1181" s="316"/>
    </row>
    <row r="1182" spans="1:8">
      <c r="A1182" s="306"/>
      <c r="B1182" s="173" t="s">
        <v>991</v>
      </c>
      <c r="C1182" s="306"/>
      <c r="D1182" s="333">
        <v>2</v>
      </c>
      <c r="E1182" s="330"/>
      <c r="F1182" s="331"/>
      <c r="G1182" s="332"/>
      <c r="H1182" s="321">
        <f t="shared" ref="H1182" si="165">ROUND(PRODUCT(D1182:G1182),2)</f>
        <v>2</v>
      </c>
    </row>
    <row r="1183" spans="1:8">
      <c r="A1183" s="306"/>
      <c r="B1183" s="172"/>
      <c r="C1183" s="306"/>
      <c r="D1183" s="329"/>
      <c r="E1183" s="330"/>
      <c r="F1183" s="331"/>
      <c r="G1183" s="139" t="str">
        <f>"Total item "&amp;A1181</f>
        <v>Total item 12.1</v>
      </c>
      <c r="H1183" s="140">
        <f>SUM(H1182:H1182)</f>
        <v>2</v>
      </c>
    </row>
    <row r="1184" spans="1:8" ht="33.75">
      <c r="A1184" s="311" t="str">
        <f>'Planilha orç'!A197</f>
        <v>12.2</v>
      </c>
      <c r="B1184" s="134" t="str">
        <f>'Planilha orç'!D197</f>
        <v>VASO SANITÁRIO SIFONADO COM CAIXA ACOPLADA LOUÇA BRANCA, INCLUSO ENGATE FLEXÍVEL EM PLÁSTICO BRANCO, 1/2 X 40CM -FORNECIMENTO E INSTALAÇÃO. AF_01/2020</v>
      </c>
      <c r="C1184" s="311"/>
      <c r="D1184" s="312"/>
      <c r="E1184" s="313"/>
      <c r="F1184" s="314"/>
      <c r="G1184" s="315"/>
      <c r="H1184" s="316"/>
    </row>
    <row r="1185" spans="1:8">
      <c r="A1185" s="306"/>
      <c r="B1185" s="173" t="s">
        <v>988</v>
      </c>
      <c r="C1185" s="306"/>
      <c r="D1185" s="333">
        <f>4+12</f>
        <v>16</v>
      </c>
      <c r="E1185" s="330"/>
      <c r="F1185" s="331"/>
      <c r="G1185" s="332"/>
      <c r="H1185" s="321">
        <f t="shared" ref="H1185" si="166">ROUND(PRODUCT(D1185:G1185),2)</f>
        <v>16</v>
      </c>
    </row>
    <row r="1186" spans="1:8">
      <c r="A1186" s="306"/>
      <c r="B1186" s="172"/>
      <c r="C1186" s="306"/>
      <c r="D1186" s="329"/>
      <c r="E1186" s="330"/>
      <c r="F1186" s="331"/>
      <c r="G1186" s="139" t="str">
        <f>"Total item "&amp;A1184</f>
        <v>Total item 12.2</v>
      </c>
      <c r="H1186" s="140">
        <f>SUM(H1185:H1185)</f>
        <v>16</v>
      </c>
    </row>
    <row r="1187" spans="1:8">
      <c r="A1187" s="311" t="str">
        <f>'Planilha orç'!A198</f>
        <v>12.3</v>
      </c>
      <c r="B1187" s="134" t="str">
        <f>'Planilha orç'!D198</f>
        <v>REGISTRO DE GAVETA C/CANOPLA CROMADA D= 40mm (1 1/2")</v>
      </c>
      <c r="C1187" s="311"/>
      <c r="D1187" s="312"/>
      <c r="E1187" s="313"/>
      <c r="F1187" s="314"/>
      <c r="G1187" s="315"/>
      <c r="H1187" s="316"/>
    </row>
    <row r="1188" spans="1:8">
      <c r="A1188" s="306"/>
      <c r="B1188" s="173" t="s">
        <v>991</v>
      </c>
      <c r="C1188" s="306"/>
      <c r="D1188" s="333">
        <v>2</v>
      </c>
      <c r="E1188" s="330"/>
      <c r="F1188" s="331"/>
      <c r="G1188" s="332"/>
      <c r="H1188" s="321">
        <f t="shared" ref="H1188" si="167">ROUND(PRODUCT(D1188:G1188),2)</f>
        <v>2</v>
      </c>
    </row>
    <row r="1189" spans="1:8">
      <c r="A1189" s="306"/>
      <c r="B1189" s="172"/>
      <c r="C1189" s="306"/>
      <c r="D1189" s="329"/>
      <c r="E1189" s="330"/>
      <c r="F1189" s="331"/>
      <c r="G1189" s="139" t="str">
        <f>"Total item "&amp;A1187</f>
        <v>Total item 12.3</v>
      </c>
      <c r="H1189" s="140">
        <f>SUM(H1188:H1188)</f>
        <v>2</v>
      </c>
    </row>
    <row r="1190" spans="1:8">
      <c r="A1190" s="311" t="str">
        <f>'Planilha orç'!A199</f>
        <v>12.4</v>
      </c>
      <c r="B1190" s="134" t="str">
        <f>'Planilha orç'!D199</f>
        <v>REGISTRO DE PRESSÃO C/CANOPLA CROMADA D= 20mm (3/4")</v>
      </c>
      <c r="C1190" s="311"/>
      <c r="D1190" s="312"/>
      <c r="E1190" s="313"/>
      <c r="F1190" s="314"/>
      <c r="G1190" s="315"/>
      <c r="H1190" s="316"/>
    </row>
    <row r="1191" spans="1:8">
      <c r="A1191" s="306"/>
      <c r="B1191" s="173" t="s">
        <v>991</v>
      </c>
      <c r="C1191" s="306"/>
      <c r="D1191" s="333">
        <v>2</v>
      </c>
      <c r="E1191" s="330"/>
      <c r="F1191" s="331"/>
      <c r="G1191" s="332"/>
      <c r="H1191" s="321">
        <f t="shared" ref="H1191" si="168">ROUND(PRODUCT(D1191:G1191),2)</f>
        <v>2</v>
      </c>
    </row>
    <row r="1192" spans="1:8">
      <c r="A1192" s="306"/>
      <c r="B1192" s="172"/>
      <c r="C1192" s="306"/>
      <c r="D1192" s="329"/>
      <c r="E1192" s="330"/>
      <c r="F1192" s="331"/>
      <c r="G1192" s="139" t="str">
        <f>"Total item "&amp;A1190</f>
        <v>Total item 12.4</v>
      </c>
      <c r="H1192" s="140">
        <f>SUM(H1191:H1191)</f>
        <v>2</v>
      </c>
    </row>
    <row r="1193" spans="1:8">
      <c r="A1193" s="311" t="str">
        <f>'Planilha orç'!A200</f>
        <v>12.5</v>
      </c>
      <c r="B1193" s="134" t="str">
        <f>'Planilha orç'!D200</f>
        <v>REGISTRO DE GAVETA C/CANOPLA CROMADA D= 20mm (3/4")</v>
      </c>
      <c r="C1193" s="311"/>
      <c r="D1193" s="312"/>
      <c r="E1193" s="313"/>
      <c r="F1193" s="314"/>
      <c r="G1193" s="315"/>
      <c r="H1193" s="316"/>
    </row>
    <row r="1194" spans="1:8">
      <c r="A1194" s="306"/>
      <c r="B1194" s="173" t="s">
        <v>987</v>
      </c>
      <c r="C1194" s="306"/>
      <c r="D1194" s="333">
        <v>1</v>
      </c>
      <c r="E1194" s="330"/>
      <c r="F1194" s="331"/>
      <c r="G1194" s="332"/>
      <c r="H1194" s="321">
        <f t="shared" ref="H1194:H1195" si="169">ROUND(PRODUCT(D1194:G1194),2)</f>
        <v>1</v>
      </c>
    </row>
    <row r="1195" spans="1:8">
      <c r="A1195" s="306"/>
      <c r="B1195" s="173" t="s">
        <v>988</v>
      </c>
      <c r="C1195" s="306"/>
      <c r="D1195" s="333">
        <v>8</v>
      </c>
      <c r="E1195" s="330"/>
      <c r="F1195" s="331"/>
      <c r="G1195" s="332"/>
      <c r="H1195" s="321">
        <f t="shared" si="169"/>
        <v>8</v>
      </c>
    </row>
    <row r="1196" spans="1:8">
      <c r="A1196" s="306"/>
      <c r="B1196" s="172"/>
      <c r="C1196" s="306"/>
      <c r="D1196" s="329"/>
      <c r="E1196" s="330"/>
      <c r="F1196" s="331"/>
      <c r="G1196" s="139" t="str">
        <f>"Total item "&amp;A1193</f>
        <v>Total item 12.5</v>
      </c>
      <c r="H1196" s="140">
        <f>SUM(H1194:H1195)</f>
        <v>9</v>
      </c>
    </row>
    <row r="1197" spans="1:8">
      <c r="A1197" s="306"/>
      <c r="B1197" s="172"/>
      <c r="C1197" s="306"/>
      <c r="D1197" s="329"/>
      <c r="E1197" s="330"/>
      <c r="F1197" s="331"/>
      <c r="G1197" s="139"/>
      <c r="H1197" s="140"/>
    </row>
    <row r="1198" spans="1:8">
      <c r="A1198" s="311" t="str">
        <f>'Planilha orç'!A201</f>
        <v>12.6</v>
      </c>
      <c r="B1198" s="134" t="str">
        <f>'Planilha orç'!D201</f>
        <v>JOELHO 90 PVC SOLD./ROSCA. D= 25mmX3/4"</v>
      </c>
      <c r="C1198" s="311"/>
      <c r="D1198" s="312"/>
      <c r="E1198" s="313"/>
      <c r="F1198" s="314"/>
      <c r="G1198" s="315"/>
      <c r="H1198" s="316"/>
    </row>
    <row r="1199" spans="1:8">
      <c r="A1199" s="306"/>
      <c r="B1199" s="173" t="s">
        <v>988</v>
      </c>
      <c r="C1199" s="306"/>
      <c r="D1199" s="333">
        <f>(5*2)+6</f>
        <v>16</v>
      </c>
      <c r="E1199" s="330"/>
      <c r="F1199" s="331"/>
      <c r="G1199" s="332"/>
      <c r="H1199" s="321">
        <f t="shared" ref="H1199" si="170">ROUND(PRODUCT(D1199:G1199),2)</f>
        <v>16</v>
      </c>
    </row>
    <row r="1200" spans="1:8">
      <c r="A1200" s="306"/>
      <c r="B1200" s="172"/>
      <c r="C1200" s="306"/>
      <c r="D1200" s="329"/>
      <c r="E1200" s="330"/>
      <c r="F1200" s="331"/>
      <c r="G1200" s="139" t="str">
        <f>"Total item "&amp;A1198</f>
        <v>Total item 12.6</v>
      </c>
      <c r="H1200" s="140">
        <f>SUM(H1199:H1199)</f>
        <v>16</v>
      </c>
    </row>
    <row r="1201" spans="1:8">
      <c r="A1201" s="311" t="str">
        <f>'Planilha orç'!A202</f>
        <v>12.7</v>
      </c>
      <c r="B1201" s="134" t="str">
        <f>'Planilha orç'!D202</f>
        <v>LUVA PVC SOLD. MARROM D= 25mm (3/4")</v>
      </c>
      <c r="C1201" s="311"/>
      <c r="D1201" s="312"/>
      <c r="E1201" s="313"/>
      <c r="F1201" s="314"/>
      <c r="G1201" s="315"/>
      <c r="H1201" s="316"/>
    </row>
    <row r="1202" spans="1:8">
      <c r="A1202" s="306"/>
      <c r="B1202" s="173" t="s">
        <v>988</v>
      </c>
      <c r="C1202" s="306"/>
      <c r="D1202" s="333">
        <f>(8*2)+2</f>
        <v>18</v>
      </c>
      <c r="E1202" s="330"/>
      <c r="F1202" s="331"/>
      <c r="G1202" s="332"/>
      <c r="H1202" s="321">
        <f t="shared" ref="H1202" si="171">ROUND(PRODUCT(D1202:G1202),2)</f>
        <v>18</v>
      </c>
    </row>
    <row r="1203" spans="1:8">
      <c r="A1203" s="306"/>
      <c r="B1203" s="172"/>
      <c r="C1203" s="306"/>
      <c r="D1203" s="329"/>
      <c r="E1203" s="330"/>
      <c r="F1203" s="331"/>
      <c r="G1203" s="139" t="str">
        <f>"Total item "&amp;A1201</f>
        <v>Total item 12.7</v>
      </c>
      <c r="H1203" s="140">
        <f>SUM(H1202:H1202)</f>
        <v>18</v>
      </c>
    </row>
    <row r="1204" spans="1:8">
      <c r="A1204" s="311" t="str">
        <f>'Planilha orç'!A203</f>
        <v>12.8</v>
      </c>
      <c r="B1204" s="134" t="str">
        <f>'Planilha orç'!D203</f>
        <v>ADAPTADOR PVC P/ REGISTRO 25mm (3/4")</v>
      </c>
      <c r="C1204" s="311"/>
      <c r="D1204" s="312"/>
      <c r="E1204" s="313"/>
      <c r="F1204" s="314"/>
      <c r="G1204" s="315"/>
      <c r="H1204" s="316"/>
    </row>
    <row r="1205" spans="1:8">
      <c r="A1205" s="306"/>
      <c r="B1205" s="173" t="s">
        <v>988</v>
      </c>
      <c r="C1205" s="306"/>
      <c r="D1205" s="333">
        <v>2</v>
      </c>
      <c r="E1205" s="330"/>
      <c r="F1205" s="331"/>
      <c r="G1205" s="332"/>
      <c r="H1205" s="321">
        <f t="shared" ref="H1205:H1206" si="172">ROUND(PRODUCT(D1205:G1205),2)</f>
        <v>2</v>
      </c>
    </row>
    <row r="1206" spans="1:8">
      <c r="A1206" s="306"/>
      <c r="B1206" s="115" t="s">
        <v>987</v>
      </c>
      <c r="C1206" s="306"/>
      <c r="D1206" s="333">
        <v>2</v>
      </c>
      <c r="E1206" s="330"/>
      <c r="F1206" s="331"/>
      <c r="G1206" s="332"/>
      <c r="H1206" s="321">
        <f t="shared" si="172"/>
        <v>2</v>
      </c>
    </row>
    <row r="1207" spans="1:8">
      <c r="A1207" s="306"/>
      <c r="B1207" s="172"/>
      <c r="C1207" s="306"/>
      <c r="D1207" s="329"/>
      <c r="E1207" s="330"/>
      <c r="F1207" s="331"/>
      <c r="G1207" s="139" t="str">
        <f>"Total item "&amp;A1204</f>
        <v>Total item 12.8</v>
      </c>
      <c r="H1207" s="140">
        <f>SUM(H1205:H1206)</f>
        <v>4</v>
      </c>
    </row>
    <row r="1208" spans="1:8">
      <c r="A1208" s="311" t="str">
        <f>'Planilha orç'!A204</f>
        <v>12.9</v>
      </c>
      <c r="B1208" s="134" t="str">
        <f>'Planilha orç'!D204</f>
        <v>ADAPTADOR PVC P/ REGISTRO 50mm (1 1/2")</v>
      </c>
      <c r="C1208" s="311"/>
      <c r="D1208" s="312"/>
      <c r="E1208" s="313"/>
      <c r="F1208" s="314"/>
      <c r="G1208" s="315"/>
      <c r="H1208" s="316"/>
    </row>
    <row r="1209" spans="1:8">
      <c r="A1209" s="306"/>
      <c r="B1209" s="173" t="s">
        <v>988</v>
      </c>
      <c r="C1209" s="306"/>
      <c r="D1209" s="333">
        <v>4</v>
      </c>
      <c r="E1209" s="330"/>
      <c r="F1209" s="331"/>
      <c r="G1209" s="332"/>
      <c r="H1209" s="321">
        <f t="shared" ref="H1209" si="173">ROUND(PRODUCT(D1209:G1209),2)</f>
        <v>4</v>
      </c>
    </row>
    <row r="1210" spans="1:8">
      <c r="A1210" s="306"/>
      <c r="B1210" s="172"/>
      <c r="C1210" s="306"/>
      <c r="D1210" s="329"/>
      <c r="E1210" s="330"/>
      <c r="F1210" s="331"/>
      <c r="G1210" s="139" t="str">
        <f>"Total item "&amp;A1208</f>
        <v>Total item 12.9</v>
      </c>
      <c r="H1210" s="140">
        <f>SUM(H1209:H1209)</f>
        <v>4</v>
      </c>
    </row>
    <row r="1211" spans="1:8">
      <c r="A1211" s="311" t="str">
        <f>'Planilha orç'!A205</f>
        <v>12.10</v>
      </c>
      <c r="B1211" s="134" t="str">
        <f>'Planilha orç'!D205</f>
        <v>BUCHA REDUÇÃO PVC ROSC. D=1 1/2"X3/4" (50X25mm)</v>
      </c>
      <c r="C1211" s="311"/>
      <c r="D1211" s="312"/>
      <c r="E1211" s="313"/>
      <c r="F1211" s="314"/>
      <c r="G1211" s="315"/>
      <c r="H1211" s="316"/>
    </row>
    <row r="1212" spans="1:8">
      <c r="A1212" s="306"/>
      <c r="B1212" s="173" t="s">
        <v>988</v>
      </c>
      <c r="C1212" s="306"/>
      <c r="D1212" s="333">
        <v>2</v>
      </c>
      <c r="E1212" s="330"/>
      <c r="F1212" s="331"/>
      <c r="G1212" s="332"/>
      <c r="H1212" s="321">
        <f t="shared" ref="H1212" si="174">ROUND(PRODUCT(D1212:G1212),2)</f>
        <v>2</v>
      </c>
    </row>
    <row r="1213" spans="1:8">
      <c r="A1213" s="306"/>
      <c r="B1213" s="172"/>
      <c r="C1213" s="306"/>
      <c r="D1213" s="329"/>
      <c r="E1213" s="330"/>
      <c r="F1213" s="331"/>
      <c r="G1213" s="139" t="str">
        <f>"Total item "&amp;A1211</f>
        <v>Total item 12.10</v>
      </c>
      <c r="H1213" s="140">
        <f>SUM(H1212:H1212)</f>
        <v>2</v>
      </c>
    </row>
    <row r="1214" spans="1:8">
      <c r="A1214" s="311" t="str">
        <f>'Planilha orç'!A206</f>
        <v>12.11</v>
      </c>
      <c r="B1214" s="134" t="str">
        <f>'Planilha orç'!D206</f>
        <v>TUBO PVC SOLD. MARROM D= 25mm (3/4")</v>
      </c>
      <c r="C1214" s="311"/>
      <c r="D1214" s="312"/>
      <c r="E1214" s="313"/>
      <c r="F1214" s="314"/>
      <c r="G1214" s="315"/>
      <c r="H1214" s="316"/>
    </row>
    <row r="1215" spans="1:8">
      <c r="A1215" s="306"/>
      <c r="B1215" s="173" t="s">
        <v>988</v>
      </c>
      <c r="C1215" s="306"/>
      <c r="D1215" s="333">
        <f>(25*2)+24</f>
        <v>74</v>
      </c>
      <c r="E1215" s="330"/>
      <c r="F1215" s="331"/>
      <c r="G1215" s="332"/>
      <c r="H1215" s="321">
        <f t="shared" ref="H1215:H1216" si="175">ROUND(PRODUCT(D1215:G1215),2)</f>
        <v>74</v>
      </c>
    </row>
    <row r="1216" spans="1:8">
      <c r="A1216" s="306"/>
      <c r="B1216" s="115" t="s">
        <v>987</v>
      </c>
      <c r="C1216" s="306"/>
      <c r="D1216" s="333">
        <v>30</v>
      </c>
      <c r="E1216" s="330"/>
      <c r="F1216" s="331"/>
      <c r="G1216" s="332"/>
      <c r="H1216" s="321">
        <f t="shared" si="175"/>
        <v>30</v>
      </c>
    </row>
    <row r="1217" spans="1:8">
      <c r="A1217" s="306"/>
      <c r="B1217" s="172"/>
      <c r="C1217" s="306"/>
      <c r="D1217" s="326"/>
      <c r="E1217" s="330"/>
      <c r="F1217" s="331"/>
      <c r="G1217" s="139" t="str">
        <f>"Total item "&amp;A1214</f>
        <v>Total item 12.11</v>
      </c>
      <c r="H1217" s="140">
        <f>SUM(H1215:H1216)</f>
        <v>104</v>
      </c>
    </row>
    <row r="1218" spans="1:8">
      <c r="A1218" s="311" t="str">
        <f>'Planilha orç'!A207</f>
        <v>12.12</v>
      </c>
      <c r="B1218" s="134" t="str">
        <f>'Planilha orç'!D207</f>
        <v>TUBO PVC SOLD. MARROM D= 50mm (1 1/2")</v>
      </c>
      <c r="C1218" s="311"/>
      <c r="D1218" s="312"/>
      <c r="E1218" s="313"/>
      <c r="F1218" s="314"/>
      <c r="G1218" s="315"/>
      <c r="H1218" s="316"/>
    </row>
    <row r="1219" spans="1:8">
      <c r="A1219" s="306"/>
      <c r="B1219" s="173" t="s">
        <v>988</v>
      </c>
      <c r="C1219" s="306"/>
      <c r="D1219" s="333">
        <v>48</v>
      </c>
      <c r="E1219" s="330"/>
      <c r="F1219" s="331"/>
      <c r="G1219" s="332"/>
      <c r="H1219" s="321">
        <f t="shared" ref="H1219" si="176">ROUND(PRODUCT(D1219:G1219),2)</f>
        <v>48</v>
      </c>
    </row>
    <row r="1220" spans="1:8">
      <c r="A1220" s="306"/>
      <c r="B1220" s="172"/>
      <c r="C1220" s="306"/>
      <c r="D1220" s="329"/>
      <c r="E1220" s="330"/>
      <c r="F1220" s="331"/>
      <c r="G1220" s="139" t="str">
        <f>"Total item "&amp;A1218</f>
        <v>Total item 12.12</v>
      </c>
      <c r="H1220" s="140">
        <f>SUM(H1219:H1219)</f>
        <v>48</v>
      </c>
    </row>
    <row r="1221" spans="1:8">
      <c r="A1221" s="311" t="str">
        <f>'Planilha orç'!A208</f>
        <v>12.13</v>
      </c>
      <c r="B1221" s="134" t="str">
        <f>'Planilha orç'!D208</f>
        <v>TÊ PVC SOLD. MARROM D= 25mm (3/4")</v>
      </c>
      <c r="C1221" s="311"/>
      <c r="D1221" s="312"/>
      <c r="E1221" s="313"/>
      <c r="F1221" s="314"/>
      <c r="G1221" s="315"/>
      <c r="H1221" s="316"/>
    </row>
    <row r="1222" spans="1:8">
      <c r="A1222" s="306"/>
      <c r="B1222" s="173" t="s">
        <v>988</v>
      </c>
      <c r="C1222" s="306"/>
      <c r="D1222" s="333">
        <f>(2*2)+4</f>
        <v>8</v>
      </c>
      <c r="E1222" s="330"/>
      <c r="F1222" s="331"/>
      <c r="G1222" s="332"/>
      <c r="H1222" s="321">
        <f t="shared" ref="H1222" si="177">ROUND(PRODUCT(D1222:G1222),2)</f>
        <v>8</v>
      </c>
    </row>
    <row r="1223" spans="1:8">
      <c r="A1223" s="306"/>
      <c r="B1223" s="172"/>
      <c r="C1223" s="306"/>
      <c r="D1223" s="329"/>
      <c r="E1223" s="330"/>
      <c r="F1223" s="331"/>
      <c r="G1223" s="139" t="str">
        <f>"Total item "&amp;A1221</f>
        <v>Total item 12.13</v>
      </c>
      <c r="H1223" s="140">
        <f>SUM(H1222:H1222)</f>
        <v>8</v>
      </c>
    </row>
    <row r="1224" spans="1:8">
      <c r="A1224" s="311" t="str">
        <f>'Planilha orç'!A209</f>
        <v>12.14</v>
      </c>
      <c r="B1224" s="134" t="str">
        <f>'Planilha orç'!D209</f>
        <v>TE REDUCAO PVC SOLDAVEL DE 50X25MM PARA AGUA FRIA</v>
      </c>
      <c r="C1224" s="311"/>
      <c r="D1224" s="312"/>
      <c r="E1224" s="313"/>
      <c r="F1224" s="314"/>
      <c r="G1224" s="315"/>
      <c r="H1224" s="316"/>
    </row>
    <row r="1225" spans="1:8">
      <c r="A1225" s="306"/>
      <c r="B1225" s="173" t="s">
        <v>988</v>
      </c>
      <c r="C1225" s="306"/>
      <c r="D1225" s="333">
        <v>2</v>
      </c>
      <c r="E1225" s="330"/>
      <c r="F1225" s="331"/>
      <c r="G1225" s="332"/>
      <c r="H1225" s="321">
        <f t="shared" ref="H1225" si="178">ROUND(PRODUCT(D1225:G1225),2)</f>
        <v>2</v>
      </c>
    </row>
    <row r="1226" spans="1:8">
      <c r="A1226" s="306"/>
      <c r="B1226" s="172"/>
      <c r="C1226" s="306"/>
      <c r="D1226" s="329"/>
      <c r="E1226" s="330"/>
      <c r="F1226" s="331"/>
      <c r="G1226" s="139" t="str">
        <f>"Total item "&amp;A1224</f>
        <v>Total item 12.14</v>
      </c>
      <c r="H1226" s="140">
        <f>SUM(H1225:H1225)</f>
        <v>2</v>
      </c>
    </row>
    <row r="1227" spans="1:8">
      <c r="A1227" s="311" t="str">
        <f>'Planilha orç'!A210</f>
        <v>12.15</v>
      </c>
      <c r="B1227" s="134" t="str">
        <f>'Planilha orç'!D210</f>
        <v>JOELHO REDUÇÃO PVC SOLD. AZUL D=25mmX1/2"</v>
      </c>
      <c r="C1227" s="311"/>
      <c r="D1227" s="312"/>
      <c r="E1227" s="313"/>
      <c r="F1227" s="314"/>
      <c r="G1227" s="315"/>
      <c r="H1227" s="316"/>
    </row>
    <row r="1228" spans="1:8">
      <c r="A1228" s="306"/>
      <c r="B1228" s="173" t="s">
        <v>988</v>
      </c>
      <c r="C1228" s="306"/>
      <c r="D1228" s="333">
        <f>(16*2)+8</f>
        <v>40</v>
      </c>
      <c r="E1228" s="330"/>
      <c r="F1228" s="331"/>
      <c r="G1228" s="332"/>
      <c r="H1228" s="321">
        <f t="shared" ref="H1228:H1229" si="179">ROUND(PRODUCT(D1228:G1228),2)</f>
        <v>40</v>
      </c>
    </row>
    <row r="1229" spans="1:8">
      <c r="A1229" s="306"/>
      <c r="B1229" s="115" t="s">
        <v>987</v>
      </c>
      <c r="C1229" s="306"/>
      <c r="D1229" s="333">
        <v>1</v>
      </c>
      <c r="E1229" s="330"/>
      <c r="F1229" s="331"/>
      <c r="G1229" s="332"/>
      <c r="H1229" s="321">
        <f t="shared" si="179"/>
        <v>1</v>
      </c>
    </row>
    <row r="1230" spans="1:8">
      <c r="A1230" s="306"/>
      <c r="B1230" s="172"/>
      <c r="C1230" s="306"/>
      <c r="D1230" s="329"/>
      <c r="E1230" s="330"/>
      <c r="F1230" s="331"/>
      <c r="G1230" s="139" t="str">
        <f>"Total item "&amp;A1227</f>
        <v>Total item 12.15</v>
      </c>
      <c r="H1230" s="140">
        <f>SUM(H1228:H1229)</f>
        <v>41</v>
      </c>
    </row>
    <row r="1231" spans="1:8">
      <c r="A1231" s="311" t="str">
        <f>'Planilha orç'!A211</f>
        <v>12.16</v>
      </c>
      <c r="B1231" s="134" t="str">
        <f>'Planilha orç'!D211</f>
        <v>TÊ REDUÇÃO PVC SOLD./ROSCA AZUL D=25mmX25mmX1/2"</v>
      </c>
      <c r="C1231" s="311"/>
      <c r="D1231" s="312"/>
      <c r="E1231" s="313"/>
      <c r="F1231" s="314"/>
      <c r="G1231" s="315"/>
      <c r="H1231" s="316"/>
    </row>
    <row r="1232" spans="1:8">
      <c r="A1232" s="306"/>
      <c r="B1232" s="173" t="s">
        <v>988</v>
      </c>
      <c r="C1232" s="306"/>
      <c r="D1232" s="333">
        <f>(2*2)+2</f>
        <v>6</v>
      </c>
      <c r="E1232" s="330"/>
      <c r="F1232" s="331"/>
      <c r="G1232" s="332"/>
      <c r="H1232" s="321">
        <f t="shared" ref="H1232:H1233" si="180">ROUND(PRODUCT(D1232:G1232),2)</f>
        <v>6</v>
      </c>
    </row>
    <row r="1233" spans="1:8">
      <c r="A1233" s="306"/>
      <c r="B1233" s="115" t="s">
        <v>987</v>
      </c>
      <c r="C1233" s="306"/>
      <c r="D1233" s="333">
        <v>1</v>
      </c>
      <c r="E1233" s="330"/>
      <c r="F1233" s="331"/>
      <c r="G1233" s="332"/>
      <c r="H1233" s="321">
        <f t="shared" si="180"/>
        <v>1</v>
      </c>
    </row>
    <row r="1234" spans="1:8">
      <c r="A1234" s="306"/>
      <c r="B1234" s="172"/>
      <c r="C1234" s="306"/>
      <c r="D1234" s="329"/>
      <c r="E1234" s="330"/>
      <c r="F1234" s="331"/>
      <c r="G1234" s="139" t="str">
        <f>"Total item "&amp;A1231</f>
        <v>Total item 12.16</v>
      </c>
      <c r="H1234" s="140">
        <f>SUM(H1232:H1233)</f>
        <v>7</v>
      </c>
    </row>
    <row r="1235" spans="1:8">
      <c r="A1235" s="311" t="str">
        <f>'Planilha orç'!A212</f>
        <v>12.17</v>
      </c>
      <c r="B1235" s="134" t="str">
        <f>'Planilha orç'!D212</f>
        <v>TE PVC SOLD./ROSCA D=20mmX20mmX1/2"</v>
      </c>
      <c r="C1235" s="311"/>
      <c r="D1235" s="312"/>
      <c r="E1235" s="313"/>
      <c r="F1235" s="314"/>
      <c r="G1235" s="315"/>
      <c r="H1235" s="316"/>
    </row>
    <row r="1236" spans="1:8">
      <c r="A1236" s="317"/>
      <c r="B1236" s="173" t="s">
        <v>988</v>
      </c>
      <c r="C1236" s="317"/>
      <c r="D1236" s="333">
        <v>2</v>
      </c>
      <c r="E1236" s="317"/>
      <c r="F1236" s="320"/>
      <c r="G1236" s="139"/>
      <c r="H1236" s="321">
        <f t="shared" ref="H1236" si="181">ROUND(PRODUCT(D1236:G1236),2)</f>
        <v>2</v>
      </c>
    </row>
    <row r="1237" spans="1:8">
      <c r="A1237" s="317"/>
      <c r="B1237" s="321"/>
      <c r="C1237" s="317"/>
      <c r="D1237" s="317"/>
      <c r="E1237" s="317"/>
      <c r="F1237" s="320"/>
      <c r="G1237" s="139" t="str">
        <f>"Total item "&amp;A1235</f>
        <v>Total item 12.17</v>
      </c>
      <c r="H1237" s="140">
        <f>SUM(H1236:H1236)</f>
        <v>2</v>
      </c>
    </row>
    <row r="1238" spans="1:8" ht="22.5">
      <c r="A1238" s="311" t="str">
        <f>'Planilha orç'!A213</f>
        <v>12.18</v>
      </c>
      <c r="B1238" s="134" t="str">
        <f>'Planilha orç'!D213</f>
        <v>SABONETEIRA DE PAREDE EM METAL CROMADO, INCLUSO FIXAÇÃO. AF_01/2020</v>
      </c>
      <c r="C1238" s="311"/>
      <c r="D1238" s="312"/>
      <c r="E1238" s="313"/>
      <c r="F1238" s="314"/>
      <c r="G1238" s="315"/>
      <c r="H1238" s="316"/>
    </row>
    <row r="1239" spans="1:8">
      <c r="A1239" s="317"/>
      <c r="B1239" s="321" t="s">
        <v>692</v>
      </c>
      <c r="C1239" s="317"/>
      <c r="D1239" s="342">
        <v>1</v>
      </c>
      <c r="E1239" s="317"/>
      <c r="F1239" s="320"/>
      <c r="G1239" s="139"/>
      <c r="H1239" s="321">
        <f t="shared" ref="H1239:H1240" si="182">ROUND(PRODUCT(D1239:G1239),2)</f>
        <v>1</v>
      </c>
    </row>
    <row r="1240" spans="1:8">
      <c r="A1240" s="317"/>
      <c r="B1240" s="321" t="s">
        <v>693</v>
      </c>
      <c r="C1240" s="317"/>
      <c r="D1240" s="342">
        <v>1</v>
      </c>
      <c r="E1240" s="317"/>
      <c r="F1240" s="320"/>
      <c r="G1240" s="139"/>
      <c r="H1240" s="321">
        <f t="shared" si="182"/>
        <v>1</v>
      </c>
    </row>
    <row r="1241" spans="1:8">
      <c r="A1241" s="317"/>
      <c r="B1241" s="321"/>
      <c r="C1241" s="317"/>
      <c r="D1241" s="317"/>
      <c r="E1241" s="317"/>
      <c r="F1241" s="320"/>
      <c r="G1241" s="139" t="str">
        <f>"Total item "&amp;A1238</f>
        <v>Total item 12.18</v>
      </c>
      <c r="H1241" s="140">
        <f>SUM(H1239:H1240)</f>
        <v>2</v>
      </c>
    </row>
    <row r="1242" spans="1:8">
      <c r="A1242" s="311" t="str">
        <f>'Planilha orç'!A214</f>
        <v>12.19</v>
      </c>
      <c r="B1242" s="134" t="str">
        <f>'Planilha orç'!D214</f>
        <v>PORTA PAPEL TOALHA (DISPENSER)EM ABS</v>
      </c>
      <c r="C1242" s="311"/>
      <c r="D1242" s="312"/>
      <c r="E1242" s="313"/>
      <c r="F1242" s="314"/>
      <c r="G1242" s="315"/>
      <c r="H1242" s="316"/>
    </row>
    <row r="1243" spans="1:8">
      <c r="A1243" s="317"/>
      <c r="B1243" s="321" t="s">
        <v>690</v>
      </c>
      <c r="C1243" s="317"/>
      <c r="D1243" s="342">
        <v>1</v>
      </c>
      <c r="E1243" s="317"/>
      <c r="F1243" s="320"/>
      <c r="G1243" s="139"/>
      <c r="H1243" s="321">
        <f t="shared" ref="H1243:H1252" si="183">ROUND(PRODUCT(D1243:G1243),2)</f>
        <v>1</v>
      </c>
    </row>
    <row r="1244" spans="1:8">
      <c r="A1244" s="317"/>
      <c r="B1244" s="321" t="s">
        <v>691</v>
      </c>
      <c r="C1244" s="317"/>
      <c r="D1244" s="342">
        <v>1</v>
      </c>
      <c r="E1244" s="317"/>
      <c r="F1244" s="320"/>
      <c r="G1244" s="139"/>
      <c r="H1244" s="321">
        <f t="shared" si="183"/>
        <v>1</v>
      </c>
    </row>
    <row r="1245" spans="1:8">
      <c r="A1245" s="317"/>
      <c r="B1245" s="321" t="s">
        <v>692</v>
      </c>
      <c r="C1245" s="317"/>
      <c r="D1245" s="342">
        <v>1</v>
      </c>
      <c r="E1245" s="317"/>
      <c r="F1245" s="320"/>
      <c r="G1245" s="139"/>
      <c r="H1245" s="321">
        <f t="shared" si="183"/>
        <v>1</v>
      </c>
    </row>
    <row r="1246" spans="1:8">
      <c r="A1246" s="317"/>
      <c r="B1246" s="321" t="s">
        <v>693</v>
      </c>
      <c r="C1246" s="317"/>
      <c r="D1246" s="342">
        <v>1</v>
      </c>
      <c r="E1246" s="317"/>
      <c r="F1246" s="320"/>
      <c r="G1246" s="139"/>
      <c r="H1246" s="321">
        <f t="shared" si="183"/>
        <v>1</v>
      </c>
    </row>
    <row r="1247" spans="1:8">
      <c r="A1247" s="317"/>
      <c r="B1247" s="321" t="s">
        <v>688</v>
      </c>
      <c r="C1247" s="317"/>
      <c r="D1247" s="342">
        <v>1</v>
      </c>
      <c r="E1247" s="317"/>
      <c r="F1247" s="320"/>
      <c r="G1247" s="139"/>
      <c r="H1247" s="321">
        <f t="shared" si="183"/>
        <v>1</v>
      </c>
    </row>
    <row r="1248" spans="1:8">
      <c r="A1248" s="317"/>
      <c r="B1248" s="321" t="s">
        <v>689</v>
      </c>
      <c r="C1248" s="317"/>
      <c r="D1248" s="342">
        <v>1</v>
      </c>
      <c r="E1248" s="317"/>
      <c r="F1248" s="320"/>
      <c r="G1248" s="139"/>
      <c r="H1248" s="321">
        <f t="shared" si="183"/>
        <v>1</v>
      </c>
    </row>
    <row r="1249" spans="1:8">
      <c r="A1249" s="317"/>
      <c r="B1249" s="321" t="s">
        <v>909</v>
      </c>
      <c r="C1249" s="317"/>
      <c r="D1249" s="342">
        <v>1</v>
      </c>
      <c r="E1249" s="317"/>
      <c r="F1249" s="320"/>
      <c r="G1249" s="139"/>
      <c r="H1249" s="321">
        <f t="shared" si="183"/>
        <v>1</v>
      </c>
    </row>
    <row r="1250" spans="1:8">
      <c r="A1250" s="317"/>
      <c r="B1250" s="321" t="s">
        <v>910</v>
      </c>
      <c r="C1250" s="317"/>
      <c r="D1250" s="342">
        <v>1</v>
      </c>
      <c r="E1250" s="317"/>
      <c r="F1250" s="320"/>
      <c r="G1250" s="139"/>
      <c r="H1250" s="321">
        <f t="shared" si="183"/>
        <v>1</v>
      </c>
    </row>
    <row r="1251" spans="1:8">
      <c r="A1251" s="317"/>
      <c r="B1251" s="321" t="s">
        <v>911</v>
      </c>
      <c r="C1251" s="317"/>
      <c r="D1251" s="342">
        <v>1</v>
      </c>
      <c r="E1251" s="317"/>
      <c r="F1251" s="320"/>
      <c r="G1251" s="139"/>
      <c r="H1251" s="321">
        <f t="shared" si="183"/>
        <v>1</v>
      </c>
    </row>
    <row r="1252" spans="1:8">
      <c r="A1252" s="317"/>
      <c r="B1252" s="321" t="s">
        <v>912</v>
      </c>
      <c r="C1252" s="317"/>
      <c r="D1252" s="342">
        <v>1</v>
      </c>
      <c r="E1252" s="317"/>
      <c r="F1252" s="320"/>
      <c r="G1252" s="139"/>
      <c r="H1252" s="321">
        <f t="shared" si="183"/>
        <v>1</v>
      </c>
    </row>
    <row r="1253" spans="1:8">
      <c r="A1253" s="317"/>
      <c r="B1253" s="321"/>
      <c r="C1253" s="317"/>
      <c r="D1253" s="317"/>
      <c r="E1253" s="317"/>
      <c r="F1253" s="320"/>
      <c r="G1253" s="139" t="str">
        <f>"Total item "&amp;A1242</f>
        <v>Total item 12.19</v>
      </c>
      <c r="H1253" s="140">
        <f>SUM(H1243:H1252)</f>
        <v>10</v>
      </c>
    </row>
    <row r="1254" spans="1:8" ht="33.75">
      <c r="A1254" s="311" t="str">
        <f>'Planilha orç'!A215</f>
        <v>12.20</v>
      </c>
      <c r="B1254" s="134" t="str">
        <f>'Planilha orç'!D215</f>
        <v>SABONETEIRA PLASTICA TIPO DISPENSER PARA SABONETE LIQUIDO COM RESERVATORIO 800 A 1500 ML, INCLUSO FIXAÇÃO. AF_01/2020</v>
      </c>
      <c r="C1254" s="311"/>
      <c r="D1254" s="312"/>
      <c r="E1254" s="313"/>
      <c r="F1254" s="314"/>
      <c r="G1254" s="315"/>
      <c r="H1254" s="316"/>
    </row>
    <row r="1255" spans="1:8">
      <c r="A1255" s="317"/>
      <c r="B1255" s="321" t="s">
        <v>690</v>
      </c>
      <c r="C1255" s="317"/>
      <c r="D1255" s="342">
        <v>2</v>
      </c>
      <c r="E1255" s="317"/>
      <c r="F1255" s="320"/>
      <c r="G1255" s="139"/>
      <c r="H1255" s="321">
        <f t="shared" ref="H1255:H1264" si="184">ROUND(PRODUCT(D1255:G1255),2)</f>
        <v>2</v>
      </c>
    </row>
    <row r="1256" spans="1:8">
      <c r="A1256" s="317"/>
      <c r="B1256" s="321" t="s">
        <v>691</v>
      </c>
      <c r="C1256" s="317"/>
      <c r="D1256" s="342">
        <v>2</v>
      </c>
      <c r="E1256" s="317"/>
      <c r="F1256" s="320"/>
      <c r="G1256" s="139"/>
      <c r="H1256" s="321">
        <f t="shared" si="184"/>
        <v>2</v>
      </c>
    </row>
    <row r="1257" spans="1:8">
      <c r="A1257" s="317"/>
      <c r="B1257" s="321" t="s">
        <v>692</v>
      </c>
      <c r="C1257" s="317"/>
      <c r="D1257" s="342">
        <v>2</v>
      </c>
      <c r="E1257" s="317"/>
      <c r="F1257" s="320"/>
      <c r="G1257" s="139"/>
      <c r="H1257" s="321">
        <f t="shared" si="184"/>
        <v>2</v>
      </c>
    </row>
    <row r="1258" spans="1:8">
      <c r="A1258" s="317"/>
      <c r="B1258" s="321" t="s">
        <v>693</v>
      </c>
      <c r="C1258" s="317"/>
      <c r="D1258" s="342">
        <v>2</v>
      </c>
      <c r="E1258" s="317"/>
      <c r="F1258" s="320"/>
      <c r="G1258" s="139"/>
      <c r="H1258" s="321">
        <f t="shared" si="184"/>
        <v>2</v>
      </c>
    </row>
    <row r="1259" spans="1:8">
      <c r="A1259" s="317"/>
      <c r="B1259" s="321" t="s">
        <v>688</v>
      </c>
      <c r="C1259" s="317"/>
      <c r="D1259" s="342">
        <v>2</v>
      </c>
      <c r="E1259" s="317"/>
      <c r="F1259" s="320"/>
      <c r="G1259" s="139"/>
      <c r="H1259" s="321">
        <f t="shared" si="184"/>
        <v>2</v>
      </c>
    </row>
    <row r="1260" spans="1:8">
      <c r="A1260" s="317"/>
      <c r="B1260" s="321" t="s">
        <v>689</v>
      </c>
      <c r="C1260" s="317"/>
      <c r="D1260" s="342">
        <v>2</v>
      </c>
      <c r="E1260" s="317"/>
      <c r="F1260" s="320"/>
      <c r="G1260" s="139"/>
      <c r="H1260" s="321">
        <f t="shared" si="184"/>
        <v>2</v>
      </c>
    </row>
    <row r="1261" spans="1:8">
      <c r="A1261" s="317"/>
      <c r="B1261" s="321" t="s">
        <v>909</v>
      </c>
      <c r="C1261" s="317"/>
      <c r="D1261" s="342">
        <v>1</v>
      </c>
      <c r="E1261" s="317"/>
      <c r="F1261" s="320"/>
      <c r="G1261" s="139"/>
      <c r="H1261" s="321">
        <f t="shared" si="184"/>
        <v>1</v>
      </c>
    </row>
    <row r="1262" spans="1:8">
      <c r="A1262" s="317"/>
      <c r="B1262" s="321" t="s">
        <v>910</v>
      </c>
      <c r="C1262" s="317"/>
      <c r="D1262" s="342">
        <v>1</v>
      </c>
      <c r="E1262" s="317"/>
      <c r="F1262" s="320"/>
      <c r="G1262" s="139"/>
      <c r="H1262" s="321">
        <f t="shared" si="184"/>
        <v>1</v>
      </c>
    </row>
    <row r="1263" spans="1:8">
      <c r="A1263" s="317"/>
      <c r="B1263" s="321" t="s">
        <v>911</v>
      </c>
      <c r="C1263" s="317"/>
      <c r="D1263" s="342">
        <v>1</v>
      </c>
      <c r="E1263" s="317"/>
      <c r="F1263" s="320"/>
      <c r="G1263" s="139"/>
      <c r="H1263" s="321">
        <f t="shared" si="184"/>
        <v>1</v>
      </c>
    </row>
    <row r="1264" spans="1:8">
      <c r="A1264" s="317"/>
      <c r="B1264" s="321" t="s">
        <v>912</v>
      </c>
      <c r="C1264" s="317"/>
      <c r="D1264" s="342">
        <v>1</v>
      </c>
      <c r="E1264" s="317"/>
      <c r="F1264" s="320"/>
      <c r="G1264" s="139"/>
      <c r="H1264" s="321">
        <f t="shared" si="184"/>
        <v>1</v>
      </c>
    </row>
    <row r="1265" spans="1:8">
      <c r="A1265" s="317"/>
      <c r="B1265" s="321"/>
      <c r="C1265" s="317"/>
      <c r="D1265" s="317"/>
      <c r="E1265" s="317"/>
      <c r="F1265" s="320"/>
      <c r="G1265" s="139" t="str">
        <f>"Total item "&amp;A1254</f>
        <v>Total item 12.20</v>
      </c>
      <c r="H1265" s="140">
        <f>SUM(H1255:H1264)</f>
        <v>16</v>
      </c>
    </row>
    <row r="1266" spans="1:8" ht="33.75">
      <c r="A1266" s="311" t="str">
        <f>'Planilha orç'!A216</f>
        <v>12.21</v>
      </c>
      <c r="B1266" s="134" t="str">
        <f>'Planilha orç'!D216</f>
        <v>BARRA DE APOIO RETA, EM ACO INOX POLIDO, COMPRIMENTO 70 CM, FIXADA NA PAREDE - FORNECIMENTO E INSTALAÇÃO. AF_01/2020</v>
      </c>
      <c r="C1266" s="311"/>
      <c r="D1266" s="312"/>
      <c r="E1266" s="313"/>
      <c r="F1266" s="314"/>
      <c r="G1266" s="315"/>
      <c r="H1266" s="316"/>
    </row>
    <row r="1267" spans="1:8">
      <c r="A1267" s="317"/>
      <c r="B1267" s="321" t="s">
        <v>909</v>
      </c>
      <c r="C1267" s="317"/>
      <c r="D1267" s="342">
        <v>1</v>
      </c>
      <c r="E1267" s="317"/>
      <c r="F1267" s="320"/>
      <c r="G1267" s="139"/>
      <c r="H1267" s="321">
        <f t="shared" ref="H1267:H1270" si="185">ROUND(PRODUCT(D1267:G1267),2)</f>
        <v>1</v>
      </c>
    </row>
    <row r="1268" spans="1:8">
      <c r="A1268" s="317"/>
      <c r="B1268" s="321" t="s">
        <v>910</v>
      </c>
      <c r="C1268" s="317"/>
      <c r="D1268" s="342">
        <v>1</v>
      </c>
      <c r="E1268" s="317"/>
      <c r="F1268" s="320"/>
      <c r="G1268" s="139"/>
      <c r="H1268" s="321">
        <f t="shared" si="185"/>
        <v>1</v>
      </c>
    </row>
    <row r="1269" spans="1:8">
      <c r="A1269" s="317"/>
      <c r="B1269" s="321" t="s">
        <v>911</v>
      </c>
      <c r="C1269" s="317"/>
      <c r="D1269" s="342">
        <v>1</v>
      </c>
      <c r="E1269" s="317"/>
      <c r="F1269" s="320"/>
      <c r="G1269" s="139"/>
      <c r="H1269" s="321">
        <f t="shared" si="185"/>
        <v>1</v>
      </c>
    </row>
    <row r="1270" spans="1:8">
      <c r="A1270" s="317"/>
      <c r="B1270" s="321" t="s">
        <v>912</v>
      </c>
      <c r="C1270" s="317"/>
      <c r="D1270" s="342">
        <v>1</v>
      </c>
      <c r="E1270" s="317"/>
      <c r="F1270" s="320"/>
      <c r="G1270" s="139"/>
      <c r="H1270" s="321">
        <f t="shared" si="185"/>
        <v>1</v>
      </c>
    </row>
    <row r="1271" spans="1:8">
      <c r="A1271" s="317"/>
      <c r="B1271" s="321"/>
      <c r="C1271" s="317"/>
      <c r="D1271" s="317"/>
      <c r="E1271" s="317"/>
      <c r="F1271" s="320"/>
      <c r="G1271" s="139" t="str">
        <f>"Total item "&amp;A1266</f>
        <v>Total item 12.21</v>
      </c>
      <c r="H1271" s="140">
        <f>SUM(H1267:H1270)</f>
        <v>4</v>
      </c>
    </row>
    <row r="1272" spans="1:8" ht="22.5">
      <c r="A1272" s="311" t="str">
        <f>'Planilha orç'!A217</f>
        <v>12.22</v>
      </c>
      <c r="B1272" s="134" t="str">
        <f>'Planilha orç'!D217</f>
        <v>PUXADOR PARA PCD, FIXADO NA PORTA - FORNECIMENTO E INSTALAÇÃO. AF_01/2020</v>
      </c>
      <c r="C1272" s="311"/>
      <c r="D1272" s="312"/>
      <c r="E1272" s="313"/>
      <c r="F1272" s="314"/>
      <c r="G1272" s="315"/>
      <c r="H1272" s="316"/>
    </row>
    <row r="1273" spans="1:8">
      <c r="A1273" s="317"/>
      <c r="B1273" s="321" t="s">
        <v>909</v>
      </c>
      <c r="C1273" s="317"/>
      <c r="D1273" s="342">
        <v>1</v>
      </c>
      <c r="E1273" s="317"/>
      <c r="F1273" s="320"/>
      <c r="G1273" s="139"/>
      <c r="H1273" s="321">
        <f t="shared" ref="H1273:H1276" si="186">ROUND(PRODUCT(D1273:G1273),2)</f>
        <v>1</v>
      </c>
    </row>
    <row r="1274" spans="1:8">
      <c r="A1274" s="317"/>
      <c r="B1274" s="321" t="s">
        <v>910</v>
      </c>
      <c r="C1274" s="317"/>
      <c r="D1274" s="342">
        <v>1</v>
      </c>
      <c r="E1274" s="317"/>
      <c r="F1274" s="320"/>
      <c r="G1274" s="139"/>
      <c r="H1274" s="321">
        <f t="shared" si="186"/>
        <v>1</v>
      </c>
    </row>
    <row r="1275" spans="1:8">
      <c r="A1275" s="317"/>
      <c r="B1275" s="321" t="s">
        <v>911</v>
      </c>
      <c r="C1275" s="317"/>
      <c r="D1275" s="342">
        <v>1</v>
      </c>
      <c r="E1275" s="317"/>
      <c r="F1275" s="320"/>
      <c r="G1275" s="139"/>
      <c r="H1275" s="321">
        <f t="shared" si="186"/>
        <v>1</v>
      </c>
    </row>
    <row r="1276" spans="1:8">
      <c r="A1276" s="317"/>
      <c r="B1276" s="321" t="s">
        <v>912</v>
      </c>
      <c r="C1276" s="317"/>
      <c r="D1276" s="342">
        <v>1</v>
      </c>
      <c r="E1276" s="317"/>
      <c r="F1276" s="320"/>
      <c r="G1276" s="139"/>
      <c r="H1276" s="321">
        <f t="shared" si="186"/>
        <v>1</v>
      </c>
    </row>
    <row r="1277" spans="1:8">
      <c r="A1277" s="317"/>
      <c r="B1277" s="321"/>
      <c r="C1277" s="317"/>
      <c r="D1277" s="317"/>
      <c r="E1277" s="317"/>
      <c r="F1277" s="320"/>
      <c r="G1277" s="139" t="str">
        <f>"Total item "&amp;A1272</f>
        <v>Total item 12.22</v>
      </c>
      <c r="H1277" s="140">
        <f>SUM(H1273:H1276)</f>
        <v>4</v>
      </c>
    </row>
    <row r="1278" spans="1:8">
      <c r="A1278" s="311" t="str">
        <f>'Planilha orç'!A218</f>
        <v>12.23</v>
      </c>
      <c r="B1278" s="134" t="str">
        <f>'Planilha orç'!D218</f>
        <v>PORTA PAPEL METÁLICO</v>
      </c>
      <c r="C1278" s="311"/>
      <c r="D1278" s="312"/>
      <c r="E1278" s="313"/>
      <c r="F1278" s="314"/>
      <c r="G1278" s="315"/>
      <c r="H1278" s="316"/>
    </row>
    <row r="1279" spans="1:8">
      <c r="A1279" s="317"/>
      <c r="B1279" s="321" t="s">
        <v>690</v>
      </c>
      <c r="C1279" s="317"/>
      <c r="D1279" s="342">
        <v>2</v>
      </c>
      <c r="E1279" s="317"/>
      <c r="F1279" s="320"/>
      <c r="G1279" s="139"/>
      <c r="H1279" s="321">
        <f t="shared" ref="H1279:H1288" si="187">ROUND(PRODUCT(D1279:G1279),2)</f>
        <v>2</v>
      </c>
    </row>
    <row r="1280" spans="1:8">
      <c r="A1280" s="317"/>
      <c r="B1280" s="321" t="s">
        <v>691</v>
      </c>
      <c r="C1280" s="317"/>
      <c r="D1280" s="342">
        <v>2</v>
      </c>
      <c r="E1280" s="317"/>
      <c r="F1280" s="320"/>
      <c r="G1280" s="139"/>
      <c r="H1280" s="321">
        <f t="shared" si="187"/>
        <v>2</v>
      </c>
    </row>
    <row r="1281" spans="1:8">
      <c r="A1281" s="317"/>
      <c r="B1281" s="321" t="s">
        <v>692</v>
      </c>
      <c r="C1281" s="317"/>
      <c r="D1281" s="342">
        <v>2</v>
      </c>
      <c r="E1281" s="317"/>
      <c r="F1281" s="320"/>
      <c r="G1281" s="139"/>
      <c r="H1281" s="321">
        <f t="shared" si="187"/>
        <v>2</v>
      </c>
    </row>
    <row r="1282" spans="1:8">
      <c r="A1282" s="317"/>
      <c r="B1282" s="321" t="s">
        <v>693</v>
      </c>
      <c r="C1282" s="317"/>
      <c r="D1282" s="342">
        <v>2</v>
      </c>
      <c r="E1282" s="317"/>
      <c r="F1282" s="320"/>
      <c r="G1282" s="139"/>
      <c r="H1282" s="321">
        <f t="shared" si="187"/>
        <v>2</v>
      </c>
    </row>
    <row r="1283" spans="1:8">
      <c r="A1283" s="317"/>
      <c r="B1283" s="321" t="s">
        <v>688</v>
      </c>
      <c r="C1283" s="317"/>
      <c r="D1283" s="342">
        <v>3</v>
      </c>
      <c r="E1283" s="317"/>
      <c r="F1283" s="320"/>
      <c r="G1283" s="139"/>
      <c r="H1283" s="321">
        <f t="shared" si="187"/>
        <v>3</v>
      </c>
    </row>
    <row r="1284" spans="1:8">
      <c r="A1284" s="317"/>
      <c r="B1284" s="321" t="s">
        <v>689</v>
      </c>
      <c r="C1284" s="317"/>
      <c r="D1284" s="342">
        <v>3</v>
      </c>
      <c r="E1284" s="317"/>
      <c r="F1284" s="320"/>
      <c r="G1284" s="139"/>
      <c r="H1284" s="321">
        <f t="shared" si="187"/>
        <v>3</v>
      </c>
    </row>
    <row r="1285" spans="1:8">
      <c r="A1285" s="317"/>
      <c r="B1285" s="321" t="s">
        <v>909</v>
      </c>
      <c r="C1285" s="317"/>
      <c r="D1285" s="342">
        <v>1</v>
      </c>
      <c r="E1285" s="317"/>
      <c r="F1285" s="320"/>
      <c r="G1285" s="139"/>
      <c r="H1285" s="321">
        <f t="shared" si="187"/>
        <v>1</v>
      </c>
    </row>
    <row r="1286" spans="1:8">
      <c r="A1286" s="317"/>
      <c r="B1286" s="321" t="s">
        <v>910</v>
      </c>
      <c r="C1286" s="317"/>
      <c r="D1286" s="342">
        <v>1</v>
      </c>
      <c r="E1286" s="317"/>
      <c r="F1286" s="320"/>
      <c r="G1286" s="139"/>
      <c r="H1286" s="321">
        <f t="shared" si="187"/>
        <v>1</v>
      </c>
    </row>
    <row r="1287" spans="1:8">
      <c r="A1287" s="317"/>
      <c r="B1287" s="321" t="s">
        <v>911</v>
      </c>
      <c r="C1287" s="317"/>
      <c r="D1287" s="342">
        <v>1</v>
      </c>
      <c r="E1287" s="317"/>
      <c r="F1287" s="320"/>
      <c r="G1287" s="139"/>
      <c r="H1287" s="321">
        <f t="shared" si="187"/>
        <v>1</v>
      </c>
    </row>
    <row r="1288" spans="1:8">
      <c r="A1288" s="317"/>
      <c r="B1288" s="321" t="s">
        <v>912</v>
      </c>
      <c r="C1288" s="317"/>
      <c r="D1288" s="342">
        <v>1</v>
      </c>
      <c r="E1288" s="317"/>
      <c r="F1288" s="320"/>
      <c r="G1288" s="139"/>
      <c r="H1288" s="321">
        <f t="shared" si="187"/>
        <v>1</v>
      </c>
    </row>
    <row r="1289" spans="1:8">
      <c r="A1289" s="317"/>
      <c r="B1289" s="321"/>
      <c r="C1289" s="317"/>
      <c r="D1289" s="317"/>
      <c r="E1289" s="317"/>
      <c r="F1289" s="320"/>
      <c r="G1289" s="139" t="str">
        <f>"Total item "&amp;A1278</f>
        <v>Total item 12.23</v>
      </c>
      <c r="H1289" s="140">
        <f>SUM(H1279:H1288)</f>
        <v>18</v>
      </c>
    </row>
    <row r="1290" spans="1:8" ht="22.5">
      <c r="A1290" s="311" t="str">
        <f>'Planilha orç'!A219</f>
        <v>12.24</v>
      </c>
      <c r="B1290" s="134" t="str">
        <f>'Planilha orç'!D219</f>
        <v>ESPELHO CRISTAL, ESPESSURA 4MM, COM PARAFUSOS DE FIXAÇÃO, SEM MOLDURA</v>
      </c>
      <c r="C1290" s="311"/>
      <c r="D1290" s="312"/>
      <c r="E1290" s="313"/>
      <c r="F1290" s="314"/>
      <c r="G1290" s="315"/>
      <c r="H1290" s="316"/>
    </row>
    <row r="1291" spans="1:8">
      <c r="A1291" s="317"/>
      <c r="B1291" s="321" t="s">
        <v>688</v>
      </c>
      <c r="C1291" s="317"/>
      <c r="D1291" s="323">
        <v>3</v>
      </c>
      <c r="E1291" s="323">
        <v>0.5</v>
      </c>
      <c r="F1291" s="323"/>
      <c r="G1291" s="323">
        <v>0.7</v>
      </c>
      <c r="H1291" s="321">
        <f t="shared" ref="H1291:H1300" si="188">ROUND(PRODUCT(D1291:G1291),2)</f>
        <v>1.05</v>
      </c>
    </row>
    <row r="1292" spans="1:8">
      <c r="A1292" s="317"/>
      <c r="B1292" s="321" t="s">
        <v>689</v>
      </c>
      <c r="C1292" s="317"/>
      <c r="D1292" s="323">
        <v>3</v>
      </c>
      <c r="E1292" s="323">
        <v>0.5</v>
      </c>
      <c r="F1292" s="323"/>
      <c r="G1292" s="323">
        <v>0.7</v>
      </c>
      <c r="H1292" s="321">
        <f t="shared" si="188"/>
        <v>1.05</v>
      </c>
    </row>
    <row r="1293" spans="1:8">
      <c r="A1293" s="317"/>
      <c r="B1293" s="321" t="s">
        <v>690</v>
      </c>
      <c r="C1293" s="317"/>
      <c r="D1293" s="323">
        <v>2</v>
      </c>
      <c r="E1293" s="323">
        <v>0.5</v>
      </c>
      <c r="F1293" s="323"/>
      <c r="G1293" s="323">
        <v>0.7</v>
      </c>
      <c r="H1293" s="321">
        <f t="shared" si="188"/>
        <v>0.7</v>
      </c>
    </row>
    <row r="1294" spans="1:8">
      <c r="A1294" s="317"/>
      <c r="B1294" s="321" t="s">
        <v>691</v>
      </c>
      <c r="C1294" s="317"/>
      <c r="D1294" s="323">
        <v>2</v>
      </c>
      <c r="E1294" s="323">
        <v>0.5</v>
      </c>
      <c r="F1294" s="323"/>
      <c r="G1294" s="323">
        <v>0.7</v>
      </c>
      <c r="H1294" s="321">
        <f t="shared" si="188"/>
        <v>0.7</v>
      </c>
    </row>
    <row r="1295" spans="1:8">
      <c r="A1295" s="317"/>
      <c r="B1295" s="321" t="s">
        <v>692</v>
      </c>
      <c r="C1295" s="317"/>
      <c r="D1295" s="323">
        <v>3</v>
      </c>
      <c r="E1295" s="323">
        <v>0.5</v>
      </c>
      <c r="F1295" s="323"/>
      <c r="G1295" s="323">
        <v>0.7</v>
      </c>
      <c r="H1295" s="321">
        <f t="shared" si="188"/>
        <v>1.05</v>
      </c>
    </row>
    <row r="1296" spans="1:8">
      <c r="A1296" s="317"/>
      <c r="B1296" s="321" t="s">
        <v>693</v>
      </c>
      <c r="C1296" s="317"/>
      <c r="D1296" s="323">
        <v>3</v>
      </c>
      <c r="E1296" s="323">
        <v>0.5</v>
      </c>
      <c r="F1296" s="323"/>
      <c r="G1296" s="323">
        <v>0.7</v>
      </c>
      <c r="H1296" s="321">
        <f t="shared" si="188"/>
        <v>1.05</v>
      </c>
    </row>
    <row r="1297" spans="1:8">
      <c r="A1297" s="317"/>
      <c r="B1297" s="321" t="s">
        <v>909</v>
      </c>
      <c r="C1297" s="317"/>
      <c r="D1297" s="323">
        <v>1</v>
      </c>
      <c r="E1297" s="323">
        <v>0.4</v>
      </c>
      <c r="F1297" s="323"/>
      <c r="G1297" s="323">
        <v>0.6</v>
      </c>
      <c r="H1297" s="321">
        <f t="shared" si="188"/>
        <v>0.24</v>
      </c>
    </row>
    <row r="1298" spans="1:8">
      <c r="A1298" s="317"/>
      <c r="B1298" s="321" t="s">
        <v>910</v>
      </c>
      <c r="C1298" s="317"/>
      <c r="D1298" s="323">
        <v>1</v>
      </c>
      <c r="E1298" s="323">
        <v>0.4</v>
      </c>
      <c r="F1298" s="323"/>
      <c r="G1298" s="323">
        <v>0.6</v>
      </c>
      <c r="H1298" s="321">
        <f t="shared" si="188"/>
        <v>0.24</v>
      </c>
    </row>
    <row r="1299" spans="1:8">
      <c r="A1299" s="317"/>
      <c r="B1299" s="321" t="s">
        <v>911</v>
      </c>
      <c r="C1299" s="317"/>
      <c r="D1299" s="323">
        <v>1</v>
      </c>
      <c r="E1299" s="323">
        <v>0.4</v>
      </c>
      <c r="F1299" s="323"/>
      <c r="G1299" s="323">
        <v>0.6</v>
      </c>
      <c r="H1299" s="321">
        <f t="shared" si="188"/>
        <v>0.24</v>
      </c>
    </row>
    <row r="1300" spans="1:8">
      <c r="A1300" s="317"/>
      <c r="B1300" s="321" t="s">
        <v>912</v>
      </c>
      <c r="C1300" s="317"/>
      <c r="D1300" s="323">
        <v>1</v>
      </c>
      <c r="E1300" s="323">
        <v>0.4</v>
      </c>
      <c r="F1300" s="323"/>
      <c r="G1300" s="323">
        <v>0.6</v>
      </c>
      <c r="H1300" s="321">
        <f t="shared" si="188"/>
        <v>0.24</v>
      </c>
    </row>
    <row r="1301" spans="1:8">
      <c r="A1301" s="317"/>
      <c r="B1301" s="321"/>
      <c r="C1301" s="317"/>
      <c r="D1301" s="317"/>
      <c r="E1301" s="317"/>
      <c r="F1301" s="320"/>
      <c r="G1301" s="139" t="str">
        <f>"Total item "&amp;A1290</f>
        <v>Total item 12.24</v>
      </c>
      <c r="H1301" s="140">
        <f>SUM(H1291:H1300)</f>
        <v>6.5600000000000005</v>
      </c>
    </row>
    <row r="1302" spans="1:8" ht="22.5">
      <c r="A1302" s="311" t="str">
        <f>'Planilha orç'!A220</f>
        <v>12.25</v>
      </c>
      <c r="B1302" s="134" t="str">
        <f>'Planilha orç'!D220</f>
        <v>BANCADA EM GRANITO P/ LAVATÓRIO, INCL. 2 LOUÇAS BRANCAS E ACESSÓRIOS</v>
      </c>
      <c r="C1302" s="311" t="str">
        <f>'Planilha orç'!E220</f>
        <v>UND</v>
      </c>
      <c r="D1302" s="312"/>
      <c r="E1302" s="313"/>
      <c r="F1302" s="314"/>
      <c r="G1302" s="315"/>
      <c r="H1302" s="316"/>
    </row>
    <row r="1303" spans="1:8">
      <c r="A1303" s="317"/>
      <c r="B1303" s="321" t="s">
        <v>688</v>
      </c>
      <c r="C1303" s="317"/>
      <c r="D1303" s="323">
        <v>1</v>
      </c>
      <c r="E1303" s="323"/>
      <c r="F1303" s="323"/>
      <c r="G1303" s="323"/>
      <c r="H1303" s="321">
        <f t="shared" ref="H1303:H1306" si="189">ROUND(PRODUCT(D1303:G1303),2)</f>
        <v>1</v>
      </c>
    </row>
    <row r="1304" spans="1:8">
      <c r="A1304" s="317"/>
      <c r="B1304" s="321" t="s">
        <v>689</v>
      </c>
      <c r="C1304" s="317"/>
      <c r="D1304" s="323">
        <v>1</v>
      </c>
      <c r="E1304" s="323"/>
      <c r="F1304" s="323"/>
      <c r="G1304" s="323"/>
      <c r="H1304" s="321">
        <f t="shared" si="189"/>
        <v>1</v>
      </c>
    </row>
    <row r="1305" spans="1:8">
      <c r="A1305" s="317"/>
      <c r="B1305" s="321" t="s">
        <v>690</v>
      </c>
      <c r="C1305" s="317"/>
      <c r="D1305" s="323">
        <v>1</v>
      </c>
      <c r="E1305" s="323"/>
      <c r="F1305" s="323"/>
      <c r="G1305" s="323"/>
      <c r="H1305" s="321">
        <f t="shared" si="189"/>
        <v>1</v>
      </c>
    </row>
    <row r="1306" spans="1:8">
      <c r="A1306" s="317"/>
      <c r="B1306" s="321" t="s">
        <v>691</v>
      </c>
      <c r="C1306" s="317"/>
      <c r="D1306" s="323">
        <v>1</v>
      </c>
      <c r="E1306" s="323"/>
      <c r="F1306" s="323"/>
      <c r="G1306" s="323"/>
      <c r="H1306" s="321">
        <f t="shared" si="189"/>
        <v>1</v>
      </c>
    </row>
    <row r="1307" spans="1:8">
      <c r="A1307" s="317"/>
      <c r="B1307" s="321"/>
      <c r="C1307" s="317"/>
      <c r="D1307" s="317"/>
      <c r="E1307" s="317"/>
      <c r="F1307" s="320"/>
      <c r="G1307" s="113" t="str">
        <f>"Total item "&amp;A1302</f>
        <v>Total item 12.25</v>
      </c>
      <c r="H1307" s="114">
        <f>SUM(H1303:H1306)</f>
        <v>4</v>
      </c>
    </row>
    <row r="1308" spans="1:8" ht="22.5">
      <c r="A1308" s="311" t="str">
        <f>'Planilha orç'!A221</f>
        <v>12.26</v>
      </c>
      <c r="B1308" s="134" t="str">
        <f>'Planilha orç'!D221</f>
        <v>BANCADA EM GRANITO P/ LAVATÓRIO, INCL. 3 LOUÇAS BRANCAS E ACESSÓRIOS</v>
      </c>
      <c r="C1308" s="311" t="str">
        <f>'Planilha orç'!E221</f>
        <v>UND</v>
      </c>
      <c r="D1308" s="312"/>
      <c r="E1308" s="313"/>
      <c r="F1308" s="314"/>
      <c r="G1308" s="315"/>
      <c r="H1308" s="316"/>
    </row>
    <row r="1309" spans="1:8">
      <c r="A1309" s="317"/>
      <c r="B1309" s="321" t="s">
        <v>692</v>
      </c>
      <c r="C1309" s="317"/>
      <c r="D1309" s="323">
        <v>1</v>
      </c>
      <c r="E1309" s="323"/>
      <c r="F1309" s="323"/>
      <c r="G1309" s="323"/>
      <c r="H1309" s="321">
        <f t="shared" ref="H1309:H1310" si="190">ROUND(PRODUCT(D1309:G1309),2)</f>
        <v>1</v>
      </c>
    </row>
    <row r="1310" spans="1:8">
      <c r="A1310" s="317"/>
      <c r="B1310" s="321" t="s">
        <v>693</v>
      </c>
      <c r="C1310" s="317"/>
      <c r="D1310" s="323">
        <v>1</v>
      </c>
      <c r="E1310" s="323"/>
      <c r="F1310" s="323"/>
      <c r="G1310" s="323"/>
      <c r="H1310" s="321">
        <f t="shared" si="190"/>
        <v>1</v>
      </c>
    </row>
    <row r="1311" spans="1:8">
      <c r="A1311" s="317"/>
      <c r="B1311" s="321"/>
      <c r="C1311" s="317"/>
      <c r="D1311" s="317"/>
      <c r="E1311" s="317"/>
      <c r="F1311" s="320"/>
      <c r="G1311" s="113" t="str">
        <f>"Total item "&amp;A1308</f>
        <v>Total item 12.26</v>
      </c>
      <c r="H1311" s="114">
        <f>SUM(H1309:H1310)</f>
        <v>2</v>
      </c>
    </row>
    <row r="1312" spans="1:8" ht="33.75">
      <c r="A1312" s="311" t="str">
        <f>'Planilha orç'!A222</f>
        <v>12.27</v>
      </c>
      <c r="B1312" s="134" t="str">
        <f>'Planilha orç'!D222</f>
        <v>FORNECIMENTO DE BALCAO EM GRANITO NATURAL PO LIDO CINZA ANDORINHA, COM 2CM DE ESPESSURA, INCLUSIVE CORTE PARA DUAS CUBAS, TRANSPORTE, MONTAGEM E ASSENTAMENTO.</v>
      </c>
      <c r="C1312" s="311" t="str">
        <f>'Planilha orç'!E222</f>
        <v>M2</v>
      </c>
      <c r="D1312" s="312"/>
      <c r="E1312" s="313"/>
      <c r="F1312" s="314"/>
      <c r="G1312" s="315"/>
      <c r="H1312" s="316"/>
    </row>
    <row r="1313" spans="1:8">
      <c r="A1313" s="317"/>
      <c r="B1313" s="321" t="s">
        <v>476</v>
      </c>
      <c r="C1313" s="317"/>
      <c r="D1313" s="323"/>
      <c r="E1313" s="323">
        <v>2.5</v>
      </c>
      <c r="F1313" s="323">
        <v>0.6</v>
      </c>
      <c r="G1313" s="323"/>
      <c r="H1313" s="321">
        <f>ROUND(PRODUCT(D1313:G1313),2)</f>
        <v>1.5</v>
      </c>
    </row>
    <row r="1314" spans="1:8">
      <c r="A1314" s="317"/>
      <c r="B1314" s="321"/>
      <c r="C1314" s="317"/>
      <c r="D1314" s="317"/>
      <c r="E1314" s="317"/>
      <c r="F1314" s="320"/>
      <c r="G1314" s="113" t="str">
        <f>"Total item "&amp;A1312</f>
        <v>Total item 12.27</v>
      </c>
      <c r="H1314" s="114">
        <f>SUM(H1313:H1313)</f>
        <v>1.5</v>
      </c>
    </row>
    <row r="1315" spans="1:8" ht="22.5">
      <c r="A1315" s="311" t="str">
        <f>'Planilha orç'!A223</f>
        <v>12.28</v>
      </c>
      <c r="B1315" s="134" t="str">
        <f>'Planilha orç'!D223</f>
        <v>CUBA DE EMBUTIR RETANGULAR DE AÇO INOXIDÁVEL, 56 X 33 X 12 CM - FORNECIMENTO E INSTALAÇÃO. AF_01/2020</v>
      </c>
      <c r="C1315" s="311" t="str">
        <f>'Planilha orç'!E223</f>
        <v>UN</v>
      </c>
      <c r="D1315" s="312"/>
      <c r="E1315" s="313"/>
      <c r="F1315" s="314"/>
      <c r="G1315" s="315"/>
      <c r="H1315" s="316"/>
    </row>
    <row r="1316" spans="1:8">
      <c r="A1316" s="317"/>
      <c r="B1316" s="321" t="s">
        <v>476</v>
      </c>
      <c r="C1316" s="317"/>
      <c r="D1316" s="323">
        <v>2</v>
      </c>
      <c r="E1316" s="323"/>
      <c r="F1316" s="323"/>
      <c r="G1316" s="323"/>
      <c r="H1316" s="321">
        <f t="shared" ref="H1316" si="191">ROUND(PRODUCT(D1316:G1316),2)</f>
        <v>2</v>
      </c>
    </row>
    <row r="1317" spans="1:8">
      <c r="A1317" s="317"/>
      <c r="B1317" s="321"/>
      <c r="C1317" s="317"/>
      <c r="D1317" s="317"/>
      <c r="E1317" s="317"/>
      <c r="F1317" s="320"/>
      <c r="G1317" s="113" t="str">
        <f>"Total item "&amp;A1315</f>
        <v>Total item 12.28</v>
      </c>
      <c r="H1317" s="114">
        <f>SUM(H1316:H1316)</f>
        <v>2</v>
      </c>
    </row>
    <row r="1318" spans="1:8" ht="33.75">
      <c r="A1318" s="311" t="str">
        <f>'Planilha orç'!A224</f>
        <v>12.29</v>
      </c>
      <c r="B1318" s="134" t="str">
        <f>'Planilha orç'!D224</f>
        <v>TORNEIRA CROMADA TUBO MÓVEL, DE PAREDE, 1/2 OU 3/4, PARA PIA DE COZINHA, PADRÃO MÉDIO - FORNECIMENTO E INSTALAÇÃO. AF_01/2020</v>
      </c>
      <c r="C1318" s="311" t="str">
        <f>'Planilha orç'!E224</f>
        <v>UN</v>
      </c>
      <c r="D1318" s="312"/>
      <c r="E1318" s="313"/>
      <c r="F1318" s="314"/>
      <c r="G1318" s="315"/>
      <c r="H1318" s="316"/>
    </row>
    <row r="1319" spans="1:8">
      <c r="A1319" s="317"/>
      <c r="B1319" s="321" t="s">
        <v>476</v>
      </c>
      <c r="C1319" s="317"/>
      <c r="D1319" s="323">
        <v>2</v>
      </c>
      <c r="E1319" s="323"/>
      <c r="F1319" s="323"/>
      <c r="G1319" s="323"/>
      <c r="H1319" s="321">
        <f t="shared" ref="H1319" si="192">ROUND(PRODUCT(D1319:G1319),2)</f>
        <v>2</v>
      </c>
    </row>
    <row r="1320" spans="1:8">
      <c r="A1320" s="317"/>
      <c r="B1320" s="321"/>
      <c r="C1320" s="317"/>
      <c r="D1320" s="317"/>
      <c r="E1320" s="317"/>
      <c r="F1320" s="320"/>
      <c r="G1320" s="113" t="str">
        <f>"Total item "&amp;A1318</f>
        <v>Total item 12.29</v>
      </c>
      <c r="H1320" s="114">
        <f>SUM(H1319:H1319)</f>
        <v>2</v>
      </c>
    </row>
    <row r="1321" spans="1:8">
      <c r="A1321" s="301" t="str">
        <f>'Planilha orç'!A225</f>
        <v>13.0</v>
      </c>
      <c r="B1321" s="303" t="str">
        <f>'Planilha orç'!D225</f>
        <v>RECUPERAÇÃO ESTRUTURAL</v>
      </c>
      <c r="C1321" s="302"/>
      <c r="D1321" s="301"/>
      <c r="E1321" s="301"/>
      <c r="F1321" s="301"/>
      <c r="G1321" s="301"/>
      <c r="H1321" s="301"/>
    </row>
    <row r="1322" spans="1:8">
      <c r="A1322" s="311" t="str">
        <f>'Planilha orç'!A226</f>
        <v>13.1</v>
      </c>
      <c r="B1322" s="134" t="str">
        <f>'Planilha orç'!D226</f>
        <v>APICOAMENTO EM CONCRETO/PREPARO DA SUPERFÍCIE</v>
      </c>
      <c r="C1322" s="311" t="str">
        <f>'Planilha orç'!E226</f>
        <v>m²</v>
      </c>
      <c r="D1322" s="312"/>
      <c r="E1322" s="313"/>
      <c r="F1322" s="314"/>
      <c r="G1322" s="315"/>
      <c r="H1322" s="316"/>
    </row>
    <row r="1323" spans="1:8">
      <c r="A1323" s="317"/>
      <c r="B1323" s="321" t="s">
        <v>593</v>
      </c>
      <c r="C1323" s="317"/>
      <c r="D1323" s="317">
        <v>7</v>
      </c>
      <c r="E1323" s="320">
        <v>0.8</v>
      </c>
      <c r="F1323" s="320"/>
      <c r="G1323" s="199">
        <v>1</v>
      </c>
      <c r="H1323" s="321">
        <f t="shared" ref="H1323" si="193">ROUND(PRODUCT(D1323:G1323),2)</f>
        <v>5.6</v>
      </c>
    </row>
    <row r="1324" spans="1:8">
      <c r="A1324" s="317"/>
      <c r="B1324" s="321"/>
      <c r="C1324" s="317"/>
      <c r="D1324" s="317"/>
      <c r="E1324" s="317"/>
      <c r="F1324" s="320"/>
      <c r="G1324" s="139" t="str">
        <f>"Total item "&amp;A1322</f>
        <v>Total item 13.1</v>
      </c>
      <c r="H1324" s="140">
        <f>SUM(H1323:H1323)</f>
        <v>5.6</v>
      </c>
    </row>
    <row r="1325" spans="1:8">
      <c r="A1325" s="311" t="str">
        <f>'Planilha orç'!A227</f>
        <v>13.2</v>
      </c>
      <c r="B1325" s="134" t="str">
        <f>'Planilha orç'!D227</f>
        <v>LIMPEZA DE SUPERFÍCIE C/ ESCOVA DE AÇO</v>
      </c>
      <c r="C1325" s="311" t="str">
        <f>'Planilha orç'!E227</f>
        <v>m²</v>
      </c>
      <c r="D1325" s="312"/>
      <c r="E1325" s="313"/>
      <c r="F1325" s="314"/>
      <c r="G1325" s="315"/>
      <c r="H1325" s="316"/>
    </row>
    <row r="1326" spans="1:8">
      <c r="A1326" s="317"/>
      <c r="B1326" s="321" t="str">
        <f>G1324</f>
        <v>Total item 13.1</v>
      </c>
      <c r="C1326" s="317"/>
      <c r="D1326" s="317"/>
      <c r="E1326" s="320"/>
      <c r="F1326" s="320"/>
      <c r="G1326" s="199"/>
      <c r="H1326" s="321">
        <f>H1324</f>
        <v>5.6</v>
      </c>
    </row>
    <row r="1327" spans="1:8">
      <c r="A1327" s="317"/>
      <c r="B1327" s="321"/>
      <c r="C1327" s="317"/>
      <c r="D1327" s="317"/>
      <c r="E1327" s="317"/>
      <c r="F1327" s="320"/>
      <c r="G1327" s="139" t="str">
        <f>"Total item "&amp;A1325</f>
        <v>Total item 13.2</v>
      </c>
      <c r="H1327" s="140">
        <f>SUM(H1326:H1326)</f>
        <v>5.6</v>
      </c>
    </row>
    <row r="1328" spans="1:8" ht="22.5">
      <c r="A1328" s="311" t="str">
        <f>'Planilha orç'!A228</f>
        <v>13.3</v>
      </c>
      <c r="B1328" s="134" t="str">
        <f>'Planilha orç'!D228</f>
        <v>PINTURA PROTEÇÃO C/INIBIDOR MIGRATÓRIO CORROSÃO, 3 DEMÃOS</v>
      </c>
      <c r="C1328" s="311" t="str">
        <f>'Planilha orç'!E228</f>
        <v>m²</v>
      </c>
      <c r="D1328" s="312"/>
      <c r="E1328" s="313"/>
      <c r="F1328" s="314"/>
      <c r="G1328" s="315"/>
      <c r="H1328" s="316"/>
    </row>
    <row r="1329" spans="1:8">
      <c r="A1329" s="317"/>
      <c r="B1329" s="321" t="str">
        <f>G1327</f>
        <v>Total item 13.2</v>
      </c>
      <c r="C1329" s="317"/>
      <c r="D1329" s="317"/>
      <c r="E1329" s="320"/>
      <c r="F1329" s="320"/>
      <c r="G1329" s="199">
        <f>H1327</f>
        <v>5.6</v>
      </c>
      <c r="H1329" s="321">
        <f t="shared" ref="H1329" si="194">ROUND(PRODUCT(D1329:G1329),2)</f>
        <v>5.6</v>
      </c>
    </row>
    <row r="1330" spans="1:8">
      <c r="A1330" s="317"/>
      <c r="B1330" s="321"/>
      <c r="C1330" s="317"/>
      <c r="D1330" s="317"/>
      <c r="E1330" s="317"/>
      <c r="F1330" s="320"/>
      <c r="G1330" s="139" t="str">
        <f>"Total item "&amp;A1328</f>
        <v>Total item 13.3</v>
      </c>
      <c r="H1330" s="140">
        <f>SUM(H1329:H1329)</f>
        <v>5.6</v>
      </c>
    </row>
    <row r="1331" spans="1:8" ht="22.5">
      <c r="A1331" s="311" t="str">
        <f>'Planilha orç'!A229</f>
        <v>13.4</v>
      </c>
      <c r="B1331" s="134" t="str">
        <f>'Planilha orç'!D229</f>
        <v>RECUPERAÇÃO CONCRETO, S/REFORÇO RECONSTITUIÇÃO C/ ARGAMASSA M2 POLIMÉRICA ESP.=25MM</v>
      </c>
      <c r="C1331" s="311" t="str">
        <f>'Planilha orç'!E229</f>
        <v>m²</v>
      </c>
      <c r="D1331" s="312"/>
      <c r="E1331" s="313"/>
      <c r="F1331" s="314"/>
      <c r="G1331" s="315"/>
      <c r="H1331" s="316"/>
    </row>
    <row r="1332" spans="1:8">
      <c r="A1332" s="317"/>
      <c r="B1332" s="321" t="str">
        <f>G1330</f>
        <v>Total item 13.3</v>
      </c>
      <c r="C1332" s="317"/>
      <c r="D1332" s="317"/>
      <c r="E1332" s="320"/>
      <c r="F1332" s="320"/>
      <c r="G1332" s="199"/>
      <c r="H1332" s="321">
        <f>H1330</f>
        <v>5.6</v>
      </c>
    </row>
    <row r="1333" spans="1:8">
      <c r="A1333" s="317"/>
      <c r="B1333" s="321"/>
      <c r="C1333" s="317"/>
      <c r="D1333" s="317"/>
      <c r="E1333" s="317"/>
      <c r="F1333" s="320"/>
      <c r="G1333" s="139" t="str">
        <f>"Total item "&amp;A1331</f>
        <v>Total item 13.4</v>
      </c>
      <c r="H1333" s="140">
        <f>SUM(H1332:H1332)</f>
        <v>5.6</v>
      </c>
    </row>
    <row r="1334" spans="1:8">
      <c r="A1334" s="311" t="str">
        <f>'Planilha orç'!A230</f>
        <v>13.5</v>
      </c>
      <c r="B1334" s="134" t="str">
        <f>'Planilha orç'!D230</f>
        <v>ACABAMENTO DE PEDREIRO</v>
      </c>
      <c r="C1334" s="311" t="str">
        <f>'Planilha orç'!E230</f>
        <v>m²</v>
      </c>
      <c r="D1334" s="312"/>
      <c r="E1334" s="313"/>
      <c r="F1334" s="314"/>
      <c r="G1334" s="315"/>
      <c r="H1334" s="316"/>
    </row>
    <row r="1335" spans="1:8">
      <c r="A1335" s="317"/>
      <c r="B1335" s="321" t="str">
        <f>G1333</f>
        <v>Total item 13.4</v>
      </c>
      <c r="C1335" s="317"/>
      <c r="D1335" s="317"/>
      <c r="E1335" s="320"/>
      <c r="F1335" s="320"/>
      <c r="G1335" s="199"/>
      <c r="H1335" s="321">
        <f>H1333</f>
        <v>5.6</v>
      </c>
    </row>
    <row r="1336" spans="1:8">
      <c r="A1336" s="317"/>
      <c r="B1336" s="321"/>
      <c r="C1336" s="317"/>
      <c r="D1336" s="317"/>
      <c r="E1336" s="317"/>
      <c r="F1336" s="320"/>
      <c r="G1336" s="139" t="str">
        <f>"Total item "&amp;A1334</f>
        <v>Total item 13.5</v>
      </c>
      <c r="H1336" s="140">
        <f>SUM(H1335:H1335)</f>
        <v>5.6</v>
      </c>
    </row>
    <row r="1337" spans="1:8">
      <c r="A1337" s="301" t="str">
        <f>'Planilha orç'!A231</f>
        <v>14.0</v>
      </c>
      <c r="B1337" s="303" t="str">
        <f>'Planilha orç'!D231</f>
        <v xml:space="preserve">SERVIÇOS COMPLEMENTARES </v>
      </c>
      <c r="C1337" s="302"/>
      <c r="D1337" s="301"/>
      <c r="E1337" s="301"/>
      <c r="F1337" s="301"/>
      <c r="G1337" s="301"/>
      <c r="H1337" s="301"/>
    </row>
    <row r="1338" spans="1:8">
      <c r="A1338" s="311" t="str">
        <f>'Planilha orç'!A232</f>
        <v>14.1</v>
      </c>
      <c r="B1338" s="134" t="str">
        <f>'Planilha orç'!D232</f>
        <v>BANCADA DE GRANITO (OUTRAS CORES) E= 3cm (COLOCADO)</v>
      </c>
      <c r="C1338" s="311" t="str">
        <f>'Planilha orç'!E232</f>
        <v>M2</v>
      </c>
      <c r="D1338" s="312"/>
      <c r="E1338" s="313"/>
      <c r="F1338" s="314"/>
      <c r="G1338" s="315"/>
      <c r="H1338" s="316"/>
    </row>
    <row r="1339" spans="1:8">
      <c r="A1339" s="317"/>
      <c r="B1339" s="321" t="s">
        <v>983</v>
      </c>
      <c r="C1339" s="317"/>
      <c r="D1339" s="317"/>
      <c r="E1339" s="320">
        <v>3</v>
      </c>
      <c r="F1339" s="320">
        <v>0.5</v>
      </c>
      <c r="G1339" s="199"/>
      <c r="H1339" s="321">
        <f t="shared" ref="H1339:H1340" si="195">ROUND(PRODUCT(D1339:G1339),2)</f>
        <v>1.5</v>
      </c>
    </row>
    <row r="1340" spans="1:8">
      <c r="A1340" s="317"/>
      <c r="B1340" s="321"/>
      <c r="C1340" s="317"/>
      <c r="D1340" s="317"/>
      <c r="E1340" s="320">
        <v>5.25</v>
      </c>
      <c r="F1340" s="320">
        <v>0.5</v>
      </c>
      <c r="G1340" s="199"/>
      <c r="H1340" s="321">
        <f t="shared" si="195"/>
        <v>2.63</v>
      </c>
    </row>
    <row r="1341" spans="1:8">
      <c r="A1341" s="317"/>
      <c r="B1341" s="321"/>
      <c r="C1341" s="317"/>
      <c r="D1341" s="317"/>
      <c r="E1341" s="317"/>
      <c r="F1341" s="320"/>
      <c r="G1341" s="139" t="str">
        <f>"Total item "&amp;A1338</f>
        <v>Total item 14.1</v>
      </c>
      <c r="H1341" s="140">
        <f>SUM(H1339:H1340)</f>
        <v>4.13</v>
      </c>
    </row>
  </sheetData>
  <autoFilter ref="A6:H6"/>
  <mergeCells count="4">
    <mergeCell ref="A1:H1"/>
    <mergeCell ref="A4:H4"/>
    <mergeCell ref="A2:H2"/>
    <mergeCell ref="A3:H3"/>
  </mergeCells>
  <phoneticPr fontId="15" type="noConversion"/>
  <printOptions horizontalCentered="1"/>
  <pageMargins left="0.51181102362204722" right="0.51181102362204722" top="1.9685039370078741" bottom="0.78740157480314965" header="0.31496062992125984" footer="0.31496062992125984"/>
  <pageSetup paperSize="9" scale="64" fitToHeight="0" orientation="portrait" r:id="rId1"/>
  <headerFooter>
    <oddHeader>&amp;C&amp;G</oddHeader>
  </headerFooter>
  <rowBreaks count="15" manualBreakCount="15">
    <brk id="71" max="7" man="1"/>
    <brk id="232" max="7" man="1"/>
    <brk id="321" max="7" man="1"/>
    <brk id="404" max="7" man="1"/>
    <brk id="492" max="7" man="1"/>
    <brk id="582" max="7" man="1"/>
    <brk id="666" max="7" man="1"/>
    <brk id="746" max="7" man="1"/>
    <brk id="836" max="7" man="1"/>
    <brk id="928" max="7" man="1"/>
    <brk id="1016" max="7" man="1"/>
    <brk id="1092" max="7" man="1"/>
    <brk id="1153" max="7" man="1"/>
    <brk id="1234" max="7" man="1"/>
    <brk id="1317" max="7" man="1"/>
  </rowBreaks>
  <colBreaks count="1" manualBreakCount="1">
    <brk id="8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9"/>
  <sheetViews>
    <sheetView view="pageBreakPreview" zoomScale="85" zoomScaleNormal="100" zoomScaleSheetLayoutView="85" workbookViewId="0">
      <selection activeCell="A7" sqref="A7:J7"/>
    </sheetView>
  </sheetViews>
  <sheetFormatPr defaultRowHeight="15"/>
  <cols>
    <col min="1" max="2" width="10.7109375" customWidth="1"/>
    <col min="3" max="3" width="16.28515625" customWidth="1"/>
    <col min="4" max="4" width="60.140625" customWidth="1"/>
    <col min="6" max="6" width="10.85546875" customWidth="1"/>
    <col min="7" max="7" width="3" customWidth="1"/>
    <col min="8" max="8" width="9.28515625" bestFit="1" customWidth="1"/>
    <col min="9" max="9" width="3.140625" customWidth="1"/>
    <col min="10" max="10" width="10.85546875" bestFit="1" customWidth="1"/>
    <col min="11" max="11" width="8.85546875" style="1"/>
    <col min="12" max="12" width="16.7109375" style="8" bestFit="1" customWidth="1"/>
  </cols>
  <sheetData>
    <row r="1" spans="1:12" ht="93.75" customHeight="1">
      <c r="A1" s="404"/>
      <c r="B1" s="404"/>
      <c r="C1" s="404"/>
      <c r="D1" s="404"/>
      <c r="E1" s="404"/>
      <c r="F1" s="404"/>
      <c r="G1" s="404"/>
      <c r="H1" s="404"/>
      <c r="I1" s="404"/>
      <c r="J1" s="404"/>
    </row>
    <row r="2" spans="1:12" ht="25.5" customHeight="1">
      <c r="A2" s="405" t="s">
        <v>21</v>
      </c>
      <c r="B2" s="405"/>
      <c r="C2" s="405"/>
      <c r="D2" s="405"/>
      <c r="E2" s="405"/>
      <c r="F2" s="405"/>
      <c r="G2" s="405"/>
      <c r="H2" s="405"/>
      <c r="I2" s="405"/>
      <c r="J2" s="405"/>
    </row>
    <row r="3" spans="1:12">
      <c r="A3" s="408"/>
      <c r="B3" s="408"/>
      <c r="C3" s="408"/>
      <c r="D3" s="408"/>
      <c r="E3" s="408"/>
      <c r="F3" s="408"/>
      <c r="G3" s="408"/>
      <c r="H3" s="408"/>
      <c r="I3" s="408"/>
      <c r="J3" s="408"/>
    </row>
    <row r="4" spans="1:12" ht="15.75">
      <c r="A4" s="406" t="s">
        <v>993</v>
      </c>
      <c r="B4" s="407"/>
      <c r="C4" s="407"/>
      <c r="D4" s="407"/>
      <c r="E4" s="407"/>
      <c r="F4" s="407"/>
      <c r="G4" s="407"/>
      <c r="H4" s="407"/>
      <c r="I4" s="407"/>
      <c r="J4" s="407"/>
    </row>
    <row r="5" spans="1:12" ht="15" customHeight="1">
      <c r="A5" s="411" t="str">
        <f>'Memória de cálculo'!A3:H3</f>
        <v>LOCALIZAÇÃO: LIMOEIRO-PE</v>
      </c>
      <c r="B5" s="412"/>
      <c r="C5" s="412"/>
      <c r="D5" s="412"/>
      <c r="E5" s="412"/>
      <c r="F5" s="412"/>
      <c r="G5" s="412"/>
      <c r="H5" s="412"/>
      <c r="I5" s="412"/>
      <c r="J5" s="412"/>
    </row>
    <row r="6" spans="1:12">
      <c r="A6" s="409" t="str">
        <f>'Memória de cálculo'!A4:H4</f>
        <v>DATA: MARÇO/2022</v>
      </c>
      <c r="B6" s="410"/>
      <c r="C6" s="410"/>
      <c r="D6" s="410"/>
      <c r="E6" s="410"/>
      <c r="F6" s="410"/>
      <c r="G6" s="410"/>
      <c r="H6" s="410"/>
      <c r="I6" s="410"/>
      <c r="J6" s="410"/>
    </row>
    <row r="7" spans="1:12">
      <c r="A7" s="402" t="s">
        <v>1149</v>
      </c>
      <c r="B7" s="402"/>
      <c r="C7" s="402"/>
      <c r="D7" s="402"/>
      <c r="E7" s="402"/>
      <c r="F7" s="402"/>
      <c r="G7" s="402"/>
      <c r="H7" s="402"/>
      <c r="I7" s="402"/>
      <c r="J7" s="402"/>
    </row>
    <row r="8" spans="1:12" ht="22.5">
      <c r="A8" s="6" t="s">
        <v>0</v>
      </c>
      <c r="B8" s="6"/>
      <c r="C8" s="6"/>
      <c r="D8" s="6" t="s">
        <v>1</v>
      </c>
      <c r="E8" s="6" t="s">
        <v>2</v>
      </c>
      <c r="F8" s="6" t="s">
        <v>3</v>
      </c>
      <c r="G8" s="6"/>
      <c r="H8" s="6" t="s">
        <v>52</v>
      </c>
      <c r="I8" s="6"/>
      <c r="J8" s="6" t="s">
        <v>10</v>
      </c>
    </row>
    <row r="9" spans="1:12" ht="28.5">
      <c r="A9" s="401">
        <v>1</v>
      </c>
      <c r="B9" s="368"/>
      <c r="C9" s="83" t="s">
        <v>61</v>
      </c>
      <c r="D9" s="84" t="s">
        <v>142</v>
      </c>
      <c r="E9" s="83" t="s">
        <v>835</v>
      </c>
      <c r="F9" s="79"/>
      <c r="G9" s="79"/>
      <c r="H9" s="79"/>
      <c r="I9" s="79"/>
      <c r="J9" s="85">
        <f>SUM(J10:J11)</f>
        <v>3055.8599999999997</v>
      </c>
    </row>
    <row r="10" spans="1:12">
      <c r="A10" s="401"/>
      <c r="B10" s="368" t="s">
        <v>93</v>
      </c>
      <c r="C10" s="75">
        <v>90777</v>
      </c>
      <c r="D10" s="76" t="s">
        <v>834</v>
      </c>
      <c r="E10" s="77" t="s">
        <v>22</v>
      </c>
      <c r="F10" s="78">
        <f>4*4.5</f>
        <v>18</v>
      </c>
      <c r="G10" s="79"/>
      <c r="H10" s="183">
        <v>93.45</v>
      </c>
      <c r="I10" s="79"/>
      <c r="J10" s="79">
        <f t="shared" ref="J10:J11" si="0">H10*F10</f>
        <v>1682.1000000000001</v>
      </c>
    </row>
    <row r="11" spans="1:12">
      <c r="A11" s="401"/>
      <c r="B11" s="368" t="s">
        <v>93</v>
      </c>
      <c r="C11" s="75">
        <v>90776</v>
      </c>
      <c r="D11" s="76" t="s">
        <v>836</v>
      </c>
      <c r="E11" s="77" t="s">
        <v>22</v>
      </c>
      <c r="F11" s="78">
        <f>F10*2</f>
        <v>36</v>
      </c>
      <c r="G11" s="79"/>
      <c r="H11" s="80">
        <v>38.159999999999997</v>
      </c>
      <c r="I11" s="79"/>
      <c r="J11" s="79">
        <f t="shared" si="0"/>
        <v>1373.7599999999998</v>
      </c>
    </row>
    <row r="12" spans="1:12">
      <c r="A12" s="130"/>
      <c r="B12" s="130"/>
      <c r="C12" s="130"/>
      <c r="D12" s="130"/>
      <c r="E12" s="130"/>
      <c r="F12" s="130"/>
      <c r="G12" s="130"/>
      <c r="H12" s="130"/>
      <c r="I12" s="130"/>
      <c r="J12" s="130"/>
    </row>
    <row r="13" spans="1:12">
      <c r="A13" s="130"/>
      <c r="B13" s="130"/>
      <c r="C13" s="130"/>
      <c r="D13" s="130"/>
      <c r="E13" s="130"/>
      <c r="F13" s="130"/>
      <c r="G13" s="130"/>
      <c r="H13" s="130"/>
      <c r="I13" s="130"/>
      <c r="J13" s="130"/>
    </row>
    <row r="14" spans="1:12" s="5" customFormat="1" ht="22.5">
      <c r="A14" s="6" t="s">
        <v>0</v>
      </c>
      <c r="B14" s="6"/>
      <c r="C14" s="6"/>
      <c r="D14" s="6" t="s">
        <v>1</v>
      </c>
      <c r="E14" s="6" t="s">
        <v>2</v>
      </c>
      <c r="F14" s="6" t="s">
        <v>3</v>
      </c>
      <c r="G14" s="6"/>
      <c r="H14" s="6" t="s">
        <v>52</v>
      </c>
      <c r="I14" s="6"/>
      <c r="J14" s="6" t="s">
        <v>10</v>
      </c>
      <c r="K14" s="4"/>
      <c r="L14" s="9"/>
    </row>
    <row r="15" spans="1:12" ht="72" customHeight="1">
      <c r="A15" s="401">
        <v>2</v>
      </c>
      <c r="B15" s="368"/>
      <c r="C15" s="83" t="s">
        <v>141</v>
      </c>
      <c r="D15" s="84" t="s">
        <v>82</v>
      </c>
      <c r="E15" s="83" t="s">
        <v>60</v>
      </c>
      <c r="F15" s="79"/>
      <c r="G15" s="79"/>
      <c r="H15" s="79"/>
      <c r="I15" s="79"/>
      <c r="J15" s="85">
        <f>SUM(J16:J19)</f>
        <v>17.742442</v>
      </c>
      <c r="K15" s="7"/>
    </row>
    <row r="16" spans="1:12" ht="50.25" customHeight="1">
      <c r="A16" s="401"/>
      <c r="B16" s="368" t="s">
        <v>93</v>
      </c>
      <c r="C16" s="75" t="s">
        <v>62</v>
      </c>
      <c r="D16" s="76" t="s">
        <v>59</v>
      </c>
      <c r="E16" s="77" t="s">
        <v>22</v>
      </c>
      <c r="F16" s="78">
        <v>0.52100000000000002</v>
      </c>
      <c r="G16" s="79"/>
      <c r="H16" s="80">
        <v>18.190000000000001</v>
      </c>
      <c r="I16" s="79"/>
      <c r="J16" s="79">
        <f t="shared" ref="J16:J19" si="1">H16*F16</f>
        <v>9.4769900000000007</v>
      </c>
      <c r="K16" s="7"/>
    </row>
    <row r="17" spans="1:12" ht="50.25" customHeight="1">
      <c r="A17" s="401"/>
      <c r="B17" s="368" t="s">
        <v>93</v>
      </c>
      <c r="C17" s="75" t="s">
        <v>83</v>
      </c>
      <c r="D17" s="76" t="s">
        <v>84</v>
      </c>
      <c r="E17" s="77" t="s">
        <v>22</v>
      </c>
      <c r="F17" s="78">
        <v>0.254</v>
      </c>
      <c r="G17" s="79"/>
      <c r="H17" s="80">
        <v>22.09</v>
      </c>
      <c r="I17" s="79"/>
      <c r="J17" s="79">
        <f t="shared" si="1"/>
        <v>5.6108599999999997</v>
      </c>
      <c r="K17" s="7"/>
    </row>
    <row r="18" spans="1:12" ht="42" customHeight="1">
      <c r="A18" s="401"/>
      <c r="B18" s="368" t="s">
        <v>93</v>
      </c>
      <c r="C18" s="75" t="s">
        <v>85</v>
      </c>
      <c r="D18" s="81" t="s">
        <v>86</v>
      </c>
      <c r="E18" s="77" t="s">
        <v>89</v>
      </c>
      <c r="F18" s="78">
        <v>3.7199999999999997E-2</v>
      </c>
      <c r="G18" s="82"/>
      <c r="H18" s="80">
        <v>30.51</v>
      </c>
      <c r="I18" s="82"/>
      <c r="J18" s="79">
        <f t="shared" si="1"/>
        <v>1.1349719999999999</v>
      </c>
      <c r="K18" s="7"/>
    </row>
    <row r="19" spans="1:12" ht="39.75" customHeight="1">
      <c r="A19" s="401"/>
      <c r="B19" s="368" t="s">
        <v>93</v>
      </c>
      <c r="C19" s="75" t="s">
        <v>87</v>
      </c>
      <c r="D19" s="81" t="s">
        <v>88</v>
      </c>
      <c r="E19" s="77" t="s">
        <v>90</v>
      </c>
      <c r="F19" s="78">
        <v>5.16E-2</v>
      </c>
      <c r="G19" s="79"/>
      <c r="H19" s="80">
        <v>29.45</v>
      </c>
      <c r="I19" s="79"/>
      <c r="J19" s="79">
        <f t="shared" si="1"/>
        <v>1.51962</v>
      </c>
      <c r="K19" s="7"/>
      <c r="L19" s="50"/>
    </row>
    <row r="20" spans="1:12">
      <c r="A20" s="403"/>
      <c r="B20" s="403"/>
      <c r="C20" s="403"/>
      <c r="D20" s="403"/>
      <c r="E20" s="403"/>
      <c r="F20" s="403"/>
      <c r="G20" s="403"/>
      <c r="H20" s="403"/>
      <c r="I20" s="403"/>
      <c r="J20" s="403"/>
    </row>
    <row r="21" spans="1:12" ht="22.5">
      <c r="A21" s="122" t="s">
        <v>0</v>
      </c>
      <c r="B21" s="122"/>
      <c r="C21" s="122"/>
      <c r="D21" s="122" t="s">
        <v>1</v>
      </c>
      <c r="E21" s="122" t="s">
        <v>2</v>
      </c>
      <c r="F21" s="122" t="s">
        <v>3</v>
      </c>
      <c r="G21" s="122"/>
      <c r="H21" s="122" t="s">
        <v>52</v>
      </c>
      <c r="I21" s="122"/>
      <c r="J21" s="122" t="s">
        <v>10</v>
      </c>
    </row>
    <row r="22" spans="1:12" ht="28.5">
      <c r="A22" s="400">
        <v>3</v>
      </c>
      <c r="B22" s="299"/>
      <c r="C22" s="123" t="s">
        <v>312</v>
      </c>
      <c r="D22" s="124" t="s">
        <v>216</v>
      </c>
      <c r="E22" s="123" t="s">
        <v>2</v>
      </c>
      <c r="F22" s="125"/>
      <c r="G22" s="125"/>
      <c r="H22" s="125"/>
      <c r="I22" s="125"/>
      <c r="J22" s="126">
        <f>SUM(J23:J24)</f>
        <v>155.80380600000001</v>
      </c>
    </row>
    <row r="23" spans="1:12">
      <c r="A23" s="400"/>
      <c r="B23" s="299" t="s">
        <v>226</v>
      </c>
      <c r="C23" s="75" t="s">
        <v>226</v>
      </c>
      <c r="D23" s="76" t="s">
        <v>313</v>
      </c>
      <c r="E23" s="77" t="s">
        <v>2</v>
      </c>
      <c r="F23" s="131">
        <v>1</v>
      </c>
      <c r="G23" s="125"/>
      <c r="H23" s="80">
        <f>COTAÇÕES!F19</f>
        <v>151.28</v>
      </c>
      <c r="I23" s="125"/>
      <c r="J23" s="125">
        <f t="shared" ref="J23" si="2">H23*F23</f>
        <v>151.28</v>
      </c>
    </row>
    <row r="24" spans="1:12">
      <c r="A24" s="400"/>
      <c r="B24" s="368" t="s">
        <v>93</v>
      </c>
      <c r="C24" s="119">
        <v>88441</v>
      </c>
      <c r="D24" s="127" t="s">
        <v>314</v>
      </c>
      <c r="E24" s="128" t="s">
        <v>22</v>
      </c>
      <c r="F24" s="131">
        <v>0.20780000000000001</v>
      </c>
      <c r="G24" s="129"/>
      <c r="H24" s="80">
        <v>21.77</v>
      </c>
      <c r="I24" s="125"/>
      <c r="J24" s="125">
        <f>H24*F24</f>
        <v>4.5238060000000004</v>
      </c>
    </row>
    <row r="25" spans="1:12">
      <c r="A25" s="130"/>
      <c r="B25" s="130"/>
      <c r="C25" s="130"/>
      <c r="D25" s="130"/>
      <c r="E25" s="130"/>
      <c r="F25" s="130"/>
      <c r="G25" s="130"/>
      <c r="H25" s="130"/>
      <c r="I25" s="130"/>
      <c r="J25" s="130"/>
    </row>
    <row r="26" spans="1:12" ht="22.5">
      <c r="A26" s="122" t="s">
        <v>0</v>
      </c>
      <c r="B26" s="122"/>
      <c r="C26" s="122"/>
      <c r="D26" s="122" t="s">
        <v>1</v>
      </c>
      <c r="E26" s="122" t="s">
        <v>2</v>
      </c>
      <c r="F26" s="122" t="s">
        <v>3</v>
      </c>
      <c r="G26" s="122"/>
      <c r="H26" s="122" t="s">
        <v>52</v>
      </c>
      <c r="I26" s="122"/>
      <c r="J26" s="122" t="s">
        <v>10</v>
      </c>
    </row>
    <row r="27" spans="1:12" ht="28.5">
      <c r="A27" s="400">
        <v>4</v>
      </c>
      <c r="B27" s="299"/>
      <c r="C27" s="123" t="s">
        <v>315</v>
      </c>
      <c r="D27" s="124" t="s">
        <v>217</v>
      </c>
      <c r="E27" s="123" t="s">
        <v>2</v>
      </c>
      <c r="F27" s="125"/>
      <c r="G27" s="125"/>
      <c r="H27" s="125"/>
      <c r="I27" s="125"/>
      <c r="J27" s="126">
        <f>SUM(J28:J29)</f>
        <v>101.23834000000001</v>
      </c>
    </row>
    <row r="28" spans="1:12">
      <c r="A28" s="400"/>
      <c r="B28" s="299" t="s">
        <v>226</v>
      </c>
      <c r="C28" s="75" t="s">
        <v>226</v>
      </c>
      <c r="D28" s="76" t="s">
        <v>316</v>
      </c>
      <c r="E28" s="77" t="s">
        <v>2</v>
      </c>
      <c r="F28" s="131">
        <v>1</v>
      </c>
      <c r="G28" s="125"/>
      <c r="H28" s="80">
        <f>COTAÇÕES!F129</f>
        <v>97.02000000000001</v>
      </c>
      <c r="I28" s="125"/>
      <c r="J28" s="125">
        <f t="shared" ref="J28" si="3">H28*F28</f>
        <v>97.02000000000001</v>
      </c>
    </row>
    <row r="29" spans="1:12">
      <c r="A29" s="400"/>
      <c r="B29" s="299" t="s">
        <v>93</v>
      </c>
      <c r="C29" s="119">
        <v>88441</v>
      </c>
      <c r="D29" s="127" t="s">
        <v>314</v>
      </c>
      <c r="E29" s="128" t="s">
        <v>22</v>
      </c>
      <c r="F29" s="131">
        <v>0.20780000000000001</v>
      </c>
      <c r="G29" s="129"/>
      <c r="H29" s="80">
        <v>20.3</v>
      </c>
      <c r="I29" s="125"/>
      <c r="J29" s="125">
        <f>H29*F29</f>
        <v>4.2183400000000004</v>
      </c>
    </row>
    <row r="30" spans="1:12">
      <c r="A30" s="130"/>
      <c r="B30" s="130"/>
      <c r="C30" s="130"/>
      <c r="D30" s="130"/>
      <c r="E30" s="130"/>
      <c r="F30" s="130"/>
      <c r="G30" s="130"/>
      <c r="H30" s="130"/>
      <c r="I30" s="130"/>
      <c r="J30" s="130"/>
    </row>
    <row r="31" spans="1:12" ht="22.5">
      <c r="A31" s="122" t="s">
        <v>0</v>
      </c>
      <c r="B31" s="122"/>
      <c r="C31" s="122"/>
      <c r="D31" s="122" t="s">
        <v>1</v>
      </c>
      <c r="E31" s="122" t="s">
        <v>2</v>
      </c>
      <c r="F31" s="122" t="s">
        <v>3</v>
      </c>
      <c r="G31" s="122"/>
      <c r="H31" s="122" t="s">
        <v>52</v>
      </c>
      <c r="I31" s="122"/>
      <c r="J31" s="122" t="s">
        <v>10</v>
      </c>
    </row>
    <row r="32" spans="1:12" ht="28.5">
      <c r="A32" s="400">
        <v>5</v>
      </c>
      <c r="B32" s="299"/>
      <c r="C32" s="123" t="s">
        <v>317</v>
      </c>
      <c r="D32" s="124" t="s">
        <v>218</v>
      </c>
      <c r="E32" s="123" t="s">
        <v>2</v>
      </c>
      <c r="F32" s="125"/>
      <c r="G32" s="125"/>
      <c r="H32" s="125"/>
      <c r="I32" s="125"/>
      <c r="J32" s="126">
        <f>SUM(J33:J34)</f>
        <v>161.81834000000001</v>
      </c>
    </row>
    <row r="33" spans="1:10">
      <c r="A33" s="400"/>
      <c r="B33" s="299" t="s">
        <v>226</v>
      </c>
      <c r="C33" s="75" t="s">
        <v>226</v>
      </c>
      <c r="D33" s="76" t="s">
        <v>318</v>
      </c>
      <c r="E33" s="77" t="s">
        <v>2</v>
      </c>
      <c r="F33" s="131">
        <v>1</v>
      </c>
      <c r="G33" s="125"/>
      <c r="H33" s="80">
        <f>COTAÇÕES!F118</f>
        <v>157.6</v>
      </c>
      <c r="I33" s="125"/>
      <c r="J33" s="125">
        <f t="shared" ref="J33" si="4">H33*F33</f>
        <v>157.6</v>
      </c>
    </row>
    <row r="34" spans="1:10">
      <c r="A34" s="400"/>
      <c r="B34" s="368" t="s">
        <v>93</v>
      </c>
      <c r="C34" s="119">
        <v>88441</v>
      </c>
      <c r="D34" s="127" t="s">
        <v>314</v>
      </c>
      <c r="E34" s="128" t="s">
        <v>22</v>
      </c>
      <c r="F34" s="131">
        <v>0.20780000000000001</v>
      </c>
      <c r="G34" s="129"/>
      <c r="H34" s="80">
        <v>20.3</v>
      </c>
      <c r="I34" s="125"/>
      <c r="J34" s="125">
        <f>H34*F34</f>
        <v>4.2183400000000004</v>
      </c>
    </row>
    <row r="35" spans="1:10">
      <c r="A35" s="130"/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ht="22.5">
      <c r="A36" s="122" t="s">
        <v>0</v>
      </c>
      <c r="B36" s="122"/>
      <c r="C36" s="122"/>
      <c r="D36" s="122" t="s">
        <v>1</v>
      </c>
      <c r="E36" s="122" t="s">
        <v>2</v>
      </c>
      <c r="F36" s="122" t="s">
        <v>3</v>
      </c>
      <c r="G36" s="122"/>
      <c r="H36" s="122" t="s">
        <v>52</v>
      </c>
      <c r="I36" s="122"/>
      <c r="J36" s="122" t="s">
        <v>10</v>
      </c>
    </row>
    <row r="37" spans="1:10" ht="28.5">
      <c r="A37" s="400">
        <v>6</v>
      </c>
      <c r="B37" s="299"/>
      <c r="C37" s="123" t="s">
        <v>319</v>
      </c>
      <c r="D37" s="124" t="s">
        <v>219</v>
      </c>
      <c r="E37" s="123" t="s">
        <v>2</v>
      </c>
      <c r="F37" s="125"/>
      <c r="G37" s="125"/>
      <c r="H37" s="125"/>
      <c r="I37" s="125"/>
      <c r="J37" s="126">
        <f>SUM(J38:J39)</f>
        <v>196.11834000000002</v>
      </c>
    </row>
    <row r="38" spans="1:10">
      <c r="A38" s="400"/>
      <c r="B38" s="299" t="s">
        <v>226</v>
      </c>
      <c r="C38" s="75" t="s">
        <v>226</v>
      </c>
      <c r="D38" s="76" t="s">
        <v>320</v>
      </c>
      <c r="E38" s="77" t="s">
        <v>2</v>
      </c>
      <c r="F38" s="131">
        <v>1</v>
      </c>
      <c r="G38" s="125"/>
      <c r="H38" s="80">
        <f>COTAÇÕES!F107</f>
        <v>191.9</v>
      </c>
      <c r="I38" s="125"/>
      <c r="J38" s="125">
        <f t="shared" ref="J38" si="5">H38*F38</f>
        <v>191.9</v>
      </c>
    </row>
    <row r="39" spans="1:10">
      <c r="A39" s="400"/>
      <c r="B39" s="368" t="s">
        <v>93</v>
      </c>
      <c r="C39" s="119">
        <v>88441</v>
      </c>
      <c r="D39" s="127" t="s">
        <v>314</v>
      </c>
      <c r="E39" s="128" t="s">
        <v>22</v>
      </c>
      <c r="F39" s="131">
        <v>0.20780000000000001</v>
      </c>
      <c r="G39" s="129"/>
      <c r="H39" s="80">
        <v>20.3</v>
      </c>
      <c r="I39" s="125"/>
      <c r="J39" s="125">
        <f>H39*F39</f>
        <v>4.2183400000000004</v>
      </c>
    </row>
    <row r="40" spans="1:10">
      <c r="A40" s="130"/>
      <c r="B40" s="130"/>
      <c r="C40" s="130"/>
      <c r="D40" s="130"/>
      <c r="E40" s="130"/>
      <c r="F40" s="130"/>
      <c r="G40" s="130"/>
      <c r="H40" s="130"/>
      <c r="I40" s="130"/>
      <c r="J40" s="130"/>
    </row>
    <row r="41" spans="1:10" ht="22.5">
      <c r="A41" s="122" t="s">
        <v>0</v>
      </c>
      <c r="B41" s="122"/>
      <c r="C41" s="122"/>
      <c r="D41" s="122" t="s">
        <v>1</v>
      </c>
      <c r="E41" s="122" t="s">
        <v>2</v>
      </c>
      <c r="F41" s="122" t="s">
        <v>3</v>
      </c>
      <c r="G41" s="122"/>
      <c r="H41" s="122" t="s">
        <v>52</v>
      </c>
      <c r="I41" s="122"/>
      <c r="J41" s="122" t="s">
        <v>10</v>
      </c>
    </row>
    <row r="42" spans="1:10" ht="28.5">
      <c r="A42" s="400">
        <v>7</v>
      </c>
      <c r="B42" s="299"/>
      <c r="C42" s="123" t="s">
        <v>321</v>
      </c>
      <c r="D42" s="124" t="s">
        <v>220</v>
      </c>
      <c r="E42" s="123" t="s">
        <v>2</v>
      </c>
      <c r="F42" s="125"/>
      <c r="G42" s="125"/>
      <c r="H42" s="125"/>
      <c r="I42" s="125"/>
      <c r="J42" s="126">
        <f>SUM(J43:J44)</f>
        <v>36.748339999999999</v>
      </c>
    </row>
    <row r="43" spans="1:10">
      <c r="A43" s="400"/>
      <c r="B43" s="299" t="s">
        <v>226</v>
      </c>
      <c r="C43" s="75" t="s">
        <v>226</v>
      </c>
      <c r="D43" s="76" t="s">
        <v>322</v>
      </c>
      <c r="E43" s="77" t="s">
        <v>2</v>
      </c>
      <c r="F43" s="131">
        <v>1</v>
      </c>
      <c r="G43" s="125"/>
      <c r="H43" s="80">
        <f>COTAÇÕES!F96</f>
        <v>32.53</v>
      </c>
      <c r="I43" s="125"/>
      <c r="J43" s="125">
        <f t="shared" ref="J43" si="6">H43*F43</f>
        <v>32.53</v>
      </c>
    </row>
    <row r="44" spans="1:10">
      <c r="A44" s="400"/>
      <c r="B44" s="368" t="s">
        <v>93</v>
      </c>
      <c r="C44" s="119">
        <v>88441</v>
      </c>
      <c r="D44" s="127" t="s">
        <v>314</v>
      </c>
      <c r="E44" s="128" t="s">
        <v>22</v>
      </c>
      <c r="F44" s="131">
        <v>0.20780000000000001</v>
      </c>
      <c r="G44" s="129"/>
      <c r="H44" s="80">
        <v>20.3</v>
      </c>
      <c r="I44" s="125"/>
      <c r="J44" s="125">
        <f>H44*F44</f>
        <v>4.2183400000000004</v>
      </c>
    </row>
    <row r="45" spans="1:10">
      <c r="A45" s="130"/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ht="22.5">
      <c r="A46" s="122" t="s">
        <v>0</v>
      </c>
      <c r="B46" s="122"/>
      <c r="C46" s="122"/>
      <c r="D46" s="122" t="s">
        <v>1</v>
      </c>
      <c r="E46" s="122" t="s">
        <v>2</v>
      </c>
      <c r="F46" s="122" t="s">
        <v>3</v>
      </c>
      <c r="G46" s="122"/>
      <c r="H46" s="122" t="s">
        <v>52</v>
      </c>
      <c r="I46" s="122"/>
      <c r="J46" s="122" t="s">
        <v>10</v>
      </c>
    </row>
    <row r="47" spans="1:10" ht="28.5">
      <c r="A47" s="400">
        <v>8</v>
      </c>
      <c r="B47" s="299"/>
      <c r="C47" s="123" t="s">
        <v>323</v>
      </c>
      <c r="D47" s="124" t="s">
        <v>221</v>
      </c>
      <c r="E47" s="123" t="s">
        <v>2</v>
      </c>
      <c r="F47" s="125"/>
      <c r="G47" s="125"/>
      <c r="H47" s="125"/>
      <c r="I47" s="125"/>
      <c r="J47" s="126">
        <f>SUM(J48:J49)</f>
        <v>64.168340000000001</v>
      </c>
    </row>
    <row r="48" spans="1:10">
      <c r="A48" s="400"/>
      <c r="B48" s="299" t="s">
        <v>226</v>
      </c>
      <c r="C48" s="75" t="s">
        <v>226</v>
      </c>
      <c r="D48" s="76" t="s">
        <v>324</v>
      </c>
      <c r="E48" s="77" t="s">
        <v>2</v>
      </c>
      <c r="F48" s="131">
        <v>1</v>
      </c>
      <c r="G48" s="125"/>
      <c r="H48" s="80">
        <f>COTAÇÕES!F140</f>
        <v>59.95</v>
      </c>
      <c r="I48" s="125"/>
      <c r="J48" s="125">
        <f t="shared" ref="J48" si="7">H48*F48</f>
        <v>59.95</v>
      </c>
    </row>
    <row r="49" spans="1:10">
      <c r="A49" s="400"/>
      <c r="B49" s="368" t="s">
        <v>93</v>
      </c>
      <c r="C49" s="119">
        <v>88441</v>
      </c>
      <c r="D49" s="127" t="s">
        <v>314</v>
      </c>
      <c r="E49" s="128" t="s">
        <v>22</v>
      </c>
      <c r="F49" s="131">
        <v>0.20780000000000001</v>
      </c>
      <c r="G49" s="129"/>
      <c r="H49" s="80">
        <v>20.3</v>
      </c>
      <c r="I49" s="125"/>
      <c r="J49" s="125">
        <f>H49*F49</f>
        <v>4.2183400000000004</v>
      </c>
    </row>
    <row r="50" spans="1:10">
      <c r="A50" s="130"/>
      <c r="B50" s="130"/>
      <c r="C50" s="130"/>
      <c r="D50" s="130"/>
      <c r="E50" s="130"/>
      <c r="F50" s="130"/>
      <c r="G50" s="130"/>
      <c r="H50" s="130"/>
      <c r="I50" s="130"/>
      <c r="J50" s="130"/>
    </row>
    <row r="51" spans="1:10" ht="22.5">
      <c r="A51" s="122" t="s">
        <v>0</v>
      </c>
      <c r="B51" s="122"/>
      <c r="C51" s="122"/>
      <c r="D51" s="122" t="s">
        <v>1</v>
      </c>
      <c r="E51" s="122" t="s">
        <v>2</v>
      </c>
      <c r="F51" s="122" t="s">
        <v>3</v>
      </c>
      <c r="G51" s="122"/>
      <c r="H51" s="122" t="s">
        <v>52</v>
      </c>
      <c r="I51" s="122"/>
      <c r="J51" s="122" t="s">
        <v>10</v>
      </c>
    </row>
    <row r="52" spans="1:10" ht="28.5">
      <c r="A52" s="400">
        <v>9</v>
      </c>
      <c r="B52" s="299"/>
      <c r="C52" s="123" t="s">
        <v>325</v>
      </c>
      <c r="D52" s="124" t="s">
        <v>222</v>
      </c>
      <c r="E52" s="123" t="s">
        <v>2</v>
      </c>
      <c r="F52" s="125"/>
      <c r="G52" s="125"/>
      <c r="H52" s="125"/>
      <c r="I52" s="125"/>
      <c r="J52" s="126">
        <f>SUM(J53:J54)</f>
        <v>44.768339999999995</v>
      </c>
    </row>
    <row r="53" spans="1:10">
      <c r="A53" s="400"/>
      <c r="B53" s="299" t="s">
        <v>226</v>
      </c>
      <c r="C53" s="75" t="s">
        <v>226</v>
      </c>
      <c r="D53" s="76" t="s">
        <v>326</v>
      </c>
      <c r="E53" s="77" t="s">
        <v>2</v>
      </c>
      <c r="F53" s="131">
        <v>1</v>
      </c>
      <c r="G53" s="125"/>
      <c r="H53" s="80">
        <f>COTAÇÕES!F41</f>
        <v>40.549999999999997</v>
      </c>
      <c r="I53" s="125"/>
      <c r="J53" s="125">
        <f t="shared" ref="J53" si="8">H53*F53</f>
        <v>40.549999999999997</v>
      </c>
    </row>
    <row r="54" spans="1:10">
      <c r="A54" s="400"/>
      <c r="B54" s="368" t="s">
        <v>93</v>
      </c>
      <c r="C54" s="119">
        <v>88441</v>
      </c>
      <c r="D54" s="127" t="s">
        <v>314</v>
      </c>
      <c r="E54" s="128" t="s">
        <v>22</v>
      </c>
      <c r="F54" s="131">
        <v>0.20780000000000001</v>
      </c>
      <c r="G54" s="129"/>
      <c r="H54" s="80">
        <v>20.3</v>
      </c>
      <c r="I54" s="125"/>
      <c r="J54" s="125">
        <f>H54*F54</f>
        <v>4.2183400000000004</v>
      </c>
    </row>
    <row r="55" spans="1:10">
      <c r="A55" s="130"/>
      <c r="B55" s="130"/>
      <c r="C55" s="130"/>
      <c r="D55" s="130"/>
      <c r="E55" s="130"/>
      <c r="F55" s="130"/>
      <c r="G55" s="130"/>
      <c r="H55" s="130"/>
      <c r="I55" s="130"/>
      <c r="J55" s="130"/>
    </row>
    <row r="56" spans="1:10" ht="22.5">
      <c r="A56" s="122" t="s">
        <v>0</v>
      </c>
      <c r="B56" s="122"/>
      <c r="C56" s="122"/>
      <c r="D56" s="122" t="s">
        <v>1</v>
      </c>
      <c r="E56" s="122" t="s">
        <v>2</v>
      </c>
      <c r="F56" s="122" t="s">
        <v>3</v>
      </c>
      <c r="G56" s="122"/>
      <c r="H56" s="122" t="s">
        <v>52</v>
      </c>
      <c r="I56" s="122"/>
      <c r="J56" s="122" t="s">
        <v>10</v>
      </c>
    </row>
    <row r="57" spans="1:10" ht="28.5">
      <c r="A57" s="400">
        <v>10</v>
      </c>
      <c r="B57" s="299"/>
      <c r="C57" s="123" t="s">
        <v>327</v>
      </c>
      <c r="D57" s="124" t="s">
        <v>223</v>
      </c>
      <c r="E57" s="123" t="s">
        <v>2</v>
      </c>
      <c r="F57" s="125"/>
      <c r="G57" s="125"/>
      <c r="H57" s="125"/>
      <c r="I57" s="125"/>
      <c r="J57" s="126">
        <f>SUM(J58:J59)</f>
        <v>7.5883400000000005</v>
      </c>
    </row>
    <row r="58" spans="1:10">
      <c r="A58" s="400"/>
      <c r="B58" s="299" t="s">
        <v>226</v>
      </c>
      <c r="C58" s="75" t="s">
        <v>226</v>
      </c>
      <c r="D58" s="76" t="s">
        <v>328</v>
      </c>
      <c r="E58" s="77" t="s">
        <v>2</v>
      </c>
      <c r="F58" s="131">
        <v>1</v>
      </c>
      <c r="G58" s="125"/>
      <c r="H58" s="80">
        <f>COTAÇÕES!F52</f>
        <v>3.37</v>
      </c>
      <c r="I58" s="125"/>
      <c r="J58" s="125">
        <f t="shared" ref="J58" si="9">H58*F58</f>
        <v>3.37</v>
      </c>
    </row>
    <row r="59" spans="1:10">
      <c r="A59" s="400"/>
      <c r="B59" s="368" t="s">
        <v>93</v>
      </c>
      <c r="C59" s="119">
        <v>88441</v>
      </c>
      <c r="D59" s="127" t="s">
        <v>314</v>
      </c>
      <c r="E59" s="128" t="s">
        <v>22</v>
      </c>
      <c r="F59" s="131">
        <v>0.20780000000000001</v>
      </c>
      <c r="G59" s="129"/>
      <c r="H59" s="80">
        <v>20.3</v>
      </c>
      <c r="I59" s="125"/>
      <c r="J59" s="125">
        <f>H59*F59</f>
        <v>4.2183400000000004</v>
      </c>
    </row>
    <row r="60" spans="1:10">
      <c r="A60" s="130"/>
      <c r="B60" s="130"/>
      <c r="C60" s="130"/>
      <c r="D60" s="130"/>
      <c r="E60" s="130"/>
      <c r="F60" s="130"/>
      <c r="G60" s="130"/>
      <c r="H60" s="130"/>
      <c r="I60" s="130"/>
      <c r="J60" s="130"/>
    </row>
    <row r="61" spans="1:10" ht="22.5">
      <c r="A61" s="122" t="s">
        <v>0</v>
      </c>
      <c r="B61" s="122"/>
      <c r="C61" s="122"/>
      <c r="D61" s="122" t="s">
        <v>1</v>
      </c>
      <c r="E61" s="122" t="s">
        <v>2</v>
      </c>
      <c r="F61" s="122" t="s">
        <v>3</v>
      </c>
      <c r="G61" s="122"/>
      <c r="H61" s="122" t="s">
        <v>52</v>
      </c>
      <c r="I61" s="122"/>
      <c r="J61" s="122" t="s">
        <v>10</v>
      </c>
    </row>
    <row r="62" spans="1:10" ht="28.5">
      <c r="A62" s="400">
        <v>11</v>
      </c>
      <c r="B62" s="299"/>
      <c r="C62" s="123" t="s">
        <v>329</v>
      </c>
      <c r="D62" s="124" t="s">
        <v>224</v>
      </c>
      <c r="E62" s="123" t="s">
        <v>2</v>
      </c>
      <c r="F62" s="125"/>
      <c r="G62" s="125"/>
      <c r="H62" s="125"/>
      <c r="I62" s="125"/>
      <c r="J62" s="126">
        <f>SUM(J63:J64)</f>
        <v>8.8383400000000023</v>
      </c>
    </row>
    <row r="63" spans="1:10">
      <c r="A63" s="400"/>
      <c r="B63" s="299" t="s">
        <v>226</v>
      </c>
      <c r="C63" s="75" t="s">
        <v>226</v>
      </c>
      <c r="D63" s="76" t="s">
        <v>330</v>
      </c>
      <c r="E63" s="77" t="s">
        <v>2</v>
      </c>
      <c r="F63" s="131">
        <v>1</v>
      </c>
      <c r="G63" s="125"/>
      <c r="H63" s="80">
        <f>COTAÇÕES!F63</f>
        <v>4.620000000000001</v>
      </c>
      <c r="I63" s="125"/>
      <c r="J63" s="125">
        <f t="shared" ref="J63" si="10">H63*F63</f>
        <v>4.620000000000001</v>
      </c>
    </row>
    <row r="64" spans="1:10">
      <c r="A64" s="400"/>
      <c r="B64" s="368" t="s">
        <v>93</v>
      </c>
      <c r="C64" s="119">
        <v>88441</v>
      </c>
      <c r="D64" s="127" t="s">
        <v>314</v>
      </c>
      <c r="E64" s="128" t="s">
        <v>22</v>
      </c>
      <c r="F64" s="131">
        <v>0.20780000000000001</v>
      </c>
      <c r="G64" s="129"/>
      <c r="H64" s="80">
        <v>20.3</v>
      </c>
      <c r="I64" s="125"/>
      <c r="J64" s="125">
        <f>H64*F64</f>
        <v>4.2183400000000004</v>
      </c>
    </row>
    <row r="65" spans="1:10">
      <c r="A65" s="130"/>
      <c r="B65" s="130"/>
      <c r="C65" s="130"/>
      <c r="D65" s="130"/>
      <c r="E65" s="130"/>
      <c r="F65" s="130"/>
      <c r="G65" s="130"/>
      <c r="H65" s="130"/>
      <c r="I65" s="130"/>
      <c r="J65" s="130"/>
    </row>
    <row r="66" spans="1:10" ht="22.5">
      <c r="A66" s="122" t="s">
        <v>0</v>
      </c>
      <c r="B66" s="122"/>
      <c r="C66" s="122"/>
      <c r="D66" s="122" t="s">
        <v>1</v>
      </c>
      <c r="E66" s="122" t="s">
        <v>2</v>
      </c>
      <c r="F66" s="122" t="s">
        <v>3</v>
      </c>
      <c r="G66" s="122"/>
      <c r="H66" s="122" t="s">
        <v>52</v>
      </c>
      <c r="I66" s="122"/>
      <c r="J66" s="122" t="s">
        <v>10</v>
      </c>
    </row>
    <row r="67" spans="1:10" ht="42.75">
      <c r="A67" s="400">
        <v>12</v>
      </c>
      <c r="B67" s="299"/>
      <c r="C67" s="123" t="s">
        <v>331</v>
      </c>
      <c r="D67" s="124" t="s">
        <v>760</v>
      </c>
      <c r="E67" s="123" t="s">
        <v>2</v>
      </c>
      <c r="F67" s="125"/>
      <c r="G67" s="125"/>
      <c r="H67" s="125"/>
      <c r="I67" s="125"/>
      <c r="J67" s="126">
        <f>SUM(J68:J71)</f>
        <v>97.329509000000002</v>
      </c>
    </row>
    <row r="68" spans="1:10" ht="30">
      <c r="A68" s="400"/>
      <c r="B68" s="368" t="s">
        <v>93</v>
      </c>
      <c r="C68" s="75">
        <v>88247</v>
      </c>
      <c r="D68" s="81" t="s">
        <v>523</v>
      </c>
      <c r="E68" s="77" t="s">
        <v>2</v>
      </c>
      <c r="F68" s="78">
        <v>0.15190000000000001</v>
      </c>
      <c r="G68" s="125"/>
      <c r="H68" s="80">
        <v>17.66</v>
      </c>
      <c r="I68" s="125"/>
      <c r="J68" s="125">
        <f t="shared" ref="J68:J71" si="11">H68*F68</f>
        <v>2.6825540000000001</v>
      </c>
    </row>
    <row r="69" spans="1:10">
      <c r="A69" s="400"/>
      <c r="B69" s="368" t="s">
        <v>93</v>
      </c>
      <c r="C69" s="75">
        <v>88264</v>
      </c>
      <c r="D69" s="81" t="s">
        <v>521</v>
      </c>
      <c r="E69" s="77" t="s">
        <v>2</v>
      </c>
      <c r="F69" s="78">
        <v>0.36449999999999999</v>
      </c>
      <c r="G69" s="125"/>
      <c r="H69" s="80">
        <v>22.79</v>
      </c>
      <c r="I69" s="125"/>
      <c r="J69" s="125">
        <f t="shared" si="11"/>
        <v>8.3069550000000003</v>
      </c>
    </row>
    <row r="70" spans="1:10">
      <c r="A70" s="400"/>
      <c r="B70" s="368" t="s">
        <v>1137</v>
      </c>
      <c r="C70" s="75">
        <v>39387</v>
      </c>
      <c r="D70" s="81" t="s">
        <v>743</v>
      </c>
      <c r="E70" s="77" t="s">
        <v>2</v>
      </c>
      <c r="F70" s="78">
        <v>2</v>
      </c>
      <c r="G70" s="125"/>
      <c r="H70" s="80">
        <v>17.25</v>
      </c>
      <c r="I70" s="125"/>
      <c r="J70" s="125">
        <f t="shared" si="11"/>
        <v>34.5</v>
      </c>
    </row>
    <row r="71" spans="1:10" ht="30">
      <c r="A71" s="400"/>
      <c r="B71" s="299" t="s">
        <v>226</v>
      </c>
      <c r="C71" s="75" t="s">
        <v>226</v>
      </c>
      <c r="D71" s="81" t="s">
        <v>522</v>
      </c>
      <c r="E71" s="77" t="s">
        <v>2</v>
      </c>
      <c r="F71" s="78">
        <v>1</v>
      </c>
      <c r="G71" s="125"/>
      <c r="H71" s="80">
        <f>[4]COTAÇÕES!F127</f>
        <v>51.84</v>
      </c>
      <c r="I71" s="125"/>
      <c r="J71" s="125">
        <f t="shared" si="11"/>
        <v>51.84</v>
      </c>
    </row>
    <row r="72" spans="1:10" ht="22.5">
      <c r="A72" s="122" t="s">
        <v>0</v>
      </c>
      <c r="B72" s="122"/>
      <c r="C72" s="122"/>
      <c r="D72" s="122" t="s">
        <v>1</v>
      </c>
      <c r="E72" s="122" t="s">
        <v>2</v>
      </c>
      <c r="F72" s="122" t="s">
        <v>3</v>
      </c>
      <c r="G72" s="122"/>
      <c r="H72" s="122" t="s">
        <v>52</v>
      </c>
      <c r="I72" s="122"/>
      <c r="J72" s="122" t="s">
        <v>10</v>
      </c>
    </row>
    <row r="73" spans="1:10" ht="42.75">
      <c r="A73" s="400">
        <v>13</v>
      </c>
      <c r="B73" s="299"/>
      <c r="C73" s="123" t="s">
        <v>332</v>
      </c>
      <c r="D73" s="124" t="s">
        <v>761</v>
      </c>
      <c r="E73" s="123" t="s">
        <v>2</v>
      </c>
      <c r="F73" s="125"/>
      <c r="G73" s="125"/>
      <c r="H73" s="125"/>
      <c r="I73" s="125"/>
      <c r="J73" s="126">
        <f>SUM(J74:J77)</f>
        <v>77.259509000000008</v>
      </c>
    </row>
    <row r="74" spans="1:10" ht="30">
      <c r="A74" s="400"/>
      <c r="B74" s="368" t="s">
        <v>93</v>
      </c>
      <c r="C74" s="75">
        <v>88247</v>
      </c>
      <c r="D74" s="81" t="s">
        <v>523</v>
      </c>
      <c r="E74" s="77" t="s">
        <v>2</v>
      </c>
      <c r="F74" s="78">
        <v>0.15190000000000001</v>
      </c>
      <c r="G74" s="125"/>
      <c r="H74" s="80">
        <v>17.66</v>
      </c>
      <c r="I74" s="125"/>
      <c r="J74" s="125">
        <f t="shared" ref="J74:J77" si="12">H74*F74</f>
        <v>2.6825540000000001</v>
      </c>
    </row>
    <row r="75" spans="1:10">
      <c r="A75" s="400"/>
      <c r="B75" s="368" t="s">
        <v>93</v>
      </c>
      <c r="C75" s="75">
        <v>88264</v>
      </c>
      <c r="D75" s="81" t="s">
        <v>521</v>
      </c>
      <c r="E75" s="77" t="s">
        <v>2</v>
      </c>
      <c r="F75" s="78">
        <v>0.36449999999999999</v>
      </c>
      <c r="G75" s="125"/>
      <c r="H75" s="80">
        <v>22.79</v>
      </c>
      <c r="I75" s="125"/>
      <c r="J75" s="125">
        <f t="shared" si="12"/>
        <v>8.3069550000000003</v>
      </c>
    </row>
    <row r="76" spans="1:10">
      <c r="A76" s="400"/>
      <c r="B76" s="368" t="s">
        <v>1137</v>
      </c>
      <c r="C76" s="75">
        <v>39387</v>
      </c>
      <c r="D76" s="81" t="s">
        <v>743</v>
      </c>
      <c r="E76" s="77" t="s">
        <v>2</v>
      </c>
      <c r="F76" s="78">
        <v>1</v>
      </c>
      <c r="G76" s="125"/>
      <c r="H76" s="80">
        <v>17.25</v>
      </c>
      <c r="I76" s="125"/>
      <c r="J76" s="125">
        <f t="shared" si="12"/>
        <v>17.25</v>
      </c>
    </row>
    <row r="77" spans="1:10" ht="30">
      <c r="A77" s="400"/>
      <c r="B77" s="299" t="s">
        <v>226</v>
      </c>
      <c r="C77" s="75" t="s">
        <v>226</v>
      </c>
      <c r="D77" s="81" t="s">
        <v>524</v>
      </c>
      <c r="E77" s="77" t="s">
        <v>2</v>
      </c>
      <c r="F77" s="78">
        <v>1</v>
      </c>
      <c r="G77" s="125"/>
      <c r="H77" s="80">
        <f>[4]COTAÇÕES!F116</f>
        <v>49.02</v>
      </c>
      <c r="I77" s="125"/>
      <c r="J77" s="125">
        <f t="shared" si="12"/>
        <v>49.02</v>
      </c>
    </row>
    <row r="78" spans="1:10" ht="22.5">
      <c r="A78" s="122" t="s">
        <v>0</v>
      </c>
      <c r="B78" s="122"/>
      <c r="C78" s="122"/>
      <c r="D78" s="122" t="s">
        <v>1</v>
      </c>
      <c r="E78" s="122" t="s">
        <v>2</v>
      </c>
      <c r="F78" s="122" t="s">
        <v>3</v>
      </c>
      <c r="G78" s="122"/>
      <c r="H78" s="122" t="s">
        <v>52</v>
      </c>
      <c r="I78" s="122"/>
      <c r="J78" s="122" t="s">
        <v>10</v>
      </c>
    </row>
    <row r="79" spans="1:10" ht="57">
      <c r="A79" s="400">
        <v>14</v>
      </c>
      <c r="B79" s="299"/>
      <c r="C79" s="123" t="s">
        <v>333</v>
      </c>
      <c r="D79" s="124" t="s">
        <v>841</v>
      </c>
      <c r="E79" s="123" t="s">
        <v>2</v>
      </c>
      <c r="F79" s="125"/>
      <c r="G79" s="125"/>
      <c r="H79" s="125"/>
      <c r="I79" s="125"/>
      <c r="J79" s="126">
        <f>SUM(J80:J84)</f>
        <v>17.17933</v>
      </c>
    </row>
    <row r="80" spans="1:10" ht="30">
      <c r="A80" s="400"/>
      <c r="B80" s="299" t="s">
        <v>1137</v>
      </c>
      <c r="C80" s="75">
        <v>301</v>
      </c>
      <c r="D80" s="81" t="s">
        <v>633</v>
      </c>
      <c r="E80" s="77" t="s">
        <v>2</v>
      </c>
      <c r="F80" s="78">
        <v>1</v>
      </c>
      <c r="G80" s="125"/>
      <c r="H80" s="80">
        <v>4.5</v>
      </c>
      <c r="I80" s="125"/>
      <c r="J80" s="125">
        <f t="shared" ref="J80:J84" si="13">H80*F80</f>
        <v>4.5</v>
      </c>
    </row>
    <row r="81" spans="1:10" ht="30">
      <c r="A81" s="400"/>
      <c r="B81" s="299" t="s">
        <v>1137</v>
      </c>
      <c r="C81" s="75">
        <v>20043</v>
      </c>
      <c r="D81" s="81" t="s">
        <v>618</v>
      </c>
      <c r="E81" s="77" t="s">
        <v>2</v>
      </c>
      <c r="F81" s="78">
        <v>1</v>
      </c>
      <c r="G81" s="125"/>
      <c r="H81" s="80">
        <v>7.89</v>
      </c>
      <c r="I81" s="125"/>
      <c r="J81" s="125">
        <f t="shared" si="13"/>
        <v>7.89</v>
      </c>
    </row>
    <row r="82" spans="1:10" ht="45">
      <c r="A82" s="400"/>
      <c r="B82" s="299" t="s">
        <v>1137</v>
      </c>
      <c r="C82" s="75">
        <v>20078</v>
      </c>
      <c r="D82" s="81" t="s">
        <v>634</v>
      </c>
      <c r="E82" s="77" t="s">
        <v>2</v>
      </c>
      <c r="F82" s="78">
        <v>4.5999999999999999E-2</v>
      </c>
      <c r="G82" s="125"/>
      <c r="H82" s="80">
        <v>22.23</v>
      </c>
      <c r="I82" s="125"/>
      <c r="J82" s="125">
        <f t="shared" si="13"/>
        <v>1.02258</v>
      </c>
    </row>
    <row r="83" spans="1:10" ht="30">
      <c r="A83" s="400"/>
      <c r="B83" s="368" t="s">
        <v>93</v>
      </c>
      <c r="C83" s="75">
        <v>88248</v>
      </c>
      <c r="D83" s="81" t="s">
        <v>635</v>
      </c>
      <c r="E83" s="77" t="s">
        <v>22</v>
      </c>
      <c r="F83" s="78">
        <v>9.5000000000000001E-2</v>
      </c>
      <c r="G83" s="125"/>
      <c r="H83" s="80">
        <v>17.71</v>
      </c>
      <c r="I83" s="125"/>
      <c r="J83" s="125">
        <f t="shared" si="13"/>
        <v>1.68245</v>
      </c>
    </row>
    <row r="84" spans="1:10" ht="30">
      <c r="A84" s="400"/>
      <c r="B84" s="368" t="s">
        <v>93</v>
      </c>
      <c r="C84" s="75">
        <v>88267</v>
      </c>
      <c r="D84" s="81" t="s">
        <v>636</v>
      </c>
      <c r="E84" s="123" t="s">
        <v>22</v>
      </c>
      <c r="F84" s="78">
        <v>9.5000000000000001E-2</v>
      </c>
      <c r="G84" s="125"/>
      <c r="H84" s="80">
        <v>21.94</v>
      </c>
      <c r="I84" s="125"/>
      <c r="J84" s="125">
        <f t="shared" si="13"/>
        <v>2.0843000000000003</v>
      </c>
    </row>
    <row r="85" spans="1:10" ht="22.5">
      <c r="A85" s="122" t="s">
        <v>0</v>
      </c>
      <c r="B85" s="122"/>
      <c r="C85" s="122"/>
      <c r="D85" s="122" t="s">
        <v>1</v>
      </c>
      <c r="E85" s="122" t="s">
        <v>2</v>
      </c>
      <c r="F85" s="122" t="s">
        <v>3</v>
      </c>
      <c r="G85" s="122"/>
      <c r="H85" s="122" t="s">
        <v>52</v>
      </c>
      <c r="I85" s="122"/>
      <c r="J85" s="122" t="s">
        <v>10</v>
      </c>
    </row>
    <row r="86" spans="1:10" ht="28.5">
      <c r="A86" s="400">
        <v>15</v>
      </c>
      <c r="B86" s="299"/>
      <c r="C86" s="123" t="s">
        <v>334</v>
      </c>
      <c r="D86" s="124" t="s">
        <v>646</v>
      </c>
      <c r="E86" s="123" t="s">
        <v>2</v>
      </c>
      <c r="F86" s="125"/>
      <c r="G86" s="125"/>
      <c r="H86" s="125"/>
      <c r="I86" s="125"/>
      <c r="J86" s="126">
        <f>SUM(J87:J91)</f>
        <v>87.662590000000009</v>
      </c>
    </row>
    <row r="87" spans="1:10">
      <c r="A87" s="400"/>
      <c r="B87" s="299" t="s">
        <v>146</v>
      </c>
      <c r="C87" s="75" t="s">
        <v>842</v>
      </c>
      <c r="D87" s="81" t="s">
        <v>843</v>
      </c>
      <c r="E87" s="77" t="s">
        <v>2</v>
      </c>
      <c r="F87" s="78">
        <f>1</f>
        <v>1</v>
      </c>
      <c r="G87" s="125"/>
      <c r="H87" s="80">
        <v>10.63</v>
      </c>
      <c r="I87" s="125"/>
      <c r="J87" s="125">
        <f t="shared" ref="J87:J91" si="14">H87*F87</f>
        <v>10.63</v>
      </c>
    </row>
    <row r="88" spans="1:10">
      <c r="A88" s="400"/>
      <c r="B88" s="299" t="s">
        <v>146</v>
      </c>
      <c r="C88" s="75" t="s">
        <v>649</v>
      </c>
      <c r="D88" s="81" t="s">
        <v>648</v>
      </c>
      <c r="E88" s="77" t="s">
        <v>2</v>
      </c>
      <c r="F88" s="78">
        <f>0.023</f>
        <v>2.3E-2</v>
      </c>
      <c r="G88" s="125"/>
      <c r="H88" s="80">
        <v>41.33</v>
      </c>
      <c r="I88" s="125"/>
      <c r="J88" s="125">
        <f>H88*F88</f>
        <v>0.95058999999999994</v>
      </c>
    </row>
    <row r="89" spans="1:10">
      <c r="A89" s="400"/>
      <c r="B89" s="299" t="s">
        <v>146</v>
      </c>
      <c r="C89" s="75" t="s">
        <v>650</v>
      </c>
      <c r="D89" s="81" t="s">
        <v>651</v>
      </c>
      <c r="E89" s="77" t="s">
        <v>2</v>
      </c>
      <c r="F89" s="78">
        <f>0.12</f>
        <v>0.12</v>
      </c>
      <c r="G89" s="125"/>
      <c r="H89" s="80">
        <v>18.63</v>
      </c>
      <c r="I89" s="125"/>
      <c r="J89" s="125">
        <f t="shared" si="14"/>
        <v>2.2355999999999998</v>
      </c>
    </row>
    <row r="90" spans="1:10">
      <c r="A90" s="400"/>
      <c r="B90" s="299" t="s">
        <v>146</v>
      </c>
      <c r="C90" s="75" t="s">
        <v>652</v>
      </c>
      <c r="D90" s="81" t="s">
        <v>653</v>
      </c>
      <c r="E90" s="77" t="s">
        <v>22</v>
      </c>
      <c r="F90" s="78">
        <f>0.12</f>
        <v>0.12</v>
      </c>
      <c r="G90" s="125"/>
      <c r="H90" s="80">
        <v>22.72</v>
      </c>
      <c r="I90" s="125"/>
      <c r="J90" s="125">
        <f t="shared" si="14"/>
        <v>2.7263999999999999</v>
      </c>
    </row>
    <row r="91" spans="1:10">
      <c r="A91" s="400"/>
      <c r="B91" s="299" t="s">
        <v>146</v>
      </c>
      <c r="C91" s="75" t="s">
        <v>844</v>
      </c>
      <c r="D91" s="81" t="s">
        <v>845</v>
      </c>
      <c r="E91" s="123" t="s">
        <v>210</v>
      </c>
      <c r="F91" s="78">
        <v>1</v>
      </c>
      <c r="G91" s="125"/>
      <c r="H91" s="80">
        <v>71.12</v>
      </c>
      <c r="I91" s="125"/>
      <c r="J91" s="125">
        <f t="shared" si="14"/>
        <v>71.12</v>
      </c>
    </row>
    <row r="92" spans="1:10" ht="22.5">
      <c r="A92" s="122" t="s">
        <v>0</v>
      </c>
      <c r="B92" s="122"/>
      <c r="C92" s="122"/>
      <c r="D92" s="122" t="s">
        <v>1</v>
      </c>
      <c r="E92" s="122" t="s">
        <v>2</v>
      </c>
      <c r="F92" s="122" t="s">
        <v>3</v>
      </c>
      <c r="G92" s="122"/>
      <c r="H92" s="122" t="s">
        <v>52</v>
      </c>
      <c r="I92" s="122"/>
      <c r="J92" s="122" t="s">
        <v>10</v>
      </c>
    </row>
    <row r="93" spans="1:10" ht="28.5">
      <c r="A93" s="400">
        <v>16</v>
      </c>
      <c r="B93" s="299"/>
      <c r="C93" s="123" t="s">
        <v>520</v>
      </c>
      <c r="D93" s="124" t="s">
        <v>658</v>
      </c>
      <c r="E93" s="123" t="s">
        <v>2</v>
      </c>
      <c r="F93" s="125"/>
      <c r="G93" s="125"/>
      <c r="H93" s="125"/>
      <c r="I93" s="125"/>
      <c r="J93" s="126">
        <f>SUM(J94:J98)</f>
        <v>44.88252</v>
      </c>
    </row>
    <row r="94" spans="1:10">
      <c r="A94" s="400"/>
      <c r="B94" s="299" t="s">
        <v>146</v>
      </c>
      <c r="C94" s="75" t="s">
        <v>647</v>
      </c>
      <c r="D94" s="81" t="s">
        <v>656</v>
      </c>
      <c r="E94" s="77" t="s">
        <v>2</v>
      </c>
      <c r="F94" s="78">
        <f>2*1.5</f>
        <v>3</v>
      </c>
      <c r="G94" s="125"/>
      <c r="H94" s="80">
        <v>2.99</v>
      </c>
      <c r="I94" s="125"/>
      <c r="J94" s="125">
        <f t="shared" ref="J94" si="15">H94*F94</f>
        <v>8.9700000000000006</v>
      </c>
    </row>
    <row r="95" spans="1:10">
      <c r="A95" s="400"/>
      <c r="B95" s="299" t="s">
        <v>146</v>
      </c>
      <c r="C95" s="75" t="s">
        <v>649</v>
      </c>
      <c r="D95" s="81" t="s">
        <v>648</v>
      </c>
      <c r="E95" s="77" t="s">
        <v>2</v>
      </c>
      <c r="F95" s="78">
        <f>0.046*1.5</f>
        <v>6.9000000000000006E-2</v>
      </c>
      <c r="G95" s="125"/>
      <c r="H95" s="80">
        <v>41.33</v>
      </c>
      <c r="I95" s="125"/>
      <c r="J95" s="125">
        <f>H95*F95</f>
        <v>2.8517700000000001</v>
      </c>
    </row>
    <row r="96" spans="1:10">
      <c r="A96" s="400"/>
      <c r="B96" s="299" t="s">
        <v>146</v>
      </c>
      <c r="C96" s="75" t="s">
        <v>655</v>
      </c>
      <c r="D96" s="81" t="s">
        <v>657</v>
      </c>
      <c r="E96" s="77" t="s">
        <v>2</v>
      </c>
      <c r="F96" s="78">
        <f>1*1.5</f>
        <v>1.5</v>
      </c>
      <c r="G96" s="125"/>
      <c r="H96" s="80">
        <v>12.53</v>
      </c>
      <c r="I96" s="125"/>
      <c r="J96" s="125">
        <f t="shared" ref="J96:J98" si="16">H96*F96</f>
        <v>18.794999999999998</v>
      </c>
    </row>
    <row r="97" spans="1:10">
      <c r="A97" s="400"/>
      <c r="B97" s="299" t="s">
        <v>146</v>
      </c>
      <c r="C97" s="75" t="s">
        <v>650</v>
      </c>
      <c r="D97" s="81" t="s">
        <v>651</v>
      </c>
      <c r="E97" s="77" t="s">
        <v>2</v>
      </c>
      <c r="F97" s="78">
        <f>0.23*1.5</f>
        <v>0.34500000000000003</v>
      </c>
      <c r="G97" s="125"/>
      <c r="H97" s="80">
        <v>18.63</v>
      </c>
      <c r="I97" s="125"/>
      <c r="J97" s="125">
        <f t="shared" si="16"/>
        <v>6.4273500000000006</v>
      </c>
    </row>
    <row r="98" spans="1:10">
      <c r="A98" s="400"/>
      <c r="B98" s="299" t="s">
        <v>146</v>
      </c>
      <c r="C98" s="75" t="s">
        <v>652</v>
      </c>
      <c r="D98" s="81" t="s">
        <v>653</v>
      </c>
      <c r="E98" s="123" t="s">
        <v>22</v>
      </c>
      <c r="F98" s="78">
        <f>0.23*1.5</f>
        <v>0.34500000000000003</v>
      </c>
      <c r="G98" s="125"/>
      <c r="H98" s="80">
        <v>22.72</v>
      </c>
      <c r="I98" s="125"/>
      <c r="J98" s="125">
        <f t="shared" si="16"/>
        <v>7.8384</v>
      </c>
    </row>
    <row r="99" spans="1:10" ht="22.5">
      <c r="A99" s="122" t="s">
        <v>0</v>
      </c>
      <c r="B99" s="122"/>
      <c r="C99" s="122"/>
      <c r="D99" s="122" t="s">
        <v>1</v>
      </c>
      <c r="E99" s="122" t="s">
        <v>2</v>
      </c>
      <c r="F99" s="122" t="s">
        <v>3</v>
      </c>
      <c r="G99" s="122"/>
      <c r="H99" s="122" t="s">
        <v>52</v>
      </c>
      <c r="I99" s="122"/>
      <c r="J99" s="122" t="s">
        <v>10</v>
      </c>
    </row>
    <row r="100" spans="1:10" ht="42.75">
      <c r="A100" s="400">
        <v>17</v>
      </c>
      <c r="B100" s="299"/>
      <c r="C100" s="123" t="s">
        <v>525</v>
      </c>
      <c r="D100" s="124" t="s">
        <v>685</v>
      </c>
      <c r="E100" s="123" t="s">
        <v>210</v>
      </c>
      <c r="F100" s="125"/>
      <c r="G100" s="125"/>
      <c r="H100" s="125"/>
      <c r="I100" s="125"/>
      <c r="J100" s="126">
        <f>SUM(J101:J115)</f>
        <v>38785.529175115495</v>
      </c>
    </row>
    <row r="101" spans="1:10" ht="30">
      <c r="A101" s="400"/>
      <c r="B101" s="299" t="s">
        <v>1137</v>
      </c>
      <c r="C101" s="75">
        <v>4720</v>
      </c>
      <c r="D101" s="81" t="s">
        <v>670</v>
      </c>
      <c r="E101" s="77" t="s">
        <v>145</v>
      </c>
      <c r="F101" s="78">
        <v>16.42388686911891</v>
      </c>
      <c r="G101" s="125"/>
      <c r="H101" s="80">
        <v>83.09</v>
      </c>
      <c r="I101" s="125"/>
      <c r="J101" s="125">
        <f t="shared" ref="J101" si="17">H101*F101</f>
        <v>1364.6607599550903</v>
      </c>
    </row>
    <row r="102" spans="1:10" ht="90">
      <c r="A102" s="400"/>
      <c r="B102" s="299" t="s">
        <v>93</v>
      </c>
      <c r="C102" s="75">
        <v>5678</v>
      </c>
      <c r="D102" s="81" t="s">
        <v>671</v>
      </c>
      <c r="E102" s="77" t="s">
        <v>89</v>
      </c>
      <c r="F102" s="78">
        <v>5.0741722626176236</v>
      </c>
      <c r="G102" s="125"/>
      <c r="H102" s="80">
        <v>156.78</v>
      </c>
      <c r="I102" s="125"/>
      <c r="J102" s="125">
        <f>H102*F102</f>
        <v>795.528727333191</v>
      </c>
    </row>
    <row r="103" spans="1:10" ht="90">
      <c r="A103" s="400"/>
      <c r="B103" s="299" t="s">
        <v>93</v>
      </c>
      <c r="C103" s="75">
        <v>5679</v>
      </c>
      <c r="D103" s="81" t="s">
        <v>672</v>
      </c>
      <c r="E103" s="77" t="s">
        <v>90</v>
      </c>
      <c r="F103" s="78">
        <v>17.067469204448251</v>
      </c>
      <c r="G103" s="125"/>
      <c r="H103" s="80">
        <v>69.84</v>
      </c>
      <c r="I103" s="125"/>
      <c r="J103" s="125">
        <f t="shared" ref="J103:J115" si="18">H103*F103</f>
        <v>1191.9920492386659</v>
      </c>
    </row>
    <row r="104" spans="1:10" ht="30">
      <c r="A104" s="400"/>
      <c r="B104" s="299" t="s">
        <v>1137</v>
      </c>
      <c r="C104" s="75">
        <v>7258</v>
      </c>
      <c r="D104" s="81" t="s">
        <v>673</v>
      </c>
      <c r="E104" s="77" t="s">
        <v>210</v>
      </c>
      <c r="F104" s="78">
        <v>4293.9999999999991</v>
      </c>
      <c r="G104" s="125"/>
      <c r="H104" s="80">
        <v>0.38</v>
      </c>
      <c r="I104" s="125"/>
      <c r="J104" s="125">
        <f t="shared" si="18"/>
        <v>1631.7199999999996</v>
      </c>
    </row>
    <row r="105" spans="1:10" ht="60">
      <c r="A105" s="400"/>
      <c r="B105" s="299" t="s">
        <v>93</v>
      </c>
      <c r="C105" s="75">
        <v>87316</v>
      </c>
      <c r="D105" s="81" t="s">
        <v>674</v>
      </c>
      <c r="E105" s="123" t="s">
        <v>145</v>
      </c>
      <c r="F105" s="125">
        <v>5.1378421727972641E-2</v>
      </c>
      <c r="G105" s="125"/>
      <c r="H105" s="125">
        <v>437.15</v>
      </c>
      <c r="I105" s="125"/>
      <c r="J105" s="125">
        <f t="shared" si="18"/>
        <v>22.460077058383238</v>
      </c>
    </row>
    <row r="106" spans="1:10">
      <c r="A106" s="400"/>
      <c r="B106" s="299" t="s">
        <v>93</v>
      </c>
      <c r="C106" s="75">
        <v>88309</v>
      </c>
      <c r="D106" s="81" t="s">
        <v>675</v>
      </c>
      <c r="E106" s="123" t="s">
        <v>22</v>
      </c>
      <c r="F106" s="125">
        <v>245.03721385799838</v>
      </c>
      <c r="G106" s="125"/>
      <c r="H106" s="125">
        <v>22.55</v>
      </c>
      <c r="I106" s="125"/>
      <c r="J106" s="125">
        <f t="shared" si="18"/>
        <v>5525.5891724978637</v>
      </c>
    </row>
    <row r="107" spans="1:10">
      <c r="A107" s="400"/>
      <c r="B107" s="299" t="s">
        <v>93</v>
      </c>
      <c r="C107" s="75">
        <v>88316</v>
      </c>
      <c r="D107" s="81" t="s">
        <v>59</v>
      </c>
      <c r="E107" s="77" t="s">
        <v>22</v>
      </c>
      <c r="F107" s="78">
        <v>245.03721385799838</v>
      </c>
      <c r="G107" s="125"/>
      <c r="H107" s="80">
        <v>18.190000000000001</v>
      </c>
      <c r="I107" s="125"/>
      <c r="J107" s="125">
        <f t="shared" si="18"/>
        <v>4457.2269200769906</v>
      </c>
    </row>
    <row r="108" spans="1:10" ht="30">
      <c r="A108" s="400"/>
      <c r="B108" s="299" t="s">
        <v>93</v>
      </c>
      <c r="C108" s="75">
        <v>89995</v>
      </c>
      <c r="D108" s="81" t="s">
        <v>676</v>
      </c>
      <c r="E108" s="77" t="s">
        <v>145</v>
      </c>
      <c r="F108" s="78">
        <v>1.4946449957228405</v>
      </c>
      <c r="G108" s="125"/>
      <c r="H108" s="80">
        <v>817.02</v>
      </c>
      <c r="I108" s="125"/>
      <c r="J108" s="125">
        <f t="shared" si="18"/>
        <v>1221.1548544054751</v>
      </c>
    </row>
    <row r="109" spans="1:10" ht="30">
      <c r="A109" s="400"/>
      <c r="B109" s="299" t="s">
        <v>93</v>
      </c>
      <c r="C109" s="75">
        <v>89998</v>
      </c>
      <c r="D109" s="81" t="s">
        <v>677</v>
      </c>
      <c r="E109" s="77" t="s">
        <v>678</v>
      </c>
      <c r="F109" s="78">
        <v>46.109798118049632</v>
      </c>
      <c r="G109" s="125"/>
      <c r="H109" s="80">
        <v>13.13</v>
      </c>
      <c r="I109" s="125"/>
      <c r="J109" s="125">
        <f t="shared" si="18"/>
        <v>605.42164928999171</v>
      </c>
    </row>
    <row r="110" spans="1:10" ht="60">
      <c r="A110" s="400"/>
      <c r="B110" s="299" t="s">
        <v>93</v>
      </c>
      <c r="C110" s="75">
        <v>92783</v>
      </c>
      <c r="D110" s="81" t="s">
        <v>679</v>
      </c>
      <c r="E110" s="77" t="s">
        <v>678</v>
      </c>
      <c r="F110" s="78">
        <v>155.30639820359289</v>
      </c>
      <c r="G110" s="125"/>
      <c r="H110" s="80">
        <v>19.98</v>
      </c>
      <c r="I110" s="125"/>
      <c r="J110" s="125">
        <f t="shared" si="18"/>
        <v>3103.0218361077859</v>
      </c>
    </row>
    <row r="111" spans="1:10" ht="45">
      <c r="A111" s="400"/>
      <c r="B111" s="299" t="s">
        <v>93</v>
      </c>
      <c r="C111" s="75">
        <v>94970</v>
      </c>
      <c r="D111" s="81" t="s">
        <v>680</v>
      </c>
      <c r="E111" s="123" t="s">
        <v>145</v>
      </c>
      <c r="F111" s="125">
        <v>5.8507485029940138</v>
      </c>
      <c r="G111" s="125"/>
      <c r="H111" s="125">
        <v>384.54</v>
      </c>
      <c r="I111" s="125"/>
      <c r="J111" s="125">
        <f t="shared" si="18"/>
        <v>2249.8468293413184</v>
      </c>
    </row>
    <row r="112" spans="1:10" ht="60">
      <c r="A112" s="400"/>
      <c r="B112" s="299" t="s">
        <v>93</v>
      </c>
      <c r="C112" s="75">
        <v>96536</v>
      </c>
      <c r="D112" s="81" t="s">
        <v>681</v>
      </c>
      <c r="E112" s="123" t="s">
        <v>149</v>
      </c>
      <c r="F112" s="125">
        <v>14.946449957228406</v>
      </c>
      <c r="G112" s="125"/>
      <c r="H112" s="125">
        <v>69.040000000000006</v>
      </c>
      <c r="I112" s="125"/>
      <c r="J112" s="125">
        <f t="shared" si="18"/>
        <v>1031.9029050470492</v>
      </c>
    </row>
    <row r="113" spans="1:18" ht="45">
      <c r="A113" s="400"/>
      <c r="B113" s="299" t="s">
        <v>93</v>
      </c>
      <c r="C113" s="75">
        <v>97735</v>
      </c>
      <c r="D113" s="81" t="s">
        <v>682</v>
      </c>
      <c r="E113" s="77" t="s">
        <v>145</v>
      </c>
      <c r="F113" s="78">
        <v>4.0849532720273753</v>
      </c>
      <c r="G113" s="125"/>
      <c r="H113" s="80">
        <v>2236.5100000000002</v>
      </c>
      <c r="I113" s="125"/>
      <c r="J113" s="125">
        <f t="shared" si="18"/>
        <v>9136.0388424219454</v>
      </c>
    </row>
    <row r="114" spans="1:18" ht="60">
      <c r="A114" s="400"/>
      <c r="B114" s="299" t="s">
        <v>93</v>
      </c>
      <c r="C114" s="75">
        <v>100475</v>
      </c>
      <c r="D114" s="81" t="s">
        <v>683</v>
      </c>
      <c r="E114" s="77" t="s">
        <v>145</v>
      </c>
      <c r="F114" s="78">
        <v>8.9568076347305432</v>
      </c>
      <c r="G114" s="125"/>
      <c r="H114" s="80">
        <v>665.66</v>
      </c>
      <c r="I114" s="125"/>
      <c r="J114" s="125">
        <f t="shared" si="18"/>
        <v>5962.1885701347328</v>
      </c>
    </row>
    <row r="115" spans="1:18" ht="60">
      <c r="A115" s="400"/>
      <c r="B115" s="299" t="s">
        <v>93</v>
      </c>
      <c r="C115" s="75">
        <v>101625</v>
      </c>
      <c r="D115" s="81" t="s">
        <v>684</v>
      </c>
      <c r="E115" s="77" t="s">
        <v>145</v>
      </c>
      <c r="F115" s="78">
        <v>2.7557517108639873</v>
      </c>
      <c r="G115" s="125"/>
      <c r="H115" s="80">
        <v>176.64</v>
      </c>
      <c r="I115" s="125"/>
      <c r="J115" s="125">
        <f t="shared" si="18"/>
        <v>486.77598220701469</v>
      </c>
    </row>
    <row r="116" spans="1:18" ht="22.5">
      <c r="A116" s="122" t="s">
        <v>0</v>
      </c>
      <c r="B116" s="122"/>
      <c r="C116" s="122"/>
      <c r="D116" s="122" t="s">
        <v>1</v>
      </c>
      <c r="E116" s="122" t="s">
        <v>2</v>
      </c>
      <c r="F116" s="122" t="s">
        <v>3</v>
      </c>
      <c r="G116" s="122"/>
      <c r="H116" s="122" t="s">
        <v>52</v>
      </c>
      <c r="I116" s="122"/>
      <c r="J116" s="122" t="s">
        <v>10</v>
      </c>
    </row>
    <row r="117" spans="1:18" ht="57">
      <c r="A117" s="400">
        <v>18</v>
      </c>
      <c r="B117" s="299"/>
      <c r="C117" s="123" t="s">
        <v>632</v>
      </c>
      <c r="D117" s="124" t="s">
        <v>847</v>
      </c>
      <c r="E117" s="123" t="s">
        <v>2</v>
      </c>
      <c r="F117" s="125"/>
      <c r="G117" s="125"/>
      <c r="H117" s="125"/>
      <c r="I117" s="125"/>
      <c r="J117" s="126">
        <f>SUM(J118:J122)</f>
        <v>114.68966</v>
      </c>
    </row>
    <row r="118" spans="1:18" ht="30">
      <c r="A118" s="400"/>
      <c r="B118" s="299" t="s">
        <v>1137</v>
      </c>
      <c r="C118" s="75">
        <v>20180</v>
      </c>
      <c r="D118" s="81" t="s">
        <v>848</v>
      </c>
      <c r="E118" s="77"/>
      <c r="F118" s="78">
        <v>1</v>
      </c>
      <c r="G118" s="125"/>
      <c r="H118" s="80">
        <v>90.56</v>
      </c>
      <c r="I118" s="125"/>
      <c r="J118" s="125">
        <f t="shared" ref="J118:J122" si="19">H118*F118</f>
        <v>90.56</v>
      </c>
    </row>
    <row r="119" spans="1:18" ht="30">
      <c r="A119" s="400"/>
      <c r="B119" s="299" t="s">
        <v>1137</v>
      </c>
      <c r="C119" s="75">
        <v>301</v>
      </c>
      <c r="D119" s="81" t="s">
        <v>849</v>
      </c>
      <c r="E119" s="77"/>
      <c r="F119" s="78">
        <v>2</v>
      </c>
      <c r="G119" s="125"/>
      <c r="H119" s="80">
        <v>4.5</v>
      </c>
      <c r="I119" s="125"/>
      <c r="J119" s="125">
        <f t="shared" si="19"/>
        <v>9</v>
      </c>
    </row>
    <row r="120" spans="1:18" ht="45">
      <c r="A120" s="400"/>
      <c r="B120" s="299" t="s">
        <v>1137</v>
      </c>
      <c r="C120" s="75">
        <v>20078</v>
      </c>
      <c r="D120" s="81" t="s">
        <v>634</v>
      </c>
      <c r="E120" s="77"/>
      <c r="F120" s="78">
        <v>9.1999999999999998E-2</v>
      </c>
      <c r="G120" s="125"/>
      <c r="H120" s="80">
        <v>22.23</v>
      </c>
      <c r="I120" s="125"/>
      <c r="J120" s="125">
        <f t="shared" si="19"/>
        <v>2.0451600000000001</v>
      </c>
    </row>
    <row r="121" spans="1:18" ht="30">
      <c r="A121" s="400"/>
      <c r="B121" s="299" t="s">
        <v>93</v>
      </c>
      <c r="C121" s="75">
        <v>88248</v>
      </c>
      <c r="D121" s="81" t="s">
        <v>635</v>
      </c>
      <c r="E121" s="77"/>
      <c r="F121" s="78">
        <v>0.33</v>
      </c>
      <c r="G121" s="125"/>
      <c r="H121" s="80">
        <v>17.71</v>
      </c>
      <c r="I121" s="125"/>
      <c r="J121" s="125">
        <f t="shared" si="19"/>
        <v>5.8443000000000005</v>
      </c>
    </row>
    <row r="122" spans="1:18" ht="30">
      <c r="A122" s="400"/>
      <c r="B122" s="299" t="s">
        <v>93</v>
      </c>
      <c r="C122" s="75">
        <v>88267</v>
      </c>
      <c r="D122" s="81" t="s">
        <v>636</v>
      </c>
      <c r="E122" s="123"/>
      <c r="F122" s="78">
        <v>0.33</v>
      </c>
      <c r="G122" s="125"/>
      <c r="H122" s="80">
        <v>21.94</v>
      </c>
      <c r="I122" s="125"/>
      <c r="J122" s="125">
        <f t="shared" si="19"/>
        <v>7.2402000000000006</v>
      </c>
    </row>
    <row r="123" spans="1:18" ht="22.5">
      <c r="A123" s="122" t="s">
        <v>0</v>
      </c>
      <c r="B123" s="122"/>
      <c r="C123" s="122"/>
      <c r="D123" s="122" t="s">
        <v>1</v>
      </c>
      <c r="E123" s="122" t="s">
        <v>2</v>
      </c>
      <c r="F123" s="122" t="s">
        <v>3</v>
      </c>
      <c r="G123" s="122"/>
      <c r="H123" s="122" t="s">
        <v>52</v>
      </c>
      <c r="I123" s="122"/>
      <c r="J123" s="122" t="s">
        <v>10</v>
      </c>
    </row>
    <row r="124" spans="1:18" ht="57">
      <c r="A124" s="400">
        <v>19</v>
      </c>
      <c r="B124" s="299"/>
      <c r="C124" s="123" t="s">
        <v>638</v>
      </c>
      <c r="D124" s="124" t="s">
        <v>957</v>
      </c>
      <c r="E124" s="123" t="s">
        <v>2</v>
      </c>
      <c r="F124" s="125"/>
      <c r="G124" s="125"/>
      <c r="H124" s="125"/>
      <c r="I124" s="125"/>
      <c r="J124" s="126">
        <f>SUM(J125:J138)</f>
        <v>34644.101449208334</v>
      </c>
    </row>
    <row r="125" spans="1:18" ht="90">
      <c r="A125" s="400"/>
      <c r="B125" s="299" t="s">
        <v>93</v>
      </c>
      <c r="C125" s="75">
        <v>5678</v>
      </c>
      <c r="D125" s="81" t="s">
        <v>671</v>
      </c>
      <c r="E125" s="77" t="s">
        <v>89</v>
      </c>
      <c r="F125" s="188">
        <v>0.55266999999999999</v>
      </c>
      <c r="G125" s="125"/>
      <c r="H125" s="80">
        <v>156.78</v>
      </c>
      <c r="I125" s="125"/>
      <c r="J125" s="125">
        <f t="shared" ref="J125:J138" si="20">H125*F125</f>
        <v>86.647602599999999</v>
      </c>
      <c r="L125" s="8">
        <f>1.6*4.8*2</f>
        <v>15.36</v>
      </c>
      <c r="M125">
        <v>0.20430000000000001</v>
      </c>
    </row>
    <row r="126" spans="1:18" ht="90">
      <c r="A126" s="400"/>
      <c r="B126" s="299" t="s">
        <v>93</v>
      </c>
      <c r="C126" s="75">
        <v>5679</v>
      </c>
      <c r="D126" s="81" t="s">
        <v>672</v>
      </c>
      <c r="E126" s="77" t="s">
        <v>90</v>
      </c>
      <c r="F126" s="78">
        <v>1.8590199999999999</v>
      </c>
      <c r="G126" s="125"/>
      <c r="H126" s="80">
        <v>69.84</v>
      </c>
      <c r="I126" s="125"/>
      <c r="J126" s="125">
        <f t="shared" si="20"/>
        <v>129.83395680000001</v>
      </c>
      <c r="L126" s="8">
        <f>2.8*5.3*2.8</f>
        <v>41.551999999999992</v>
      </c>
      <c r="M126">
        <f>(L126*M125)/L125</f>
        <v>0.55267406249999995</v>
      </c>
    </row>
    <row r="127" spans="1:18" ht="30">
      <c r="A127" s="400"/>
      <c r="B127" s="299" t="s">
        <v>1137</v>
      </c>
      <c r="C127" s="75">
        <v>7258</v>
      </c>
      <c r="D127" s="81" t="s">
        <v>863</v>
      </c>
      <c r="E127" s="77" t="s">
        <v>210</v>
      </c>
      <c r="F127" s="145">
        <v>9258.7999999999993</v>
      </c>
      <c r="G127" s="125"/>
      <c r="H127" s="80">
        <v>0.38</v>
      </c>
      <c r="I127" s="125"/>
      <c r="J127" s="125">
        <f>H127*F127</f>
        <v>3518.3439999999996</v>
      </c>
    </row>
    <row r="128" spans="1:18" ht="60">
      <c r="A128" s="400"/>
      <c r="B128" s="299" t="s">
        <v>93</v>
      </c>
      <c r="C128" s="75">
        <v>87316</v>
      </c>
      <c r="D128" s="81" t="s">
        <v>674</v>
      </c>
      <c r="E128" s="77" t="s">
        <v>145</v>
      </c>
      <c r="F128" s="78">
        <v>6.3299999999999995E-2</v>
      </c>
      <c r="G128" s="125"/>
      <c r="H128" s="80">
        <v>437.15</v>
      </c>
      <c r="I128" s="125"/>
      <c r="J128" s="125">
        <f t="shared" si="20"/>
        <v>27.671594999999996</v>
      </c>
      <c r="Q128" s="284">
        <v>5426.4</v>
      </c>
      <c r="R128">
        <f>(1.6+4.8)*2*2</f>
        <v>25.6</v>
      </c>
    </row>
    <row r="129" spans="1:18">
      <c r="A129" s="400"/>
      <c r="B129" s="299" t="s">
        <v>93</v>
      </c>
      <c r="C129" s="75">
        <v>88309</v>
      </c>
      <c r="D129" s="81" t="s">
        <v>850</v>
      </c>
      <c r="E129" s="77" t="s">
        <v>22</v>
      </c>
      <c r="F129" s="78">
        <v>294.041</v>
      </c>
      <c r="G129" s="125"/>
      <c r="H129" s="80">
        <v>22.55</v>
      </c>
      <c r="I129" s="125"/>
      <c r="J129" s="125">
        <f t="shared" si="20"/>
        <v>6630.6245500000005</v>
      </c>
      <c r="Q129">
        <f>(Q128*R129)/R128</f>
        <v>9258.7949999999983</v>
      </c>
      <c r="R129">
        <v>43.68</v>
      </c>
    </row>
    <row r="130" spans="1:18">
      <c r="A130" s="400"/>
      <c r="B130" s="299" t="s">
        <v>93</v>
      </c>
      <c r="C130" s="75">
        <v>88316</v>
      </c>
      <c r="D130" s="81" t="s">
        <v>59</v>
      </c>
      <c r="E130" s="77" t="s">
        <v>22</v>
      </c>
      <c r="F130" s="78">
        <v>294.041</v>
      </c>
      <c r="G130" s="125"/>
      <c r="H130" s="80">
        <v>18.190000000000001</v>
      </c>
      <c r="I130" s="125"/>
      <c r="J130" s="125">
        <f t="shared" si="20"/>
        <v>5348.6057900000005</v>
      </c>
    </row>
    <row r="131" spans="1:18" ht="30">
      <c r="A131" s="400"/>
      <c r="B131" s="299" t="s">
        <v>93</v>
      </c>
      <c r="C131" s="75">
        <v>89995</v>
      </c>
      <c r="D131" s="81" t="s">
        <v>851</v>
      </c>
      <c r="E131" s="77" t="s">
        <v>145</v>
      </c>
      <c r="F131" s="282">
        <v>0.73581666666666656</v>
      </c>
      <c r="G131" s="125"/>
      <c r="H131" s="80">
        <v>817.02</v>
      </c>
      <c r="I131" s="125"/>
      <c r="J131" s="125">
        <f t="shared" si="20"/>
        <v>601.17693299999985</v>
      </c>
    </row>
    <row r="132" spans="1:18" ht="30">
      <c r="A132" s="400"/>
      <c r="B132" s="299" t="s">
        <v>93</v>
      </c>
      <c r="C132" s="75">
        <v>89998</v>
      </c>
      <c r="D132" s="81" t="s">
        <v>852</v>
      </c>
      <c r="E132" s="77" t="s">
        <v>678</v>
      </c>
      <c r="F132" s="283">
        <v>22.699944166666661</v>
      </c>
      <c r="G132" s="125"/>
      <c r="H132" s="80">
        <v>13.13</v>
      </c>
      <c r="I132" s="125"/>
      <c r="J132" s="125">
        <f t="shared" si="20"/>
        <v>298.0502669083333</v>
      </c>
      <c r="O132">
        <f>(5.3+2.8)*2</f>
        <v>16.2</v>
      </c>
    </row>
    <row r="133" spans="1:18" ht="60">
      <c r="A133" s="400"/>
      <c r="B133" s="299" t="s">
        <v>93</v>
      </c>
      <c r="C133" s="75">
        <v>92783</v>
      </c>
      <c r="D133" s="81" t="s">
        <v>853</v>
      </c>
      <c r="E133" s="77" t="s">
        <v>678</v>
      </c>
      <c r="F133" s="78">
        <v>149.203</v>
      </c>
      <c r="G133" s="125"/>
      <c r="H133" s="80">
        <v>19.98</v>
      </c>
      <c r="I133" s="125"/>
      <c r="J133" s="125">
        <f t="shared" si="20"/>
        <v>2981.0759400000002</v>
      </c>
      <c r="O133">
        <f>15.6*2.8</f>
        <v>43.68</v>
      </c>
    </row>
    <row r="134" spans="1:18" ht="45">
      <c r="A134" s="400"/>
      <c r="B134" s="299" t="s">
        <v>93</v>
      </c>
      <c r="C134" s="75">
        <v>94970</v>
      </c>
      <c r="D134" s="81" t="s">
        <v>854</v>
      </c>
      <c r="E134" s="77" t="s">
        <v>145</v>
      </c>
      <c r="F134" s="283">
        <v>5.6208799999999997</v>
      </c>
      <c r="G134" s="125"/>
      <c r="H134" s="80">
        <v>384.54</v>
      </c>
      <c r="I134" s="125"/>
      <c r="J134" s="125">
        <f>H134*F134</f>
        <v>2161.4531952000002</v>
      </c>
    </row>
    <row r="135" spans="1:18" ht="45">
      <c r="A135" s="400"/>
      <c r="B135" s="299" t="s">
        <v>93</v>
      </c>
      <c r="C135" s="75">
        <v>96536</v>
      </c>
      <c r="D135" s="81" t="s">
        <v>855</v>
      </c>
      <c r="E135" s="77" t="s">
        <v>149</v>
      </c>
      <c r="F135" s="78">
        <v>7.3581700000000003</v>
      </c>
      <c r="G135" s="125"/>
      <c r="H135" s="80">
        <v>69.040000000000006</v>
      </c>
      <c r="I135" s="125"/>
      <c r="J135" s="125">
        <f t="shared" si="20"/>
        <v>508.00805680000008</v>
      </c>
    </row>
    <row r="136" spans="1:18" ht="45">
      <c r="A136" s="400"/>
      <c r="B136" s="299" t="s">
        <v>93</v>
      </c>
      <c r="C136" s="75">
        <v>97735</v>
      </c>
      <c r="D136" s="81" t="s">
        <v>682</v>
      </c>
      <c r="E136" s="77" t="s">
        <v>145</v>
      </c>
      <c r="F136" s="78">
        <v>1.96939</v>
      </c>
      <c r="G136" s="125"/>
      <c r="H136" s="80">
        <v>2236.5100000000002</v>
      </c>
      <c r="I136" s="125"/>
      <c r="J136" s="125">
        <f t="shared" si="20"/>
        <v>4404.5604289000003</v>
      </c>
    </row>
    <row r="137" spans="1:18" ht="60">
      <c r="A137" s="400"/>
      <c r="B137" s="299" t="s">
        <v>93</v>
      </c>
      <c r="C137" s="75">
        <v>100475</v>
      </c>
      <c r="D137" s="81" t="s">
        <v>683</v>
      </c>
      <c r="E137" s="77" t="s">
        <v>145</v>
      </c>
      <c r="F137" s="78">
        <v>11.2445</v>
      </c>
      <c r="G137" s="125"/>
      <c r="H137" s="80">
        <v>665.66</v>
      </c>
      <c r="I137" s="125"/>
      <c r="J137" s="125">
        <f t="shared" si="20"/>
        <v>7485.0138699999998</v>
      </c>
      <c r="P137">
        <v>2.968</v>
      </c>
    </row>
    <row r="138" spans="1:18" ht="45">
      <c r="A138" s="400"/>
      <c r="B138" s="299" t="s">
        <v>93</v>
      </c>
      <c r="C138" s="75">
        <v>101625</v>
      </c>
      <c r="D138" s="81" t="s">
        <v>856</v>
      </c>
      <c r="E138" s="77" t="s">
        <v>145</v>
      </c>
      <c r="F138" s="78">
        <v>2.6213500000000001</v>
      </c>
      <c r="G138" s="125"/>
      <c r="H138" s="80">
        <v>176.64</v>
      </c>
      <c r="I138" s="125"/>
      <c r="J138" s="125">
        <f t="shared" si="20"/>
        <v>463.03526399999998</v>
      </c>
      <c r="P138">
        <v>2.5</v>
      </c>
      <c r="R138">
        <f>P137+P138</f>
        <v>5.468</v>
      </c>
    </row>
    <row r="139" spans="1:18">
      <c r="A139" s="400"/>
      <c r="B139" s="299"/>
      <c r="C139" s="143"/>
      <c r="D139" s="142"/>
      <c r="E139" s="77"/>
      <c r="F139" s="145"/>
      <c r="G139" s="130"/>
      <c r="H139" s="144"/>
      <c r="I139" s="130"/>
      <c r="J139" s="125"/>
    </row>
    <row r="140" spans="1:18" ht="22.5">
      <c r="A140" s="122" t="s">
        <v>0</v>
      </c>
      <c r="B140" s="122"/>
      <c r="C140" s="122"/>
      <c r="D140" s="122" t="s">
        <v>1</v>
      </c>
      <c r="E140" s="122" t="s">
        <v>2</v>
      </c>
      <c r="F140" s="122" t="s">
        <v>3</v>
      </c>
      <c r="G140" s="122"/>
      <c r="H140" s="122" t="s">
        <v>52</v>
      </c>
      <c r="I140" s="122"/>
      <c r="J140" s="122" t="s">
        <v>10</v>
      </c>
    </row>
    <row r="141" spans="1:18" ht="57">
      <c r="A141" s="400">
        <v>20</v>
      </c>
      <c r="B141" s="299"/>
      <c r="C141" s="123" t="s">
        <v>846</v>
      </c>
      <c r="D141" s="124" t="s">
        <v>827</v>
      </c>
      <c r="E141" s="123" t="s">
        <v>210</v>
      </c>
      <c r="F141" s="125"/>
      <c r="G141" s="125"/>
      <c r="H141" s="125"/>
      <c r="I141" s="125"/>
      <c r="J141" s="126">
        <f>SUM(J142:J153)</f>
        <v>3808.1156577999996</v>
      </c>
    </row>
    <row r="142" spans="1:18" ht="45">
      <c r="A142" s="400"/>
      <c r="B142" s="299" t="s">
        <v>1137</v>
      </c>
      <c r="C142" s="75">
        <v>4344</v>
      </c>
      <c r="D142" s="81" t="s">
        <v>805</v>
      </c>
      <c r="E142" s="77" t="s">
        <v>210</v>
      </c>
      <c r="F142" s="177">
        <f>4*1.42</f>
        <v>5.68</v>
      </c>
      <c r="G142" s="125"/>
      <c r="H142" s="178">
        <v>27.48</v>
      </c>
      <c r="I142" s="125"/>
      <c r="J142" s="125">
        <f>H142*F142</f>
        <v>156.0864</v>
      </c>
    </row>
    <row r="143" spans="1:18" ht="45">
      <c r="A143" s="400"/>
      <c r="B143" s="299" t="s">
        <v>1137</v>
      </c>
      <c r="C143" s="75">
        <v>4400</v>
      </c>
      <c r="D143" s="81" t="s">
        <v>806</v>
      </c>
      <c r="E143" s="77" t="s">
        <v>124</v>
      </c>
      <c r="F143" s="177">
        <f>11.5*1.42</f>
        <v>16.329999999999998</v>
      </c>
      <c r="G143" s="125"/>
      <c r="H143" s="178">
        <v>17.899999999999999</v>
      </c>
      <c r="I143" s="125"/>
      <c r="J143" s="125">
        <f t="shared" ref="J143:J153" si="21">H143*F143</f>
        <v>292.30699999999996</v>
      </c>
    </row>
    <row r="144" spans="1:18" ht="45">
      <c r="A144" s="400"/>
      <c r="B144" s="299" t="s">
        <v>1137</v>
      </c>
      <c r="C144" s="75">
        <v>4415</v>
      </c>
      <c r="D144" s="81" t="s">
        <v>807</v>
      </c>
      <c r="E144" s="77" t="s">
        <v>124</v>
      </c>
      <c r="F144" s="177">
        <f>11*1.42</f>
        <v>15.62</v>
      </c>
      <c r="G144" s="125"/>
      <c r="H144" s="178">
        <v>4.25</v>
      </c>
      <c r="I144" s="125"/>
      <c r="J144" s="125">
        <f t="shared" si="21"/>
        <v>66.384999999999991</v>
      </c>
    </row>
    <row r="145" spans="1:14" ht="45">
      <c r="A145" s="400"/>
      <c r="B145" s="299" t="s">
        <v>1137</v>
      </c>
      <c r="C145" s="75">
        <v>4425</v>
      </c>
      <c r="D145" s="81" t="s">
        <v>808</v>
      </c>
      <c r="E145" s="77" t="s">
        <v>124</v>
      </c>
      <c r="F145" s="177">
        <f>14.5*1.42</f>
        <v>20.59</v>
      </c>
      <c r="G145" s="125"/>
      <c r="H145" s="178">
        <v>23.79</v>
      </c>
      <c r="I145" s="125"/>
      <c r="J145" s="125">
        <f t="shared" si="21"/>
        <v>489.83609999999999</v>
      </c>
    </row>
    <row r="146" spans="1:14" ht="45">
      <c r="A146" s="400"/>
      <c r="B146" s="299" t="s">
        <v>1137</v>
      </c>
      <c r="C146" s="75" t="s">
        <v>809</v>
      </c>
      <c r="D146" s="81" t="s">
        <v>810</v>
      </c>
      <c r="E146" s="77" t="s">
        <v>124</v>
      </c>
      <c r="F146" s="177">
        <f>13*1.42</f>
        <v>18.46</v>
      </c>
      <c r="G146" s="125"/>
      <c r="H146" s="178">
        <v>29.72</v>
      </c>
      <c r="I146" s="125"/>
      <c r="J146" s="125">
        <f t="shared" si="21"/>
        <v>548.63120000000004</v>
      </c>
    </row>
    <row r="147" spans="1:14" ht="45">
      <c r="A147" s="400"/>
      <c r="B147" s="299" t="s">
        <v>1137</v>
      </c>
      <c r="C147" s="75" t="s">
        <v>811</v>
      </c>
      <c r="D147" s="81" t="s">
        <v>812</v>
      </c>
      <c r="E147" s="77" t="s">
        <v>124</v>
      </c>
      <c r="F147" s="177">
        <f>3*1.42</f>
        <v>4.26</v>
      </c>
      <c r="G147" s="125"/>
      <c r="H147" s="178">
        <v>15.89</v>
      </c>
      <c r="I147" s="125"/>
      <c r="J147" s="125">
        <f t="shared" si="21"/>
        <v>67.691400000000002</v>
      </c>
    </row>
    <row r="148" spans="1:14" ht="45">
      <c r="A148" s="400"/>
      <c r="B148" s="299" t="s">
        <v>1137</v>
      </c>
      <c r="C148" s="75" t="s">
        <v>813</v>
      </c>
      <c r="D148" s="81" t="s">
        <v>814</v>
      </c>
      <c r="E148" s="77" t="s">
        <v>210</v>
      </c>
      <c r="F148" s="177">
        <f>1*1.42</f>
        <v>1.42</v>
      </c>
      <c r="G148" s="125"/>
      <c r="H148" s="178">
        <v>30.17</v>
      </c>
      <c r="I148" s="125"/>
      <c r="J148" s="125">
        <f t="shared" si="21"/>
        <v>42.8414</v>
      </c>
    </row>
    <row r="149" spans="1:14">
      <c r="A149" s="400"/>
      <c r="B149" s="299" t="s">
        <v>1137</v>
      </c>
      <c r="C149" s="75" t="s">
        <v>815</v>
      </c>
      <c r="D149" s="81" t="s">
        <v>816</v>
      </c>
      <c r="E149" s="77" t="s">
        <v>678</v>
      </c>
      <c r="F149" s="177">
        <f>3.9*1.42</f>
        <v>5.5379999999999994</v>
      </c>
      <c r="G149" s="125"/>
      <c r="H149" s="178">
        <v>25.41</v>
      </c>
      <c r="I149" s="125"/>
      <c r="J149" s="125">
        <f t="shared" si="21"/>
        <v>140.72057999999998</v>
      </c>
    </row>
    <row r="150" spans="1:14" ht="45">
      <c r="A150" s="400"/>
      <c r="B150" s="299" t="s">
        <v>1137</v>
      </c>
      <c r="C150" s="75" t="s">
        <v>817</v>
      </c>
      <c r="D150" s="81" t="s">
        <v>818</v>
      </c>
      <c r="E150" s="77" t="s">
        <v>819</v>
      </c>
      <c r="F150" s="177">
        <f>1*1.42</f>
        <v>1.42</v>
      </c>
      <c r="G150" s="125"/>
      <c r="H150" s="178">
        <v>124.34</v>
      </c>
      <c r="I150" s="125"/>
      <c r="J150" s="125">
        <f t="shared" si="21"/>
        <v>176.56280000000001</v>
      </c>
    </row>
    <row r="151" spans="1:14" ht="30">
      <c r="A151" s="400"/>
      <c r="B151" s="299" t="s">
        <v>93</v>
      </c>
      <c r="C151" s="75" t="s">
        <v>820</v>
      </c>
      <c r="D151" s="81" t="s">
        <v>821</v>
      </c>
      <c r="E151" s="77" t="s">
        <v>22</v>
      </c>
      <c r="F151" s="177">
        <f>6.053*1.42</f>
        <v>8.5952599999999997</v>
      </c>
      <c r="G151" s="125"/>
      <c r="H151" s="178">
        <v>18.13</v>
      </c>
      <c r="I151" s="125"/>
      <c r="J151" s="125">
        <f t="shared" si="21"/>
        <v>155.83206379999999</v>
      </c>
    </row>
    <row r="152" spans="1:14" ht="30">
      <c r="A152" s="400"/>
      <c r="B152" s="299" t="s">
        <v>93</v>
      </c>
      <c r="C152" s="75" t="s">
        <v>822</v>
      </c>
      <c r="D152" s="81" t="s">
        <v>823</v>
      </c>
      <c r="E152" s="77" t="s">
        <v>22</v>
      </c>
      <c r="F152" s="177">
        <f>26.229*1.42</f>
        <v>37.245179999999998</v>
      </c>
      <c r="G152" s="130"/>
      <c r="H152" s="178" t="s">
        <v>824</v>
      </c>
      <c r="I152" s="130"/>
      <c r="J152" s="125">
        <f t="shared" si="21"/>
        <v>830.56751399999996</v>
      </c>
    </row>
    <row r="153" spans="1:14" ht="60">
      <c r="A153" s="400"/>
      <c r="B153" s="299" t="s">
        <v>93</v>
      </c>
      <c r="C153" s="75" t="s">
        <v>825</v>
      </c>
      <c r="D153" s="81" t="s">
        <v>826</v>
      </c>
      <c r="E153" s="77" t="s">
        <v>210</v>
      </c>
      <c r="F153" s="177">
        <f>1*1.42</f>
        <v>1.42</v>
      </c>
      <c r="G153" s="130"/>
      <c r="H153" s="178">
        <v>592.01</v>
      </c>
      <c r="I153" s="130"/>
      <c r="J153" s="125">
        <f t="shared" si="21"/>
        <v>840.65419999999995</v>
      </c>
    </row>
    <row r="154" spans="1:14" ht="22.5">
      <c r="A154" s="122" t="s">
        <v>0</v>
      </c>
      <c r="B154" s="122"/>
      <c r="C154" s="122"/>
      <c r="D154" s="122" t="s">
        <v>1</v>
      </c>
      <c r="E154" s="122" t="s">
        <v>2</v>
      </c>
      <c r="F154" s="122" t="s">
        <v>3</v>
      </c>
      <c r="G154" s="122"/>
      <c r="H154" s="122" t="s">
        <v>52</v>
      </c>
      <c r="I154" s="122"/>
      <c r="J154" s="122" t="s">
        <v>10</v>
      </c>
    </row>
    <row r="155" spans="1:14" ht="28.5">
      <c r="A155" s="400">
        <v>21</v>
      </c>
      <c r="B155" s="299"/>
      <c r="C155" s="123" t="s">
        <v>639</v>
      </c>
      <c r="D155" s="124" t="s">
        <v>829</v>
      </c>
      <c r="E155" s="123" t="s">
        <v>145</v>
      </c>
      <c r="F155" s="125"/>
      <c r="G155" s="125"/>
      <c r="H155" s="125"/>
      <c r="I155" s="125"/>
      <c r="J155" s="126">
        <f>SUM(J156:J156)</f>
        <v>2585.15</v>
      </c>
    </row>
    <row r="156" spans="1:14" ht="51.6" customHeight="1">
      <c r="A156" s="400"/>
      <c r="B156" s="299" t="s">
        <v>94</v>
      </c>
      <c r="C156" s="75" t="s">
        <v>831</v>
      </c>
      <c r="D156" s="81" t="s">
        <v>830</v>
      </c>
      <c r="E156" s="77" t="s">
        <v>145</v>
      </c>
      <c r="F156" s="78">
        <v>1</v>
      </c>
      <c r="G156" s="125"/>
      <c r="H156" s="80">
        <v>2585.15</v>
      </c>
      <c r="I156" s="125"/>
      <c r="J156" s="125">
        <f>H156*F156</f>
        <v>2585.15</v>
      </c>
    </row>
    <row r="157" spans="1:14">
      <c r="A157" s="130"/>
      <c r="B157" s="130"/>
      <c r="C157" s="130"/>
      <c r="D157" s="130"/>
      <c r="E157" s="130"/>
      <c r="F157" s="130"/>
      <c r="G157" s="130"/>
      <c r="H157" s="130"/>
      <c r="I157" s="130"/>
      <c r="J157" s="130"/>
    </row>
    <row r="158" spans="1:14" ht="22.5">
      <c r="A158" s="122" t="s">
        <v>0</v>
      </c>
      <c r="B158" s="122"/>
      <c r="C158" s="122"/>
      <c r="D158" s="122" t="s">
        <v>1</v>
      </c>
      <c r="E158" s="122" t="s">
        <v>2</v>
      </c>
      <c r="F158" s="122" t="s">
        <v>3</v>
      </c>
      <c r="G158" s="122"/>
      <c r="H158" s="122" t="s">
        <v>52</v>
      </c>
      <c r="I158" s="122"/>
      <c r="J158" s="122" t="s">
        <v>10</v>
      </c>
    </row>
    <row r="159" spans="1:14" ht="28.5">
      <c r="A159" s="400">
        <v>22</v>
      </c>
      <c r="B159" s="299"/>
      <c r="C159" s="123" t="s">
        <v>654</v>
      </c>
      <c r="D159" s="124" t="s">
        <v>975</v>
      </c>
      <c r="E159" s="123" t="s">
        <v>2</v>
      </c>
      <c r="F159" s="125"/>
      <c r="G159" s="125"/>
      <c r="H159" s="125"/>
      <c r="I159" s="125"/>
      <c r="J159" s="126">
        <f>SUM(J160:J169)</f>
        <v>1295.0210976999999</v>
      </c>
    </row>
    <row r="160" spans="1:14">
      <c r="A160" s="400"/>
      <c r="B160" s="299" t="s">
        <v>146</v>
      </c>
      <c r="C160" s="75" t="s">
        <v>652</v>
      </c>
      <c r="D160" s="81" t="s">
        <v>653</v>
      </c>
      <c r="E160" s="77" t="s">
        <v>22</v>
      </c>
      <c r="F160" s="78">
        <v>1.3352299999999999</v>
      </c>
      <c r="G160" s="125"/>
      <c r="H160" s="80">
        <v>22.72</v>
      </c>
      <c r="I160" s="125"/>
      <c r="J160" s="125">
        <f t="shared" ref="J160:J169" si="22">H160*F160</f>
        <v>30.336425599999998</v>
      </c>
      <c r="M160">
        <v>1.32</v>
      </c>
      <c r="N160">
        <v>2.3E-3</v>
      </c>
    </row>
    <row r="161" spans="1:14">
      <c r="A161" s="400"/>
      <c r="B161" s="299" t="s">
        <v>146</v>
      </c>
      <c r="C161" s="75" t="s">
        <v>958</v>
      </c>
      <c r="D161" s="81" t="s">
        <v>959</v>
      </c>
      <c r="E161" s="77" t="s">
        <v>22</v>
      </c>
      <c r="F161" s="78">
        <v>1.24621</v>
      </c>
      <c r="G161" s="125"/>
      <c r="H161" s="80">
        <v>23.17</v>
      </c>
      <c r="I161" s="125"/>
      <c r="J161" s="125">
        <f t="shared" si="22"/>
        <v>28.874685700000004</v>
      </c>
      <c r="M161">
        <f>0.1+1.075</f>
        <v>1.175</v>
      </c>
      <c r="N161">
        <f>N160*M161/M160</f>
        <v>2.0473484848484848E-3</v>
      </c>
    </row>
    <row r="162" spans="1:14">
      <c r="A162" s="400"/>
      <c r="B162" s="299" t="s">
        <v>146</v>
      </c>
      <c r="C162" s="75" t="s">
        <v>960</v>
      </c>
      <c r="D162" s="81" t="s">
        <v>961</v>
      </c>
      <c r="E162" s="77" t="s">
        <v>22</v>
      </c>
      <c r="F162" s="78">
        <v>2.5814400000000002</v>
      </c>
      <c r="G162" s="125"/>
      <c r="H162" s="80">
        <v>17.14</v>
      </c>
      <c r="I162" s="125"/>
      <c r="J162" s="125">
        <f t="shared" si="22"/>
        <v>44.245881600000004</v>
      </c>
    </row>
    <row r="163" spans="1:14">
      <c r="A163" s="400"/>
      <c r="B163" s="299" t="s">
        <v>146</v>
      </c>
      <c r="C163" s="75" t="s">
        <v>962</v>
      </c>
      <c r="D163" s="81" t="s">
        <v>963</v>
      </c>
      <c r="E163" s="77" t="s">
        <v>2</v>
      </c>
      <c r="F163" s="78">
        <v>1.175</v>
      </c>
      <c r="G163" s="125"/>
      <c r="H163" s="80">
        <v>370.44</v>
      </c>
      <c r="I163" s="125"/>
      <c r="J163" s="125">
        <f t="shared" si="22"/>
        <v>435.267</v>
      </c>
    </row>
    <row r="164" spans="1:14">
      <c r="A164" s="400"/>
      <c r="B164" s="299" t="s">
        <v>146</v>
      </c>
      <c r="C164" s="75" t="s">
        <v>964</v>
      </c>
      <c r="D164" s="81" t="s">
        <v>965</v>
      </c>
      <c r="E164" s="77" t="s">
        <v>2</v>
      </c>
      <c r="F164" s="78">
        <v>2</v>
      </c>
      <c r="G164" s="125"/>
      <c r="H164" s="80">
        <v>93.71</v>
      </c>
      <c r="I164" s="125"/>
      <c r="J164" s="125">
        <f t="shared" si="22"/>
        <v>187.42</v>
      </c>
    </row>
    <row r="165" spans="1:14">
      <c r="A165" s="400"/>
      <c r="B165" s="299" t="s">
        <v>146</v>
      </c>
      <c r="C165" s="143" t="s">
        <v>966</v>
      </c>
      <c r="D165" s="142" t="s">
        <v>967</v>
      </c>
      <c r="E165" s="285" t="s">
        <v>678</v>
      </c>
      <c r="F165" s="287">
        <v>0.53408999999999995</v>
      </c>
      <c r="G165" s="130"/>
      <c r="H165" s="144">
        <v>2.92</v>
      </c>
      <c r="I165" s="130"/>
      <c r="J165" s="125">
        <f t="shared" si="22"/>
        <v>1.5595427999999998</v>
      </c>
    </row>
    <row r="166" spans="1:14">
      <c r="A166" s="400"/>
      <c r="B166" s="299" t="s">
        <v>146</v>
      </c>
      <c r="C166" s="143" t="s">
        <v>968</v>
      </c>
      <c r="D166" s="142" t="s">
        <v>969</v>
      </c>
      <c r="E166" s="77" t="s">
        <v>2</v>
      </c>
      <c r="F166" s="130">
        <v>2</v>
      </c>
      <c r="G166" s="130"/>
      <c r="H166" s="144">
        <v>136.62</v>
      </c>
      <c r="I166" s="130"/>
      <c r="J166" s="125">
        <f t="shared" si="22"/>
        <v>273.24</v>
      </c>
    </row>
    <row r="167" spans="1:14">
      <c r="A167" s="400"/>
      <c r="B167" s="299" t="s">
        <v>146</v>
      </c>
      <c r="C167" s="130" t="s">
        <v>970</v>
      </c>
      <c r="D167" s="142" t="s">
        <v>971</v>
      </c>
      <c r="E167" s="77" t="s">
        <v>2</v>
      </c>
      <c r="F167" s="130">
        <v>2</v>
      </c>
      <c r="G167" s="130"/>
      <c r="H167" s="144">
        <v>31.67</v>
      </c>
      <c r="I167" s="130"/>
      <c r="J167" s="125">
        <f t="shared" si="22"/>
        <v>63.34</v>
      </c>
    </row>
    <row r="168" spans="1:14">
      <c r="A168" s="400"/>
      <c r="B168" s="299" t="s">
        <v>146</v>
      </c>
      <c r="C168" s="143" t="s">
        <v>972</v>
      </c>
      <c r="D168" s="142" t="s">
        <v>973</v>
      </c>
      <c r="E168" s="285" t="s">
        <v>145</v>
      </c>
      <c r="F168" s="286">
        <v>2.0500000000000002E-3</v>
      </c>
      <c r="G168" s="130"/>
      <c r="H168" s="144">
        <v>525.64</v>
      </c>
      <c r="I168" s="130"/>
      <c r="J168" s="125">
        <f t="shared" si="22"/>
        <v>1.0775620000000001</v>
      </c>
    </row>
    <row r="169" spans="1:14" ht="45">
      <c r="A169" s="400"/>
      <c r="B169" s="299" t="s">
        <v>93</v>
      </c>
      <c r="C169" s="143">
        <v>86909</v>
      </c>
      <c r="D169" s="142" t="s">
        <v>974</v>
      </c>
      <c r="E169" s="77" t="s">
        <v>2</v>
      </c>
      <c r="F169" s="286">
        <v>2</v>
      </c>
      <c r="G169" s="130"/>
      <c r="H169" s="144">
        <v>114.83</v>
      </c>
      <c r="I169" s="130"/>
      <c r="J169" s="125">
        <f t="shared" si="22"/>
        <v>229.66</v>
      </c>
    </row>
    <row r="170" spans="1:14" ht="22.5">
      <c r="A170" s="122" t="s">
        <v>0</v>
      </c>
      <c r="B170" s="122"/>
      <c r="C170" s="122"/>
      <c r="D170" s="122" t="s">
        <v>1</v>
      </c>
      <c r="E170" s="122" t="s">
        <v>2</v>
      </c>
      <c r="F170" s="122" t="s">
        <v>3</v>
      </c>
      <c r="G170" s="122"/>
      <c r="H170" s="122" t="s">
        <v>52</v>
      </c>
      <c r="I170" s="122"/>
      <c r="J170" s="122" t="s">
        <v>10</v>
      </c>
    </row>
    <row r="171" spans="1:14" ht="28.5">
      <c r="A171" s="400">
        <v>23</v>
      </c>
      <c r="B171" s="299"/>
      <c r="C171" s="123" t="s">
        <v>669</v>
      </c>
      <c r="D171" s="124" t="s">
        <v>976</v>
      </c>
      <c r="E171" s="123" t="s">
        <v>2</v>
      </c>
      <c r="F171" s="125"/>
      <c r="G171" s="125"/>
      <c r="H171" s="125"/>
      <c r="I171" s="125"/>
      <c r="J171" s="126">
        <f>SUM(J172:J181)</f>
        <v>1939.0750468000001</v>
      </c>
    </row>
    <row r="172" spans="1:14">
      <c r="A172" s="400"/>
      <c r="B172" s="299" t="s">
        <v>146</v>
      </c>
      <c r="C172" s="75" t="s">
        <v>652</v>
      </c>
      <c r="D172" s="81" t="s">
        <v>653</v>
      </c>
      <c r="E172" s="77" t="s">
        <v>22</v>
      </c>
      <c r="F172" s="78">
        <v>1.9943200000000001</v>
      </c>
      <c r="G172" s="125"/>
      <c r="H172" s="80">
        <v>22.72</v>
      </c>
      <c r="I172" s="125"/>
      <c r="J172" s="125">
        <f t="shared" ref="J172:J181" si="23">H172*F172</f>
        <v>45.310950400000003</v>
      </c>
    </row>
    <row r="173" spans="1:14">
      <c r="A173" s="400"/>
      <c r="B173" s="299" t="s">
        <v>146</v>
      </c>
      <c r="C173" s="75" t="s">
        <v>958</v>
      </c>
      <c r="D173" s="81" t="s">
        <v>959</v>
      </c>
      <c r="E173" s="77" t="s">
        <v>22</v>
      </c>
      <c r="F173" s="78">
        <v>1.8613599999999999</v>
      </c>
      <c r="G173" s="125"/>
      <c r="H173" s="80">
        <v>23.17</v>
      </c>
      <c r="I173" s="125"/>
      <c r="J173" s="125">
        <f t="shared" si="23"/>
        <v>43.1277112</v>
      </c>
      <c r="L173">
        <v>1.32</v>
      </c>
      <c r="M173">
        <v>2.3E-3</v>
      </c>
    </row>
    <row r="174" spans="1:14">
      <c r="A174" s="400"/>
      <c r="B174" s="299" t="s">
        <v>146</v>
      </c>
      <c r="C174" s="75" t="s">
        <v>960</v>
      </c>
      <c r="D174" s="81" t="s">
        <v>961</v>
      </c>
      <c r="E174" s="77" t="s">
        <v>22</v>
      </c>
      <c r="F174" s="78">
        <v>3.85568</v>
      </c>
      <c r="G174" s="125"/>
      <c r="H174" s="80">
        <v>17.14</v>
      </c>
      <c r="I174" s="125"/>
      <c r="J174" s="125">
        <f t="shared" si="23"/>
        <v>66.0863552</v>
      </c>
      <c r="L174">
        <f>2.7*0.65</f>
        <v>1.7550000000000001</v>
      </c>
      <c r="M174">
        <f>M173*L174/L173</f>
        <v>3.0579545454545456E-3</v>
      </c>
    </row>
    <row r="175" spans="1:14">
      <c r="A175" s="400"/>
      <c r="B175" s="299" t="s">
        <v>146</v>
      </c>
      <c r="C175" s="75" t="s">
        <v>962</v>
      </c>
      <c r="D175" s="81" t="s">
        <v>963</v>
      </c>
      <c r="E175" s="77" t="s">
        <v>2</v>
      </c>
      <c r="F175" s="78">
        <v>1.7549999999999999</v>
      </c>
      <c r="G175" s="125"/>
      <c r="H175" s="80">
        <v>370.44</v>
      </c>
      <c r="I175" s="125"/>
      <c r="J175" s="125">
        <f t="shared" si="23"/>
        <v>650.12219999999991</v>
      </c>
    </row>
    <row r="176" spans="1:14">
      <c r="A176" s="400"/>
      <c r="B176" s="299" t="s">
        <v>146</v>
      </c>
      <c r="C176" s="75" t="s">
        <v>964</v>
      </c>
      <c r="D176" s="81" t="s">
        <v>965</v>
      </c>
      <c r="E176" s="77" t="s">
        <v>2</v>
      </c>
      <c r="F176" s="78">
        <v>3</v>
      </c>
      <c r="G176" s="125"/>
      <c r="H176" s="80">
        <v>93.71</v>
      </c>
      <c r="I176" s="125"/>
      <c r="J176" s="125">
        <f t="shared" si="23"/>
        <v>281.13</v>
      </c>
    </row>
    <row r="177" spans="1:17">
      <c r="A177" s="400"/>
      <c r="B177" s="299" t="s">
        <v>146</v>
      </c>
      <c r="C177" s="143" t="s">
        <v>966</v>
      </c>
      <c r="D177" s="142" t="s">
        <v>967</v>
      </c>
      <c r="E177" s="285" t="s">
        <v>678</v>
      </c>
      <c r="F177" s="287">
        <v>0.79773000000000005</v>
      </c>
      <c r="G177" s="130"/>
      <c r="H177" s="144">
        <v>2.92</v>
      </c>
      <c r="I177" s="130"/>
      <c r="J177" s="125">
        <f t="shared" si="23"/>
        <v>2.3293716</v>
      </c>
    </row>
    <row r="178" spans="1:17">
      <c r="A178" s="400"/>
      <c r="B178" s="299" t="s">
        <v>146</v>
      </c>
      <c r="C178" s="143" t="s">
        <v>968</v>
      </c>
      <c r="D178" s="142" t="s">
        <v>969</v>
      </c>
      <c r="E178" s="77" t="s">
        <v>2</v>
      </c>
      <c r="F178" s="130">
        <v>3</v>
      </c>
      <c r="G178" s="130"/>
      <c r="H178" s="144">
        <v>136.62</v>
      </c>
      <c r="I178" s="130"/>
      <c r="J178" s="125">
        <f t="shared" si="23"/>
        <v>409.86</v>
      </c>
    </row>
    <row r="179" spans="1:17">
      <c r="A179" s="400"/>
      <c r="B179" s="299" t="s">
        <v>146</v>
      </c>
      <c r="C179" s="130" t="s">
        <v>970</v>
      </c>
      <c r="D179" s="142" t="s">
        <v>971</v>
      </c>
      <c r="E179" s="77" t="s">
        <v>2</v>
      </c>
      <c r="F179" s="130">
        <v>3</v>
      </c>
      <c r="G179" s="130"/>
      <c r="H179" s="144">
        <v>31.67</v>
      </c>
      <c r="I179" s="130"/>
      <c r="J179" s="125">
        <f t="shared" si="23"/>
        <v>95.01</v>
      </c>
    </row>
    <row r="180" spans="1:17">
      <c r="A180" s="400"/>
      <c r="B180" s="299" t="s">
        <v>146</v>
      </c>
      <c r="C180" s="143" t="s">
        <v>972</v>
      </c>
      <c r="D180" s="142" t="s">
        <v>973</v>
      </c>
      <c r="E180" s="285" t="s">
        <v>145</v>
      </c>
      <c r="F180" s="286">
        <v>3.0599999999999998E-3</v>
      </c>
      <c r="G180" s="130"/>
      <c r="H180" s="144">
        <v>525.64</v>
      </c>
      <c r="I180" s="130"/>
      <c r="J180" s="125">
        <f t="shared" si="23"/>
        <v>1.6084584</v>
      </c>
    </row>
    <row r="181" spans="1:17" ht="45">
      <c r="A181" s="400"/>
      <c r="B181" s="299" t="s">
        <v>93</v>
      </c>
      <c r="C181" s="143">
        <v>86909</v>
      </c>
      <c r="D181" s="142" t="s">
        <v>974</v>
      </c>
      <c r="E181" s="77" t="s">
        <v>2</v>
      </c>
      <c r="F181" s="286">
        <v>3</v>
      </c>
      <c r="G181" s="130"/>
      <c r="H181" s="144">
        <v>114.83</v>
      </c>
      <c r="I181" s="130"/>
      <c r="J181" s="125">
        <f t="shared" si="23"/>
        <v>344.49</v>
      </c>
    </row>
    <row r="182" spans="1:17" ht="22.5">
      <c r="A182" s="122" t="s">
        <v>0</v>
      </c>
      <c r="B182" s="122"/>
      <c r="C182" s="122"/>
      <c r="D182" s="122" t="s">
        <v>1</v>
      </c>
      <c r="E182" s="122" t="s">
        <v>2</v>
      </c>
      <c r="F182" s="122" t="s">
        <v>3</v>
      </c>
      <c r="G182" s="122"/>
      <c r="H182" s="122" t="s">
        <v>52</v>
      </c>
      <c r="I182" s="122"/>
      <c r="J182" s="122" t="s">
        <v>10</v>
      </c>
    </row>
    <row r="183" spans="1:17" ht="28.5">
      <c r="A183" s="400">
        <v>24</v>
      </c>
      <c r="B183" s="299"/>
      <c r="C183" s="123" t="s">
        <v>686</v>
      </c>
      <c r="D183" s="124" t="s">
        <v>1007</v>
      </c>
      <c r="E183" s="123" t="s">
        <v>2</v>
      </c>
      <c r="F183" s="125"/>
      <c r="G183" s="125"/>
      <c r="H183" s="125"/>
      <c r="I183" s="125"/>
      <c r="J183" s="126">
        <f>SUM(J184:J185)</f>
        <v>1024.9799399999999</v>
      </c>
    </row>
    <row r="184" spans="1:17">
      <c r="A184" s="400"/>
      <c r="B184" s="299" t="s">
        <v>226</v>
      </c>
      <c r="C184" s="75" t="s">
        <v>226</v>
      </c>
      <c r="D184" s="81" t="s">
        <v>1007</v>
      </c>
      <c r="E184" s="77" t="s">
        <v>22</v>
      </c>
      <c r="F184" s="78">
        <v>1</v>
      </c>
      <c r="G184" s="125"/>
      <c r="H184" s="80">
        <f>COTAÇÕES!F23</f>
        <v>585.97500000000002</v>
      </c>
      <c r="I184" s="125"/>
      <c r="J184" s="125">
        <f t="shared" ref="J184:J185" si="24">H184*F184</f>
        <v>585.97500000000002</v>
      </c>
    </row>
    <row r="185" spans="1:17" ht="75">
      <c r="A185" s="400"/>
      <c r="B185" s="299" t="s">
        <v>94</v>
      </c>
      <c r="C185" s="143" t="s">
        <v>99</v>
      </c>
      <c r="D185" s="142" t="s">
        <v>153</v>
      </c>
      <c r="E185" s="77" t="s">
        <v>145</v>
      </c>
      <c r="F185" s="78">
        <f>0.22*3.3*0.2</f>
        <v>0.1452</v>
      </c>
      <c r="G185" s="125"/>
      <c r="H185" s="125">
        <v>3023.45</v>
      </c>
      <c r="I185" s="125"/>
      <c r="J185" s="125">
        <f t="shared" si="24"/>
        <v>439.00493999999998</v>
      </c>
    </row>
    <row r="186" spans="1:17">
      <c r="A186" s="400"/>
      <c r="B186" s="299"/>
      <c r="C186" s="75"/>
      <c r="D186" s="81"/>
      <c r="E186" s="77"/>
      <c r="F186" s="78"/>
      <c r="G186" s="125"/>
      <c r="H186" s="80"/>
      <c r="I186" s="125"/>
      <c r="J186" s="125"/>
    </row>
    <row r="187" spans="1:17" ht="22.5">
      <c r="A187" s="122" t="s">
        <v>0</v>
      </c>
      <c r="B187" s="122"/>
      <c r="C187" s="122"/>
      <c r="D187" s="122" t="s">
        <v>1</v>
      </c>
      <c r="E187" s="122" t="s">
        <v>2</v>
      </c>
      <c r="F187" s="122" t="s">
        <v>3</v>
      </c>
      <c r="G187" s="122"/>
      <c r="H187" s="122" t="s">
        <v>52</v>
      </c>
      <c r="I187" s="122"/>
      <c r="J187" s="122" t="s">
        <v>10</v>
      </c>
    </row>
    <row r="188" spans="1:17" ht="57">
      <c r="A188" s="400">
        <v>25</v>
      </c>
      <c r="B188" s="299"/>
      <c r="C188" s="123" t="s">
        <v>1120</v>
      </c>
      <c r="D188" s="124" t="s">
        <v>1089</v>
      </c>
      <c r="E188" s="123" t="s">
        <v>2</v>
      </c>
      <c r="F188" s="125"/>
      <c r="G188" s="125"/>
      <c r="H188" s="125"/>
      <c r="I188" s="125"/>
      <c r="J188" s="126">
        <f>SUM(J189:J190)</f>
        <v>42634.45</v>
      </c>
    </row>
    <row r="189" spans="1:17" ht="75">
      <c r="A189" s="400"/>
      <c r="B189" s="299" t="s">
        <v>94</v>
      </c>
      <c r="C189" s="143" t="s">
        <v>99</v>
      </c>
      <c r="D189" s="142" t="s">
        <v>153</v>
      </c>
      <c r="E189" s="123"/>
      <c r="F189" s="125">
        <v>1</v>
      </c>
      <c r="G189" s="125"/>
      <c r="H189" s="125">
        <v>3023.45</v>
      </c>
      <c r="I189" s="125"/>
      <c r="J189" s="125">
        <f t="shared" ref="J189:J190" si="25">H189*F189</f>
        <v>3023.45</v>
      </c>
    </row>
    <row r="190" spans="1:17" ht="57">
      <c r="A190" s="400"/>
      <c r="B190" s="299" t="s">
        <v>226</v>
      </c>
      <c r="C190" s="123" t="str">
        <f>COTAÇÕES!A142</f>
        <v>COTAÇÃO 13</v>
      </c>
      <c r="D190" s="124" t="s">
        <v>1089</v>
      </c>
      <c r="E190" s="123"/>
      <c r="F190" s="125">
        <v>1</v>
      </c>
      <c r="G190" s="125"/>
      <c r="H190" s="125">
        <f>COTAÇÕES!F144</f>
        <v>39611</v>
      </c>
      <c r="I190" s="125"/>
      <c r="J190" s="125">
        <f t="shared" si="25"/>
        <v>39611</v>
      </c>
    </row>
    <row r="191" spans="1:17" ht="22.5">
      <c r="A191" s="122" t="s">
        <v>0</v>
      </c>
      <c r="B191" s="122"/>
      <c r="C191" s="122"/>
      <c r="D191" s="122" t="s">
        <v>1</v>
      </c>
      <c r="E191" s="122" t="s">
        <v>2</v>
      </c>
      <c r="F191" s="122" t="s">
        <v>3</v>
      </c>
      <c r="G191" s="122"/>
      <c r="H191" s="122" t="s">
        <v>52</v>
      </c>
      <c r="I191" s="122"/>
      <c r="J191" s="122" t="s">
        <v>10</v>
      </c>
    </row>
    <row r="192" spans="1:17" ht="71.25">
      <c r="A192" s="400">
        <v>26</v>
      </c>
      <c r="B192" s="299"/>
      <c r="C192" s="123" t="s">
        <v>1144</v>
      </c>
      <c r="D192" s="124" t="s">
        <v>1139</v>
      </c>
      <c r="E192" s="123" t="s">
        <v>145</v>
      </c>
      <c r="F192" s="125"/>
      <c r="G192" s="125"/>
      <c r="H192" s="125"/>
      <c r="I192" s="125"/>
      <c r="J192" s="126">
        <f>SUM(J193:J209)</f>
        <v>2950.9997200000003</v>
      </c>
      <c r="N192">
        <f>((7+7+35+35)*9)/100</f>
        <v>7.56</v>
      </c>
      <c r="P192" s="367">
        <f>1.88/12</f>
        <v>0.15666666666666665</v>
      </c>
      <c r="Q192">
        <f>N192*P192</f>
        <v>1.1843999999999999</v>
      </c>
    </row>
    <row r="193" spans="1:17">
      <c r="A193" s="400"/>
      <c r="B193" s="299" t="s">
        <v>94</v>
      </c>
      <c r="C193" s="75">
        <v>2020010</v>
      </c>
      <c r="D193" s="81" t="s">
        <v>1121</v>
      </c>
      <c r="E193" s="77" t="s">
        <v>678</v>
      </c>
      <c r="F193" s="78">
        <v>0.45</v>
      </c>
      <c r="G193" s="125"/>
      <c r="H193" s="80">
        <v>420</v>
      </c>
      <c r="I193" s="125"/>
      <c r="J193" s="125">
        <f t="shared" ref="J193:J209" si="26">H193*F193</f>
        <v>189</v>
      </c>
    </row>
    <row r="194" spans="1:17">
      <c r="A194" s="400"/>
      <c r="B194" s="299" t="s">
        <v>94</v>
      </c>
      <c r="C194" s="75">
        <v>2030010</v>
      </c>
      <c r="D194" s="81" t="s">
        <v>1122</v>
      </c>
      <c r="E194" s="77" t="s">
        <v>145</v>
      </c>
      <c r="F194" s="78">
        <v>58</v>
      </c>
      <c r="G194" s="125"/>
      <c r="H194" s="80">
        <v>0.56999999999999995</v>
      </c>
      <c r="I194" s="125"/>
      <c r="J194" s="125">
        <f t="shared" si="26"/>
        <v>33.059999999999995</v>
      </c>
    </row>
    <row r="195" spans="1:17">
      <c r="A195" s="400"/>
      <c r="B195" s="299" t="s">
        <v>94</v>
      </c>
      <c r="C195" s="75">
        <v>2040020</v>
      </c>
      <c r="D195" s="81" t="s">
        <v>1123</v>
      </c>
      <c r="E195" s="77" t="s">
        <v>145</v>
      </c>
      <c r="F195" s="78">
        <v>75</v>
      </c>
      <c r="G195" s="125"/>
      <c r="H195" s="80">
        <v>0.79</v>
      </c>
      <c r="I195" s="125"/>
      <c r="J195" s="125">
        <f t="shared" si="26"/>
        <v>59.25</v>
      </c>
      <c r="M195">
        <v>0.4</v>
      </c>
      <c r="Q195">
        <f>Q192*M201</f>
        <v>24.674999999999997</v>
      </c>
    </row>
    <row r="196" spans="1:17">
      <c r="A196" s="400"/>
      <c r="B196" s="299" t="s">
        <v>94</v>
      </c>
      <c r="C196" s="75">
        <v>2080020</v>
      </c>
      <c r="D196" s="81" t="s">
        <v>1124</v>
      </c>
      <c r="E196" s="77" t="s">
        <v>678</v>
      </c>
      <c r="F196" s="78">
        <v>7.5</v>
      </c>
      <c r="G196" s="125"/>
      <c r="H196" s="80">
        <v>1.4</v>
      </c>
      <c r="I196" s="125"/>
      <c r="J196" s="125">
        <f t="shared" si="26"/>
        <v>10.5</v>
      </c>
    </row>
    <row r="197" spans="1:17">
      <c r="A197" s="400"/>
      <c r="B197" s="299" t="s">
        <v>94</v>
      </c>
      <c r="C197" s="75">
        <v>2080030</v>
      </c>
      <c r="D197" s="81" t="s">
        <v>1125</v>
      </c>
      <c r="E197" s="77" t="s">
        <v>678</v>
      </c>
      <c r="F197" s="78">
        <v>8</v>
      </c>
      <c r="G197" s="125"/>
      <c r="H197" s="80">
        <v>2.8</v>
      </c>
      <c r="I197" s="125"/>
      <c r="J197" s="125">
        <f t="shared" si="26"/>
        <v>22.4</v>
      </c>
      <c r="M197">
        <f>0.12*0.4*1</f>
        <v>4.8000000000000001E-2</v>
      </c>
      <c r="N197">
        <f>M195*2</f>
        <v>0.8</v>
      </c>
    </row>
    <row r="198" spans="1:17">
      <c r="A198" s="400"/>
      <c r="B198" s="299" t="s">
        <v>1137</v>
      </c>
      <c r="C198" s="143">
        <v>43055</v>
      </c>
      <c r="D198" s="142" t="s">
        <v>1135</v>
      </c>
      <c r="E198" s="285" t="s">
        <v>678</v>
      </c>
      <c r="F198" s="78">
        <v>41.67</v>
      </c>
      <c r="G198" s="130"/>
      <c r="H198" s="144">
        <v>9.92</v>
      </c>
      <c r="I198" s="130"/>
      <c r="J198" s="125">
        <f t="shared" si="26"/>
        <v>413.3664</v>
      </c>
      <c r="M198">
        <f>1*1*1</f>
        <v>1</v>
      </c>
    </row>
    <row r="199" spans="1:17">
      <c r="A199" s="400"/>
      <c r="B199" s="299" t="s">
        <v>1137</v>
      </c>
      <c r="C199" s="143">
        <v>33</v>
      </c>
      <c r="D199" s="142" t="s">
        <v>1136</v>
      </c>
      <c r="E199" s="285" t="s">
        <v>678</v>
      </c>
      <c r="F199" s="78">
        <v>16.670000000000002</v>
      </c>
      <c r="G199" s="130"/>
      <c r="H199" s="144">
        <v>12.15</v>
      </c>
      <c r="I199" s="130"/>
      <c r="J199" s="125">
        <f t="shared" ref="J199:J200" si="27">H199*F199</f>
        <v>202.54050000000004</v>
      </c>
    </row>
    <row r="200" spans="1:17" ht="30">
      <c r="A200" s="400"/>
      <c r="B200" s="299" t="s">
        <v>1137</v>
      </c>
      <c r="C200" s="143">
        <v>43059</v>
      </c>
      <c r="D200" s="142" t="s">
        <v>1138</v>
      </c>
      <c r="E200" s="285" t="s">
        <v>678</v>
      </c>
      <c r="F200" s="78">
        <v>24.675000000000001</v>
      </c>
      <c r="G200" s="130"/>
      <c r="H200" s="144">
        <v>10.84</v>
      </c>
      <c r="I200" s="130"/>
      <c r="J200" s="125">
        <f t="shared" si="27"/>
        <v>267.47700000000003</v>
      </c>
    </row>
    <row r="201" spans="1:17">
      <c r="A201" s="400"/>
      <c r="B201" s="299" t="s">
        <v>94</v>
      </c>
      <c r="C201" s="143">
        <v>2090040</v>
      </c>
      <c r="D201" s="142" t="s">
        <v>1126</v>
      </c>
      <c r="E201" s="77" t="s">
        <v>124</v>
      </c>
      <c r="F201" s="78">
        <v>10.5</v>
      </c>
      <c r="G201" s="130"/>
      <c r="H201" s="144">
        <v>33.94</v>
      </c>
      <c r="I201" s="130"/>
      <c r="J201" s="125">
        <f t="shared" si="26"/>
        <v>356.37</v>
      </c>
      <c r="M201">
        <f>M198/M197</f>
        <v>20.833333333333332</v>
      </c>
      <c r="N201">
        <f>N197*M201</f>
        <v>16.666666666666668</v>
      </c>
    </row>
    <row r="202" spans="1:17">
      <c r="A202" s="400"/>
      <c r="B202" s="299" t="s">
        <v>94</v>
      </c>
      <c r="C202" s="143">
        <v>2090090</v>
      </c>
      <c r="D202" s="142" t="s">
        <v>1127</v>
      </c>
      <c r="E202" s="77" t="s">
        <v>124</v>
      </c>
      <c r="F202" s="78">
        <v>3.5</v>
      </c>
      <c r="G202" s="130"/>
      <c r="H202" s="144">
        <v>20.83</v>
      </c>
      <c r="I202" s="130"/>
      <c r="J202" s="125">
        <f t="shared" si="26"/>
        <v>72.905000000000001</v>
      </c>
    </row>
    <row r="203" spans="1:17">
      <c r="A203" s="400"/>
      <c r="B203" s="299" t="s">
        <v>94</v>
      </c>
      <c r="C203" s="143">
        <v>2090200</v>
      </c>
      <c r="D203" s="142" t="s">
        <v>1128</v>
      </c>
      <c r="E203" s="77" t="s">
        <v>124</v>
      </c>
      <c r="F203" s="78">
        <v>3</v>
      </c>
      <c r="G203" s="130"/>
      <c r="H203" s="144">
        <v>33.6</v>
      </c>
      <c r="I203" s="130"/>
      <c r="J203" s="125">
        <f t="shared" si="26"/>
        <v>100.80000000000001</v>
      </c>
    </row>
    <row r="204" spans="1:17" ht="30">
      <c r="A204" s="400"/>
      <c r="B204" s="299" t="s">
        <v>94</v>
      </c>
      <c r="C204" s="143">
        <v>1000020</v>
      </c>
      <c r="D204" s="142" t="s">
        <v>1129</v>
      </c>
      <c r="E204" s="285" t="s">
        <v>22</v>
      </c>
      <c r="F204" s="78">
        <v>17.5</v>
      </c>
      <c r="G204" s="130"/>
      <c r="H204" s="144">
        <v>6</v>
      </c>
      <c r="I204" s="130"/>
      <c r="J204" s="125">
        <f t="shared" si="26"/>
        <v>105</v>
      </c>
    </row>
    <row r="205" spans="1:17" ht="30">
      <c r="A205" s="400"/>
      <c r="B205" s="299" t="s">
        <v>94</v>
      </c>
      <c r="C205" s="143">
        <v>1000030</v>
      </c>
      <c r="D205" s="142" t="s">
        <v>1130</v>
      </c>
      <c r="E205" s="285" t="s">
        <v>22</v>
      </c>
      <c r="F205" s="78">
        <v>17.5</v>
      </c>
      <c r="G205" s="130"/>
      <c r="H205" s="144">
        <v>19.04</v>
      </c>
      <c r="I205" s="130"/>
      <c r="J205" s="125">
        <f t="shared" si="26"/>
        <v>333.2</v>
      </c>
    </row>
    <row r="206" spans="1:17" ht="30">
      <c r="A206" s="400"/>
      <c r="B206" s="299" t="s">
        <v>94</v>
      </c>
      <c r="C206" s="143">
        <v>1000050</v>
      </c>
      <c r="D206" s="142" t="s">
        <v>1131</v>
      </c>
      <c r="E206" s="285" t="s">
        <v>22</v>
      </c>
      <c r="F206" s="78">
        <v>17.5</v>
      </c>
      <c r="G206" s="130"/>
      <c r="H206" s="144">
        <v>6.3</v>
      </c>
      <c r="I206" s="130"/>
      <c r="J206" s="125">
        <f t="shared" si="26"/>
        <v>110.25</v>
      </c>
    </row>
    <row r="207" spans="1:17" ht="30">
      <c r="A207" s="400"/>
      <c r="B207" s="299" t="s">
        <v>94</v>
      </c>
      <c r="C207" s="143">
        <v>1000160</v>
      </c>
      <c r="D207" s="142" t="s">
        <v>1132</v>
      </c>
      <c r="E207" s="285" t="s">
        <v>22</v>
      </c>
      <c r="F207" s="78">
        <v>14.12</v>
      </c>
      <c r="G207" s="130"/>
      <c r="H207" s="144">
        <v>40.64</v>
      </c>
      <c r="I207" s="130"/>
      <c r="J207" s="125">
        <f t="shared" si="26"/>
        <v>573.83679999999993</v>
      </c>
    </row>
    <row r="208" spans="1:17" ht="30">
      <c r="A208" s="400"/>
      <c r="B208" s="299" t="s">
        <v>94</v>
      </c>
      <c r="C208" s="143">
        <v>1000180</v>
      </c>
      <c r="D208" s="142" t="s">
        <v>1133</v>
      </c>
      <c r="E208" s="285" t="s">
        <v>22</v>
      </c>
      <c r="F208" s="78">
        <v>14.12</v>
      </c>
      <c r="G208" s="130"/>
      <c r="H208" s="144">
        <v>6.3</v>
      </c>
      <c r="I208" s="130"/>
      <c r="J208" s="125">
        <f t="shared" si="26"/>
        <v>88.955999999999989</v>
      </c>
    </row>
    <row r="209" spans="1:10">
      <c r="A209" s="400"/>
      <c r="B209" s="299" t="s">
        <v>94</v>
      </c>
      <c r="C209" s="143">
        <v>3000265</v>
      </c>
      <c r="D209" s="142" t="s">
        <v>1134</v>
      </c>
      <c r="E209" s="285" t="s">
        <v>22</v>
      </c>
      <c r="F209" s="78">
        <v>16.93</v>
      </c>
      <c r="G209" s="130"/>
      <c r="H209" s="144">
        <v>0.71399999999999997</v>
      </c>
      <c r="I209" s="130"/>
      <c r="J209" s="125">
        <f t="shared" si="26"/>
        <v>12.088019999999998</v>
      </c>
    </row>
  </sheetData>
  <mergeCells count="34">
    <mergeCell ref="A192:A209"/>
    <mergeCell ref="A37:A39"/>
    <mergeCell ref="A42:A44"/>
    <mergeCell ref="A141:A153"/>
    <mergeCell ref="A47:A49"/>
    <mergeCell ref="A52:A54"/>
    <mergeCell ref="A57:A59"/>
    <mergeCell ref="A62:A64"/>
    <mergeCell ref="A100:A115"/>
    <mergeCell ref="A117:A122"/>
    <mergeCell ref="A124:A139"/>
    <mergeCell ref="A67:A71"/>
    <mergeCell ref="A188:A190"/>
    <mergeCell ref="A183:A186"/>
    <mergeCell ref="A159:A169"/>
    <mergeCell ref="A171:A181"/>
    <mergeCell ref="A1:J1"/>
    <mergeCell ref="A2:J2"/>
    <mergeCell ref="A4:J4"/>
    <mergeCell ref="A3:J3"/>
    <mergeCell ref="A6:J6"/>
    <mergeCell ref="A5:J5"/>
    <mergeCell ref="A9:A11"/>
    <mergeCell ref="A22:A24"/>
    <mergeCell ref="A27:A29"/>
    <mergeCell ref="A32:A34"/>
    <mergeCell ref="A7:J7"/>
    <mergeCell ref="A15:A19"/>
    <mergeCell ref="A20:J20"/>
    <mergeCell ref="A73:A77"/>
    <mergeCell ref="A79:A84"/>
    <mergeCell ref="A86:A91"/>
    <mergeCell ref="A93:A98"/>
    <mergeCell ref="A155:A156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rowBreaks count="2" manualBreakCount="2">
    <brk id="130" max="9" man="1"/>
    <brk id="209" max="9" man="1"/>
  </rowBreaks>
  <colBreaks count="1" manualBreakCount="1">
    <brk id="10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38"/>
  <sheetViews>
    <sheetView view="pageBreakPreview" topLeftCell="A15" zoomScale="111" zoomScaleNormal="100" zoomScaleSheetLayoutView="111" workbookViewId="0">
      <pane ySplit="870" activePane="bottomLeft"/>
      <selection activeCell="C1" sqref="C1:C1048576"/>
      <selection pane="bottomLeft" activeCell="B139" sqref="B139"/>
    </sheetView>
  </sheetViews>
  <sheetFormatPr defaultRowHeight="11.25"/>
  <cols>
    <col min="1" max="1" width="19.7109375" style="146" customWidth="1"/>
    <col min="2" max="2" width="20.7109375" style="146" customWidth="1"/>
    <col min="3" max="3" width="8.85546875" style="146"/>
    <col min="4" max="4" width="9" style="146" customWidth="1"/>
    <col min="5" max="5" width="9.5703125" style="146" customWidth="1"/>
    <col min="6" max="6" width="12.140625" style="146" customWidth="1"/>
    <col min="7" max="256" width="8.85546875" style="146"/>
    <col min="257" max="257" width="17.5703125" style="146" customWidth="1"/>
    <col min="258" max="258" width="47.5703125" style="146" customWidth="1"/>
    <col min="259" max="259" width="8.85546875" style="146"/>
    <col min="260" max="260" width="10.28515625" style="146" customWidth="1"/>
    <col min="261" max="261" width="11.7109375" style="146" customWidth="1"/>
    <col min="262" max="262" width="15.85546875" style="146" customWidth="1"/>
    <col min="263" max="512" width="8.85546875" style="146"/>
    <col min="513" max="513" width="17.5703125" style="146" customWidth="1"/>
    <col min="514" max="514" width="47.5703125" style="146" customWidth="1"/>
    <col min="515" max="515" width="8.85546875" style="146"/>
    <col min="516" max="516" width="10.28515625" style="146" customWidth="1"/>
    <col min="517" max="517" width="11.7109375" style="146" customWidth="1"/>
    <col min="518" max="518" width="15.85546875" style="146" customWidth="1"/>
    <col min="519" max="768" width="8.85546875" style="146"/>
    <col min="769" max="769" width="17.5703125" style="146" customWidth="1"/>
    <col min="770" max="770" width="47.5703125" style="146" customWidth="1"/>
    <col min="771" max="771" width="8.85546875" style="146"/>
    <col min="772" max="772" width="10.28515625" style="146" customWidth="1"/>
    <col min="773" max="773" width="11.7109375" style="146" customWidth="1"/>
    <col min="774" max="774" width="15.85546875" style="146" customWidth="1"/>
    <col min="775" max="1024" width="8.85546875" style="146"/>
    <col min="1025" max="1025" width="17.5703125" style="146" customWidth="1"/>
    <col min="1026" max="1026" width="47.5703125" style="146" customWidth="1"/>
    <col min="1027" max="1027" width="8.85546875" style="146"/>
    <col min="1028" max="1028" width="10.28515625" style="146" customWidth="1"/>
    <col min="1029" max="1029" width="11.7109375" style="146" customWidth="1"/>
    <col min="1030" max="1030" width="15.85546875" style="146" customWidth="1"/>
    <col min="1031" max="1280" width="8.85546875" style="146"/>
    <col min="1281" max="1281" width="17.5703125" style="146" customWidth="1"/>
    <col min="1282" max="1282" width="47.5703125" style="146" customWidth="1"/>
    <col min="1283" max="1283" width="8.85546875" style="146"/>
    <col min="1284" max="1284" width="10.28515625" style="146" customWidth="1"/>
    <col min="1285" max="1285" width="11.7109375" style="146" customWidth="1"/>
    <col min="1286" max="1286" width="15.85546875" style="146" customWidth="1"/>
    <col min="1287" max="1536" width="8.85546875" style="146"/>
    <col min="1537" max="1537" width="17.5703125" style="146" customWidth="1"/>
    <col min="1538" max="1538" width="47.5703125" style="146" customWidth="1"/>
    <col min="1539" max="1539" width="8.85546875" style="146"/>
    <col min="1540" max="1540" width="10.28515625" style="146" customWidth="1"/>
    <col min="1541" max="1541" width="11.7109375" style="146" customWidth="1"/>
    <col min="1542" max="1542" width="15.85546875" style="146" customWidth="1"/>
    <col min="1543" max="1792" width="8.85546875" style="146"/>
    <col min="1793" max="1793" width="17.5703125" style="146" customWidth="1"/>
    <col min="1794" max="1794" width="47.5703125" style="146" customWidth="1"/>
    <col min="1795" max="1795" width="8.85546875" style="146"/>
    <col min="1796" max="1796" width="10.28515625" style="146" customWidth="1"/>
    <col min="1797" max="1797" width="11.7109375" style="146" customWidth="1"/>
    <col min="1798" max="1798" width="15.85546875" style="146" customWidth="1"/>
    <col min="1799" max="2048" width="8.85546875" style="146"/>
    <col min="2049" max="2049" width="17.5703125" style="146" customWidth="1"/>
    <col min="2050" max="2050" width="47.5703125" style="146" customWidth="1"/>
    <col min="2051" max="2051" width="8.85546875" style="146"/>
    <col min="2052" max="2052" width="10.28515625" style="146" customWidth="1"/>
    <col min="2053" max="2053" width="11.7109375" style="146" customWidth="1"/>
    <col min="2054" max="2054" width="15.85546875" style="146" customWidth="1"/>
    <col min="2055" max="2304" width="8.85546875" style="146"/>
    <col min="2305" max="2305" width="17.5703125" style="146" customWidth="1"/>
    <col min="2306" max="2306" width="47.5703125" style="146" customWidth="1"/>
    <col min="2307" max="2307" width="8.85546875" style="146"/>
    <col min="2308" max="2308" width="10.28515625" style="146" customWidth="1"/>
    <col min="2309" max="2309" width="11.7109375" style="146" customWidth="1"/>
    <col min="2310" max="2310" width="15.85546875" style="146" customWidth="1"/>
    <col min="2311" max="2560" width="8.85546875" style="146"/>
    <col min="2561" max="2561" width="17.5703125" style="146" customWidth="1"/>
    <col min="2562" max="2562" width="47.5703125" style="146" customWidth="1"/>
    <col min="2563" max="2563" width="8.85546875" style="146"/>
    <col min="2564" max="2564" width="10.28515625" style="146" customWidth="1"/>
    <col min="2565" max="2565" width="11.7109375" style="146" customWidth="1"/>
    <col min="2566" max="2566" width="15.85546875" style="146" customWidth="1"/>
    <col min="2567" max="2816" width="8.85546875" style="146"/>
    <col min="2817" max="2817" width="17.5703125" style="146" customWidth="1"/>
    <col min="2818" max="2818" width="47.5703125" style="146" customWidth="1"/>
    <col min="2819" max="2819" width="8.85546875" style="146"/>
    <col min="2820" max="2820" width="10.28515625" style="146" customWidth="1"/>
    <col min="2821" max="2821" width="11.7109375" style="146" customWidth="1"/>
    <col min="2822" max="2822" width="15.85546875" style="146" customWidth="1"/>
    <col min="2823" max="3072" width="8.85546875" style="146"/>
    <col min="3073" max="3073" width="17.5703125" style="146" customWidth="1"/>
    <col min="3074" max="3074" width="47.5703125" style="146" customWidth="1"/>
    <col min="3075" max="3075" width="8.85546875" style="146"/>
    <col min="3076" max="3076" width="10.28515625" style="146" customWidth="1"/>
    <col min="3077" max="3077" width="11.7109375" style="146" customWidth="1"/>
    <col min="3078" max="3078" width="15.85546875" style="146" customWidth="1"/>
    <col min="3079" max="3328" width="8.85546875" style="146"/>
    <col min="3329" max="3329" width="17.5703125" style="146" customWidth="1"/>
    <col min="3330" max="3330" width="47.5703125" style="146" customWidth="1"/>
    <col min="3331" max="3331" width="8.85546875" style="146"/>
    <col min="3332" max="3332" width="10.28515625" style="146" customWidth="1"/>
    <col min="3333" max="3333" width="11.7109375" style="146" customWidth="1"/>
    <col min="3334" max="3334" width="15.85546875" style="146" customWidth="1"/>
    <col min="3335" max="3584" width="8.85546875" style="146"/>
    <col min="3585" max="3585" width="17.5703125" style="146" customWidth="1"/>
    <col min="3586" max="3586" width="47.5703125" style="146" customWidth="1"/>
    <col min="3587" max="3587" width="8.85546875" style="146"/>
    <col min="3588" max="3588" width="10.28515625" style="146" customWidth="1"/>
    <col min="3589" max="3589" width="11.7109375" style="146" customWidth="1"/>
    <col min="3590" max="3590" width="15.85546875" style="146" customWidth="1"/>
    <col min="3591" max="3840" width="8.85546875" style="146"/>
    <col min="3841" max="3841" width="17.5703125" style="146" customWidth="1"/>
    <col min="3842" max="3842" width="47.5703125" style="146" customWidth="1"/>
    <col min="3843" max="3843" width="8.85546875" style="146"/>
    <col min="3844" max="3844" width="10.28515625" style="146" customWidth="1"/>
    <col min="3845" max="3845" width="11.7109375" style="146" customWidth="1"/>
    <col min="3846" max="3846" width="15.85546875" style="146" customWidth="1"/>
    <col min="3847" max="4096" width="8.85546875" style="146"/>
    <col min="4097" max="4097" width="17.5703125" style="146" customWidth="1"/>
    <col min="4098" max="4098" width="47.5703125" style="146" customWidth="1"/>
    <col min="4099" max="4099" width="8.85546875" style="146"/>
    <col min="4100" max="4100" width="10.28515625" style="146" customWidth="1"/>
    <col min="4101" max="4101" width="11.7109375" style="146" customWidth="1"/>
    <col min="4102" max="4102" width="15.85546875" style="146" customWidth="1"/>
    <col min="4103" max="4352" width="8.85546875" style="146"/>
    <col min="4353" max="4353" width="17.5703125" style="146" customWidth="1"/>
    <col min="4354" max="4354" width="47.5703125" style="146" customWidth="1"/>
    <col min="4355" max="4355" width="8.85546875" style="146"/>
    <col min="4356" max="4356" width="10.28515625" style="146" customWidth="1"/>
    <col min="4357" max="4357" width="11.7109375" style="146" customWidth="1"/>
    <col min="4358" max="4358" width="15.85546875" style="146" customWidth="1"/>
    <col min="4359" max="4608" width="8.85546875" style="146"/>
    <col min="4609" max="4609" width="17.5703125" style="146" customWidth="1"/>
    <col min="4610" max="4610" width="47.5703125" style="146" customWidth="1"/>
    <col min="4611" max="4611" width="8.85546875" style="146"/>
    <col min="4612" max="4612" width="10.28515625" style="146" customWidth="1"/>
    <col min="4613" max="4613" width="11.7109375" style="146" customWidth="1"/>
    <col min="4614" max="4614" width="15.85546875" style="146" customWidth="1"/>
    <col min="4615" max="4864" width="8.85546875" style="146"/>
    <col min="4865" max="4865" width="17.5703125" style="146" customWidth="1"/>
    <col min="4866" max="4866" width="47.5703125" style="146" customWidth="1"/>
    <col min="4867" max="4867" width="8.85546875" style="146"/>
    <col min="4868" max="4868" width="10.28515625" style="146" customWidth="1"/>
    <col min="4869" max="4869" width="11.7109375" style="146" customWidth="1"/>
    <col min="4870" max="4870" width="15.85546875" style="146" customWidth="1"/>
    <col min="4871" max="5120" width="8.85546875" style="146"/>
    <col min="5121" max="5121" width="17.5703125" style="146" customWidth="1"/>
    <col min="5122" max="5122" width="47.5703125" style="146" customWidth="1"/>
    <col min="5123" max="5123" width="8.85546875" style="146"/>
    <col min="5124" max="5124" width="10.28515625" style="146" customWidth="1"/>
    <col min="5125" max="5125" width="11.7109375" style="146" customWidth="1"/>
    <col min="5126" max="5126" width="15.85546875" style="146" customWidth="1"/>
    <col min="5127" max="5376" width="8.85546875" style="146"/>
    <col min="5377" max="5377" width="17.5703125" style="146" customWidth="1"/>
    <col min="5378" max="5378" width="47.5703125" style="146" customWidth="1"/>
    <col min="5379" max="5379" width="8.85546875" style="146"/>
    <col min="5380" max="5380" width="10.28515625" style="146" customWidth="1"/>
    <col min="5381" max="5381" width="11.7109375" style="146" customWidth="1"/>
    <col min="5382" max="5382" width="15.85546875" style="146" customWidth="1"/>
    <col min="5383" max="5632" width="8.85546875" style="146"/>
    <col min="5633" max="5633" width="17.5703125" style="146" customWidth="1"/>
    <col min="5634" max="5634" width="47.5703125" style="146" customWidth="1"/>
    <col min="5635" max="5635" width="8.85546875" style="146"/>
    <col min="5636" max="5636" width="10.28515625" style="146" customWidth="1"/>
    <col min="5637" max="5637" width="11.7109375" style="146" customWidth="1"/>
    <col min="5638" max="5638" width="15.85546875" style="146" customWidth="1"/>
    <col min="5639" max="5888" width="8.85546875" style="146"/>
    <col min="5889" max="5889" width="17.5703125" style="146" customWidth="1"/>
    <col min="5890" max="5890" width="47.5703125" style="146" customWidth="1"/>
    <col min="5891" max="5891" width="8.85546875" style="146"/>
    <col min="5892" max="5892" width="10.28515625" style="146" customWidth="1"/>
    <col min="5893" max="5893" width="11.7109375" style="146" customWidth="1"/>
    <col min="5894" max="5894" width="15.85546875" style="146" customWidth="1"/>
    <col min="5895" max="6144" width="8.85546875" style="146"/>
    <col min="6145" max="6145" width="17.5703125" style="146" customWidth="1"/>
    <col min="6146" max="6146" width="47.5703125" style="146" customWidth="1"/>
    <col min="6147" max="6147" width="8.85546875" style="146"/>
    <col min="6148" max="6148" width="10.28515625" style="146" customWidth="1"/>
    <col min="6149" max="6149" width="11.7109375" style="146" customWidth="1"/>
    <col min="6150" max="6150" width="15.85546875" style="146" customWidth="1"/>
    <col min="6151" max="6400" width="8.85546875" style="146"/>
    <col min="6401" max="6401" width="17.5703125" style="146" customWidth="1"/>
    <col min="6402" max="6402" width="47.5703125" style="146" customWidth="1"/>
    <col min="6403" max="6403" width="8.85546875" style="146"/>
    <col min="6404" max="6404" width="10.28515625" style="146" customWidth="1"/>
    <col min="6405" max="6405" width="11.7109375" style="146" customWidth="1"/>
    <col min="6406" max="6406" width="15.85546875" style="146" customWidth="1"/>
    <col min="6407" max="6656" width="8.85546875" style="146"/>
    <col min="6657" max="6657" width="17.5703125" style="146" customWidth="1"/>
    <col min="6658" max="6658" width="47.5703125" style="146" customWidth="1"/>
    <col min="6659" max="6659" width="8.85546875" style="146"/>
    <col min="6660" max="6660" width="10.28515625" style="146" customWidth="1"/>
    <col min="6661" max="6661" width="11.7109375" style="146" customWidth="1"/>
    <col min="6662" max="6662" width="15.85546875" style="146" customWidth="1"/>
    <col min="6663" max="6912" width="8.85546875" style="146"/>
    <col min="6913" max="6913" width="17.5703125" style="146" customWidth="1"/>
    <col min="6914" max="6914" width="47.5703125" style="146" customWidth="1"/>
    <col min="6915" max="6915" width="8.85546875" style="146"/>
    <col min="6916" max="6916" width="10.28515625" style="146" customWidth="1"/>
    <col min="6917" max="6917" width="11.7109375" style="146" customWidth="1"/>
    <col min="6918" max="6918" width="15.85546875" style="146" customWidth="1"/>
    <col min="6919" max="7168" width="8.85546875" style="146"/>
    <col min="7169" max="7169" width="17.5703125" style="146" customWidth="1"/>
    <col min="7170" max="7170" width="47.5703125" style="146" customWidth="1"/>
    <col min="7171" max="7171" width="8.85546875" style="146"/>
    <col min="7172" max="7172" width="10.28515625" style="146" customWidth="1"/>
    <col min="7173" max="7173" width="11.7109375" style="146" customWidth="1"/>
    <col min="7174" max="7174" width="15.85546875" style="146" customWidth="1"/>
    <col min="7175" max="7424" width="8.85546875" style="146"/>
    <col min="7425" max="7425" width="17.5703125" style="146" customWidth="1"/>
    <col min="7426" max="7426" width="47.5703125" style="146" customWidth="1"/>
    <col min="7427" max="7427" width="8.85546875" style="146"/>
    <col min="7428" max="7428" width="10.28515625" style="146" customWidth="1"/>
    <col min="7429" max="7429" width="11.7109375" style="146" customWidth="1"/>
    <col min="7430" max="7430" width="15.85546875" style="146" customWidth="1"/>
    <col min="7431" max="7680" width="8.85546875" style="146"/>
    <col min="7681" max="7681" width="17.5703125" style="146" customWidth="1"/>
    <col min="7682" max="7682" width="47.5703125" style="146" customWidth="1"/>
    <col min="7683" max="7683" width="8.85546875" style="146"/>
    <col min="7684" max="7684" width="10.28515625" style="146" customWidth="1"/>
    <col min="7685" max="7685" width="11.7109375" style="146" customWidth="1"/>
    <col min="7686" max="7686" width="15.85546875" style="146" customWidth="1"/>
    <col min="7687" max="7936" width="8.85546875" style="146"/>
    <col min="7937" max="7937" width="17.5703125" style="146" customWidth="1"/>
    <col min="7938" max="7938" width="47.5703125" style="146" customWidth="1"/>
    <col min="7939" max="7939" width="8.85546875" style="146"/>
    <col min="7940" max="7940" width="10.28515625" style="146" customWidth="1"/>
    <col min="7941" max="7941" width="11.7109375" style="146" customWidth="1"/>
    <col min="7942" max="7942" width="15.85546875" style="146" customWidth="1"/>
    <col min="7943" max="8192" width="8.85546875" style="146"/>
    <col min="8193" max="8193" width="17.5703125" style="146" customWidth="1"/>
    <col min="8194" max="8194" width="47.5703125" style="146" customWidth="1"/>
    <col min="8195" max="8195" width="8.85546875" style="146"/>
    <col min="8196" max="8196" width="10.28515625" style="146" customWidth="1"/>
    <col min="8197" max="8197" width="11.7109375" style="146" customWidth="1"/>
    <col min="8198" max="8198" width="15.85546875" style="146" customWidth="1"/>
    <col min="8199" max="8448" width="8.85546875" style="146"/>
    <col min="8449" max="8449" width="17.5703125" style="146" customWidth="1"/>
    <col min="8450" max="8450" width="47.5703125" style="146" customWidth="1"/>
    <col min="8451" max="8451" width="8.85546875" style="146"/>
    <col min="8452" max="8452" width="10.28515625" style="146" customWidth="1"/>
    <col min="8453" max="8453" width="11.7109375" style="146" customWidth="1"/>
    <col min="8454" max="8454" width="15.85546875" style="146" customWidth="1"/>
    <col min="8455" max="8704" width="8.85546875" style="146"/>
    <col min="8705" max="8705" width="17.5703125" style="146" customWidth="1"/>
    <col min="8706" max="8706" width="47.5703125" style="146" customWidth="1"/>
    <col min="8707" max="8707" width="8.85546875" style="146"/>
    <col min="8708" max="8708" width="10.28515625" style="146" customWidth="1"/>
    <col min="8709" max="8709" width="11.7109375" style="146" customWidth="1"/>
    <col min="8710" max="8710" width="15.85546875" style="146" customWidth="1"/>
    <col min="8711" max="8960" width="8.85546875" style="146"/>
    <col min="8961" max="8961" width="17.5703125" style="146" customWidth="1"/>
    <col min="8962" max="8962" width="47.5703125" style="146" customWidth="1"/>
    <col min="8963" max="8963" width="8.85546875" style="146"/>
    <col min="8964" max="8964" width="10.28515625" style="146" customWidth="1"/>
    <col min="8965" max="8965" width="11.7109375" style="146" customWidth="1"/>
    <col min="8966" max="8966" width="15.85546875" style="146" customWidth="1"/>
    <col min="8967" max="9216" width="8.85546875" style="146"/>
    <col min="9217" max="9217" width="17.5703125" style="146" customWidth="1"/>
    <col min="9218" max="9218" width="47.5703125" style="146" customWidth="1"/>
    <col min="9219" max="9219" width="8.85546875" style="146"/>
    <col min="9220" max="9220" width="10.28515625" style="146" customWidth="1"/>
    <col min="9221" max="9221" width="11.7109375" style="146" customWidth="1"/>
    <col min="9222" max="9222" width="15.85546875" style="146" customWidth="1"/>
    <col min="9223" max="9472" width="8.85546875" style="146"/>
    <col min="9473" max="9473" width="17.5703125" style="146" customWidth="1"/>
    <col min="9474" max="9474" width="47.5703125" style="146" customWidth="1"/>
    <col min="9475" max="9475" width="8.85546875" style="146"/>
    <col min="9476" max="9476" width="10.28515625" style="146" customWidth="1"/>
    <col min="9477" max="9477" width="11.7109375" style="146" customWidth="1"/>
    <col min="9478" max="9478" width="15.85546875" style="146" customWidth="1"/>
    <col min="9479" max="9728" width="8.85546875" style="146"/>
    <col min="9729" max="9729" width="17.5703125" style="146" customWidth="1"/>
    <col min="9730" max="9730" width="47.5703125" style="146" customWidth="1"/>
    <col min="9731" max="9731" width="8.85546875" style="146"/>
    <col min="9732" max="9732" width="10.28515625" style="146" customWidth="1"/>
    <col min="9733" max="9733" width="11.7109375" style="146" customWidth="1"/>
    <col min="9734" max="9734" width="15.85546875" style="146" customWidth="1"/>
    <col min="9735" max="9984" width="8.85546875" style="146"/>
    <col min="9985" max="9985" width="17.5703125" style="146" customWidth="1"/>
    <col min="9986" max="9986" width="47.5703125" style="146" customWidth="1"/>
    <col min="9987" max="9987" width="8.85546875" style="146"/>
    <col min="9988" max="9988" width="10.28515625" style="146" customWidth="1"/>
    <col min="9989" max="9989" width="11.7109375" style="146" customWidth="1"/>
    <col min="9990" max="9990" width="15.85546875" style="146" customWidth="1"/>
    <col min="9991" max="10240" width="8.85546875" style="146"/>
    <col min="10241" max="10241" width="17.5703125" style="146" customWidth="1"/>
    <col min="10242" max="10242" width="47.5703125" style="146" customWidth="1"/>
    <col min="10243" max="10243" width="8.85546875" style="146"/>
    <col min="10244" max="10244" width="10.28515625" style="146" customWidth="1"/>
    <col min="10245" max="10245" width="11.7109375" style="146" customWidth="1"/>
    <col min="10246" max="10246" width="15.85546875" style="146" customWidth="1"/>
    <col min="10247" max="10496" width="8.85546875" style="146"/>
    <col min="10497" max="10497" width="17.5703125" style="146" customWidth="1"/>
    <col min="10498" max="10498" width="47.5703125" style="146" customWidth="1"/>
    <col min="10499" max="10499" width="8.85546875" style="146"/>
    <col min="10500" max="10500" width="10.28515625" style="146" customWidth="1"/>
    <col min="10501" max="10501" width="11.7109375" style="146" customWidth="1"/>
    <col min="10502" max="10502" width="15.85546875" style="146" customWidth="1"/>
    <col min="10503" max="10752" width="8.85546875" style="146"/>
    <col min="10753" max="10753" width="17.5703125" style="146" customWidth="1"/>
    <col min="10754" max="10754" width="47.5703125" style="146" customWidth="1"/>
    <col min="10755" max="10755" width="8.85546875" style="146"/>
    <col min="10756" max="10756" width="10.28515625" style="146" customWidth="1"/>
    <col min="10757" max="10757" width="11.7109375" style="146" customWidth="1"/>
    <col min="10758" max="10758" width="15.85546875" style="146" customWidth="1"/>
    <col min="10759" max="11008" width="8.85546875" style="146"/>
    <col min="11009" max="11009" width="17.5703125" style="146" customWidth="1"/>
    <col min="11010" max="11010" width="47.5703125" style="146" customWidth="1"/>
    <col min="11011" max="11011" width="8.85546875" style="146"/>
    <col min="11012" max="11012" width="10.28515625" style="146" customWidth="1"/>
    <col min="11013" max="11013" width="11.7109375" style="146" customWidth="1"/>
    <col min="11014" max="11014" width="15.85546875" style="146" customWidth="1"/>
    <col min="11015" max="11264" width="8.85546875" style="146"/>
    <col min="11265" max="11265" width="17.5703125" style="146" customWidth="1"/>
    <col min="11266" max="11266" width="47.5703125" style="146" customWidth="1"/>
    <col min="11267" max="11267" width="8.85546875" style="146"/>
    <col min="11268" max="11268" width="10.28515625" style="146" customWidth="1"/>
    <col min="11269" max="11269" width="11.7109375" style="146" customWidth="1"/>
    <col min="11270" max="11270" width="15.85546875" style="146" customWidth="1"/>
    <col min="11271" max="11520" width="8.85546875" style="146"/>
    <col min="11521" max="11521" width="17.5703125" style="146" customWidth="1"/>
    <col min="11522" max="11522" width="47.5703125" style="146" customWidth="1"/>
    <col min="11523" max="11523" width="8.85546875" style="146"/>
    <col min="11524" max="11524" width="10.28515625" style="146" customWidth="1"/>
    <col min="11525" max="11525" width="11.7109375" style="146" customWidth="1"/>
    <col min="11526" max="11526" width="15.85546875" style="146" customWidth="1"/>
    <col min="11527" max="11776" width="8.85546875" style="146"/>
    <col min="11777" max="11777" width="17.5703125" style="146" customWidth="1"/>
    <col min="11778" max="11778" width="47.5703125" style="146" customWidth="1"/>
    <col min="11779" max="11779" width="8.85546875" style="146"/>
    <col min="11780" max="11780" width="10.28515625" style="146" customWidth="1"/>
    <col min="11781" max="11781" width="11.7109375" style="146" customWidth="1"/>
    <col min="11782" max="11782" width="15.85546875" style="146" customWidth="1"/>
    <col min="11783" max="12032" width="8.85546875" style="146"/>
    <col min="12033" max="12033" width="17.5703125" style="146" customWidth="1"/>
    <col min="12034" max="12034" width="47.5703125" style="146" customWidth="1"/>
    <col min="12035" max="12035" width="8.85546875" style="146"/>
    <col min="12036" max="12036" width="10.28515625" style="146" customWidth="1"/>
    <col min="12037" max="12037" width="11.7109375" style="146" customWidth="1"/>
    <col min="12038" max="12038" width="15.85546875" style="146" customWidth="1"/>
    <col min="12039" max="12288" width="8.85546875" style="146"/>
    <col min="12289" max="12289" width="17.5703125" style="146" customWidth="1"/>
    <col min="12290" max="12290" width="47.5703125" style="146" customWidth="1"/>
    <col min="12291" max="12291" width="8.85546875" style="146"/>
    <col min="12292" max="12292" width="10.28515625" style="146" customWidth="1"/>
    <col min="12293" max="12293" width="11.7109375" style="146" customWidth="1"/>
    <col min="12294" max="12294" width="15.85546875" style="146" customWidth="1"/>
    <col min="12295" max="12544" width="8.85546875" style="146"/>
    <col min="12545" max="12545" width="17.5703125" style="146" customWidth="1"/>
    <col min="12546" max="12546" width="47.5703125" style="146" customWidth="1"/>
    <col min="12547" max="12547" width="8.85546875" style="146"/>
    <col min="12548" max="12548" width="10.28515625" style="146" customWidth="1"/>
    <col min="12549" max="12549" width="11.7109375" style="146" customWidth="1"/>
    <col min="12550" max="12550" width="15.85546875" style="146" customWidth="1"/>
    <col min="12551" max="12800" width="8.85546875" style="146"/>
    <col min="12801" max="12801" width="17.5703125" style="146" customWidth="1"/>
    <col min="12802" max="12802" width="47.5703125" style="146" customWidth="1"/>
    <col min="12803" max="12803" width="8.85546875" style="146"/>
    <col min="12804" max="12804" width="10.28515625" style="146" customWidth="1"/>
    <col min="12805" max="12805" width="11.7109375" style="146" customWidth="1"/>
    <col min="12806" max="12806" width="15.85546875" style="146" customWidth="1"/>
    <col min="12807" max="13056" width="8.85546875" style="146"/>
    <col min="13057" max="13057" width="17.5703125" style="146" customWidth="1"/>
    <col min="13058" max="13058" width="47.5703125" style="146" customWidth="1"/>
    <col min="13059" max="13059" width="8.85546875" style="146"/>
    <col min="13060" max="13060" width="10.28515625" style="146" customWidth="1"/>
    <col min="13061" max="13061" width="11.7109375" style="146" customWidth="1"/>
    <col min="13062" max="13062" width="15.85546875" style="146" customWidth="1"/>
    <col min="13063" max="13312" width="8.85546875" style="146"/>
    <col min="13313" max="13313" width="17.5703125" style="146" customWidth="1"/>
    <col min="13314" max="13314" width="47.5703125" style="146" customWidth="1"/>
    <col min="13315" max="13315" width="8.85546875" style="146"/>
    <col min="13316" max="13316" width="10.28515625" style="146" customWidth="1"/>
    <col min="13317" max="13317" width="11.7109375" style="146" customWidth="1"/>
    <col min="13318" max="13318" width="15.85546875" style="146" customWidth="1"/>
    <col min="13319" max="13568" width="8.85546875" style="146"/>
    <col min="13569" max="13569" width="17.5703125" style="146" customWidth="1"/>
    <col min="13570" max="13570" width="47.5703125" style="146" customWidth="1"/>
    <col min="13571" max="13571" width="8.85546875" style="146"/>
    <col min="13572" max="13572" width="10.28515625" style="146" customWidth="1"/>
    <col min="13573" max="13573" width="11.7109375" style="146" customWidth="1"/>
    <col min="13574" max="13574" width="15.85546875" style="146" customWidth="1"/>
    <col min="13575" max="13824" width="8.85546875" style="146"/>
    <col min="13825" max="13825" width="17.5703125" style="146" customWidth="1"/>
    <col min="13826" max="13826" width="47.5703125" style="146" customWidth="1"/>
    <col min="13827" max="13827" width="8.85546875" style="146"/>
    <col min="13828" max="13828" width="10.28515625" style="146" customWidth="1"/>
    <col min="13829" max="13829" width="11.7109375" style="146" customWidth="1"/>
    <col min="13830" max="13830" width="15.85546875" style="146" customWidth="1"/>
    <col min="13831" max="14080" width="8.85546875" style="146"/>
    <col min="14081" max="14081" width="17.5703125" style="146" customWidth="1"/>
    <col min="14082" max="14082" width="47.5703125" style="146" customWidth="1"/>
    <col min="14083" max="14083" width="8.85546875" style="146"/>
    <col min="14084" max="14084" width="10.28515625" style="146" customWidth="1"/>
    <col min="14085" max="14085" width="11.7109375" style="146" customWidth="1"/>
    <col min="14086" max="14086" width="15.85546875" style="146" customWidth="1"/>
    <col min="14087" max="14336" width="8.85546875" style="146"/>
    <col min="14337" max="14337" width="17.5703125" style="146" customWidth="1"/>
    <col min="14338" max="14338" width="47.5703125" style="146" customWidth="1"/>
    <col min="14339" max="14339" width="8.85546875" style="146"/>
    <col min="14340" max="14340" width="10.28515625" style="146" customWidth="1"/>
    <col min="14341" max="14341" width="11.7109375" style="146" customWidth="1"/>
    <col min="14342" max="14342" width="15.85546875" style="146" customWidth="1"/>
    <col min="14343" max="14592" width="8.85546875" style="146"/>
    <col min="14593" max="14593" width="17.5703125" style="146" customWidth="1"/>
    <col min="14594" max="14594" width="47.5703125" style="146" customWidth="1"/>
    <col min="14595" max="14595" width="8.85546875" style="146"/>
    <col min="14596" max="14596" width="10.28515625" style="146" customWidth="1"/>
    <col min="14597" max="14597" width="11.7109375" style="146" customWidth="1"/>
    <col min="14598" max="14598" width="15.85546875" style="146" customWidth="1"/>
    <col min="14599" max="14848" width="8.85546875" style="146"/>
    <col min="14849" max="14849" width="17.5703125" style="146" customWidth="1"/>
    <col min="14850" max="14850" width="47.5703125" style="146" customWidth="1"/>
    <col min="14851" max="14851" width="8.85546875" style="146"/>
    <col min="14852" max="14852" width="10.28515625" style="146" customWidth="1"/>
    <col min="14853" max="14853" width="11.7109375" style="146" customWidth="1"/>
    <col min="14854" max="14854" width="15.85546875" style="146" customWidth="1"/>
    <col min="14855" max="15104" width="8.85546875" style="146"/>
    <col min="15105" max="15105" width="17.5703125" style="146" customWidth="1"/>
    <col min="15106" max="15106" width="47.5703125" style="146" customWidth="1"/>
    <col min="15107" max="15107" width="8.85546875" style="146"/>
    <col min="15108" max="15108" width="10.28515625" style="146" customWidth="1"/>
    <col min="15109" max="15109" width="11.7109375" style="146" customWidth="1"/>
    <col min="15110" max="15110" width="15.85546875" style="146" customWidth="1"/>
    <col min="15111" max="15360" width="8.85546875" style="146"/>
    <col min="15361" max="15361" width="17.5703125" style="146" customWidth="1"/>
    <col min="15362" max="15362" width="47.5703125" style="146" customWidth="1"/>
    <col min="15363" max="15363" width="8.85546875" style="146"/>
    <col min="15364" max="15364" width="10.28515625" style="146" customWidth="1"/>
    <col min="15365" max="15365" width="11.7109375" style="146" customWidth="1"/>
    <col min="15366" max="15366" width="15.85546875" style="146" customWidth="1"/>
    <col min="15367" max="15616" width="8.85546875" style="146"/>
    <col min="15617" max="15617" width="17.5703125" style="146" customWidth="1"/>
    <col min="15618" max="15618" width="47.5703125" style="146" customWidth="1"/>
    <col min="15619" max="15619" width="8.85546875" style="146"/>
    <col min="15620" max="15620" width="10.28515625" style="146" customWidth="1"/>
    <col min="15621" max="15621" width="11.7109375" style="146" customWidth="1"/>
    <col min="15622" max="15622" width="15.85546875" style="146" customWidth="1"/>
    <col min="15623" max="15872" width="8.85546875" style="146"/>
    <col min="15873" max="15873" width="17.5703125" style="146" customWidth="1"/>
    <col min="15874" max="15874" width="47.5703125" style="146" customWidth="1"/>
    <col min="15875" max="15875" width="8.85546875" style="146"/>
    <col min="15876" max="15876" width="10.28515625" style="146" customWidth="1"/>
    <col min="15877" max="15877" width="11.7109375" style="146" customWidth="1"/>
    <col min="15878" max="15878" width="15.85546875" style="146" customWidth="1"/>
    <col min="15879" max="16128" width="8.85546875" style="146"/>
    <col min="16129" max="16129" width="17.5703125" style="146" customWidth="1"/>
    <col min="16130" max="16130" width="47.5703125" style="146" customWidth="1"/>
    <col min="16131" max="16131" width="8.85546875" style="146"/>
    <col min="16132" max="16132" width="10.28515625" style="146" customWidth="1"/>
    <col min="16133" max="16133" width="11.7109375" style="146" customWidth="1"/>
    <col min="16134" max="16134" width="15.85546875" style="146" customWidth="1"/>
    <col min="16135" max="16384" width="8.85546875" style="146"/>
  </cols>
  <sheetData>
    <row r="1" spans="1:6" ht="12" thickBot="1"/>
    <row r="2" spans="1:6" ht="20.25" thickBot="1">
      <c r="A2" s="431" t="s">
        <v>695</v>
      </c>
      <c r="B2" s="432"/>
      <c r="C2" s="432"/>
      <c r="D2" s="432"/>
      <c r="E2" s="432"/>
      <c r="F2" s="433"/>
    </row>
    <row r="3" spans="1:6" ht="15.75" thickBot="1">
      <c r="A3" s="147"/>
      <c r="B3" s="147"/>
      <c r="C3" s="147"/>
      <c r="D3" s="147"/>
      <c r="E3" s="147"/>
      <c r="F3" s="147"/>
    </row>
    <row r="4" spans="1:6" ht="23.45" customHeight="1">
      <c r="A4" s="434" t="s">
        <v>56</v>
      </c>
      <c r="B4" s="435" t="e">
        <v>#REF!</v>
      </c>
      <c r="C4" s="436"/>
      <c r="D4" s="436"/>
      <c r="E4" s="436"/>
      <c r="F4" s="437"/>
    </row>
    <row r="5" spans="1:6" ht="15" customHeight="1">
      <c r="A5" s="438" t="s">
        <v>1148</v>
      </c>
      <c r="B5" s="439"/>
      <c r="C5" s="439"/>
      <c r="D5" s="439"/>
      <c r="E5" s="439"/>
      <c r="F5" s="440"/>
    </row>
    <row r="6" spans="1:6" ht="15" customHeight="1">
      <c r="A6" s="438" t="s">
        <v>956</v>
      </c>
      <c r="B6" s="439"/>
      <c r="C6" s="439"/>
      <c r="D6" s="439"/>
      <c r="E6" s="439"/>
      <c r="F6" s="440"/>
    </row>
    <row r="7" spans="1:6" ht="15.75" customHeight="1" thickBot="1">
      <c r="A7" s="441"/>
      <c r="B7" s="442"/>
      <c r="C7" s="442"/>
      <c r="D7" s="442"/>
      <c r="E7" s="442"/>
      <c r="F7" s="443"/>
    </row>
    <row r="9" spans="1:6" s="148" customFormat="1" ht="15.75">
      <c r="A9" s="413" t="s">
        <v>313</v>
      </c>
      <c r="B9" s="413"/>
      <c r="C9" s="413"/>
      <c r="D9" s="413"/>
      <c r="E9" s="413"/>
      <c r="F9" s="413"/>
    </row>
    <row r="10" spans="1:6" s="148" customFormat="1" ht="11.25" customHeight="1">
      <c r="A10" s="414" t="s">
        <v>696</v>
      </c>
      <c r="B10" s="415"/>
      <c r="C10" s="420"/>
      <c r="D10" s="421"/>
      <c r="E10" s="421"/>
      <c r="F10" s="422"/>
    </row>
    <row r="11" spans="1:6" s="148" customFormat="1">
      <c r="A11" s="416"/>
      <c r="B11" s="417"/>
      <c r="C11" s="423" t="s">
        <v>313</v>
      </c>
      <c r="D11" s="423"/>
      <c r="E11" s="423"/>
      <c r="F11" s="423"/>
    </row>
    <row r="12" spans="1:6" s="148" customFormat="1" ht="11.25" customHeight="1">
      <c r="A12" s="416"/>
      <c r="B12" s="417"/>
      <c r="C12" s="149" t="s">
        <v>210</v>
      </c>
      <c r="D12" s="424" t="s">
        <v>697</v>
      </c>
      <c r="E12" s="425"/>
      <c r="F12" s="428">
        <f>F19</f>
        <v>151.28</v>
      </c>
    </row>
    <row r="13" spans="1:6" s="148" customFormat="1">
      <c r="A13" s="418"/>
      <c r="B13" s="419"/>
      <c r="C13" s="149">
        <v>1</v>
      </c>
      <c r="D13" s="426"/>
      <c r="E13" s="427"/>
      <c r="F13" s="429"/>
    </row>
    <row r="14" spans="1:6" s="148" customFormat="1">
      <c r="A14" s="150"/>
      <c r="B14" s="150"/>
      <c r="C14" s="151"/>
      <c r="D14" s="430"/>
      <c r="E14" s="430"/>
      <c r="F14" s="152"/>
    </row>
    <row r="15" spans="1:6" s="148" customFormat="1" ht="21.75" customHeight="1">
      <c r="A15" s="153" t="s">
        <v>698</v>
      </c>
      <c r="B15" s="153" t="s">
        <v>699</v>
      </c>
      <c r="C15" s="154" t="s">
        <v>700</v>
      </c>
      <c r="D15" s="155" t="s">
        <v>701</v>
      </c>
      <c r="E15" s="155" t="s">
        <v>702</v>
      </c>
      <c r="F15" s="155" t="s">
        <v>703</v>
      </c>
    </row>
    <row r="16" spans="1:6" s="148" customFormat="1">
      <c r="A16" s="160" t="s">
        <v>711</v>
      </c>
      <c r="B16" s="156" t="s">
        <v>713</v>
      </c>
      <c r="C16" s="157" t="s">
        <v>210</v>
      </c>
      <c r="D16" s="158">
        <v>1</v>
      </c>
      <c r="E16" s="159">
        <v>142.56</v>
      </c>
      <c r="F16" s="152">
        <f>E16</f>
        <v>142.56</v>
      </c>
    </row>
    <row r="17" spans="1:7" s="148" customFormat="1">
      <c r="A17" s="160" t="s">
        <v>711</v>
      </c>
      <c r="B17" s="156" t="s">
        <v>713</v>
      </c>
      <c r="C17" s="157" t="s">
        <v>210</v>
      </c>
      <c r="D17" s="158">
        <v>1</v>
      </c>
      <c r="E17" s="161">
        <v>162</v>
      </c>
      <c r="F17" s="152">
        <f>E17</f>
        <v>162</v>
      </c>
    </row>
    <row r="18" spans="1:7" s="148" customFormat="1">
      <c r="A18" s="160" t="s">
        <v>712</v>
      </c>
      <c r="B18" s="160" t="s">
        <v>714</v>
      </c>
      <c r="C18" s="157" t="s">
        <v>210</v>
      </c>
      <c r="D18" s="158">
        <v>1</v>
      </c>
      <c r="E18" s="161">
        <v>160</v>
      </c>
      <c r="F18" s="152">
        <f>E18</f>
        <v>160</v>
      </c>
    </row>
    <row r="19" spans="1:7" s="148" customFormat="1">
      <c r="A19" s="162"/>
      <c r="B19" s="162"/>
      <c r="C19" s="162"/>
      <c r="D19" s="162"/>
      <c r="E19" s="163" t="s">
        <v>705</v>
      </c>
      <c r="F19" s="164">
        <f>MEDIAN(F16:F18,2)</f>
        <v>151.28</v>
      </c>
      <c r="G19" s="148" t="s">
        <v>706</v>
      </c>
    </row>
    <row r="20" spans="1:7" ht="15.75">
      <c r="A20" s="413"/>
      <c r="B20" s="413"/>
      <c r="C20" s="413"/>
      <c r="D20" s="413"/>
      <c r="E20" s="413"/>
      <c r="F20" s="413"/>
    </row>
    <row r="21" spans="1:7">
      <c r="A21" s="414" t="s">
        <v>707</v>
      </c>
      <c r="B21" s="415"/>
      <c r="C21" s="420"/>
      <c r="D21" s="421"/>
      <c r="E21" s="421"/>
      <c r="F21" s="422"/>
    </row>
    <row r="22" spans="1:7">
      <c r="A22" s="416"/>
      <c r="B22" s="417"/>
      <c r="C22" s="423" t="s">
        <v>715</v>
      </c>
      <c r="D22" s="423"/>
      <c r="E22" s="423"/>
      <c r="F22" s="423"/>
    </row>
    <row r="23" spans="1:7">
      <c r="A23" s="416"/>
      <c r="B23" s="417"/>
      <c r="C23" s="149" t="s">
        <v>210</v>
      </c>
      <c r="D23" s="424" t="s">
        <v>697</v>
      </c>
      <c r="E23" s="425"/>
      <c r="F23" s="428">
        <f>F30</f>
        <v>585.97500000000002</v>
      </c>
    </row>
    <row r="24" spans="1:7">
      <c r="A24" s="418"/>
      <c r="B24" s="419"/>
      <c r="C24" s="149">
        <v>1</v>
      </c>
      <c r="D24" s="426"/>
      <c r="E24" s="427"/>
      <c r="F24" s="429"/>
    </row>
    <row r="25" spans="1:7">
      <c r="A25" s="150"/>
      <c r="B25" s="150"/>
      <c r="C25" s="151"/>
      <c r="D25" s="430"/>
      <c r="E25" s="430"/>
      <c r="F25" s="152"/>
    </row>
    <row r="26" spans="1:7" ht="33.75">
      <c r="A26" s="153" t="s">
        <v>698</v>
      </c>
      <c r="B26" s="153" t="s">
        <v>699</v>
      </c>
      <c r="C26" s="154" t="s">
        <v>700</v>
      </c>
      <c r="D26" s="155" t="s">
        <v>701</v>
      </c>
      <c r="E26" s="155" t="s">
        <v>702</v>
      </c>
      <c r="F26" s="155" t="s">
        <v>703</v>
      </c>
    </row>
    <row r="27" spans="1:7">
      <c r="A27" s="160" t="s">
        <v>711</v>
      </c>
      <c r="B27" s="156" t="s">
        <v>713</v>
      </c>
      <c r="C27" s="157" t="s">
        <v>210</v>
      </c>
      <c r="D27" s="158">
        <v>1</v>
      </c>
      <c r="E27" s="159">
        <v>561.63</v>
      </c>
      <c r="F27" s="152">
        <f>E27</f>
        <v>561.63</v>
      </c>
    </row>
    <row r="28" spans="1:7">
      <c r="A28" s="160" t="s">
        <v>711</v>
      </c>
      <c r="B28" s="156" t="s">
        <v>713</v>
      </c>
      <c r="C28" s="157" t="s">
        <v>210</v>
      </c>
      <c r="D28" s="158">
        <v>1</v>
      </c>
      <c r="E28" s="161">
        <v>625.32000000000005</v>
      </c>
      <c r="F28" s="152">
        <f>E28</f>
        <v>625.32000000000005</v>
      </c>
    </row>
    <row r="29" spans="1:7">
      <c r="A29" s="160" t="s">
        <v>711</v>
      </c>
      <c r="B29" s="156" t="s">
        <v>713</v>
      </c>
      <c r="C29" s="157" t="s">
        <v>210</v>
      </c>
      <c r="D29" s="158">
        <v>1</v>
      </c>
      <c r="E29" s="161">
        <v>610.32000000000005</v>
      </c>
      <c r="F29" s="152">
        <f>E29</f>
        <v>610.32000000000005</v>
      </c>
    </row>
    <row r="30" spans="1:7">
      <c r="A30" s="162"/>
      <c r="B30" s="162"/>
      <c r="C30" s="162"/>
      <c r="D30" s="162"/>
      <c r="E30" s="163" t="s">
        <v>705</v>
      </c>
      <c r="F30" s="164">
        <f>MEDIAN(F27:F29,2)</f>
        <v>585.97500000000002</v>
      </c>
    </row>
    <row r="31" spans="1:7" ht="15.75">
      <c r="A31" s="413"/>
      <c r="B31" s="413"/>
      <c r="C31" s="413"/>
      <c r="D31" s="413"/>
      <c r="E31" s="413"/>
      <c r="F31" s="413"/>
    </row>
    <row r="32" spans="1:7">
      <c r="A32" s="414" t="s">
        <v>708</v>
      </c>
      <c r="B32" s="415"/>
      <c r="C32" s="420"/>
      <c r="D32" s="421"/>
      <c r="E32" s="421"/>
      <c r="F32" s="422"/>
    </row>
    <row r="33" spans="1:6">
      <c r="A33" s="416"/>
      <c r="B33" s="417"/>
      <c r="C33" s="423" t="s">
        <v>725</v>
      </c>
      <c r="D33" s="423"/>
      <c r="E33" s="423"/>
      <c r="F33" s="423"/>
    </row>
    <row r="34" spans="1:6">
      <c r="A34" s="416"/>
      <c r="B34" s="417"/>
      <c r="C34" s="149" t="s">
        <v>210</v>
      </c>
      <c r="D34" s="424" t="s">
        <v>697</v>
      </c>
      <c r="E34" s="425"/>
      <c r="F34" s="428">
        <f>F41</f>
        <v>40.549999999999997</v>
      </c>
    </row>
    <row r="35" spans="1:6">
      <c r="A35" s="418"/>
      <c r="B35" s="419"/>
      <c r="C35" s="149">
        <v>1</v>
      </c>
      <c r="D35" s="426"/>
      <c r="E35" s="427"/>
      <c r="F35" s="429"/>
    </row>
    <row r="36" spans="1:6">
      <c r="A36" s="150"/>
      <c r="B36" s="150"/>
      <c r="C36" s="151"/>
      <c r="D36" s="430"/>
      <c r="E36" s="430"/>
      <c r="F36" s="152"/>
    </row>
    <row r="37" spans="1:6" ht="33.75">
      <c r="A37" s="153" t="s">
        <v>698</v>
      </c>
      <c r="B37" s="153" t="s">
        <v>699</v>
      </c>
      <c r="C37" s="154" t="s">
        <v>700</v>
      </c>
      <c r="D37" s="155" t="s">
        <v>701</v>
      </c>
      <c r="E37" s="155" t="s">
        <v>702</v>
      </c>
      <c r="F37" s="155" t="s">
        <v>703</v>
      </c>
    </row>
    <row r="38" spans="1:6">
      <c r="A38" s="156" t="s">
        <v>726</v>
      </c>
      <c r="B38" s="156" t="s">
        <v>727</v>
      </c>
      <c r="C38" s="157" t="s">
        <v>210</v>
      </c>
      <c r="D38" s="158">
        <v>1</v>
      </c>
      <c r="E38" s="159">
        <v>32.799999999999997</v>
      </c>
      <c r="F38" s="152">
        <f>E38</f>
        <v>32.799999999999997</v>
      </c>
    </row>
    <row r="39" spans="1:6">
      <c r="A39" s="160" t="s">
        <v>704</v>
      </c>
      <c r="B39" s="160" t="s">
        <v>728</v>
      </c>
      <c r="C39" s="157" t="s">
        <v>210</v>
      </c>
      <c r="D39" s="158">
        <v>1</v>
      </c>
      <c r="E39" s="161">
        <v>48.3</v>
      </c>
      <c r="F39" s="152">
        <f>E39</f>
        <v>48.3</v>
      </c>
    </row>
    <row r="40" spans="1:6">
      <c r="A40" s="160" t="s">
        <v>704</v>
      </c>
      <c r="B40" s="160" t="s">
        <v>729</v>
      </c>
      <c r="C40" s="157" t="s">
        <v>210</v>
      </c>
      <c r="D40" s="158">
        <v>1</v>
      </c>
      <c r="E40" s="161">
        <v>48.3</v>
      </c>
      <c r="F40" s="152">
        <f>E40</f>
        <v>48.3</v>
      </c>
    </row>
    <row r="41" spans="1:6">
      <c r="A41" s="162"/>
      <c r="B41" s="162"/>
      <c r="C41" s="162"/>
      <c r="D41" s="162"/>
      <c r="E41" s="163" t="s">
        <v>705</v>
      </c>
      <c r="F41" s="164">
        <f>MEDIAN(F38:F40,2)</f>
        <v>40.549999999999997</v>
      </c>
    </row>
    <row r="42" spans="1:6" ht="15.75">
      <c r="A42" s="413"/>
      <c r="B42" s="413"/>
      <c r="C42" s="413"/>
      <c r="D42" s="413"/>
      <c r="E42" s="413"/>
      <c r="F42" s="413"/>
    </row>
    <row r="43" spans="1:6">
      <c r="A43" s="414" t="s">
        <v>709</v>
      </c>
      <c r="B43" s="415"/>
      <c r="C43" s="420"/>
      <c r="D43" s="421"/>
      <c r="E43" s="421"/>
      <c r="F43" s="422"/>
    </row>
    <row r="44" spans="1:6">
      <c r="A44" s="416"/>
      <c r="B44" s="417"/>
      <c r="C44" s="423" t="s">
        <v>730</v>
      </c>
      <c r="D44" s="423"/>
      <c r="E44" s="423"/>
      <c r="F44" s="423"/>
    </row>
    <row r="45" spans="1:6">
      <c r="A45" s="416"/>
      <c r="B45" s="417"/>
      <c r="C45" s="149" t="s">
        <v>210</v>
      </c>
      <c r="D45" s="424" t="s">
        <v>697</v>
      </c>
      <c r="E45" s="425"/>
      <c r="F45" s="428">
        <f>F52</f>
        <v>3.37</v>
      </c>
    </row>
    <row r="46" spans="1:6">
      <c r="A46" s="418"/>
      <c r="B46" s="419"/>
      <c r="C46" s="149">
        <v>1</v>
      </c>
      <c r="D46" s="426"/>
      <c r="E46" s="427"/>
      <c r="F46" s="429"/>
    </row>
    <row r="47" spans="1:6">
      <c r="A47" s="150"/>
      <c r="B47" s="150"/>
      <c r="C47" s="151"/>
      <c r="D47" s="430"/>
      <c r="E47" s="430"/>
      <c r="F47" s="152"/>
    </row>
    <row r="48" spans="1:6" ht="33.75">
      <c r="A48" s="153" t="s">
        <v>698</v>
      </c>
      <c r="B48" s="153" t="s">
        <v>699</v>
      </c>
      <c r="C48" s="154" t="s">
        <v>700</v>
      </c>
      <c r="D48" s="155" t="s">
        <v>701</v>
      </c>
      <c r="E48" s="155" t="s">
        <v>702</v>
      </c>
      <c r="F48" s="155" t="s">
        <v>703</v>
      </c>
    </row>
    <row r="49" spans="1:6">
      <c r="A49" s="160" t="s">
        <v>711</v>
      </c>
      <c r="B49" s="156" t="s">
        <v>713</v>
      </c>
      <c r="C49" s="157" t="s">
        <v>210</v>
      </c>
      <c r="D49" s="158">
        <v>0.1</v>
      </c>
      <c r="E49" s="159">
        <v>38.5</v>
      </c>
      <c r="F49" s="152">
        <f>E49*D49</f>
        <v>3.85</v>
      </c>
    </row>
    <row r="50" spans="1:6">
      <c r="A50" s="160" t="s">
        <v>711</v>
      </c>
      <c r="B50" s="156" t="s">
        <v>713</v>
      </c>
      <c r="C50" s="157" t="s">
        <v>210</v>
      </c>
      <c r="D50" s="158">
        <v>0.1</v>
      </c>
      <c r="E50" s="161">
        <v>34.5</v>
      </c>
      <c r="F50" s="152">
        <f t="shared" ref="F50:F51" si="0">E50*D50</f>
        <v>3.45</v>
      </c>
    </row>
    <row r="51" spans="1:6">
      <c r="A51" s="160" t="s">
        <v>711</v>
      </c>
      <c r="B51" s="156" t="s">
        <v>713</v>
      </c>
      <c r="C51" s="157" t="s">
        <v>210</v>
      </c>
      <c r="D51" s="158">
        <v>0.1</v>
      </c>
      <c r="E51" s="161">
        <v>32.9</v>
      </c>
      <c r="F51" s="152">
        <f t="shared" si="0"/>
        <v>3.29</v>
      </c>
    </row>
    <row r="52" spans="1:6">
      <c r="A52" s="162"/>
      <c r="B52" s="162"/>
      <c r="C52" s="162"/>
      <c r="D52" s="162"/>
      <c r="E52" s="163" t="s">
        <v>705</v>
      </c>
      <c r="F52" s="164">
        <f>MEDIAN(F49:F51,2)</f>
        <v>3.37</v>
      </c>
    </row>
    <row r="53" spans="1:6" ht="15.75">
      <c r="A53" s="413"/>
      <c r="B53" s="413"/>
      <c r="C53" s="413"/>
      <c r="D53" s="413"/>
      <c r="E53" s="413"/>
      <c r="F53" s="413"/>
    </row>
    <row r="54" spans="1:6">
      <c r="A54" s="414" t="s">
        <v>710</v>
      </c>
      <c r="B54" s="415"/>
      <c r="C54" s="420"/>
      <c r="D54" s="421"/>
      <c r="E54" s="421"/>
      <c r="F54" s="422"/>
    </row>
    <row r="55" spans="1:6">
      <c r="A55" s="416"/>
      <c r="B55" s="417"/>
      <c r="C55" s="423" t="s">
        <v>731</v>
      </c>
      <c r="D55" s="423"/>
      <c r="E55" s="423"/>
      <c r="F55" s="423"/>
    </row>
    <row r="56" spans="1:6">
      <c r="A56" s="416"/>
      <c r="B56" s="417"/>
      <c r="C56" s="149" t="s">
        <v>210</v>
      </c>
      <c r="D56" s="424" t="s">
        <v>697</v>
      </c>
      <c r="E56" s="425"/>
      <c r="F56" s="428">
        <f>F63</f>
        <v>4.620000000000001</v>
      </c>
    </row>
    <row r="57" spans="1:6">
      <c r="A57" s="418"/>
      <c r="B57" s="419"/>
      <c r="C57" s="149">
        <v>1</v>
      </c>
      <c r="D57" s="426"/>
      <c r="E57" s="427"/>
      <c r="F57" s="429"/>
    </row>
    <row r="58" spans="1:6">
      <c r="A58" s="150"/>
      <c r="B58" s="150"/>
      <c r="C58" s="151"/>
      <c r="D58" s="430"/>
      <c r="E58" s="430"/>
      <c r="F58" s="152"/>
    </row>
    <row r="59" spans="1:6" ht="33.75">
      <c r="A59" s="153" t="s">
        <v>698</v>
      </c>
      <c r="B59" s="153" t="s">
        <v>699</v>
      </c>
      <c r="C59" s="154" t="s">
        <v>700</v>
      </c>
      <c r="D59" s="155" t="s">
        <v>701</v>
      </c>
      <c r="E59" s="155" t="s">
        <v>702</v>
      </c>
      <c r="F59" s="155" t="s">
        <v>703</v>
      </c>
    </row>
    <row r="60" spans="1:6">
      <c r="A60" s="160" t="s">
        <v>711</v>
      </c>
      <c r="B60" s="156" t="s">
        <v>713</v>
      </c>
      <c r="C60" s="157" t="s">
        <v>210</v>
      </c>
      <c r="D60" s="158">
        <f>1/10</f>
        <v>0.1</v>
      </c>
      <c r="E60" s="159">
        <v>56</v>
      </c>
      <c r="F60" s="152">
        <f t="shared" ref="F60:F62" si="1">E60*D60</f>
        <v>5.6000000000000005</v>
      </c>
    </row>
    <row r="61" spans="1:6">
      <c r="A61" s="160" t="s">
        <v>711</v>
      </c>
      <c r="B61" s="156" t="s">
        <v>713</v>
      </c>
      <c r="C61" s="157" t="s">
        <v>210</v>
      </c>
      <c r="D61" s="158">
        <f>1/10</f>
        <v>0.1</v>
      </c>
      <c r="E61" s="161">
        <v>43.5</v>
      </c>
      <c r="F61" s="152">
        <f t="shared" si="1"/>
        <v>4.3500000000000005</v>
      </c>
    </row>
    <row r="62" spans="1:6">
      <c r="A62" s="160" t="s">
        <v>711</v>
      </c>
      <c r="B62" s="156" t="s">
        <v>713</v>
      </c>
      <c r="C62" s="157" t="s">
        <v>210</v>
      </c>
      <c r="D62" s="158">
        <f>1/10</f>
        <v>0.1</v>
      </c>
      <c r="E62" s="161">
        <v>48.9</v>
      </c>
      <c r="F62" s="152">
        <f t="shared" si="1"/>
        <v>4.8900000000000006</v>
      </c>
    </row>
    <row r="63" spans="1:6">
      <c r="A63" s="162"/>
      <c r="B63" s="162"/>
      <c r="C63" s="162"/>
      <c r="D63" s="162"/>
      <c r="E63" s="163" t="s">
        <v>705</v>
      </c>
      <c r="F63" s="164">
        <f>MEDIAN(F60:F62,2)</f>
        <v>4.620000000000001</v>
      </c>
    </row>
    <row r="64" spans="1:6" ht="15.75">
      <c r="A64" s="413"/>
      <c r="B64" s="413"/>
      <c r="C64" s="413"/>
      <c r="D64" s="413"/>
      <c r="E64" s="413"/>
      <c r="F64" s="413"/>
    </row>
    <row r="65" spans="1:6">
      <c r="A65" s="414" t="s">
        <v>717</v>
      </c>
      <c r="B65" s="415"/>
      <c r="C65" s="420"/>
      <c r="D65" s="421"/>
      <c r="E65" s="421"/>
      <c r="F65" s="422"/>
    </row>
    <row r="66" spans="1:6">
      <c r="A66" s="416"/>
      <c r="B66" s="417"/>
      <c r="C66" s="423" t="s">
        <v>732</v>
      </c>
      <c r="D66" s="423"/>
      <c r="E66" s="423"/>
      <c r="F66" s="423"/>
    </row>
    <row r="67" spans="1:6">
      <c r="A67" s="416"/>
      <c r="B67" s="417"/>
      <c r="C67" s="149" t="s">
        <v>210</v>
      </c>
      <c r="D67" s="444" t="s">
        <v>697</v>
      </c>
      <c r="E67" s="445"/>
      <c r="F67" s="428">
        <f>F74</f>
        <v>38.5</v>
      </c>
    </row>
    <row r="68" spans="1:6">
      <c r="A68" s="418"/>
      <c r="B68" s="419"/>
      <c r="C68" s="149">
        <v>1</v>
      </c>
      <c r="D68" s="446"/>
      <c r="E68" s="447"/>
      <c r="F68" s="429"/>
    </row>
    <row r="69" spans="1:6">
      <c r="A69" s="150"/>
      <c r="B69" s="150"/>
      <c r="C69" s="151"/>
      <c r="D69" s="430"/>
      <c r="E69" s="430"/>
      <c r="F69" s="152"/>
    </row>
    <row r="70" spans="1:6" ht="33.75">
      <c r="A70" s="153" t="s">
        <v>698</v>
      </c>
      <c r="B70" s="153" t="s">
        <v>699</v>
      </c>
      <c r="C70" s="154" t="s">
        <v>700</v>
      </c>
      <c r="D70" s="155" t="s">
        <v>701</v>
      </c>
      <c r="E70" s="155" t="s">
        <v>702</v>
      </c>
      <c r="F70" s="155" t="s">
        <v>703</v>
      </c>
    </row>
    <row r="71" spans="1:6">
      <c r="A71" s="160" t="s">
        <v>762</v>
      </c>
      <c r="B71" s="156" t="s">
        <v>763</v>
      </c>
      <c r="C71" s="157" t="s">
        <v>210</v>
      </c>
      <c r="D71" s="158">
        <v>1</v>
      </c>
      <c r="E71" s="159">
        <v>42.9</v>
      </c>
      <c r="F71" s="152">
        <v>29.38</v>
      </c>
    </row>
    <row r="72" spans="1:6">
      <c r="A72" s="160" t="s">
        <v>711</v>
      </c>
      <c r="B72" s="156" t="s">
        <v>713</v>
      </c>
      <c r="C72" s="157" t="s">
        <v>210</v>
      </c>
      <c r="D72" s="158">
        <v>1</v>
      </c>
      <c r="E72" s="161">
        <v>49.02</v>
      </c>
      <c r="F72" s="152">
        <f>E72</f>
        <v>49.02</v>
      </c>
    </row>
    <row r="73" spans="1:6">
      <c r="A73" s="160" t="s">
        <v>711</v>
      </c>
      <c r="B73" s="156" t="s">
        <v>713</v>
      </c>
      <c r="C73" s="157" t="s">
        <v>210</v>
      </c>
      <c r="D73" s="158">
        <v>1</v>
      </c>
      <c r="E73" s="161">
        <v>47.62</v>
      </c>
      <c r="F73" s="152">
        <f>E73</f>
        <v>47.62</v>
      </c>
    </row>
    <row r="74" spans="1:6">
      <c r="A74" s="162"/>
      <c r="B74" s="162"/>
      <c r="C74" s="162"/>
      <c r="D74" s="162"/>
      <c r="E74" s="163" t="s">
        <v>705</v>
      </c>
      <c r="F74" s="164">
        <f>MEDIAN(F71:F73,2)</f>
        <v>38.5</v>
      </c>
    </row>
    <row r="75" spans="1:6" ht="15.75">
      <c r="A75" s="413"/>
      <c r="B75" s="413"/>
      <c r="C75" s="413"/>
      <c r="D75" s="413"/>
      <c r="E75" s="413"/>
      <c r="F75" s="413"/>
    </row>
    <row r="76" spans="1:6">
      <c r="A76" s="414" t="s">
        <v>718</v>
      </c>
      <c r="B76" s="415"/>
      <c r="C76" s="420"/>
      <c r="D76" s="421"/>
      <c r="E76" s="421"/>
      <c r="F76" s="422"/>
    </row>
    <row r="77" spans="1:6">
      <c r="A77" s="416"/>
      <c r="B77" s="417"/>
      <c r="C77" s="423" t="s">
        <v>733</v>
      </c>
      <c r="D77" s="423"/>
      <c r="E77" s="423"/>
      <c r="F77" s="423"/>
    </row>
    <row r="78" spans="1:6">
      <c r="A78" s="416"/>
      <c r="B78" s="417"/>
      <c r="C78" s="149" t="s">
        <v>210</v>
      </c>
      <c r="D78" s="444" t="s">
        <v>697</v>
      </c>
      <c r="E78" s="445"/>
      <c r="F78" s="428">
        <f>F85</f>
        <v>53.94</v>
      </c>
    </row>
    <row r="79" spans="1:6">
      <c r="A79" s="418"/>
      <c r="B79" s="419"/>
      <c r="C79" s="149">
        <v>1</v>
      </c>
      <c r="D79" s="446"/>
      <c r="E79" s="447"/>
      <c r="F79" s="429"/>
    </row>
    <row r="80" spans="1:6">
      <c r="A80" s="150"/>
      <c r="B80" s="150"/>
      <c r="C80" s="151"/>
      <c r="D80" s="430"/>
      <c r="E80" s="430"/>
      <c r="F80" s="152"/>
    </row>
    <row r="81" spans="1:6" ht="33.75">
      <c r="A81" s="153" t="s">
        <v>698</v>
      </c>
      <c r="B81" s="153" t="s">
        <v>699</v>
      </c>
      <c r="C81" s="154" t="s">
        <v>700</v>
      </c>
      <c r="D81" s="155" t="s">
        <v>701</v>
      </c>
      <c r="E81" s="155" t="s">
        <v>702</v>
      </c>
      <c r="F81" s="155" t="s">
        <v>703</v>
      </c>
    </row>
    <row r="82" spans="1:6">
      <c r="A82" s="160" t="s">
        <v>711</v>
      </c>
      <c r="B82" s="156" t="s">
        <v>713</v>
      </c>
      <c r="C82" s="157" t="s">
        <v>210</v>
      </c>
      <c r="D82" s="158">
        <v>1</v>
      </c>
      <c r="E82" s="159">
        <v>56.04</v>
      </c>
      <c r="F82" s="152">
        <f>E82</f>
        <v>56.04</v>
      </c>
    </row>
    <row r="83" spans="1:6">
      <c r="A83" s="160" t="s">
        <v>711</v>
      </c>
      <c r="B83" s="156" t="s">
        <v>713</v>
      </c>
      <c r="C83" s="157" t="s">
        <v>210</v>
      </c>
      <c r="D83" s="158">
        <v>1</v>
      </c>
      <c r="E83" s="161">
        <v>51.84</v>
      </c>
      <c r="F83" s="152">
        <f>E83</f>
        <v>51.84</v>
      </c>
    </row>
    <row r="84" spans="1:6">
      <c r="A84" s="160" t="s">
        <v>711</v>
      </c>
      <c r="B84" s="156" t="s">
        <v>713</v>
      </c>
      <c r="C84" s="157" t="s">
        <v>210</v>
      </c>
      <c r="D84" s="158">
        <v>1</v>
      </c>
      <c r="E84" s="161">
        <v>59.38</v>
      </c>
      <c r="F84" s="152">
        <f>E84</f>
        <v>59.38</v>
      </c>
    </row>
    <row r="85" spans="1:6">
      <c r="A85" s="162"/>
      <c r="B85" s="162"/>
      <c r="C85" s="162"/>
      <c r="D85" s="162"/>
      <c r="E85" s="163" t="s">
        <v>705</v>
      </c>
      <c r="F85" s="164">
        <f>MEDIAN(F82:F84,2)</f>
        <v>53.94</v>
      </c>
    </row>
    <row r="86" spans="1:6" ht="15.75">
      <c r="A86" s="413"/>
      <c r="B86" s="413"/>
      <c r="C86" s="413"/>
      <c r="D86" s="413"/>
      <c r="E86" s="413"/>
      <c r="F86" s="413"/>
    </row>
    <row r="87" spans="1:6">
      <c r="A87" s="414" t="s">
        <v>719</v>
      </c>
      <c r="B87" s="415"/>
      <c r="C87" s="420"/>
      <c r="D87" s="421"/>
      <c r="E87" s="421"/>
      <c r="F87" s="422"/>
    </row>
    <row r="88" spans="1:6">
      <c r="A88" s="416"/>
      <c r="B88" s="417"/>
      <c r="C88" s="423" t="s">
        <v>734</v>
      </c>
      <c r="D88" s="423"/>
      <c r="E88" s="423"/>
      <c r="F88" s="423"/>
    </row>
    <row r="89" spans="1:6">
      <c r="A89" s="416"/>
      <c r="B89" s="417"/>
      <c r="C89" s="149" t="s">
        <v>210</v>
      </c>
      <c r="D89" s="424" t="s">
        <v>697</v>
      </c>
      <c r="E89" s="425"/>
      <c r="F89" s="428">
        <f>F96</f>
        <v>32.53</v>
      </c>
    </row>
    <row r="90" spans="1:6">
      <c r="A90" s="418"/>
      <c r="B90" s="419"/>
      <c r="C90" s="149">
        <v>1</v>
      </c>
      <c r="D90" s="426"/>
      <c r="E90" s="427"/>
      <c r="F90" s="429"/>
    </row>
    <row r="91" spans="1:6">
      <c r="A91" s="150"/>
      <c r="B91" s="150"/>
      <c r="C91" s="151"/>
      <c r="D91" s="430"/>
      <c r="E91" s="430"/>
      <c r="F91" s="152"/>
    </row>
    <row r="92" spans="1:6" ht="33.75">
      <c r="A92" s="153" t="s">
        <v>698</v>
      </c>
      <c r="B92" s="153" t="s">
        <v>699</v>
      </c>
      <c r="C92" s="154" t="s">
        <v>700</v>
      </c>
      <c r="D92" s="155" t="s">
        <v>701</v>
      </c>
      <c r="E92" s="155" t="s">
        <v>702</v>
      </c>
      <c r="F92" s="155" t="s">
        <v>703</v>
      </c>
    </row>
    <row r="93" spans="1:6">
      <c r="A93" s="160" t="s">
        <v>711</v>
      </c>
      <c r="B93" s="156" t="s">
        <v>713</v>
      </c>
      <c r="C93" s="157" t="s">
        <v>210</v>
      </c>
      <c r="D93" s="158">
        <f t="shared" ref="D93:D95" si="2">1/10</f>
        <v>0.1</v>
      </c>
      <c r="E93" s="159">
        <v>51.92</v>
      </c>
      <c r="F93" s="152">
        <f>E93</f>
        <v>51.92</v>
      </c>
    </row>
    <row r="94" spans="1:6">
      <c r="A94" s="160" t="s">
        <v>711</v>
      </c>
      <c r="B94" s="156" t="s">
        <v>713</v>
      </c>
      <c r="C94" s="157" t="s">
        <v>210</v>
      </c>
      <c r="D94" s="158">
        <f t="shared" si="2"/>
        <v>0.1</v>
      </c>
      <c r="E94" s="161">
        <v>28.16</v>
      </c>
      <c r="F94" s="152">
        <f>E94</f>
        <v>28.16</v>
      </c>
    </row>
    <row r="95" spans="1:6">
      <c r="A95" s="160" t="s">
        <v>711</v>
      </c>
      <c r="B95" s="156" t="s">
        <v>713</v>
      </c>
      <c r="C95" s="157" t="s">
        <v>210</v>
      </c>
      <c r="D95" s="158">
        <f t="shared" si="2"/>
        <v>0.1</v>
      </c>
      <c r="E95" s="161">
        <v>36.9</v>
      </c>
      <c r="F95" s="152">
        <f>E95</f>
        <v>36.9</v>
      </c>
    </row>
    <row r="96" spans="1:6">
      <c r="A96" s="162"/>
      <c r="B96" s="162"/>
      <c r="C96" s="162"/>
      <c r="D96" s="162"/>
      <c r="E96" s="163" t="s">
        <v>705</v>
      </c>
      <c r="F96" s="164">
        <f>MEDIAN(F93:F95,2)</f>
        <v>32.53</v>
      </c>
    </row>
    <row r="97" spans="1:6" ht="15.75">
      <c r="A97" s="413"/>
      <c r="B97" s="413"/>
      <c r="C97" s="413"/>
      <c r="D97" s="413"/>
      <c r="E97" s="413"/>
      <c r="F97" s="413"/>
    </row>
    <row r="98" spans="1:6">
      <c r="A98" s="414" t="s">
        <v>720</v>
      </c>
      <c r="B98" s="415"/>
      <c r="C98" s="420"/>
      <c r="D98" s="421"/>
      <c r="E98" s="421"/>
      <c r="F98" s="422"/>
    </row>
    <row r="99" spans="1:6">
      <c r="A99" s="416"/>
      <c r="B99" s="417"/>
      <c r="C99" s="423" t="s">
        <v>735</v>
      </c>
      <c r="D99" s="423"/>
      <c r="E99" s="423"/>
      <c r="F99" s="423"/>
    </row>
    <row r="100" spans="1:6">
      <c r="A100" s="416"/>
      <c r="B100" s="417"/>
      <c r="C100" s="149" t="s">
        <v>210</v>
      </c>
      <c r="D100" s="424" t="s">
        <v>697</v>
      </c>
      <c r="E100" s="425"/>
      <c r="F100" s="428">
        <f>F107</f>
        <v>191.9</v>
      </c>
    </row>
    <row r="101" spans="1:6">
      <c r="A101" s="418"/>
      <c r="B101" s="419"/>
      <c r="C101" s="149">
        <v>1</v>
      </c>
      <c r="D101" s="426"/>
      <c r="E101" s="427"/>
      <c r="F101" s="429"/>
    </row>
    <row r="102" spans="1:6">
      <c r="A102" s="150"/>
      <c r="B102" s="150"/>
      <c r="C102" s="151"/>
      <c r="D102" s="430"/>
      <c r="E102" s="430"/>
      <c r="F102" s="152"/>
    </row>
    <row r="103" spans="1:6" ht="33.75">
      <c r="A103" s="153" t="s">
        <v>698</v>
      </c>
      <c r="B103" s="153" t="s">
        <v>699</v>
      </c>
      <c r="C103" s="154" t="s">
        <v>700</v>
      </c>
      <c r="D103" s="155" t="s">
        <v>701</v>
      </c>
      <c r="E103" s="155" t="s">
        <v>702</v>
      </c>
      <c r="F103" s="155" t="s">
        <v>703</v>
      </c>
    </row>
    <row r="104" spans="1:6">
      <c r="A104" s="160" t="s">
        <v>711</v>
      </c>
      <c r="B104" s="156" t="s">
        <v>713</v>
      </c>
      <c r="C104" s="157" t="s">
        <v>210</v>
      </c>
      <c r="D104" s="158">
        <v>1</v>
      </c>
      <c r="E104" s="159">
        <v>173.9</v>
      </c>
      <c r="F104" s="152">
        <f>E104</f>
        <v>173.9</v>
      </c>
    </row>
    <row r="105" spans="1:6">
      <c r="A105" s="160" t="s">
        <v>711</v>
      </c>
      <c r="B105" s="156" t="s">
        <v>713</v>
      </c>
      <c r="C105" s="157" t="s">
        <v>210</v>
      </c>
      <c r="D105" s="158">
        <v>1</v>
      </c>
      <c r="E105" s="161">
        <v>209.9</v>
      </c>
      <c r="F105" s="152">
        <f>E105</f>
        <v>209.9</v>
      </c>
    </row>
    <row r="106" spans="1:6">
      <c r="A106" s="160" t="s">
        <v>712</v>
      </c>
      <c r="B106" s="160" t="s">
        <v>714</v>
      </c>
      <c r="C106" s="157" t="s">
        <v>210</v>
      </c>
      <c r="D106" s="158">
        <v>1</v>
      </c>
      <c r="E106" s="161">
        <v>320</v>
      </c>
      <c r="F106" s="152">
        <f>E106</f>
        <v>320</v>
      </c>
    </row>
    <row r="107" spans="1:6">
      <c r="A107" s="162"/>
      <c r="B107" s="162"/>
      <c r="C107" s="162"/>
      <c r="D107" s="162"/>
      <c r="E107" s="163" t="s">
        <v>705</v>
      </c>
      <c r="F107" s="164">
        <f>MEDIAN(F104:F106,2)</f>
        <v>191.9</v>
      </c>
    </row>
    <row r="108" spans="1:6" ht="15.75">
      <c r="A108" s="413"/>
      <c r="B108" s="413"/>
      <c r="C108" s="413"/>
      <c r="D108" s="413"/>
      <c r="E108" s="413"/>
      <c r="F108" s="413"/>
    </row>
    <row r="109" spans="1:6">
      <c r="A109" s="414" t="s">
        <v>721</v>
      </c>
      <c r="B109" s="415"/>
      <c r="C109" s="420"/>
      <c r="D109" s="421"/>
      <c r="E109" s="421"/>
      <c r="F109" s="422"/>
    </row>
    <row r="110" spans="1:6">
      <c r="A110" s="416"/>
      <c r="B110" s="417"/>
      <c r="C110" s="423" t="s">
        <v>738</v>
      </c>
      <c r="D110" s="423"/>
      <c r="E110" s="423"/>
      <c r="F110" s="423"/>
    </row>
    <row r="111" spans="1:6">
      <c r="A111" s="416"/>
      <c r="B111" s="417"/>
      <c r="C111" s="149" t="s">
        <v>210</v>
      </c>
      <c r="D111" s="424" t="s">
        <v>697</v>
      </c>
      <c r="E111" s="425"/>
      <c r="F111" s="428">
        <f>F118</f>
        <v>157.6</v>
      </c>
    </row>
    <row r="112" spans="1:6">
      <c r="A112" s="418"/>
      <c r="B112" s="419"/>
      <c r="C112" s="149">
        <v>1</v>
      </c>
      <c r="D112" s="426"/>
      <c r="E112" s="427"/>
      <c r="F112" s="429"/>
    </row>
    <row r="113" spans="1:6">
      <c r="A113" s="150"/>
      <c r="B113" s="150"/>
      <c r="C113" s="151"/>
      <c r="D113" s="430"/>
      <c r="E113" s="430"/>
      <c r="F113" s="152"/>
    </row>
    <row r="114" spans="1:6" ht="33.75">
      <c r="A114" s="153" t="s">
        <v>698</v>
      </c>
      <c r="B114" s="153" t="s">
        <v>699</v>
      </c>
      <c r="C114" s="154" t="s">
        <v>700</v>
      </c>
      <c r="D114" s="155" t="s">
        <v>701</v>
      </c>
      <c r="E114" s="155" t="s">
        <v>702</v>
      </c>
      <c r="F114" s="155" t="s">
        <v>703</v>
      </c>
    </row>
    <row r="115" spans="1:6">
      <c r="A115" s="160" t="s">
        <v>736</v>
      </c>
      <c r="B115" s="156" t="s">
        <v>737</v>
      </c>
      <c r="C115" s="157" t="s">
        <v>210</v>
      </c>
      <c r="D115" s="158">
        <v>1</v>
      </c>
      <c r="E115" s="159">
        <v>170.2</v>
      </c>
      <c r="F115" s="152">
        <f>E115</f>
        <v>170.2</v>
      </c>
    </row>
    <row r="116" spans="1:6">
      <c r="A116" s="160" t="s">
        <v>712</v>
      </c>
      <c r="B116" s="160" t="s">
        <v>714</v>
      </c>
      <c r="C116" s="157" t="s">
        <v>210</v>
      </c>
      <c r="D116" s="158">
        <v>1</v>
      </c>
      <c r="E116" s="161">
        <v>145</v>
      </c>
      <c r="F116" s="152">
        <f>E116</f>
        <v>145</v>
      </c>
    </row>
    <row r="117" spans="1:6">
      <c r="A117" s="160" t="s">
        <v>704</v>
      </c>
      <c r="B117" s="160" t="s">
        <v>728</v>
      </c>
      <c r="C117" s="157" t="s">
        <v>210</v>
      </c>
      <c r="D117" s="158">
        <v>1</v>
      </c>
      <c r="E117" s="159">
        <v>170.2</v>
      </c>
      <c r="F117" s="152">
        <f>E117</f>
        <v>170.2</v>
      </c>
    </row>
    <row r="118" spans="1:6">
      <c r="A118" s="162"/>
      <c r="B118" s="162"/>
      <c r="C118" s="162"/>
      <c r="D118" s="162"/>
      <c r="E118" s="163" t="s">
        <v>705</v>
      </c>
      <c r="F118" s="164">
        <f>MEDIAN(F115:F117,2)</f>
        <v>157.6</v>
      </c>
    </row>
    <row r="119" spans="1:6" ht="15.75">
      <c r="A119" s="413"/>
      <c r="B119" s="413"/>
      <c r="C119" s="413"/>
      <c r="D119" s="413"/>
      <c r="E119" s="413"/>
      <c r="F119" s="413"/>
    </row>
    <row r="120" spans="1:6">
      <c r="A120" s="414" t="s">
        <v>722</v>
      </c>
      <c r="B120" s="415"/>
      <c r="C120" s="420"/>
      <c r="D120" s="421"/>
      <c r="E120" s="421"/>
      <c r="F120" s="422"/>
    </row>
    <row r="121" spans="1:6" ht="10.15" customHeight="1">
      <c r="A121" s="416"/>
      <c r="B121" s="417"/>
      <c r="C121" s="423" t="s">
        <v>739</v>
      </c>
      <c r="D121" s="423"/>
      <c r="E121" s="423"/>
      <c r="F121" s="423"/>
    </row>
    <row r="122" spans="1:6" ht="10.15" customHeight="1">
      <c r="A122" s="416"/>
      <c r="B122" s="417"/>
      <c r="C122" s="149" t="s">
        <v>210</v>
      </c>
      <c r="D122" s="424" t="s">
        <v>697</v>
      </c>
      <c r="E122" s="425"/>
      <c r="F122" s="428">
        <f>F129</f>
        <v>97.02000000000001</v>
      </c>
    </row>
    <row r="123" spans="1:6">
      <c r="A123" s="418"/>
      <c r="B123" s="419"/>
      <c r="C123" s="149">
        <v>1</v>
      </c>
      <c r="D123" s="426"/>
      <c r="E123" s="427"/>
      <c r="F123" s="429"/>
    </row>
    <row r="124" spans="1:6">
      <c r="A124" s="150"/>
      <c r="B124" s="150"/>
      <c r="C124" s="151"/>
      <c r="D124" s="430"/>
      <c r="E124" s="430"/>
      <c r="F124" s="152"/>
    </row>
    <row r="125" spans="1:6" ht="33.75">
      <c r="A125" s="153" t="s">
        <v>698</v>
      </c>
      <c r="B125" s="153" t="s">
        <v>699</v>
      </c>
      <c r="C125" s="154" t="s">
        <v>700</v>
      </c>
      <c r="D125" s="155" t="s">
        <v>701</v>
      </c>
      <c r="E125" s="155" t="s">
        <v>702</v>
      </c>
      <c r="F125" s="155" t="s">
        <v>703</v>
      </c>
    </row>
    <row r="126" spans="1:6">
      <c r="A126" s="160" t="s">
        <v>704</v>
      </c>
      <c r="B126" s="160" t="s">
        <v>728</v>
      </c>
      <c r="C126" s="157" t="s">
        <v>210</v>
      </c>
      <c r="D126" s="158">
        <v>1</v>
      </c>
      <c r="E126" s="159">
        <v>98</v>
      </c>
      <c r="F126" s="152">
        <f>E126</f>
        <v>98</v>
      </c>
    </row>
    <row r="127" spans="1:6">
      <c r="A127" s="160" t="s">
        <v>711</v>
      </c>
      <c r="B127" s="156" t="s">
        <v>713</v>
      </c>
      <c r="C127" s="157" t="s">
        <v>210</v>
      </c>
      <c r="D127" s="158">
        <v>1</v>
      </c>
      <c r="E127" s="161">
        <v>96.04</v>
      </c>
      <c r="F127" s="152">
        <f>E127</f>
        <v>96.04</v>
      </c>
    </row>
    <row r="128" spans="1:6">
      <c r="A128" s="160" t="s">
        <v>712</v>
      </c>
      <c r="B128" s="160" t="s">
        <v>714</v>
      </c>
      <c r="C128" s="157" t="s">
        <v>210</v>
      </c>
      <c r="D128" s="158">
        <v>1</v>
      </c>
      <c r="E128" s="161">
        <v>160</v>
      </c>
      <c r="F128" s="152">
        <f>E128</f>
        <v>160</v>
      </c>
    </row>
    <row r="129" spans="1:6">
      <c r="A129" s="162"/>
      <c r="B129" s="162"/>
      <c r="C129" s="162"/>
      <c r="D129" s="162"/>
      <c r="E129" s="163" t="s">
        <v>705</v>
      </c>
      <c r="F129" s="164">
        <f>MEDIAN(F126:F128,2)</f>
        <v>97.02000000000001</v>
      </c>
    </row>
    <row r="130" spans="1:6" ht="15.75">
      <c r="A130" s="413"/>
      <c r="B130" s="413"/>
      <c r="C130" s="413"/>
      <c r="D130" s="413"/>
      <c r="E130" s="413"/>
      <c r="F130" s="413"/>
    </row>
    <row r="131" spans="1:6">
      <c r="A131" s="414" t="s">
        <v>723</v>
      </c>
      <c r="B131" s="415"/>
      <c r="C131" s="420"/>
      <c r="D131" s="421"/>
      <c r="E131" s="421"/>
      <c r="F131" s="422"/>
    </row>
    <row r="132" spans="1:6">
      <c r="A132" s="416"/>
      <c r="B132" s="417"/>
      <c r="C132" s="423" t="s">
        <v>740</v>
      </c>
      <c r="D132" s="423"/>
      <c r="E132" s="423"/>
      <c r="F132" s="423"/>
    </row>
    <row r="133" spans="1:6">
      <c r="A133" s="416"/>
      <c r="B133" s="417"/>
      <c r="C133" s="149" t="s">
        <v>210</v>
      </c>
      <c r="D133" s="424" t="s">
        <v>697</v>
      </c>
      <c r="E133" s="425"/>
      <c r="F133" s="428">
        <f>F140</f>
        <v>59.95</v>
      </c>
    </row>
    <row r="134" spans="1:6">
      <c r="A134" s="418"/>
      <c r="B134" s="419"/>
      <c r="C134" s="149">
        <v>1</v>
      </c>
      <c r="D134" s="426"/>
      <c r="E134" s="427"/>
      <c r="F134" s="429"/>
    </row>
    <row r="135" spans="1:6">
      <c r="A135" s="150"/>
      <c r="B135" s="150"/>
      <c r="C135" s="151"/>
      <c r="D135" s="430"/>
      <c r="E135" s="430"/>
      <c r="F135" s="152"/>
    </row>
    <row r="136" spans="1:6" ht="33.75">
      <c r="A136" s="153" t="s">
        <v>698</v>
      </c>
      <c r="B136" s="153" t="s">
        <v>699</v>
      </c>
      <c r="C136" s="154" t="s">
        <v>700</v>
      </c>
      <c r="D136" s="155" t="s">
        <v>701</v>
      </c>
      <c r="E136" s="155" t="s">
        <v>702</v>
      </c>
      <c r="F136" s="155" t="s">
        <v>703</v>
      </c>
    </row>
    <row r="137" spans="1:6">
      <c r="A137" s="160" t="s">
        <v>712</v>
      </c>
      <c r="B137" s="160" t="s">
        <v>714</v>
      </c>
      <c r="C137" s="157" t="s">
        <v>210</v>
      </c>
      <c r="D137" s="158">
        <v>1</v>
      </c>
      <c r="E137" s="159">
        <v>60</v>
      </c>
      <c r="F137" s="152">
        <f>E137</f>
        <v>60</v>
      </c>
    </row>
    <row r="138" spans="1:6">
      <c r="A138" s="160" t="s">
        <v>711</v>
      </c>
      <c r="B138" s="156" t="s">
        <v>713</v>
      </c>
      <c r="C138" s="157" t="s">
        <v>210</v>
      </c>
      <c r="D138" s="158">
        <v>1</v>
      </c>
      <c r="E138" s="161">
        <v>79</v>
      </c>
      <c r="F138" s="152">
        <f>E138</f>
        <v>79</v>
      </c>
    </row>
    <row r="139" spans="1:6">
      <c r="A139" s="160" t="s">
        <v>741</v>
      </c>
      <c r="B139" s="160" t="s">
        <v>742</v>
      </c>
      <c r="C139" s="157" t="s">
        <v>210</v>
      </c>
      <c r="D139" s="158">
        <v>1</v>
      </c>
      <c r="E139" s="161">
        <v>59.9</v>
      </c>
      <c r="F139" s="152">
        <f>E139</f>
        <v>59.9</v>
      </c>
    </row>
    <row r="140" spans="1:6">
      <c r="A140" s="162"/>
      <c r="B140" s="162"/>
      <c r="C140" s="162"/>
      <c r="D140" s="162"/>
      <c r="E140" s="163" t="s">
        <v>705</v>
      </c>
      <c r="F140" s="164">
        <f>MEDIAN(F137:F139,2)</f>
        <v>59.95</v>
      </c>
    </row>
    <row r="141" spans="1:6" ht="15.75">
      <c r="A141" s="413"/>
      <c r="B141" s="413"/>
      <c r="C141" s="413"/>
      <c r="D141" s="413"/>
      <c r="E141" s="413"/>
      <c r="F141" s="413"/>
    </row>
    <row r="142" spans="1:6">
      <c r="A142" s="414" t="s">
        <v>724</v>
      </c>
      <c r="B142" s="415"/>
      <c r="C142" s="420"/>
      <c r="D142" s="421"/>
      <c r="E142" s="421"/>
      <c r="F142" s="422"/>
    </row>
    <row r="143" spans="1:6">
      <c r="A143" s="416"/>
      <c r="B143" s="417"/>
      <c r="C143" s="423" t="s">
        <v>1089</v>
      </c>
      <c r="D143" s="423"/>
      <c r="E143" s="423"/>
      <c r="F143" s="423"/>
    </row>
    <row r="144" spans="1:6">
      <c r="A144" s="416"/>
      <c r="B144" s="417"/>
      <c r="C144" s="149" t="s">
        <v>210</v>
      </c>
      <c r="D144" s="424" t="s">
        <v>697</v>
      </c>
      <c r="E144" s="425"/>
      <c r="F144" s="428">
        <f>F151</f>
        <v>39611</v>
      </c>
    </row>
    <row r="145" spans="1:6">
      <c r="A145" s="418"/>
      <c r="B145" s="419"/>
      <c r="C145" s="149">
        <v>1</v>
      </c>
      <c r="D145" s="426"/>
      <c r="E145" s="427"/>
      <c r="F145" s="429"/>
    </row>
    <row r="146" spans="1:6">
      <c r="A146" s="150"/>
      <c r="B146" s="150"/>
      <c r="C146" s="294"/>
      <c r="D146" s="430"/>
      <c r="E146" s="430"/>
      <c r="F146" s="152"/>
    </row>
    <row r="147" spans="1:6" ht="33.75">
      <c r="A147" s="153" t="s">
        <v>698</v>
      </c>
      <c r="B147" s="153" t="s">
        <v>699</v>
      </c>
      <c r="C147" s="154" t="s">
        <v>700</v>
      </c>
      <c r="D147" s="155" t="s">
        <v>701</v>
      </c>
      <c r="E147" s="155" t="s">
        <v>702</v>
      </c>
      <c r="F147" s="155" t="s">
        <v>703</v>
      </c>
    </row>
    <row r="148" spans="1:6">
      <c r="A148" s="160" t="s">
        <v>1090</v>
      </c>
      <c r="B148" s="156" t="s">
        <v>1091</v>
      </c>
      <c r="C148" s="157" t="s">
        <v>210</v>
      </c>
      <c r="D148" s="158">
        <v>1</v>
      </c>
      <c r="E148" s="159">
        <v>29222</v>
      </c>
      <c r="F148" s="152">
        <f>E148</f>
        <v>29222</v>
      </c>
    </row>
    <row r="149" spans="1:6" ht="22.5">
      <c r="A149" s="160" t="s">
        <v>1117</v>
      </c>
      <c r="B149" s="156" t="s">
        <v>1116</v>
      </c>
      <c r="C149" s="157" t="s">
        <v>210</v>
      </c>
      <c r="D149" s="158">
        <v>1</v>
      </c>
      <c r="E149" s="161">
        <v>57200</v>
      </c>
      <c r="F149" s="152">
        <f>E149</f>
        <v>57200</v>
      </c>
    </row>
    <row r="150" spans="1:6" ht="22.5">
      <c r="A150" s="160" t="s">
        <v>1118</v>
      </c>
      <c r="B150" s="160" t="s">
        <v>1119</v>
      </c>
      <c r="C150" s="157" t="s">
        <v>210</v>
      </c>
      <c r="D150" s="158">
        <v>1</v>
      </c>
      <c r="E150" s="161">
        <v>50000</v>
      </c>
      <c r="F150" s="152">
        <f>E150</f>
        <v>50000</v>
      </c>
    </row>
    <row r="151" spans="1:6">
      <c r="A151" s="162"/>
      <c r="B151" s="162"/>
      <c r="C151" s="162"/>
      <c r="D151" s="162"/>
      <c r="E151" s="163" t="s">
        <v>705</v>
      </c>
      <c r="F151" s="164">
        <f>MEDIAN(F148:F150,2)</f>
        <v>39611</v>
      </c>
    </row>
    <row r="438" spans="11:11">
      <c r="K438" s="165" t="e">
        <f>COTAÇÕES!#REF!</f>
        <v>#REF!</v>
      </c>
    </row>
  </sheetData>
  <autoFilter ref="A8:F19"/>
  <mergeCells count="96">
    <mergeCell ref="D135:E135"/>
    <mergeCell ref="D124:E124"/>
    <mergeCell ref="C132:F132"/>
    <mergeCell ref="D113:E113"/>
    <mergeCell ref="A119:F119"/>
    <mergeCell ref="A120:B123"/>
    <mergeCell ref="C120:F120"/>
    <mergeCell ref="C121:F121"/>
    <mergeCell ref="D122:E123"/>
    <mergeCell ref="F122:F123"/>
    <mergeCell ref="A130:F130"/>
    <mergeCell ref="A131:B134"/>
    <mergeCell ref="C131:F131"/>
    <mergeCell ref="D133:E134"/>
    <mergeCell ref="F133:F134"/>
    <mergeCell ref="D91:E91"/>
    <mergeCell ref="A97:F97"/>
    <mergeCell ref="A98:B101"/>
    <mergeCell ref="C98:F98"/>
    <mergeCell ref="C99:F99"/>
    <mergeCell ref="D100:E101"/>
    <mergeCell ref="F100:F101"/>
    <mergeCell ref="D102:E102"/>
    <mergeCell ref="A108:F108"/>
    <mergeCell ref="A109:B112"/>
    <mergeCell ref="C109:F109"/>
    <mergeCell ref="C110:F110"/>
    <mergeCell ref="D111:E112"/>
    <mergeCell ref="F111:F112"/>
    <mergeCell ref="D69:E69"/>
    <mergeCell ref="A75:F75"/>
    <mergeCell ref="A76:B79"/>
    <mergeCell ref="C76:F76"/>
    <mergeCell ref="C77:F77"/>
    <mergeCell ref="D78:E79"/>
    <mergeCell ref="F78:F79"/>
    <mergeCell ref="D80:E80"/>
    <mergeCell ref="A86:F86"/>
    <mergeCell ref="A87:B90"/>
    <mergeCell ref="C87:F87"/>
    <mergeCell ref="C88:F88"/>
    <mergeCell ref="D89:E90"/>
    <mergeCell ref="F89:F90"/>
    <mergeCell ref="D47:E47"/>
    <mergeCell ref="A53:F53"/>
    <mergeCell ref="A54:B57"/>
    <mergeCell ref="C54:F54"/>
    <mergeCell ref="C55:F55"/>
    <mergeCell ref="D56:E57"/>
    <mergeCell ref="F56:F57"/>
    <mergeCell ref="D58:E58"/>
    <mergeCell ref="A64:F64"/>
    <mergeCell ref="A65:B68"/>
    <mergeCell ref="C65:F65"/>
    <mergeCell ref="C66:F66"/>
    <mergeCell ref="D67:E68"/>
    <mergeCell ref="F67:F68"/>
    <mergeCell ref="A42:F42"/>
    <mergeCell ref="A43:B46"/>
    <mergeCell ref="C43:F43"/>
    <mergeCell ref="C44:F44"/>
    <mergeCell ref="D45:E46"/>
    <mergeCell ref="F45:F46"/>
    <mergeCell ref="C21:F21"/>
    <mergeCell ref="C22:F22"/>
    <mergeCell ref="D23:E24"/>
    <mergeCell ref="F23:F24"/>
    <mergeCell ref="D36:E36"/>
    <mergeCell ref="A31:F31"/>
    <mergeCell ref="A32:B35"/>
    <mergeCell ref="C32:F32"/>
    <mergeCell ref="C33:F33"/>
    <mergeCell ref="D34:E35"/>
    <mergeCell ref="F34:F35"/>
    <mergeCell ref="D146:E146"/>
    <mergeCell ref="A2:F2"/>
    <mergeCell ref="A4:F4"/>
    <mergeCell ref="A5:F5"/>
    <mergeCell ref="A6:F6"/>
    <mergeCell ref="A7:F7"/>
    <mergeCell ref="A9:F9"/>
    <mergeCell ref="A10:B13"/>
    <mergeCell ref="C10:F10"/>
    <mergeCell ref="C11:F11"/>
    <mergeCell ref="D12:E13"/>
    <mergeCell ref="F12:F13"/>
    <mergeCell ref="D14:E14"/>
    <mergeCell ref="D25:E25"/>
    <mergeCell ref="A20:F20"/>
    <mergeCell ref="A21:B24"/>
    <mergeCell ref="A141:F141"/>
    <mergeCell ref="A142:B145"/>
    <mergeCell ref="C142:F142"/>
    <mergeCell ref="C143:F143"/>
    <mergeCell ref="D144:E145"/>
    <mergeCell ref="F144:F145"/>
  </mergeCells>
  <printOptions horizontalCentered="1"/>
  <pageMargins left="0.51181102362204722" right="0.51181102362204722" top="1.1811023622047245" bottom="1.2598425196850394" header="0.31496062992125984" footer="0.31496062992125984"/>
  <pageSetup paperSize="9" scale="90" orientation="portrait" horizontalDpi="360" verticalDpi="360" r:id="rId1"/>
  <headerFooter>
    <oddHeader>&amp;C&amp;G</oddHeader>
  </headerFooter>
  <rowBreaks count="3" manualBreakCount="3">
    <brk id="52" max="5" man="1"/>
    <brk id="96" max="5" man="1"/>
    <brk id="140" max="5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K46"/>
  <sheetViews>
    <sheetView view="pageBreakPreview" topLeftCell="A7" zoomScaleNormal="100" zoomScaleSheetLayoutView="100" workbookViewId="0">
      <pane ySplit="750" activePane="bottomLeft"/>
      <selection activeCell="D17" sqref="D17"/>
      <selection pane="bottomLeft" activeCell="C21" sqref="C21"/>
    </sheetView>
  </sheetViews>
  <sheetFormatPr defaultColWidth="9.140625" defaultRowHeight="11.25"/>
  <cols>
    <col min="1" max="1" width="6.42578125" style="224" customWidth="1"/>
    <col min="2" max="2" width="80.85546875" style="225" customWidth="1"/>
    <col min="3" max="3" width="15.42578125" style="224" bestFit="1" customWidth="1"/>
    <col min="4" max="4" width="9.28515625" style="201" bestFit="1" customWidth="1"/>
    <col min="5" max="16384" width="9.140625" style="146"/>
  </cols>
  <sheetData>
    <row r="1" spans="1:8" s="148" customFormat="1" ht="19.5" thickTop="1" thickBot="1">
      <c r="A1" s="448" t="s">
        <v>927</v>
      </c>
      <c r="B1" s="449"/>
      <c r="C1" s="449"/>
      <c r="D1" s="450"/>
    </row>
    <row r="2" spans="1:8" s="148" customFormat="1" ht="18.75" thickTop="1">
      <c r="A2" s="451"/>
      <c r="B2" s="451"/>
      <c r="C2" s="200"/>
      <c r="D2" s="201"/>
    </row>
    <row r="3" spans="1:8" s="3" customFormat="1" ht="27.75" customHeight="1">
      <c r="A3" s="202"/>
      <c r="B3" s="452" t="s">
        <v>955</v>
      </c>
      <c r="C3" s="452"/>
      <c r="D3" s="452"/>
    </row>
    <row r="4" spans="1:8" s="3" customFormat="1" ht="12.75">
      <c r="A4" s="202"/>
      <c r="B4" s="203" t="s">
        <v>56</v>
      </c>
      <c r="C4" s="202"/>
      <c r="D4" s="204"/>
    </row>
    <row r="5" spans="1:8" s="3" customFormat="1" ht="15" customHeight="1">
      <c r="A5" s="202"/>
      <c r="B5" s="203" t="s">
        <v>956</v>
      </c>
      <c r="C5" s="202"/>
      <c r="D5" s="204"/>
    </row>
    <row r="6" spans="1:8" s="148" customFormat="1">
      <c r="A6" s="205"/>
      <c r="B6" s="206"/>
      <c r="C6" s="207"/>
      <c r="D6" s="201"/>
    </row>
    <row r="7" spans="1:8" s="212" customFormat="1" ht="33.75">
      <c r="A7" s="208" t="s">
        <v>0</v>
      </c>
      <c r="B7" s="208" t="s">
        <v>928</v>
      </c>
      <c r="C7" s="209" t="s">
        <v>929</v>
      </c>
      <c r="D7" s="210" t="s">
        <v>930</v>
      </c>
      <c r="E7" s="211"/>
      <c r="F7" s="211"/>
      <c r="G7" s="211"/>
      <c r="H7" s="211"/>
    </row>
    <row r="8" spans="1:8" s="217" customFormat="1">
      <c r="A8" s="213"/>
      <c r="B8" s="214"/>
      <c r="C8" s="215"/>
      <c r="D8" s="216"/>
      <c r="E8" s="148"/>
      <c r="F8" s="148"/>
      <c r="G8" s="148"/>
    </row>
    <row r="9" spans="1:8" s="219" customFormat="1" ht="12.75">
      <c r="A9" s="375" t="str">
        <f>'Planilha orç'!A7</f>
        <v>1.0</v>
      </c>
      <c r="B9" s="376" t="str">
        <f>'Planilha orç'!D7</f>
        <v>SERVIÇOS PRELIMINARES</v>
      </c>
      <c r="C9" s="377">
        <f>'Planilha orç'!J7</f>
        <v>44965.730510399997</v>
      </c>
      <c r="D9" s="378">
        <f>C9/$C$37</f>
        <v>2.5543312135057165E-2</v>
      </c>
      <c r="E9" s="218"/>
      <c r="F9" s="218"/>
      <c r="G9" s="218"/>
    </row>
    <row r="10" spans="1:8" s="217" customFormat="1">
      <c r="A10" s="213"/>
      <c r="B10" s="214"/>
      <c r="C10" s="215"/>
      <c r="D10" s="216"/>
      <c r="E10" s="148"/>
      <c r="F10" s="148"/>
      <c r="G10" s="148"/>
    </row>
    <row r="11" spans="1:8" s="219" customFormat="1" ht="12.75">
      <c r="A11" s="375" t="str">
        <f>'Planilha orç'!A11</f>
        <v>2.0</v>
      </c>
      <c r="B11" s="376" t="str">
        <f>'Planilha orç'!D11</f>
        <v xml:space="preserve">COBERTA </v>
      </c>
      <c r="C11" s="377">
        <f>'Planilha orç'!J11</f>
        <v>253855.85642016001</v>
      </c>
      <c r="D11" s="378">
        <f>C11/$C$37</f>
        <v>0.14420580527103105</v>
      </c>
      <c r="E11" s="218"/>
      <c r="F11" s="218"/>
      <c r="G11" s="218"/>
    </row>
    <row r="12" spans="1:8" s="217" customFormat="1">
      <c r="A12" s="213"/>
      <c r="B12" s="214"/>
      <c r="C12" s="215"/>
      <c r="D12" s="216"/>
      <c r="E12" s="148"/>
      <c r="F12" s="148"/>
      <c r="G12" s="148"/>
    </row>
    <row r="13" spans="1:8" s="219" customFormat="1" ht="12.75">
      <c r="A13" s="375" t="str">
        <f>'Planilha orç'!A27</f>
        <v>3.0</v>
      </c>
      <c r="B13" s="376" t="str">
        <f>'Planilha orç'!D27</f>
        <v>INFRAESTRUTURA</v>
      </c>
      <c r="C13" s="377">
        <f>'Planilha orç'!J27</f>
        <v>177121.14266567997</v>
      </c>
      <c r="D13" s="378">
        <f>C13/$C$37</f>
        <v>0.10061574851499523</v>
      </c>
      <c r="E13" s="218"/>
      <c r="F13" s="218"/>
      <c r="G13" s="218"/>
    </row>
    <row r="14" spans="1:8" s="217" customFormat="1">
      <c r="A14" s="213"/>
      <c r="B14" s="214"/>
      <c r="C14" s="215"/>
      <c r="D14" s="216"/>
      <c r="E14" s="148"/>
      <c r="F14" s="148"/>
      <c r="G14" s="148"/>
    </row>
    <row r="15" spans="1:8" s="219" customFormat="1" ht="12.75">
      <c r="A15" s="375" t="str">
        <f>'Planilha orç'!A38</f>
        <v>4.0</v>
      </c>
      <c r="B15" s="376" t="str">
        <f>'Planilha orç'!D38</f>
        <v>SUPERESTRUTURA</v>
      </c>
      <c r="C15" s="377">
        <f>'Planilha orç'!J38</f>
        <v>169802.54152834701</v>
      </c>
      <c r="D15" s="378">
        <f>C15/$C$37</f>
        <v>9.6458331052386839E-2</v>
      </c>
      <c r="E15" s="218"/>
      <c r="F15" s="218"/>
      <c r="G15" s="218"/>
    </row>
    <row r="16" spans="1:8" s="217" customFormat="1">
      <c r="A16" s="213"/>
      <c r="B16" s="214"/>
      <c r="C16" s="215"/>
      <c r="D16" s="216"/>
      <c r="E16" s="148"/>
      <c r="F16" s="148"/>
      <c r="G16" s="148"/>
    </row>
    <row r="17" spans="1:7" s="219" customFormat="1" ht="12.75">
      <c r="A17" s="375" t="str">
        <f>'Planilha orç'!A45</f>
        <v>5.0</v>
      </c>
      <c r="B17" s="376" t="str">
        <f>'Planilha orç'!D45</f>
        <v xml:space="preserve"> PORTAS E ESQUADRIAS</v>
      </c>
      <c r="C17" s="377">
        <f>'Planilha orç'!J45</f>
        <v>167835.73492116001</v>
      </c>
      <c r="D17" s="378">
        <f>C17/$C$37</f>
        <v>9.5341063424208283E-2</v>
      </c>
      <c r="E17" s="218"/>
      <c r="F17" s="218"/>
      <c r="G17" s="218"/>
    </row>
    <row r="18" spans="1:7" s="217" customFormat="1">
      <c r="A18" s="213"/>
      <c r="B18" s="214"/>
      <c r="C18" s="215"/>
      <c r="D18" s="216"/>
      <c r="E18" s="148"/>
      <c r="F18" s="148"/>
      <c r="G18" s="148"/>
    </row>
    <row r="19" spans="1:7" s="219" customFormat="1" ht="12.75">
      <c r="A19" s="375" t="str">
        <f>'Planilha orç'!A65</f>
        <v>6.0</v>
      </c>
      <c r="B19" s="376" t="str">
        <f>'Planilha orç'!D65</f>
        <v xml:space="preserve">PINTURA </v>
      </c>
      <c r="C19" s="377">
        <f>'Planilha orç'!J65</f>
        <v>239498.64767030397</v>
      </c>
      <c r="D19" s="378">
        <f>C19/$C$37</f>
        <v>0.13605002396106375</v>
      </c>
      <c r="E19" s="218"/>
      <c r="F19" s="218"/>
      <c r="G19" s="218"/>
    </row>
    <row r="20" spans="1:7" s="217" customFormat="1">
      <c r="A20" s="213"/>
      <c r="B20" s="214"/>
      <c r="C20" s="215"/>
      <c r="D20" s="216"/>
      <c r="E20" s="148"/>
      <c r="F20" s="148"/>
      <c r="G20" s="148"/>
    </row>
    <row r="21" spans="1:7" s="219" customFormat="1" ht="12.75">
      <c r="A21" s="375" t="str">
        <f>'Planilha orç'!A77</f>
        <v>7.0</v>
      </c>
      <c r="B21" s="376" t="str">
        <f>'Planilha orç'!D77</f>
        <v>REVESTIMENTOS</v>
      </c>
      <c r="C21" s="377">
        <f>'Planilha orç'!J77</f>
        <v>287663.28707532003</v>
      </c>
      <c r="D21" s="378">
        <f>C21/$C$37</f>
        <v>0.16341051392152933</v>
      </c>
      <c r="E21" s="218"/>
      <c r="F21" s="218"/>
      <c r="G21" s="218"/>
    </row>
    <row r="22" spans="1:7" s="217" customFormat="1">
      <c r="A22" s="213"/>
      <c r="B22" s="214"/>
      <c r="C22" s="215"/>
      <c r="D22" s="216"/>
      <c r="E22" s="148"/>
      <c r="F22" s="148"/>
      <c r="G22" s="148"/>
    </row>
    <row r="23" spans="1:7" s="219" customFormat="1" ht="12.75">
      <c r="A23" s="375" t="str">
        <f>'Planilha orç'!A88</f>
        <v>8.0</v>
      </c>
      <c r="B23" s="376" t="str">
        <f>'Planilha orç'!D88</f>
        <v>PAISAGISMO</v>
      </c>
      <c r="C23" s="377">
        <f>'Planilha orç'!J88</f>
        <v>24267.588825040799</v>
      </c>
      <c r="D23" s="378">
        <f>C23/$C$37</f>
        <v>1.3785489284553561E-2</v>
      </c>
      <c r="E23" s="218"/>
      <c r="F23" s="218"/>
      <c r="G23" s="218"/>
    </row>
    <row r="24" spans="1:7" s="217" customFormat="1">
      <c r="A24" s="213"/>
      <c r="B24" s="214"/>
      <c r="C24" s="215"/>
      <c r="D24" s="216"/>
      <c r="E24" s="148"/>
      <c r="F24" s="148"/>
      <c r="G24" s="148"/>
    </row>
    <row r="25" spans="1:7" s="219" customFormat="1" ht="12.75">
      <c r="A25" s="375" t="str">
        <f>'Planilha orç'!A103</f>
        <v>9.0</v>
      </c>
      <c r="B25" s="376" t="str">
        <f>'Planilha orç'!D103</f>
        <v>PLAYGROUND</v>
      </c>
      <c r="C25" s="377">
        <f>'Planilha orç'!J103</f>
        <v>51314.82402</v>
      </c>
      <c r="D25" s="378">
        <f>C25/$C$37</f>
        <v>2.9149989385699605E-2</v>
      </c>
      <c r="E25" s="218"/>
      <c r="F25" s="218"/>
      <c r="G25" s="218"/>
    </row>
    <row r="26" spans="1:7" s="217" customFormat="1">
      <c r="A26" s="213"/>
      <c r="B26" s="214"/>
      <c r="C26" s="215"/>
      <c r="D26" s="216"/>
      <c r="E26" s="148"/>
      <c r="F26" s="148"/>
      <c r="G26" s="148"/>
    </row>
    <row r="27" spans="1:7" s="219" customFormat="1" ht="12.75">
      <c r="A27" s="375" t="str">
        <f>'Planilha orç'!A105</f>
        <v>10.0</v>
      </c>
      <c r="B27" s="376" t="str">
        <f>'Planilha orç'!D105</f>
        <v>INSTALAÇÕES ELÉTRICAS</v>
      </c>
      <c r="C27" s="377">
        <f>'Planilha orç'!J105</f>
        <v>172386.20191483328</v>
      </c>
      <c r="D27" s="378">
        <f>C27/$C$37</f>
        <v>9.7926009725765387E-2</v>
      </c>
      <c r="E27" s="218"/>
      <c r="F27" s="218"/>
      <c r="G27" s="218"/>
    </row>
    <row r="28" spans="1:7" s="217" customFormat="1">
      <c r="A28" s="213"/>
      <c r="B28" s="214"/>
      <c r="C28" s="215"/>
      <c r="D28" s="216"/>
      <c r="E28" s="148"/>
      <c r="F28" s="148"/>
      <c r="G28" s="148"/>
    </row>
    <row r="29" spans="1:7" s="219" customFormat="1" ht="12.75">
      <c r="A29" s="375" t="str">
        <f>'Planilha orç'!A162</f>
        <v>11.0</v>
      </c>
      <c r="B29" s="376" t="str">
        <f>'Planilha orç'!D162</f>
        <v>INSTALAÇÕES SANITÁRIAS</v>
      </c>
      <c r="C29" s="377">
        <f>'Planilha orç'!J162</f>
        <v>130901.11926065618</v>
      </c>
      <c r="D29" s="378">
        <f>C29/$C$37</f>
        <v>7.4359920547269684E-2</v>
      </c>
      <c r="E29" s="218"/>
      <c r="F29" s="218"/>
      <c r="G29" s="218"/>
    </row>
    <row r="30" spans="1:7" s="219" customFormat="1" ht="12.75">
      <c r="A30" s="213"/>
      <c r="B30" s="214"/>
      <c r="C30" s="215"/>
      <c r="D30" s="216"/>
      <c r="E30" s="218"/>
      <c r="F30" s="218"/>
      <c r="G30" s="218"/>
    </row>
    <row r="31" spans="1:7" s="219" customFormat="1" ht="12.75">
      <c r="A31" s="375" t="str">
        <f>'Planilha orç'!A195</f>
        <v>12.0</v>
      </c>
      <c r="B31" s="376" t="str">
        <f>'Planilha orç'!D195</f>
        <v xml:space="preserve">INSTALAÇÕES HIDRÁULICAS </v>
      </c>
      <c r="C31" s="377">
        <f>'Planilha orç'!J195</f>
        <v>35438.648292303842</v>
      </c>
      <c r="D31" s="378">
        <f>C31/$C$37</f>
        <v>2.0131341016809717E-2</v>
      </c>
      <c r="E31" s="218"/>
      <c r="F31" s="218"/>
      <c r="G31" s="218"/>
    </row>
    <row r="32" spans="1:7" s="219" customFormat="1" ht="12.75">
      <c r="A32" s="213"/>
      <c r="B32" s="214"/>
      <c r="C32" s="215"/>
      <c r="D32" s="216"/>
      <c r="E32" s="218"/>
      <c r="F32" s="218"/>
      <c r="G32" s="218"/>
    </row>
    <row r="33" spans="1:11" s="219" customFormat="1" ht="12.75">
      <c r="A33" s="375" t="str">
        <f>'Planilha orç'!A225</f>
        <v>13.0</v>
      </c>
      <c r="B33" s="376" t="str">
        <f>'Planilha orç'!D225</f>
        <v>RECUPERAÇÃO ESTRUTURAL</v>
      </c>
      <c r="C33" s="377">
        <f>'Planilha orç'!J225</f>
        <v>2899.2798239999997</v>
      </c>
      <c r="D33" s="378">
        <f>C33/$C$37</f>
        <v>1.6469700073965686E-3</v>
      </c>
      <c r="E33" s="218"/>
      <c r="F33" s="218"/>
      <c r="G33" s="218"/>
    </row>
    <row r="34" spans="1:11" s="219" customFormat="1" ht="12.75">
      <c r="A34" s="213"/>
      <c r="B34" s="214"/>
      <c r="C34" s="215"/>
      <c r="D34" s="216"/>
      <c r="E34" s="218"/>
      <c r="F34" s="218"/>
      <c r="G34" s="218"/>
    </row>
    <row r="35" spans="1:11" s="219" customFormat="1" ht="12.75">
      <c r="A35" s="375" t="str">
        <f>'Planilha orç'!A231</f>
        <v>14.0</v>
      </c>
      <c r="B35" s="376" t="str">
        <f>'Planilha orç'!D231</f>
        <v xml:space="preserve">SERVIÇOS COMPLEMENTARES </v>
      </c>
      <c r="C35" s="377">
        <f>'Planilha orç'!J231</f>
        <v>2421.35951148</v>
      </c>
      <c r="D35" s="378">
        <f>C35/$C$37</f>
        <v>1.3754817522339188E-3</v>
      </c>
      <c r="E35" s="218"/>
      <c r="F35" s="218"/>
      <c r="G35" s="218"/>
    </row>
    <row r="36" spans="1:11" s="219" customFormat="1" ht="12.75">
      <c r="A36" s="213"/>
      <c r="B36" s="214"/>
      <c r="C36" s="215"/>
      <c r="D36" s="216"/>
      <c r="E36" s="218"/>
      <c r="F36" s="218"/>
      <c r="G36" s="218"/>
    </row>
    <row r="37" spans="1:11" s="223" customFormat="1" ht="21.75" customHeight="1">
      <c r="A37" s="453" t="s">
        <v>931</v>
      </c>
      <c r="B37" s="453"/>
      <c r="C37" s="220">
        <f>SUM(C9+C11+C13+C15+C17+C19+C21+C23+C25+C27+C29+C31+C33+C35)</f>
        <v>1760371.9624396849</v>
      </c>
      <c r="D37" s="221">
        <f>C37/$C$37</f>
        <v>1</v>
      </c>
      <c r="E37" s="222"/>
      <c r="F37" s="222"/>
      <c r="G37" s="222"/>
      <c r="H37" s="222"/>
    </row>
    <row r="38" spans="1:11">
      <c r="C38" s="226"/>
    </row>
    <row r="46" spans="1:11" s="232" customFormat="1" ht="22.5" hidden="1">
      <c r="A46" s="227" t="s">
        <v>932</v>
      </c>
      <c r="B46" s="228" t="s">
        <v>933</v>
      </c>
      <c r="C46" s="229" t="e">
        <f>TRUNC(#REF!*#REF!,2)</f>
        <v>#REF!</v>
      </c>
      <c r="D46" s="230"/>
      <c r="E46" s="231"/>
      <c r="F46" s="231"/>
      <c r="G46" s="231"/>
      <c r="H46" s="231"/>
      <c r="I46" s="231"/>
      <c r="J46" s="231"/>
      <c r="K46" s="231"/>
    </row>
  </sheetData>
  <autoFilter ref="A7:C38"/>
  <mergeCells count="4">
    <mergeCell ref="A1:D1"/>
    <mergeCell ref="A2:B2"/>
    <mergeCell ref="B3:D3"/>
    <mergeCell ref="A37:B37"/>
  </mergeCells>
  <printOptions horizontalCentered="1"/>
  <pageMargins left="0.59055118110236227" right="0.39370078740157483" top="1.5748031496062993" bottom="0.59055118110236227" header="0.39370078740157483" footer="0.39370078740157483"/>
  <pageSetup paperSize="9" scale="77" orientation="portrait" r:id="rId1"/>
  <headerFooter>
    <oddHeader>&amp;C&amp;G</oddHeader>
    <oddFooter>&amp;R&amp;"Arial,Normal"&amp;8Pág. &amp;P de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Q52"/>
  <sheetViews>
    <sheetView view="pageBreakPreview" topLeftCell="A19" zoomScaleNormal="100" zoomScaleSheetLayoutView="100" workbookViewId="0">
      <selection activeCell="G32" sqref="G32"/>
    </sheetView>
  </sheetViews>
  <sheetFormatPr defaultColWidth="9.140625" defaultRowHeight="11.25"/>
  <cols>
    <col min="1" max="1" width="6.85546875" style="236" customWidth="1"/>
    <col min="2" max="2" width="41.85546875" style="236" customWidth="1"/>
    <col min="3" max="3" width="12" style="236" customWidth="1"/>
    <col min="4" max="6" width="10.140625" style="236" customWidth="1"/>
    <col min="7" max="7" width="10.42578125" style="236" customWidth="1"/>
    <col min="8" max="8" width="9.7109375" style="235" bestFit="1" customWidth="1"/>
    <col min="9" max="9" width="9.140625" style="235"/>
    <col min="10" max="15" width="10.140625" style="236" bestFit="1" customWidth="1"/>
    <col min="16" max="16384" width="9.140625" style="236"/>
  </cols>
  <sheetData>
    <row r="1" spans="1:17" s="233" customFormat="1" ht="16.5" thickBot="1">
      <c r="A1" s="458" t="s">
        <v>934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</row>
    <row r="2" spans="1:17" ht="12" thickTop="1">
      <c r="A2" s="234"/>
      <c r="B2" s="234"/>
      <c r="C2" s="234"/>
      <c r="D2" s="234"/>
      <c r="E2" s="234"/>
      <c r="F2" s="234"/>
      <c r="G2" s="234"/>
    </row>
    <row r="3" spans="1:17" ht="25.5" customHeight="1">
      <c r="A3" s="460" t="s">
        <v>955</v>
      </c>
      <c r="B3" s="460"/>
      <c r="C3" s="460"/>
      <c r="D3" s="460"/>
      <c r="E3" s="460"/>
      <c r="F3" s="460"/>
      <c r="G3" s="460"/>
    </row>
    <row r="4" spans="1:17" ht="12.75">
      <c r="A4" s="237" t="s">
        <v>56</v>
      </c>
      <c r="B4" s="238"/>
      <c r="C4" s="239"/>
      <c r="D4" s="239"/>
      <c r="E4" s="239"/>
      <c r="F4" s="239"/>
      <c r="G4" s="239"/>
    </row>
    <row r="5" spans="1:17" ht="12.75">
      <c r="A5" s="237" t="s">
        <v>956</v>
      </c>
      <c r="B5" s="240"/>
      <c r="C5" s="240"/>
      <c r="D5" s="240"/>
      <c r="E5" s="240"/>
      <c r="F5" s="240"/>
      <c r="G5" s="240"/>
    </row>
    <row r="6" spans="1:17" ht="12" thickBot="1">
      <c r="A6" s="241"/>
      <c r="B6" s="241"/>
      <c r="C6" s="242"/>
      <c r="D6" s="243"/>
      <c r="E6" s="243"/>
      <c r="F6" s="243"/>
      <c r="G6" s="243"/>
    </row>
    <row r="7" spans="1:17" s="244" customFormat="1" ht="12.75" customHeight="1" thickTop="1" thickBot="1">
      <c r="A7" s="461" t="s">
        <v>935</v>
      </c>
      <c r="B7" s="462" t="s">
        <v>936</v>
      </c>
      <c r="C7" s="464" t="s">
        <v>937</v>
      </c>
      <c r="D7" s="466" t="s">
        <v>938</v>
      </c>
      <c r="E7" s="467"/>
      <c r="F7" s="467"/>
      <c r="G7" s="467"/>
      <c r="H7" s="467"/>
      <c r="I7" s="467"/>
      <c r="J7" s="467"/>
      <c r="K7" s="467"/>
      <c r="L7" s="467"/>
      <c r="M7" s="467"/>
      <c r="N7" s="467"/>
      <c r="O7" s="467"/>
    </row>
    <row r="8" spans="1:17" s="244" customFormat="1" ht="12" thickTop="1">
      <c r="A8" s="462"/>
      <c r="B8" s="463"/>
      <c r="C8" s="465"/>
      <c r="D8" s="245" t="s">
        <v>939</v>
      </c>
      <c r="E8" s="245" t="s">
        <v>940</v>
      </c>
      <c r="F8" s="245" t="s">
        <v>941</v>
      </c>
      <c r="G8" s="245" t="s">
        <v>942</v>
      </c>
      <c r="H8" s="245" t="s">
        <v>943</v>
      </c>
      <c r="I8" s="245" t="s">
        <v>944</v>
      </c>
      <c r="J8" s="245" t="s">
        <v>945</v>
      </c>
      <c r="K8" s="245" t="s">
        <v>946</v>
      </c>
      <c r="L8" s="245" t="s">
        <v>947</v>
      </c>
      <c r="M8" s="245" t="s">
        <v>948</v>
      </c>
      <c r="N8" s="245" t="s">
        <v>949</v>
      </c>
      <c r="O8" s="245" t="s">
        <v>950</v>
      </c>
    </row>
    <row r="9" spans="1:17" s="251" customFormat="1">
      <c r="A9" s="246"/>
      <c r="B9" s="246"/>
      <c r="C9" s="247"/>
      <c r="D9" s="248"/>
      <c r="E9" s="248"/>
      <c r="F9" s="248"/>
      <c r="G9" s="248"/>
      <c r="H9" s="249"/>
      <c r="I9" s="249"/>
      <c r="J9" s="250"/>
      <c r="K9" s="250"/>
      <c r="L9" s="250"/>
      <c r="M9" s="250"/>
      <c r="N9" s="250"/>
      <c r="O9" s="250"/>
    </row>
    <row r="10" spans="1:17" s="233" customFormat="1" ht="12">
      <c r="A10" s="252" t="str">
        <f>'Planilha orç'!A7</f>
        <v>1.0</v>
      </c>
      <c r="B10" s="253" t="str">
        <f>'Planilha orç'!D7</f>
        <v>SERVIÇOS PRELIMINARES</v>
      </c>
      <c r="C10" s="254">
        <f>'Planilha orç'!J7</f>
        <v>44965.730510399997</v>
      </c>
      <c r="D10" s="254">
        <f>($C10*D11)</f>
        <v>4507.3664543999994</v>
      </c>
      <c r="E10" s="254">
        <f t="shared" ref="E10:O10" si="0">($C10*E11)</f>
        <v>3678.033096000001</v>
      </c>
      <c r="F10" s="254">
        <f t="shared" si="0"/>
        <v>3678.033096000001</v>
      </c>
      <c r="G10" s="254">
        <f t="shared" si="0"/>
        <v>3678.033096000001</v>
      </c>
      <c r="H10" s="254">
        <f t="shared" si="0"/>
        <v>3678.033096000001</v>
      </c>
      <c r="I10" s="254">
        <f t="shared" si="0"/>
        <v>3678.033096000001</v>
      </c>
      <c r="J10" s="254">
        <f t="shared" si="0"/>
        <v>3678.033096000001</v>
      </c>
      <c r="K10" s="254">
        <f t="shared" si="0"/>
        <v>3678.033096000001</v>
      </c>
      <c r="L10" s="254">
        <f t="shared" si="0"/>
        <v>3678.033096000001</v>
      </c>
      <c r="M10" s="254">
        <f t="shared" si="0"/>
        <v>3678.033096000001</v>
      </c>
      <c r="N10" s="254">
        <f t="shared" si="0"/>
        <v>3678.033096000001</v>
      </c>
      <c r="O10" s="254">
        <f t="shared" si="0"/>
        <v>3678.033096000001</v>
      </c>
    </row>
    <row r="11" spans="1:17" ht="12">
      <c r="A11" s="257"/>
      <c r="B11" s="258"/>
      <c r="C11" s="259"/>
      <c r="D11" s="260">
        <f>1.84436758612914%+8.17963603448924%</f>
        <v>0.1002400362061838</v>
      </c>
      <c r="E11" s="260">
        <v>8.1796360344892405E-2</v>
      </c>
      <c r="F11" s="260">
        <v>8.1796360344892405E-2</v>
      </c>
      <c r="G11" s="260">
        <v>8.1796360344892405E-2</v>
      </c>
      <c r="H11" s="260">
        <v>8.1796360344892405E-2</v>
      </c>
      <c r="I11" s="260">
        <v>8.1796360344892405E-2</v>
      </c>
      <c r="J11" s="260">
        <v>8.1796360344892405E-2</v>
      </c>
      <c r="K11" s="260">
        <v>8.1796360344892405E-2</v>
      </c>
      <c r="L11" s="260">
        <v>8.1796360344892405E-2</v>
      </c>
      <c r="M11" s="260">
        <v>8.1796360344892405E-2</v>
      </c>
      <c r="N11" s="260">
        <v>8.1796360344892405E-2</v>
      </c>
      <c r="O11" s="260">
        <v>8.1796360344892405E-2</v>
      </c>
    </row>
    <row r="12" spans="1:17" ht="12">
      <c r="A12" s="257"/>
      <c r="B12" s="258"/>
      <c r="C12" s="263"/>
      <c r="D12" s="259"/>
      <c r="E12" s="259"/>
      <c r="F12" s="259"/>
      <c r="G12" s="259"/>
      <c r="H12" s="261"/>
      <c r="I12" s="261"/>
      <c r="J12" s="262"/>
      <c r="K12" s="262"/>
      <c r="L12" s="262"/>
      <c r="M12" s="262"/>
      <c r="N12" s="262"/>
      <c r="O12" s="262"/>
      <c r="Q12" s="371">
        <v>8.1796360344892405E-2</v>
      </c>
    </row>
    <row r="13" spans="1:17" s="233" customFormat="1" ht="12">
      <c r="A13" s="252" t="str">
        <f>'Planilha orç'!A11</f>
        <v>2.0</v>
      </c>
      <c r="B13" s="253" t="str">
        <f>'Planilha orç'!D11</f>
        <v xml:space="preserve">COBERTA </v>
      </c>
      <c r="C13" s="254">
        <f>'Planilha orç'!J11</f>
        <v>253855.85642016001</v>
      </c>
      <c r="D13" s="256"/>
      <c r="E13" s="254">
        <f t="shared" ref="D13:E17" si="1">($C13*E14)</f>
        <v>63463.964105040002</v>
      </c>
      <c r="F13" s="254">
        <f t="shared" ref="F13" si="2">($C13*F14)</f>
        <v>63463.964105040002</v>
      </c>
      <c r="G13" s="254">
        <f t="shared" ref="G13" si="3">($C13*G14)</f>
        <v>63463.964105040002</v>
      </c>
      <c r="H13" s="254">
        <f t="shared" ref="H13" si="4">($C13*H14)</f>
        <v>63463.964105040002</v>
      </c>
      <c r="I13" s="254"/>
      <c r="J13" s="254"/>
      <c r="K13" s="256"/>
      <c r="L13" s="256"/>
      <c r="M13" s="256"/>
      <c r="N13" s="256"/>
      <c r="O13" s="256"/>
    </row>
    <row r="14" spans="1:17" ht="12">
      <c r="A14" s="257"/>
      <c r="B14" s="258"/>
      <c r="C14" s="259"/>
      <c r="D14" s="262"/>
      <c r="E14" s="260">
        <v>0.25</v>
      </c>
      <c r="F14" s="260">
        <v>0.25</v>
      </c>
      <c r="G14" s="260">
        <v>0.25</v>
      </c>
      <c r="H14" s="260">
        <v>0.25</v>
      </c>
      <c r="I14" s="264"/>
      <c r="J14" s="264"/>
      <c r="K14" s="262"/>
      <c r="L14" s="262"/>
      <c r="M14" s="262"/>
      <c r="N14" s="262"/>
      <c r="O14" s="262"/>
    </row>
    <row r="15" spans="1:17" ht="12">
      <c r="A15" s="252" t="str">
        <f>'Planilha orç'!A27</f>
        <v>3.0</v>
      </c>
      <c r="B15" s="253" t="str">
        <f>'Planilha orç'!D27</f>
        <v>INFRAESTRUTURA</v>
      </c>
      <c r="C15" s="254">
        <f>'Planilha orç'!J27</f>
        <v>177121.14266567997</v>
      </c>
      <c r="D15" s="254">
        <f t="shared" si="1"/>
        <v>132840.85699925997</v>
      </c>
      <c r="E15" s="254">
        <f t="shared" si="1"/>
        <v>44280.285666419994</v>
      </c>
      <c r="F15" s="254"/>
      <c r="G15" s="254"/>
      <c r="H15" s="254"/>
      <c r="I15" s="254"/>
      <c r="J15" s="254"/>
      <c r="K15" s="254"/>
      <c r="L15" s="254"/>
      <c r="M15" s="254"/>
      <c r="N15" s="254"/>
      <c r="O15" s="254"/>
    </row>
    <row r="16" spans="1:17" ht="12">
      <c r="A16" s="257"/>
      <c r="B16" s="258"/>
      <c r="C16" s="259"/>
      <c r="D16" s="260">
        <v>0.75</v>
      </c>
      <c r="E16" s="260">
        <v>0.25</v>
      </c>
      <c r="F16" s="259"/>
      <c r="G16" s="259"/>
      <c r="H16" s="261"/>
      <c r="I16" s="261"/>
      <c r="J16" s="262"/>
      <c r="K16" s="262"/>
      <c r="L16" s="262"/>
      <c r="M16" s="262"/>
      <c r="N16" s="262"/>
      <c r="O16" s="262"/>
    </row>
    <row r="17" spans="1:15" ht="12">
      <c r="A17" s="252" t="str">
        <f>'Planilha orç'!A38</f>
        <v>4.0</v>
      </c>
      <c r="B17" s="253" t="str">
        <f>'Planilha orç'!D38</f>
        <v>SUPERESTRUTURA</v>
      </c>
      <c r="C17" s="254">
        <f>'Planilha orç'!J38</f>
        <v>169802.54152834701</v>
      </c>
      <c r="D17" s="254"/>
      <c r="E17" s="254">
        <f t="shared" si="1"/>
        <v>42450.635382086752</v>
      </c>
      <c r="F17" s="254">
        <f t="shared" ref="F17" si="5">($C17*F18)</f>
        <v>42450.635382086752</v>
      </c>
      <c r="G17" s="254">
        <f t="shared" ref="G17" si="6">($C17*G18)</f>
        <v>42450.635382086752</v>
      </c>
      <c r="H17" s="254">
        <f t="shared" ref="H17" si="7">($C17*H18)</f>
        <v>42450.635382086752</v>
      </c>
      <c r="I17" s="254"/>
      <c r="J17" s="254"/>
      <c r="K17" s="254"/>
      <c r="L17" s="255"/>
      <c r="M17" s="255"/>
      <c r="N17" s="255"/>
      <c r="O17" s="255"/>
    </row>
    <row r="18" spans="1:15" ht="12">
      <c r="A18" s="257"/>
      <c r="B18" s="258"/>
      <c r="C18" s="259"/>
      <c r="D18" s="264"/>
      <c r="E18" s="260">
        <v>0.25</v>
      </c>
      <c r="F18" s="260">
        <v>0.25</v>
      </c>
      <c r="G18" s="260">
        <v>0.25</v>
      </c>
      <c r="H18" s="260">
        <v>0.25</v>
      </c>
      <c r="I18" s="264"/>
      <c r="J18" s="264"/>
      <c r="K18" s="264"/>
      <c r="L18" s="262"/>
      <c r="M18" s="262"/>
      <c r="N18" s="262"/>
      <c r="O18" s="262"/>
    </row>
    <row r="19" spans="1:15" ht="12">
      <c r="A19" s="252" t="str">
        <f>'Planilha orç'!A45</f>
        <v>5.0</v>
      </c>
      <c r="B19" s="253" t="str">
        <f>'Planilha orç'!D45</f>
        <v xml:space="preserve"> PORTAS E ESQUADRIAS</v>
      </c>
      <c r="C19" s="254">
        <f>'Planilha orç'!J45</f>
        <v>167835.73492116001</v>
      </c>
      <c r="D19" s="254"/>
      <c r="E19" s="254"/>
      <c r="F19" s="254"/>
      <c r="G19" s="254"/>
      <c r="H19" s="254"/>
      <c r="I19" s="254"/>
      <c r="J19" s="254"/>
      <c r="K19" s="254"/>
      <c r="L19" s="254">
        <f t="shared" ref="L19:O21" si="8">($C19*L20)</f>
        <v>41958.933730290002</v>
      </c>
      <c r="M19" s="254">
        <f t="shared" si="8"/>
        <v>125876.80119087</v>
      </c>
      <c r="N19" s="254"/>
      <c r="O19" s="254"/>
    </row>
    <row r="20" spans="1:15" ht="12">
      <c r="A20" s="257"/>
      <c r="B20" s="258"/>
      <c r="C20" s="259"/>
      <c r="D20" s="262"/>
      <c r="E20" s="264"/>
      <c r="F20" s="262"/>
      <c r="G20" s="259"/>
      <c r="H20" s="261"/>
      <c r="I20" s="261"/>
      <c r="J20" s="262"/>
      <c r="K20" s="262"/>
      <c r="L20" s="260">
        <v>0.25</v>
      </c>
      <c r="M20" s="260">
        <v>0.75</v>
      </c>
      <c r="N20" s="262"/>
      <c r="O20" s="262"/>
    </row>
    <row r="21" spans="1:15" ht="12">
      <c r="A21" s="252" t="str">
        <f>'Planilha orç'!A65</f>
        <v>6.0</v>
      </c>
      <c r="B21" s="253" t="str">
        <f>'Planilha orç'!D65</f>
        <v xml:space="preserve">PINTURA </v>
      </c>
      <c r="C21" s="254">
        <f>'Planilha orç'!J65</f>
        <v>239498.64767030397</v>
      </c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>
        <f t="shared" si="8"/>
        <v>119749.32383515198</v>
      </c>
      <c r="O21" s="254">
        <f t="shared" si="8"/>
        <v>119749.32383515198</v>
      </c>
    </row>
    <row r="22" spans="1:15" ht="12">
      <c r="A22" s="257"/>
      <c r="B22" s="258"/>
      <c r="C22" s="259"/>
      <c r="D22" s="262"/>
      <c r="E22" s="264"/>
      <c r="F22" s="264"/>
      <c r="G22" s="264"/>
      <c r="H22" s="264"/>
      <c r="I22" s="264"/>
      <c r="J22" s="264"/>
      <c r="K22" s="264"/>
      <c r="L22" s="264"/>
      <c r="M22" s="264"/>
      <c r="N22" s="260">
        <v>0.5</v>
      </c>
      <c r="O22" s="260">
        <v>0.5</v>
      </c>
    </row>
    <row r="23" spans="1:15" ht="12">
      <c r="A23" s="252" t="str">
        <f>'Planilha orç'!A77</f>
        <v>7.0</v>
      </c>
      <c r="B23" s="253" t="str">
        <f>'Planilha orç'!D77</f>
        <v>REVESTIMENTOS</v>
      </c>
      <c r="C23" s="254">
        <f>'Planilha orç'!J77</f>
        <v>287663.28707532003</v>
      </c>
      <c r="D23" s="254"/>
      <c r="E23" s="254"/>
      <c r="F23" s="254"/>
      <c r="G23" s="254"/>
      <c r="H23" s="254"/>
      <c r="I23" s="254">
        <f t="shared" ref="I23" si="9">($C23*I24)</f>
        <v>71915.821768830006</v>
      </c>
      <c r="J23" s="254">
        <f t="shared" ref="J23" si="10">($C23*J24)</f>
        <v>71915.821768830006</v>
      </c>
      <c r="K23" s="254">
        <f t="shared" ref="K23" si="11">($C23*K24)</f>
        <v>71915.821768830006</v>
      </c>
      <c r="L23" s="254">
        <f t="shared" ref="L23" si="12">($C23*L24)</f>
        <v>71915.821768830006</v>
      </c>
      <c r="M23" s="254"/>
      <c r="N23" s="254"/>
      <c r="O23" s="254"/>
    </row>
    <row r="24" spans="1:15" ht="12">
      <c r="A24" s="257"/>
      <c r="B24" s="258"/>
      <c r="C24" s="259"/>
      <c r="D24" s="262"/>
      <c r="E24" s="259"/>
      <c r="F24" s="264"/>
      <c r="G24" s="264"/>
      <c r="H24" s="261"/>
      <c r="I24" s="260">
        <v>0.25</v>
      </c>
      <c r="J24" s="260">
        <v>0.25</v>
      </c>
      <c r="K24" s="260">
        <v>0.25</v>
      </c>
      <c r="L24" s="260">
        <v>0.25</v>
      </c>
      <c r="M24" s="264"/>
      <c r="N24" s="264"/>
      <c r="O24" s="262"/>
    </row>
    <row r="25" spans="1:15" ht="12">
      <c r="A25" s="252" t="str">
        <f>'Planilha orç'!A88</f>
        <v>8.0</v>
      </c>
      <c r="B25" s="253" t="str">
        <f>'Planilha orç'!D88</f>
        <v>PAISAGISMO</v>
      </c>
      <c r="C25" s="254">
        <f>'Planilha orç'!J88</f>
        <v>24267.588825040799</v>
      </c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>
        <f t="shared" ref="O25" si="13">($C25*O26)</f>
        <v>24267.588825040799</v>
      </c>
    </row>
    <row r="26" spans="1:15" ht="12">
      <c r="A26" s="257"/>
      <c r="B26" s="258"/>
      <c r="C26" s="259"/>
      <c r="D26" s="262"/>
      <c r="E26" s="259"/>
      <c r="F26" s="262"/>
      <c r="G26" s="262"/>
      <c r="H26" s="261"/>
      <c r="I26" s="261"/>
      <c r="J26" s="262"/>
      <c r="K26" s="262"/>
      <c r="L26" s="262"/>
      <c r="M26" s="262"/>
      <c r="N26" s="264"/>
      <c r="O26" s="260">
        <v>1</v>
      </c>
    </row>
    <row r="27" spans="1:15" ht="12">
      <c r="A27" s="252" t="str">
        <f>'Planilha orç'!A103</f>
        <v>9.0</v>
      </c>
      <c r="B27" s="253" t="str">
        <f>'Planilha orç'!D103</f>
        <v>PLAYGROUND</v>
      </c>
      <c r="C27" s="254">
        <f>'Planilha orç'!J103</f>
        <v>51314.82402</v>
      </c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>
        <f t="shared" ref="N27" si="14">($C27*N28)</f>
        <v>51314.82402</v>
      </c>
      <c r="O27" s="254"/>
    </row>
    <row r="28" spans="1:15" ht="12">
      <c r="A28" s="257"/>
      <c r="B28" s="258"/>
      <c r="C28" s="259"/>
      <c r="D28" s="264"/>
      <c r="E28" s="259"/>
      <c r="F28" s="259"/>
      <c r="G28" s="259"/>
      <c r="H28" s="261"/>
      <c r="I28" s="261"/>
      <c r="J28" s="262"/>
      <c r="K28" s="262"/>
      <c r="L28" s="262"/>
      <c r="M28" s="262"/>
      <c r="N28" s="260">
        <v>1</v>
      </c>
      <c r="O28" s="262"/>
    </row>
    <row r="29" spans="1:15" ht="12">
      <c r="A29" s="252" t="str">
        <f>'Planilha orç'!A105</f>
        <v>10.0</v>
      </c>
      <c r="B29" s="289" t="str">
        <f>'Planilha orç'!D105</f>
        <v>INSTALAÇÕES ELÉTRICAS</v>
      </c>
      <c r="C29" s="254">
        <f>'Planilha orç'!J105</f>
        <v>172386.20191483328</v>
      </c>
      <c r="D29" s="254"/>
      <c r="E29" s="254"/>
      <c r="F29" s="254"/>
      <c r="G29" s="254"/>
      <c r="H29" s="254">
        <f t="shared" ref="H29" si="15">($C29*H30)</f>
        <v>43096.550478708319</v>
      </c>
      <c r="I29" s="254">
        <f t="shared" ref="I29" si="16">($C29*I30)</f>
        <v>43096.550478708319</v>
      </c>
      <c r="J29" s="254">
        <f t="shared" ref="J29:K29" si="17">($C29*J30)</f>
        <v>43096.550478708319</v>
      </c>
      <c r="K29" s="254">
        <f t="shared" si="17"/>
        <v>43096.550478708319</v>
      </c>
      <c r="L29" s="254"/>
      <c r="M29" s="254"/>
      <c r="N29" s="254"/>
      <c r="O29" s="254"/>
    </row>
    <row r="30" spans="1:15" ht="12">
      <c r="A30" s="257"/>
      <c r="B30" s="258"/>
      <c r="C30" s="259"/>
      <c r="D30" s="262"/>
      <c r="E30" s="259"/>
      <c r="F30" s="264"/>
      <c r="G30" s="259"/>
      <c r="H30" s="260">
        <v>0.25</v>
      </c>
      <c r="I30" s="260">
        <v>0.25</v>
      </c>
      <c r="J30" s="260">
        <v>0.25</v>
      </c>
      <c r="K30" s="260">
        <v>0.25</v>
      </c>
      <c r="L30" s="262"/>
      <c r="M30" s="262"/>
      <c r="N30" s="262"/>
      <c r="O30" s="262"/>
    </row>
    <row r="31" spans="1:15" ht="12">
      <c r="A31" s="252" t="str">
        <f>'Planilha orç'!A162</f>
        <v>11.0</v>
      </c>
      <c r="B31" s="253" t="str">
        <f>'Planilha orç'!D162</f>
        <v>INSTALAÇÕES SANITÁRIAS</v>
      </c>
      <c r="C31" s="254">
        <f>'Planilha orç'!J162</f>
        <v>130901.11926065618</v>
      </c>
      <c r="D31" s="254"/>
      <c r="E31" s="254"/>
      <c r="F31" s="254"/>
      <c r="G31" s="254"/>
      <c r="H31" s="254">
        <f t="shared" ref="H31" si="18">($C31*H32)</f>
        <v>32725.279815164045</v>
      </c>
      <c r="I31" s="254">
        <f t="shared" ref="I31" si="19">($C31*I32)</f>
        <v>32725.279815164045</v>
      </c>
      <c r="J31" s="254">
        <f t="shared" ref="J31" si="20">($C31*J32)</f>
        <v>32725.279815164045</v>
      </c>
      <c r="K31" s="254">
        <f t="shared" ref="K31" si="21">($C31*K32)</f>
        <v>32725.279815164045</v>
      </c>
      <c r="L31" s="254"/>
      <c r="M31" s="254"/>
      <c r="N31" s="254"/>
      <c r="O31" s="254"/>
    </row>
    <row r="32" spans="1:15" ht="12">
      <c r="A32" s="257"/>
      <c r="B32" s="258"/>
      <c r="C32" s="259"/>
      <c r="D32" s="262"/>
      <c r="E32" s="259"/>
      <c r="F32" s="259"/>
      <c r="G32" s="262"/>
      <c r="H32" s="260">
        <v>0.25</v>
      </c>
      <c r="I32" s="260">
        <v>0.25</v>
      </c>
      <c r="J32" s="260">
        <v>0.25</v>
      </c>
      <c r="K32" s="260">
        <v>0.25</v>
      </c>
      <c r="L32" s="264"/>
      <c r="M32" s="262"/>
      <c r="N32" s="262"/>
      <c r="O32" s="264"/>
    </row>
    <row r="33" spans="1:15" ht="12">
      <c r="A33" s="265" t="str">
        <f>'Planilha orç'!A195</f>
        <v>12.0</v>
      </c>
      <c r="B33" s="253" t="str">
        <f>'Planilha orç'!D195</f>
        <v xml:space="preserve">INSTALAÇÕES HIDRÁULICAS </v>
      </c>
      <c r="C33" s="254">
        <f>'Planilha orç'!J195</f>
        <v>35438.648292303842</v>
      </c>
      <c r="D33" s="254"/>
      <c r="E33" s="254"/>
      <c r="F33" s="254"/>
      <c r="G33" s="254"/>
      <c r="H33" s="254">
        <f t="shared" ref="H33" si="22">($C33*H34)</f>
        <v>8859.6620730759605</v>
      </c>
      <c r="I33" s="254">
        <f t="shared" ref="I33" si="23">($C33*I34)</f>
        <v>8859.6620730759605</v>
      </c>
      <c r="J33" s="254">
        <f t="shared" ref="J33" si="24">($C33*J34)</f>
        <v>8859.6620730759605</v>
      </c>
      <c r="K33" s="254">
        <f t="shared" ref="K33" si="25">($C33*K34)</f>
        <v>8859.6620730759605</v>
      </c>
      <c r="L33" s="254"/>
      <c r="M33" s="254"/>
      <c r="N33" s="254"/>
      <c r="O33" s="254"/>
    </row>
    <row r="34" spans="1:15" ht="12">
      <c r="A34" s="257"/>
      <c r="B34" s="258"/>
      <c r="C34" s="259"/>
      <c r="D34" s="262"/>
      <c r="E34" s="259"/>
      <c r="F34" s="259"/>
      <c r="G34" s="262"/>
      <c r="H34" s="260">
        <v>0.25</v>
      </c>
      <c r="I34" s="260">
        <v>0.25</v>
      </c>
      <c r="J34" s="260">
        <v>0.25</v>
      </c>
      <c r="K34" s="260">
        <v>0.25</v>
      </c>
      <c r="L34" s="264"/>
      <c r="M34" s="262"/>
      <c r="N34" s="262"/>
      <c r="O34" s="264"/>
    </row>
    <row r="35" spans="1:15" ht="12">
      <c r="A35" s="300" t="str">
        <f>'Planilha orç'!A225</f>
        <v>13.0</v>
      </c>
      <c r="B35" s="253" t="str">
        <f>'Planilha orç'!D225</f>
        <v>RECUPERAÇÃO ESTRUTURAL</v>
      </c>
      <c r="C35" s="254">
        <f>'Planilha orç'!J225</f>
        <v>2899.2798239999997</v>
      </c>
      <c r="D35" s="254"/>
      <c r="E35" s="254">
        <f t="shared" ref="E35" si="26">($C35*E36)</f>
        <v>2899.2798239999997</v>
      </c>
      <c r="F35" s="254"/>
      <c r="G35" s="254"/>
      <c r="H35" s="254"/>
      <c r="I35" s="254"/>
      <c r="J35" s="254"/>
      <c r="K35" s="254"/>
      <c r="L35" s="254"/>
      <c r="M35" s="254"/>
      <c r="N35" s="254"/>
      <c r="O35" s="254"/>
    </row>
    <row r="36" spans="1:15" ht="12">
      <c r="A36" s="257"/>
      <c r="B36" s="258"/>
      <c r="C36" s="259"/>
      <c r="D36" s="262"/>
      <c r="E36" s="260">
        <v>1</v>
      </c>
      <c r="F36" s="259"/>
      <c r="G36" s="262"/>
      <c r="H36" s="264"/>
      <c r="I36" s="264"/>
      <c r="J36" s="264"/>
      <c r="K36" s="264"/>
      <c r="L36" s="264"/>
      <c r="M36" s="262"/>
      <c r="N36" s="262"/>
      <c r="O36" s="264"/>
    </row>
    <row r="37" spans="1:15" ht="12">
      <c r="A37" s="265" t="str">
        <f>'Planilha orç'!A231</f>
        <v>14.0</v>
      </c>
      <c r="B37" s="253" t="str">
        <f>'Planilha orç'!D231</f>
        <v xml:space="preserve">SERVIÇOS COMPLEMENTARES </v>
      </c>
      <c r="C37" s="254">
        <f>'Planilha orç'!J231</f>
        <v>2421.35951148</v>
      </c>
      <c r="D37" s="254"/>
      <c r="E37" s="254"/>
      <c r="F37" s="254"/>
      <c r="G37" s="254"/>
      <c r="H37" s="254"/>
      <c r="I37" s="254"/>
      <c r="J37" s="254"/>
      <c r="K37" s="254"/>
      <c r="L37" s="254"/>
      <c r="M37" s="254">
        <f t="shared" ref="M37:N37" si="27">($C37*M38)</f>
        <v>1816.01963361</v>
      </c>
      <c r="N37" s="254">
        <f t="shared" si="27"/>
        <v>605.33987787000001</v>
      </c>
      <c r="O37" s="254"/>
    </row>
    <row r="38" spans="1:15" ht="12">
      <c r="A38" s="257"/>
      <c r="B38" s="258"/>
      <c r="C38" s="259"/>
      <c r="D38" s="262"/>
      <c r="E38" s="259"/>
      <c r="F38" s="259"/>
      <c r="G38" s="262"/>
      <c r="H38" s="261"/>
      <c r="I38" s="261"/>
      <c r="J38" s="262"/>
      <c r="K38" s="262"/>
      <c r="L38" s="264"/>
      <c r="M38" s="260">
        <v>0.75</v>
      </c>
      <c r="N38" s="260">
        <v>0.25</v>
      </c>
      <c r="O38" s="264"/>
    </row>
    <row r="39" spans="1:15" s="266" customFormat="1" ht="12">
      <c r="A39" s="454" t="s">
        <v>951</v>
      </c>
      <c r="B39" s="454"/>
      <c r="C39" s="454"/>
      <c r="D39" s="254">
        <f>D10+D13+D15+D17+D19+D21+D23+D25+D27+D29+D31+D33+D37</f>
        <v>137348.22345365997</v>
      </c>
      <c r="E39" s="254">
        <f>E10+E13+E15+E17+E19+E21+E23+E25+E27+E29+E31+E33+E35+E37</f>
        <v>156772.19807354675</v>
      </c>
      <c r="F39" s="254">
        <f t="shared" ref="F39:O39" si="28">F10+F13+F15+F17+F19+F21+F23+F25+F27+F29+F31+F33+F37</f>
        <v>109592.63258312676</v>
      </c>
      <c r="G39" s="254">
        <f t="shared" si="28"/>
        <v>109592.63258312676</v>
      </c>
      <c r="H39" s="254">
        <f t="shared" si="28"/>
        <v>194274.12495007506</v>
      </c>
      <c r="I39" s="254">
        <f t="shared" si="28"/>
        <v>160275.34723177832</v>
      </c>
      <c r="J39" s="254">
        <f t="shared" si="28"/>
        <v>160275.34723177832</v>
      </c>
      <c r="K39" s="254">
        <f t="shared" si="28"/>
        <v>160275.34723177832</v>
      </c>
      <c r="L39" s="254">
        <f t="shared" si="28"/>
        <v>117552.78859512002</v>
      </c>
      <c r="M39" s="254">
        <f t="shared" si="28"/>
        <v>131370.85392048</v>
      </c>
      <c r="N39" s="254">
        <f t="shared" si="28"/>
        <v>175347.52082902199</v>
      </c>
      <c r="O39" s="254">
        <f t="shared" si="28"/>
        <v>147694.94575619278</v>
      </c>
    </row>
    <row r="40" spans="1:15" s="267" customFormat="1" ht="12">
      <c r="A40" s="257"/>
      <c r="B40" s="257"/>
      <c r="C40" s="257"/>
      <c r="D40" s="260">
        <f>D39/$D$45</f>
        <v>7.8022273919490404E-2</v>
      </c>
      <c r="E40" s="260">
        <f t="shared" ref="E40:O40" si="29">E39/$D$45</f>
        <v>8.905629118080105E-2</v>
      </c>
      <c r="F40" s="260">
        <f t="shared" si="29"/>
        <v>6.2255384044655679E-2</v>
      </c>
      <c r="G40" s="260">
        <f t="shared" si="29"/>
        <v>6.2255384044655679E-2</v>
      </c>
      <c r="H40" s="260">
        <f t="shared" si="29"/>
        <v>0.11035970186711686</v>
      </c>
      <c r="I40" s="260">
        <f t="shared" si="29"/>
        <v>9.1046296266644719E-2</v>
      </c>
      <c r="J40" s="260">
        <f t="shared" si="29"/>
        <v>9.1046296266644719E-2</v>
      </c>
      <c r="K40" s="260">
        <f t="shared" si="29"/>
        <v>9.1046296266644719E-2</v>
      </c>
      <c r="L40" s="260">
        <f t="shared" si="29"/>
        <v>6.67772443002356E-2</v>
      </c>
      <c r="M40" s="260">
        <f t="shared" si="29"/>
        <v>7.4626758846132846E-2</v>
      </c>
      <c r="N40" s="260">
        <f t="shared" si="29"/>
        <v>9.9608221768091171E-2</v>
      </c>
      <c r="O40" s="260">
        <f t="shared" si="29"/>
        <v>8.3899851228886643E-2</v>
      </c>
    </row>
    <row r="41" spans="1:15" s="267" customFormat="1" ht="12">
      <c r="A41" s="257"/>
      <c r="B41" s="257"/>
      <c r="C41" s="257"/>
      <c r="D41" s="259"/>
      <c r="E41" s="259"/>
      <c r="F41" s="259"/>
      <c r="G41" s="259"/>
      <c r="H41" s="268"/>
      <c r="I41" s="268"/>
      <c r="J41" s="269"/>
      <c r="K41" s="269"/>
      <c r="L41" s="269"/>
      <c r="M41" s="269"/>
      <c r="N41" s="269"/>
      <c r="O41" s="269"/>
    </row>
    <row r="42" spans="1:15" s="266" customFormat="1" ht="12">
      <c r="A42" s="454" t="s">
        <v>952</v>
      </c>
      <c r="B42" s="454"/>
      <c r="C42" s="454"/>
      <c r="D42" s="254">
        <f>D39</f>
        <v>137348.22345365997</v>
      </c>
      <c r="E42" s="254">
        <f t="shared" ref="E42:O42" si="30">SUM(E39,D42)</f>
        <v>294120.42152720672</v>
      </c>
      <c r="F42" s="254">
        <f t="shared" si="30"/>
        <v>403713.0541103335</v>
      </c>
      <c r="G42" s="254">
        <f t="shared" si="30"/>
        <v>513305.68669346027</v>
      </c>
      <c r="H42" s="254">
        <f t="shared" si="30"/>
        <v>707579.81164353527</v>
      </c>
      <c r="I42" s="254">
        <f t="shared" si="30"/>
        <v>867855.15887531359</v>
      </c>
      <c r="J42" s="254">
        <f t="shared" si="30"/>
        <v>1028130.5061070919</v>
      </c>
      <c r="K42" s="254">
        <f t="shared" si="30"/>
        <v>1188405.8533388702</v>
      </c>
      <c r="L42" s="254">
        <f t="shared" si="30"/>
        <v>1305958.6419339902</v>
      </c>
      <c r="M42" s="254">
        <f t="shared" si="30"/>
        <v>1437329.4958544702</v>
      </c>
      <c r="N42" s="254">
        <f t="shared" si="30"/>
        <v>1612677.0166834921</v>
      </c>
      <c r="O42" s="254">
        <f t="shared" si="30"/>
        <v>1760371.9624396849</v>
      </c>
    </row>
    <row r="43" spans="1:15" s="267" customFormat="1" ht="12">
      <c r="A43" s="246"/>
      <c r="B43" s="246"/>
      <c r="C43" s="246"/>
      <c r="D43" s="260">
        <f>D40</f>
        <v>7.8022273919490404E-2</v>
      </c>
      <c r="E43" s="260">
        <f>E40+D43</f>
        <v>0.16707856510029145</v>
      </c>
      <c r="F43" s="260">
        <f>F40+E43</f>
        <v>0.22933394914494715</v>
      </c>
      <c r="G43" s="260">
        <f t="shared" ref="G43:O43" si="31">G40+F43</f>
        <v>0.29158933318960284</v>
      </c>
      <c r="H43" s="260">
        <f t="shared" si="31"/>
        <v>0.40194903505671969</v>
      </c>
      <c r="I43" s="260">
        <f t="shared" si="31"/>
        <v>0.49299533132336443</v>
      </c>
      <c r="J43" s="260">
        <f t="shared" si="31"/>
        <v>0.5840416275900091</v>
      </c>
      <c r="K43" s="260">
        <f t="shared" si="31"/>
        <v>0.67508792385665384</v>
      </c>
      <c r="L43" s="260">
        <f t="shared" si="31"/>
        <v>0.74186516815688941</v>
      </c>
      <c r="M43" s="260">
        <f t="shared" si="31"/>
        <v>0.8164919270030222</v>
      </c>
      <c r="N43" s="260">
        <f t="shared" si="31"/>
        <v>0.91610014877111334</v>
      </c>
      <c r="O43" s="260">
        <f t="shared" si="31"/>
        <v>1</v>
      </c>
    </row>
    <row r="44" spans="1:15" s="267" customFormat="1" ht="12" thickBot="1">
      <c r="A44" s="270"/>
      <c r="B44" s="271"/>
      <c r="C44" s="271"/>
      <c r="D44" s="272"/>
      <c r="E44" s="272"/>
      <c r="F44" s="272"/>
      <c r="G44" s="273"/>
      <c r="H44" s="274"/>
      <c r="I44" s="274"/>
      <c r="J44" s="275"/>
      <c r="K44" s="275"/>
      <c r="L44" s="275"/>
      <c r="M44" s="275"/>
      <c r="N44" s="275"/>
      <c r="O44" s="275"/>
    </row>
    <row r="45" spans="1:15" s="276" customFormat="1" ht="15.6" customHeight="1" thickTop="1" thickBot="1">
      <c r="A45" s="455" t="s">
        <v>953</v>
      </c>
      <c r="B45" s="455"/>
      <c r="C45" s="455"/>
      <c r="D45" s="456">
        <f>SUM(D39:O39)</f>
        <v>1760371.9624396849</v>
      </c>
      <c r="E45" s="457"/>
      <c r="F45" s="457"/>
      <c r="G45" s="457"/>
      <c r="H45" s="457"/>
      <c r="I45" s="457"/>
      <c r="J45" s="457"/>
      <c r="K45" s="457"/>
      <c r="L45" s="457"/>
      <c r="M45" s="457"/>
      <c r="N45" s="457"/>
      <c r="O45" s="457"/>
    </row>
    <row r="46" spans="1:15" ht="12.75" thickTop="1" thickBot="1">
      <c r="C46" s="235"/>
      <c r="D46" s="235"/>
      <c r="E46" s="235"/>
      <c r="F46" s="235"/>
      <c r="G46" s="235"/>
    </row>
    <row r="47" spans="1:15" ht="12" thickBot="1">
      <c r="C47" s="277">
        <f>SUM(C9:C32)</f>
        <v>1719612.6748119011</v>
      </c>
      <c r="D47" s="235"/>
      <c r="E47" s="235"/>
      <c r="F47" s="235"/>
      <c r="G47" s="235"/>
    </row>
    <row r="48" spans="1:15">
      <c r="B48" s="278" t="s">
        <v>954</v>
      </c>
      <c r="C48" s="279" t="e">
        <f>'[6]ORÇAMENTO SEM DESON'!#REF!/4</f>
        <v>#REF!</v>
      </c>
      <c r="D48" s="280" t="e">
        <f>D39-$C$48</f>
        <v>#REF!</v>
      </c>
      <c r="E48" s="280" t="e">
        <f t="shared" ref="E48:G48" si="32">E39-$C$48</f>
        <v>#REF!</v>
      </c>
      <c r="F48" s="280" t="e">
        <f t="shared" si="32"/>
        <v>#REF!</v>
      </c>
      <c r="G48" s="280" t="e">
        <f t="shared" si="32"/>
        <v>#REF!</v>
      </c>
    </row>
    <row r="49" spans="3:9">
      <c r="C49" s="280" t="e">
        <f>D45-'[6]ORÇAMENTO SEM DESON'!#REF!</f>
        <v>#REF!</v>
      </c>
      <c r="D49" s="281" t="e">
        <f>D48/$C$47</f>
        <v>#REF!</v>
      </c>
      <c r="E49" s="281" t="e">
        <f t="shared" ref="E49:G49" si="33">E48/$C$47</f>
        <v>#REF!</v>
      </c>
      <c r="F49" s="281" t="e">
        <f t="shared" si="33"/>
        <v>#REF!</v>
      </c>
      <c r="G49" s="281" t="e">
        <f t="shared" si="33"/>
        <v>#REF!</v>
      </c>
    </row>
    <row r="50" spans="3:9">
      <c r="D50" s="235"/>
      <c r="E50" s="235"/>
      <c r="F50" s="235"/>
      <c r="G50" s="235"/>
    </row>
    <row r="52" spans="3:9">
      <c r="F52" s="235"/>
      <c r="G52" s="235"/>
      <c r="H52" s="236"/>
      <c r="I52" s="236"/>
    </row>
  </sheetData>
  <mergeCells count="10">
    <mergeCell ref="A39:C39"/>
    <mergeCell ref="A42:C42"/>
    <mergeCell ref="A45:C45"/>
    <mergeCell ref="D45:O45"/>
    <mergeCell ref="A1:O1"/>
    <mergeCell ref="A3:G3"/>
    <mergeCell ref="A7:A8"/>
    <mergeCell ref="B7:B8"/>
    <mergeCell ref="C7:C8"/>
    <mergeCell ref="D7:O7"/>
  </mergeCells>
  <printOptions horizontalCentered="1"/>
  <pageMargins left="0.51181102362204722" right="0.51181102362204722" top="1.2598425196850394" bottom="0.78740157480314965" header="0.31496062992125984" footer="0.31496062992125984"/>
  <pageSetup paperSize="9" scale="75" orientation="landscape" horizontalDpi="360" verticalDpi="360" r:id="rId1"/>
  <headerFooter>
    <oddHeader>&amp;C&amp;G</oddHeader>
    <oddFooter>&amp;RPág. &amp;P de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B1:G69"/>
  <sheetViews>
    <sheetView tabSelected="1" view="pageBreakPreview" topLeftCell="A11" zoomScaleSheetLayoutView="100" workbookViewId="0">
      <selection activeCell="D27" sqref="D27"/>
    </sheetView>
  </sheetViews>
  <sheetFormatPr defaultColWidth="9.140625" defaultRowHeight="14.25"/>
  <cols>
    <col min="1" max="1" width="1.140625" style="41" customWidth="1"/>
    <col min="2" max="2" width="75.7109375" style="41" customWidth="1"/>
    <col min="3" max="3" width="10.140625" style="43" customWidth="1"/>
    <col min="4" max="4" width="12" style="43" customWidth="1"/>
    <col min="5" max="5" width="11.42578125" style="41" customWidth="1"/>
    <col min="6" max="6" width="62.5703125" style="41" customWidth="1"/>
    <col min="7" max="16384" width="9.140625" style="41"/>
  </cols>
  <sheetData>
    <row r="1" spans="2:4" hidden="1"/>
    <row r="2" spans="2:4" hidden="1"/>
    <row r="3" spans="2:4" hidden="1"/>
    <row r="4" spans="2:4" hidden="1"/>
    <row r="5" spans="2:4" hidden="1"/>
    <row r="6" spans="2:4" hidden="1"/>
    <row r="7" spans="2:4" hidden="1"/>
    <row r="8" spans="2:4" hidden="1"/>
    <row r="9" spans="2:4" hidden="1"/>
    <row r="10" spans="2:4" hidden="1"/>
    <row r="11" spans="2:4" ht="15.75">
      <c r="B11" s="468" t="s">
        <v>21</v>
      </c>
      <c r="C11" s="468"/>
      <c r="D11" s="468"/>
    </row>
    <row r="12" spans="2:4" s="10" customFormat="1" ht="54.6" customHeight="1">
      <c r="B12" s="475" t="s">
        <v>58</v>
      </c>
      <c r="C12" s="475"/>
      <c r="D12" s="475"/>
    </row>
    <row r="13" spans="2:4" s="13" customFormat="1" ht="11.25">
      <c r="B13" s="12"/>
      <c r="C13" s="12"/>
      <c r="D13" s="12"/>
    </row>
    <row r="14" spans="2:4" s="10" customFormat="1" ht="15.75">
      <c r="B14" s="468" t="s">
        <v>23</v>
      </c>
      <c r="C14" s="468"/>
      <c r="D14" s="468"/>
    </row>
    <row r="15" spans="2:4" s="10" customFormat="1" ht="12.75">
      <c r="B15" s="14"/>
      <c r="C15" s="14"/>
      <c r="D15" s="14"/>
    </row>
    <row r="16" spans="2:4" s="3" customFormat="1" ht="15">
      <c r="B16" s="476" t="s">
        <v>955</v>
      </c>
      <c r="C16" s="476"/>
      <c r="D16" s="476"/>
    </row>
    <row r="17" spans="2:6" s="3" customFormat="1" ht="15">
      <c r="B17" s="476" t="s">
        <v>56</v>
      </c>
      <c r="C17" s="476"/>
      <c r="D17" s="476"/>
    </row>
    <row r="18" spans="2:6" s="10" customFormat="1" ht="15">
      <c r="B18" s="477" t="s">
        <v>956</v>
      </c>
      <c r="C18" s="478"/>
      <c r="D18" s="478"/>
    </row>
    <row r="19" spans="2:6" s="10" customFormat="1" ht="12.75">
      <c r="B19" s="15"/>
      <c r="C19" s="16"/>
      <c r="D19" s="16"/>
    </row>
    <row r="20" spans="2:6" s="10" customFormat="1" ht="15">
      <c r="B20" s="17" t="s">
        <v>24</v>
      </c>
      <c r="C20" s="18" t="s">
        <v>25</v>
      </c>
      <c r="D20" s="18" t="s">
        <v>26</v>
      </c>
      <c r="F20" s="19" t="s">
        <v>27</v>
      </c>
    </row>
    <row r="21" spans="2:6" s="10" customFormat="1" ht="15">
      <c r="B21" s="20"/>
      <c r="C21" s="21"/>
      <c r="D21" s="21"/>
    </row>
    <row r="22" spans="2:6" s="10" customFormat="1" ht="15">
      <c r="B22" s="22" t="s">
        <v>28</v>
      </c>
      <c r="C22" s="23" t="s">
        <v>15</v>
      </c>
      <c r="D22" s="24">
        <v>0.03</v>
      </c>
      <c r="E22" s="10" t="s">
        <v>29</v>
      </c>
      <c r="F22" s="25" t="s">
        <v>65</v>
      </c>
    </row>
    <row r="23" spans="2:6" s="10" customFormat="1" ht="15">
      <c r="B23" s="22"/>
      <c r="C23" s="23"/>
      <c r="D23" s="26"/>
    </row>
    <row r="24" spans="2:6" s="10" customFormat="1" ht="15">
      <c r="B24" s="22" t="s">
        <v>30</v>
      </c>
      <c r="C24" s="23" t="s">
        <v>17</v>
      </c>
      <c r="D24" s="24">
        <v>5.8999999999999999E-3</v>
      </c>
      <c r="E24" s="10" t="s">
        <v>29</v>
      </c>
      <c r="F24" s="25" t="s">
        <v>68</v>
      </c>
    </row>
    <row r="25" spans="2:6" s="10" customFormat="1" ht="15">
      <c r="B25" s="22"/>
      <c r="C25" s="23"/>
      <c r="D25" s="27"/>
    </row>
    <row r="26" spans="2:6" s="10" customFormat="1" ht="15">
      <c r="B26" s="22" t="s">
        <v>31</v>
      </c>
      <c r="C26" s="23" t="s">
        <v>16</v>
      </c>
      <c r="D26" s="24">
        <v>9.7000000000000003E-3</v>
      </c>
      <c r="E26" s="10" t="s">
        <v>29</v>
      </c>
      <c r="F26" s="25" t="s">
        <v>66</v>
      </c>
    </row>
    <row r="27" spans="2:6" s="10" customFormat="1" ht="15">
      <c r="B27" s="22"/>
      <c r="C27" s="23"/>
      <c r="D27" s="27"/>
    </row>
    <row r="28" spans="2:6" s="10" customFormat="1" ht="15">
      <c r="B28" s="28" t="s">
        <v>32</v>
      </c>
      <c r="C28" s="29" t="s">
        <v>33</v>
      </c>
      <c r="D28" s="30">
        <v>8.0000000000000002E-3</v>
      </c>
      <c r="E28" s="10" t="s">
        <v>34</v>
      </c>
      <c r="F28" s="479" t="s">
        <v>67</v>
      </c>
    </row>
    <row r="29" spans="2:6" s="10" customFormat="1" ht="15">
      <c r="B29" s="22"/>
      <c r="C29" s="23"/>
      <c r="D29" s="31"/>
      <c r="F29" s="480"/>
    </row>
    <row r="30" spans="2:6" s="10" customFormat="1" ht="15">
      <c r="B30" s="22" t="s">
        <v>35</v>
      </c>
      <c r="C30" s="23" t="s">
        <v>35</v>
      </c>
      <c r="D30" s="31">
        <v>0.03</v>
      </c>
    </row>
    <row r="31" spans="2:6" s="10" customFormat="1" ht="15">
      <c r="B31" s="22" t="s">
        <v>36</v>
      </c>
      <c r="C31" s="23" t="s">
        <v>19</v>
      </c>
      <c r="D31" s="31">
        <v>0.02</v>
      </c>
      <c r="E31" s="32">
        <f>0.05*0.4</f>
        <v>2.0000000000000004E-2</v>
      </c>
    </row>
    <row r="32" spans="2:6" s="10" customFormat="1" ht="15">
      <c r="B32" s="22" t="s">
        <v>37</v>
      </c>
      <c r="C32" s="23" t="s">
        <v>37</v>
      </c>
      <c r="D32" s="31">
        <v>6.4999999999999997E-3</v>
      </c>
    </row>
    <row r="33" spans="2:7" s="10" customFormat="1" ht="15">
      <c r="B33" s="22" t="s">
        <v>38</v>
      </c>
      <c r="C33" s="23" t="s">
        <v>39</v>
      </c>
      <c r="D33" s="24">
        <f>SUM(D30:D32)</f>
        <v>5.6500000000000002E-2</v>
      </c>
    </row>
    <row r="34" spans="2:7" s="10" customFormat="1" ht="15">
      <c r="B34" s="22"/>
      <c r="C34" s="23"/>
      <c r="D34" s="31"/>
    </row>
    <row r="35" spans="2:7" s="10" customFormat="1" ht="15">
      <c r="B35" s="22" t="s">
        <v>40</v>
      </c>
      <c r="C35" s="23" t="s">
        <v>18</v>
      </c>
      <c r="D35" s="24">
        <v>7.7499999999999999E-2</v>
      </c>
      <c r="E35" s="10" t="s">
        <v>41</v>
      </c>
      <c r="F35" s="25" t="s">
        <v>69</v>
      </c>
    </row>
    <row r="36" spans="2:7" s="10" customFormat="1" ht="15">
      <c r="B36" s="20"/>
      <c r="C36" s="21"/>
      <c r="D36" s="33"/>
    </row>
    <row r="37" spans="2:7" s="10" customFormat="1" ht="15">
      <c r="B37" s="34" t="s">
        <v>42</v>
      </c>
      <c r="C37" s="35"/>
      <c r="D37" s="24">
        <f>ROUND((((1+D22+D28+D26)*(1+D24)*(1+D35))/(1-D33))-1,4)</f>
        <v>0.2036</v>
      </c>
      <c r="E37" s="481" t="s">
        <v>43</v>
      </c>
      <c r="F37" s="482"/>
    </row>
    <row r="38" spans="2:7" s="10" customFormat="1" ht="12.75">
      <c r="C38" s="11"/>
      <c r="D38" s="36"/>
      <c r="F38" s="25" t="s">
        <v>70</v>
      </c>
    </row>
    <row r="39" spans="2:7" s="10" customFormat="1" ht="13.15" customHeight="1">
      <c r="C39" s="11"/>
      <c r="D39" s="11"/>
      <c r="E39" s="469" t="s">
        <v>44</v>
      </c>
      <c r="F39" s="469"/>
      <c r="G39" s="469"/>
    </row>
    <row r="40" spans="2:7" s="10" customFormat="1" ht="12.75" hidden="1">
      <c r="C40" s="11"/>
      <c r="D40" s="11"/>
      <c r="E40" s="469"/>
      <c r="F40" s="469"/>
      <c r="G40" s="469"/>
    </row>
    <row r="41" spans="2:7" s="10" customFormat="1" ht="15">
      <c r="B41" s="37" t="s">
        <v>45</v>
      </c>
      <c r="C41" s="11"/>
      <c r="D41" s="11"/>
      <c r="E41" s="469"/>
      <c r="F41" s="469"/>
      <c r="G41" s="469"/>
    </row>
    <row r="42" spans="2:7">
      <c r="B42" s="38"/>
      <c r="C42" s="39"/>
      <c r="D42" s="40"/>
      <c r="E42" s="469"/>
      <c r="F42" s="469"/>
      <c r="G42" s="469"/>
    </row>
    <row r="43" spans="2:7">
      <c r="B43" s="42"/>
      <c r="D43" s="44"/>
    </row>
    <row r="44" spans="2:7">
      <c r="B44" s="42"/>
      <c r="D44" s="44"/>
    </row>
    <row r="45" spans="2:7">
      <c r="B45" s="42"/>
      <c r="D45" s="44"/>
    </row>
    <row r="46" spans="2:7">
      <c r="B46" s="42"/>
      <c r="D46" s="44"/>
    </row>
    <row r="47" spans="2:7">
      <c r="B47" s="45"/>
      <c r="C47" s="46"/>
      <c r="D47" s="47"/>
    </row>
    <row r="48" spans="2:7" ht="15">
      <c r="B48" s="48"/>
    </row>
    <row r="49" spans="2:4" ht="15">
      <c r="B49" s="48" t="s">
        <v>46</v>
      </c>
    </row>
    <row r="50" spans="2:4" s="49" customFormat="1">
      <c r="B50" s="470" t="s">
        <v>47</v>
      </c>
      <c r="C50" s="470"/>
      <c r="D50" s="470"/>
    </row>
    <row r="51" spans="2:4" s="49" customFormat="1" ht="48" customHeight="1">
      <c r="B51" s="471" t="s">
        <v>51</v>
      </c>
      <c r="C51" s="471"/>
      <c r="D51" s="471"/>
    </row>
    <row r="54" spans="2:4">
      <c r="B54" s="41" t="s">
        <v>48</v>
      </c>
    </row>
    <row r="55" spans="2:4" ht="135" customHeight="1">
      <c r="B55" s="472" t="s">
        <v>49</v>
      </c>
      <c r="C55" s="473"/>
      <c r="D55" s="474"/>
    </row>
    <row r="67" spans="2:4" s="10" customFormat="1" ht="12.75">
      <c r="C67" s="11"/>
      <c r="D67" s="11"/>
    </row>
    <row r="68" spans="2:4" s="10" customFormat="1" ht="12.75">
      <c r="C68" s="11"/>
      <c r="D68" s="11"/>
    </row>
    <row r="69" spans="2:4">
      <c r="B69" s="41" t="s">
        <v>50</v>
      </c>
    </row>
  </sheetData>
  <mergeCells count="12">
    <mergeCell ref="B11:D11"/>
    <mergeCell ref="E39:G42"/>
    <mergeCell ref="B50:D50"/>
    <mergeCell ref="B51:D51"/>
    <mergeCell ref="B55:D55"/>
    <mergeCell ref="B12:D12"/>
    <mergeCell ref="B14:D14"/>
    <mergeCell ref="B16:D16"/>
    <mergeCell ref="B17:D17"/>
    <mergeCell ref="B18:D18"/>
    <mergeCell ref="F28:F29"/>
    <mergeCell ref="E37:F37"/>
  </mergeCells>
  <printOptions horizontalCentered="1"/>
  <pageMargins left="0.59055118110236227" right="0.59055118110236227" top="1.3779527559055118" bottom="0.78740157480314965" header="0.39370078740157483" footer="0.39370078740157483"/>
  <pageSetup paperSize="9" scale="68" orientation="landscape" r:id="rId1"/>
  <headerFooter>
    <oddHeader>&amp;C&amp;G</oddHeader>
  </headerFooter>
  <rowBreaks count="1" manualBreakCount="1">
    <brk id="51" min="1" max="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9217" r:id="rId5">
          <objectPr defaultSize="0" autoPict="0" r:id="rId6">
            <anchor moveWithCells="1" sizeWithCells="1">
              <from>
                <xdr:col>1</xdr:col>
                <xdr:colOff>38100</xdr:colOff>
                <xdr:row>42</xdr:row>
                <xdr:rowOff>0</xdr:rowOff>
              </from>
              <to>
                <xdr:col>1</xdr:col>
                <xdr:colOff>4667250</xdr:colOff>
                <xdr:row>46</xdr:row>
                <xdr:rowOff>9525</xdr:rowOff>
              </to>
            </anchor>
          </objectPr>
        </oleObject>
      </mc:Choice>
      <mc:Fallback>
        <oleObject progId="Equation.3" shapeId="9217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10</vt:i4>
      </vt:variant>
    </vt:vector>
  </HeadingPairs>
  <TitlesOfParts>
    <vt:vector size="17" baseType="lpstr">
      <vt:lpstr>Planilha orç</vt:lpstr>
      <vt:lpstr>Memória de cálculo</vt:lpstr>
      <vt:lpstr>COMPOSIÇÕES</vt:lpstr>
      <vt:lpstr>COTAÇÕES</vt:lpstr>
      <vt:lpstr>RESUMO SEM DESON</vt:lpstr>
      <vt:lpstr>CRONOGRAMA</vt:lpstr>
      <vt:lpstr>COMP_BDI_EDIFICACOES_23,38%_SEM</vt:lpstr>
      <vt:lpstr>'COMP_BDI_EDIFICACOES_23,38%_SEM'!Area_de_impressao</vt:lpstr>
      <vt:lpstr>COMPOSIÇÕES!Area_de_impressao</vt:lpstr>
      <vt:lpstr>COTAÇÕES!Area_de_impressao</vt:lpstr>
      <vt:lpstr>CRONOGRAMA!Area_de_impressao</vt:lpstr>
      <vt:lpstr>'Memória de cálculo'!Area_de_impressao</vt:lpstr>
      <vt:lpstr>'Planilha orç'!Area_de_impressao</vt:lpstr>
      <vt:lpstr>'RESUMO SEM DESON'!Area_de_impressao</vt:lpstr>
      <vt:lpstr>COTAÇÕES!Titulos_de_impressao</vt:lpstr>
      <vt:lpstr>CRONOGRAMA!Titulos_de_impressao</vt:lpstr>
      <vt:lpstr>'RESUMO SEM DESON'!Titulos_de_impressao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Infraestrutura Araçoiaba PE</dc:creator>
  <cp:lastModifiedBy>LICITACAO 01</cp:lastModifiedBy>
  <cp:lastPrinted>2022-03-29T13:28:57Z</cp:lastPrinted>
  <dcterms:created xsi:type="dcterms:W3CDTF">2015-12-21T18:24:38Z</dcterms:created>
  <dcterms:modified xsi:type="dcterms:W3CDTF">2022-03-29T13:35:21Z</dcterms:modified>
</cp:coreProperties>
</file>